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D:\Indegene 3rd Floor\"/>
    </mc:Choice>
  </mc:AlternateContent>
  <xr:revisionPtr revIDLastSave="0" documentId="13_ncr:1_{1C6A3F0B-18BA-4974-8C9E-ABC93D60CAC7}" xr6:coauthVersionLast="36" xr6:coauthVersionMax="36" xr10:uidLastSave="{00000000-0000-0000-0000-000000000000}"/>
  <bookViews>
    <workbookView xWindow="0" yWindow="0" windowWidth="19200" windowHeight="6930" xr2:uid="{00000000-000D-0000-FFFF-FFFF00000000}"/>
  </bookViews>
  <sheets>
    <sheet name="Summary" sheetId="37" r:id="rId1"/>
    <sheet name="Summary- C&amp;I" sheetId="1" r:id="rId2"/>
    <sheet name="BOQ-C&amp;I" sheetId="2" r:id="rId3"/>
    <sheet name="M Sheet" sheetId="7" state="hidden" r:id="rId4"/>
    <sheet name="Modular" sheetId="8" r:id="rId5"/>
    <sheet name="Outdoor Furniture" sheetId="106" r:id="rId6"/>
    <sheet name="Toilet Work" sheetId="70" r:id="rId7"/>
    <sheet name="Kitchen Equipment" sheetId="107" r:id="rId8"/>
    <sheet name="Summary  Electrical " sheetId="89" r:id="rId9"/>
    <sheet name="Internal Electrical Works " sheetId="90" r:id="rId10"/>
    <sheet name="Electrical - Indegene" sheetId="114" state="hidden" r:id="rId11"/>
    <sheet name="UPS-Indegene" sheetId="91" state="hidden" r:id="rId12"/>
    <sheet name="IT" sheetId="92" r:id="rId13"/>
    <sheet name="CCTV" sheetId="93" r:id="rId14"/>
    <sheet name="CCTV - Indegene " sheetId="112" state="hidden" r:id="rId15"/>
    <sheet name="ACS" sheetId="94" r:id="rId16"/>
    <sheet name="ACS - Indegene" sheetId="113" state="hidden" r:id="rId17"/>
    <sheet name="LMS " sheetId="108" r:id="rId18"/>
    <sheet name="Sprinkler" sheetId="95" r:id="rId19"/>
    <sheet name="Fire &amp; Life Safety -Indegene" sheetId="111" state="hidden" r:id="rId20"/>
    <sheet name="WLD System - Indegne" sheetId="96" state="hidden" r:id="rId21"/>
    <sheet name="Rodent System - Indegene" sheetId="97" state="hidden" r:id="rId22"/>
    <sheet name="HVAC Cost-Summary" sheetId="98" r:id="rId23"/>
    <sheet name="HVAC Lowside works- Part A" sheetId="99" r:id="rId24"/>
    <sheet name="VAV Supply &amp; Install- Part-C" sheetId="101" r:id="rId25"/>
    <sheet name="PHE Cost-Summary" sheetId="102" r:id="rId26"/>
    <sheet name="Sanitary Fixtures &amp; CP Fittings" sheetId="103" r:id="rId27"/>
    <sheet name="PHE -Internal Works" sheetId="104" r:id="rId28"/>
  </sheets>
  <externalReferences>
    <externalReference r:id="rId29"/>
    <externalReference r:id="rId30"/>
    <externalReference r:id="rId31"/>
    <externalReference r:id="rId32"/>
    <externalReference r:id="rId33"/>
    <externalReference r:id="rId34"/>
  </externalReferences>
  <definedNames>
    <definedName name="\a">#REF!</definedName>
    <definedName name="_Fill" hidden="1">#REF!</definedName>
    <definedName name="_xlnm._FilterDatabase" localSheetId="23" hidden="1">'HVAC Lowside works- Part A'!$D$1:$D$417</definedName>
    <definedName name="_xlnm._FilterDatabase" localSheetId="24" hidden="1">'VAV Supply &amp; Install- Part-C'!$D$1:$D$165</definedName>
    <definedName name="_hp10" hidden="1">{#N/A,#N/A,TRUE,"Front";#N/A,#N/A,TRUE,"Simple Letter";#N/A,#N/A,TRUE,"Inside";#N/A,#N/A,TRUE,"Contents";#N/A,#N/A,TRUE,"Basis";#N/A,#N/A,TRUE,"Inclusions";#N/A,#N/A,TRUE,"Exclusions";#N/A,#N/A,TRUE,"Areas";#N/A,#N/A,TRUE,"Summary";#N/A,#N/A,TRUE,"Detail"}</definedName>
    <definedName name="_Key1" hidden="1">#REF!</definedName>
    <definedName name="_Order1" hidden="1">255</definedName>
    <definedName name="_Sort" hidden="1">#REF!</definedName>
    <definedName name="anscount" hidden="1">1</definedName>
    <definedName name="CABLE">#REF!</definedName>
    <definedName name="CC">#REF!</definedName>
    <definedName name="d" hidden="1">#REF!</definedName>
    <definedName name="dfd" hidden="1">{#N/A,#N/A,TRUE,"Front";#N/A,#N/A,TRUE,"Simple Letter";#N/A,#N/A,TRUE,"Inside";#N/A,#N/A,TRUE,"Contents";#N/A,#N/A,TRUE,"Basis";#N/A,#N/A,TRUE,"Inclusions";#N/A,#N/A,TRUE,"Exclusions";#N/A,#N/A,TRUE,"Areas";#N/A,#N/A,TRUE,"Summary";#N/A,#N/A,TRUE,"Detail"}</definedName>
    <definedName name="EATET">#REF!</definedName>
    <definedName name="Excel_BuiltIn_Print_Area_1">#REF!</definedName>
    <definedName name="Excel_BuiltIn_Print_Titles_3">#REF!</definedName>
    <definedName name="Excel_BuiltIn_Print_Titles_4">#REF!</definedName>
    <definedName name="Excel_BuiltIn_Print_Titles_7">#REF!</definedName>
    <definedName name="FRNN">#REF!</definedName>
    <definedName name="limcount" hidden="1">1</definedName>
    <definedName name="MATICECODE">#REF!</definedName>
    <definedName name="MATRICE">#REF!</definedName>
    <definedName name="MODELE">#REF!</definedName>
    <definedName name="PGA">#REF!</definedName>
    <definedName name="_xlnm.Print_Area" localSheetId="9">'Internal Electrical Works '!$A$1:$I$515</definedName>
    <definedName name="_xlnm.Print_Area" localSheetId="27">'PHE -Internal Works'!$A$1:$J$155</definedName>
    <definedName name="_xlnm.Print_Area" localSheetId="21">'Rodent System - Indegene'!$A$1:$H$20</definedName>
    <definedName name="_xlnm.Print_Area" localSheetId="26">'Sanitary Fixtures &amp; CP Fittings'!$A$1:$J$152</definedName>
    <definedName name="_xlnm.Print_Area" localSheetId="8">'Summary  Electrical '!$A$1:$F$47</definedName>
    <definedName name="_xlnm.Print_Area" localSheetId="11">'UPS-Indegene'!$A$1:$I$14</definedName>
    <definedName name="_xlnm.Print_Area" localSheetId="20">'WLD System - Indegne'!$A$1:$H$34</definedName>
    <definedName name="RANGE1">'[1]Cable-data'!$A$8:$K$23</definedName>
    <definedName name="RANGE2">'[2]Cable-data'!$A$33:$K$48</definedName>
    <definedName name="RANGE3">'[3]Cable-data'!$A$55:$K$70</definedName>
    <definedName name="RANGE4">'[4]Cable-data'!$A$33:$K$48</definedName>
    <definedName name="RANGE5">'[4]Cable-data'!$A$33:$K$48</definedName>
    <definedName name="RANGE6">'[5]CABLE DATA'!$A$31:$C$46</definedName>
    <definedName name="RANGE7">'[4]Cable-data'!$A$33:$K$48</definedName>
    <definedName name="RANGE8">'[4]Cable-data'!$A$33:$K$48</definedName>
    <definedName name="RANGE9">'[4]Cable-data'!$A$33:$K$48</definedName>
    <definedName name="RYY5Y">#REF!</definedName>
    <definedName name="sencount" hidden="1">1</definedName>
    <definedName name="ska" hidden="1">{#N/A,#N/A,TRUE,"Front";#N/A,#N/A,TRUE,"Simple Letter";#N/A,#N/A,TRUE,"Inside";#N/A,#N/A,TRUE,"Contents";#N/A,#N/A,TRUE,"Basis";#N/A,#N/A,TRUE,"Inclusions";#N/A,#N/A,TRUE,"Exclusions";#N/A,#N/A,TRUE,"Areas";#N/A,#N/A,TRUE,"Summary";#N/A,#N/A,TRUE,"Detail"}</definedName>
    <definedName name="skq" hidden="1">{#N/A,#N/A,TRUE,"Front";#N/A,#N/A,TRUE,"Simple Letter";#N/A,#N/A,TRUE,"Inside";#N/A,#N/A,TRUE,"Contents";#N/A,#N/A,TRUE,"Basis";#N/A,#N/A,TRUE,"Inclusions";#N/A,#N/A,TRUE,"Exclusions";#N/A,#N/A,TRUE,"Areas";#N/A,#N/A,TRUE,"Summary";#N/A,#N/A,TRUE,"Detail"}</definedName>
    <definedName name="tem" hidden="1">{#N/A,#N/A,TRUE,"Front";#N/A,#N/A,TRUE,"Simple Letter";#N/A,#N/A,TRUE,"Inside";#N/A,#N/A,TRUE,"Contents";#N/A,#N/A,TRUE,"Basis";#N/A,#N/A,TRUE,"Inclusions";#N/A,#N/A,TRUE,"Exclusions";#N/A,#N/A,TRUE,"Areas";#N/A,#N/A,TRUE,"Summary";#N/A,#N/A,TRUE,"Detail"}</definedName>
    <definedName name="temp" hidden="1">{#N/A,#N/A,TRUE,"Front";#N/A,#N/A,TRUE,"Simple Letter";#N/A,#N/A,TRUE,"Inside";#N/A,#N/A,TRUE,"Contents";#N/A,#N/A,TRUE,"Basis";#N/A,#N/A,TRUE,"Inclusions";#N/A,#N/A,TRUE,"Exclusions";#N/A,#N/A,TRUE,"Areas";#N/A,#N/A,TRUE,"Summary";#N/A,#N/A,TRUE,"Detail"}</definedName>
    <definedName name="temp1"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s>
  <calcPr calcId="1790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74" i="8" l="1"/>
  <c r="A173" i="114" l="1"/>
  <c r="A172" i="114"/>
  <c r="H173" i="114"/>
  <c r="G173" i="114"/>
  <c r="H172" i="114"/>
  <c r="H175" i="114" s="1"/>
  <c r="G172" i="114"/>
  <c r="G160" i="114"/>
  <c r="H160" i="114"/>
  <c r="G283" i="90"/>
  <c r="H283" i="90"/>
  <c r="D23" i="95"/>
  <c r="D256" i="90"/>
  <c r="D101" i="114"/>
  <c r="D245" i="90"/>
  <c r="D242" i="90"/>
  <c r="G259" i="90"/>
  <c r="H259" i="90"/>
  <c r="G243" i="90"/>
  <c r="D98" i="114"/>
  <c r="D241" i="90"/>
  <c r="G175" i="114" l="1"/>
  <c r="G162" i="114"/>
  <c r="H162" i="114"/>
  <c r="H243" i="90"/>
  <c r="H814" i="7" l="1"/>
  <c r="H813" i="7"/>
  <c r="H812" i="7"/>
  <c r="H811" i="7"/>
  <c r="E811" i="7"/>
  <c r="H810" i="7"/>
  <c r="E810" i="7"/>
  <c r="H809" i="7"/>
  <c r="H808" i="7"/>
  <c r="H807" i="7"/>
  <c r="H806" i="7"/>
  <c r="H805" i="7"/>
  <c r="E804" i="7"/>
  <c r="H804" i="7" s="1"/>
  <c r="H803" i="7"/>
  <c r="H802" i="7"/>
  <c r="H801" i="7"/>
  <c r="H800" i="7"/>
  <c r="E799" i="7"/>
  <c r="H799" i="7" s="1"/>
  <c r="H798" i="7"/>
  <c r="H797" i="7"/>
  <c r="H796" i="7"/>
  <c r="H795" i="7"/>
  <c r="H794" i="7"/>
  <c r="E793" i="7"/>
  <c r="H793" i="7" s="1"/>
  <c r="H792" i="7"/>
  <c r="H791" i="7"/>
  <c r="H790" i="7"/>
  <c r="H789" i="7"/>
  <c r="H788" i="7"/>
  <c r="H787" i="7"/>
  <c r="H786" i="7"/>
  <c r="H785" i="7"/>
  <c r="H784" i="7"/>
  <c r="H783" i="7"/>
  <c r="H782" i="7"/>
  <c r="E782" i="7"/>
  <c r="H781" i="7"/>
  <c r="E781" i="7"/>
  <c r="H780" i="7"/>
  <c r="H779" i="7"/>
  <c r="H778" i="7"/>
  <c r="H777" i="7"/>
  <c r="H776" i="7"/>
  <c r="H775" i="7"/>
  <c r="H774" i="7"/>
  <c r="H773" i="7"/>
  <c r="H772" i="7"/>
  <c r="E771" i="7"/>
  <c r="H771" i="7" s="1"/>
  <c r="H770" i="7"/>
  <c r="H769" i="7"/>
  <c r="E769" i="7"/>
  <c r="H768" i="7"/>
  <c r="H767" i="7"/>
  <c r="H766" i="7"/>
  <c r="H765" i="7"/>
  <c r="H764" i="7"/>
  <c r="H763" i="7"/>
  <c r="H762" i="7"/>
  <c r="E762" i="7"/>
  <c r="H761" i="7"/>
  <c r="E760" i="7"/>
  <c r="H760" i="7" s="1"/>
  <c r="E759" i="7"/>
  <c r="H759" i="7" s="1"/>
  <c r="H758" i="7"/>
  <c r="H818" i="7" l="1"/>
  <c r="H820" i="7" s="1"/>
  <c r="D4" i="37"/>
  <c r="E3712" i="7" l="1"/>
  <c r="H3712" i="7" s="1"/>
  <c r="H3711" i="7"/>
  <c r="G3710" i="7"/>
  <c r="H3710" i="7" s="1"/>
  <c r="H3709" i="7"/>
  <c r="H3708" i="7"/>
  <c r="H3707" i="7"/>
  <c r="H3706" i="7"/>
  <c r="H3705" i="7"/>
  <c r="H3704" i="7"/>
  <c r="H3703" i="7"/>
  <c r="H3702" i="7"/>
  <c r="H3714" i="7" l="1"/>
  <c r="H3716" i="7" s="1"/>
  <c r="H40" i="113" l="1"/>
  <c r="I87" i="104"/>
  <c r="F84" i="103"/>
  <c r="D109" i="99" l="1"/>
  <c r="D108" i="99"/>
  <c r="G300" i="99" l="1"/>
  <c r="G292" i="99"/>
  <c r="G298" i="99"/>
  <c r="G291" i="99"/>
  <c r="G299" i="99"/>
  <c r="G296" i="99"/>
  <c r="G301" i="99"/>
  <c r="G297" i="99"/>
  <c r="G290" i="99"/>
  <c r="D18" i="93" l="1"/>
  <c r="D10" i="93"/>
  <c r="D11" i="93"/>
  <c r="D9" i="93"/>
  <c r="D44" i="92"/>
  <c r="D32" i="90"/>
  <c r="G32" i="90" l="1"/>
  <c r="H32" i="90"/>
  <c r="G72" i="8" l="1"/>
  <c r="D467" i="90" l="1"/>
  <c r="D466" i="90"/>
  <c r="D465" i="90"/>
  <c r="D451" i="90"/>
  <c r="D450" i="90"/>
  <c r="D449" i="90"/>
  <c r="D255" i="90"/>
  <c r="D281" i="90"/>
  <c r="D271" i="90"/>
  <c r="D260" i="90"/>
  <c r="D507" i="90"/>
  <c r="D506" i="90"/>
  <c r="D505" i="90"/>
  <c r="D504" i="90"/>
  <c r="D503" i="90"/>
  <c r="D496" i="90"/>
  <c r="D458" i="90"/>
  <c r="D457" i="90"/>
  <c r="D454" i="90"/>
  <c r="D445" i="90"/>
  <c r="D398" i="90"/>
  <c r="D397" i="90"/>
  <c r="D396" i="90"/>
  <c r="D387" i="90"/>
  <c r="D385" i="90"/>
  <c r="D295" i="90"/>
  <c r="D292" i="90"/>
  <c r="D289" i="90"/>
  <c r="D279" i="90"/>
  <c r="D273" i="90"/>
  <c r="D270" i="90"/>
  <c r="D269" i="90"/>
  <c r="D268" i="90"/>
  <c r="D266" i="90"/>
  <c r="D265" i="90"/>
  <c r="D264" i="90"/>
  <c r="D252" i="90"/>
  <c r="D249" i="90"/>
  <c r="D239" i="90"/>
  <c r="D231" i="90"/>
  <c r="D227" i="90"/>
  <c r="D226" i="90"/>
  <c r="D224" i="90"/>
  <c r="D223" i="90"/>
  <c r="D222" i="90"/>
  <c r="D195" i="114"/>
  <c r="H195" i="114" s="1"/>
  <c r="D194" i="114"/>
  <c r="G194" i="114" s="1"/>
  <c r="D191" i="114"/>
  <c r="G191" i="114" s="1"/>
  <c r="D190" i="114"/>
  <c r="G190" i="114" s="1"/>
  <c r="D68" i="90"/>
  <c r="D67" i="90"/>
  <c r="D66" i="90"/>
  <c r="D65" i="90"/>
  <c r="D54" i="90"/>
  <c r="D53" i="90"/>
  <c r="D43" i="90"/>
  <c r="D42" i="90"/>
  <c r="D69" i="114"/>
  <c r="H69" i="114" s="1"/>
  <c r="D44" i="114"/>
  <c r="H44" i="114" s="1"/>
  <c r="D58" i="114"/>
  <c r="G58" i="114" s="1"/>
  <c r="D57" i="114"/>
  <c r="H57" i="114" s="1"/>
  <c r="D46" i="114"/>
  <c r="H46" i="114" s="1"/>
  <c r="D35" i="114"/>
  <c r="D32" i="114"/>
  <c r="D29" i="114"/>
  <c r="G29" i="114" s="1"/>
  <c r="D26" i="114"/>
  <c r="H26" i="114" s="1"/>
  <c r="D23" i="114"/>
  <c r="D20" i="114"/>
  <c r="D17" i="114"/>
  <c r="D14" i="114"/>
  <c r="D11" i="114"/>
  <c r="H11" i="114" s="1"/>
  <c r="G255" i="114"/>
  <c r="H254" i="114"/>
  <c r="G254" i="114"/>
  <c r="H253" i="114"/>
  <c r="G253" i="114"/>
  <c r="H252" i="114"/>
  <c r="G252" i="114"/>
  <c r="H250" i="114"/>
  <c r="G250" i="114"/>
  <c r="H249" i="114"/>
  <c r="G249" i="114"/>
  <c r="H248" i="114"/>
  <c r="G248" i="114"/>
  <c r="H247" i="114"/>
  <c r="G247" i="114"/>
  <c r="H246" i="114"/>
  <c r="G246" i="114"/>
  <c r="H245" i="114"/>
  <c r="G245" i="114"/>
  <c r="H244" i="114"/>
  <c r="G244" i="114"/>
  <c r="H238" i="114"/>
  <c r="G238" i="114"/>
  <c r="H237" i="114"/>
  <c r="G237" i="114"/>
  <c r="H232" i="114"/>
  <c r="G232" i="114"/>
  <c r="H231" i="114"/>
  <c r="G231" i="114"/>
  <c r="H230" i="114"/>
  <c r="G230" i="114"/>
  <c r="H229" i="114"/>
  <c r="G229" i="114"/>
  <c r="H228" i="114"/>
  <c r="G228" i="114"/>
  <c r="H227" i="114"/>
  <c r="G227" i="114"/>
  <c r="H226" i="114"/>
  <c r="G226" i="114"/>
  <c r="H225" i="114"/>
  <c r="G225" i="114"/>
  <c r="H224" i="114"/>
  <c r="G224" i="114"/>
  <c r="H223" i="114"/>
  <c r="G223" i="114"/>
  <c r="D222" i="114"/>
  <c r="H221" i="114"/>
  <c r="G221" i="114"/>
  <c r="H220" i="114"/>
  <c r="G220" i="114"/>
  <c r="H219" i="114"/>
  <c r="G219" i="114"/>
  <c r="D218" i="114"/>
  <c r="H217" i="114"/>
  <c r="G217" i="114"/>
  <c r="H216" i="114"/>
  <c r="G216" i="114"/>
  <c r="H215" i="114"/>
  <c r="G215" i="114"/>
  <c r="G213" i="114"/>
  <c r="H213" i="114"/>
  <c r="H212" i="114"/>
  <c r="G212" i="114"/>
  <c r="H211" i="114"/>
  <c r="G211" i="114"/>
  <c r="H210" i="114"/>
  <c r="G210" i="114"/>
  <c r="H209" i="114"/>
  <c r="G209" i="114"/>
  <c r="H208" i="114"/>
  <c r="G208" i="114"/>
  <c r="G207" i="114"/>
  <c r="H207" i="114"/>
  <c r="H193" i="114"/>
  <c r="G193" i="114"/>
  <c r="H192" i="114"/>
  <c r="G192" i="114"/>
  <c r="H184" i="114"/>
  <c r="G184" i="114"/>
  <c r="G183" i="114"/>
  <c r="H183" i="114"/>
  <c r="H182" i="114"/>
  <c r="G182" i="114"/>
  <c r="H153" i="114"/>
  <c r="G153" i="114"/>
  <c r="H152" i="114"/>
  <c r="G152" i="114"/>
  <c r="G151" i="114"/>
  <c r="H151" i="114"/>
  <c r="H150" i="114"/>
  <c r="G150" i="114"/>
  <c r="G149" i="114"/>
  <c r="H149" i="114"/>
  <c r="H148" i="114"/>
  <c r="G148" i="114"/>
  <c r="H147" i="114"/>
  <c r="G147" i="114"/>
  <c r="H146" i="114"/>
  <c r="G146" i="114"/>
  <c r="G145" i="114"/>
  <c r="H145" i="114"/>
  <c r="H144" i="114"/>
  <c r="G144" i="114"/>
  <c r="G143" i="114"/>
  <c r="H143" i="114"/>
  <c r="H139" i="114"/>
  <c r="G139" i="114"/>
  <c r="H138" i="114"/>
  <c r="G138" i="114"/>
  <c r="H137" i="114"/>
  <c r="G137" i="114"/>
  <c r="H136" i="114"/>
  <c r="G136" i="114"/>
  <c r="G135" i="114"/>
  <c r="H135" i="114"/>
  <c r="H134" i="114"/>
  <c r="G134" i="114"/>
  <c r="H133" i="114"/>
  <c r="G133" i="114"/>
  <c r="H129" i="114"/>
  <c r="G129" i="114"/>
  <c r="H128" i="114"/>
  <c r="G128" i="114"/>
  <c r="G127" i="114"/>
  <c r="H127" i="114"/>
  <c r="H126" i="114"/>
  <c r="G126" i="114"/>
  <c r="G125" i="114"/>
  <c r="H125" i="114"/>
  <c r="H124" i="114"/>
  <c r="G124" i="114"/>
  <c r="H123" i="114"/>
  <c r="G123" i="114"/>
  <c r="H122" i="114"/>
  <c r="G122" i="114"/>
  <c r="H121" i="114"/>
  <c r="G121" i="114"/>
  <c r="H120" i="114"/>
  <c r="G120" i="114"/>
  <c r="G119" i="114"/>
  <c r="H119" i="114"/>
  <c r="H115" i="114"/>
  <c r="G115" i="114"/>
  <c r="H114" i="114"/>
  <c r="G114" i="114"/>
  <c r="G113" i="114"/>
  <c r="H113" i="114"/>
  <c r="H112" i="114"/>
  <c r="G112" i="114"/>
  <c r="H111" i="114"/>
  <c r="G111" i="114"/>
  <c r="H110" i="114"/>
  <c r="G110" i="114"/>
  <c r="G109" i="114"/>
  <c r="H109" i="114"/>
  <c r="H108" i="114"/>
  <c r="G108" i="114"/>
  <c r="G107" i="114"/>
  <c r="H107" i="114"/>
  <c r="H106" i="114"/>
  <c r="G106" i="114"/>
  <c r="H105" i="114"/>
  <c r="G105" i="114"/>
  <c r="H102" i="114"/>
  <c r="G102" i="114"/>
  <c r="G101" i="114"/>
  <c r="D100" i="114"/>
  <c r="D99" i="114"/>
  <c r="H98" i="114"/>
  <c r="G98" i="114"/>
  <c r="D97" i="114"/>
  <c r="G97" i="114" s="1"/>
  <c r="D96" i="114"/>
  <c r="H95" i="114"/>
  <c r="G95" i="114"/>
  <c r="H89" i="114"/>
  <c r="G89" i="114"/>
  <c r="G88" i="114"/>
  <c r="H88" i="114"/>
  <c r="H87" i="114"/>
  <c r="G87" i="114"/>
  <c r="D86" i="114"/>
  <c r="G85" i="114"/>
  <c r="H85" i="114"/>
  <c r="H84" i="114"/>
  <c r="G84" i="114"/>
  <c r="H83" i="114"/>
  <c r="G83" i="114"/>
  <c r="H82" i="114"/>
  <c r="G82" i="114"/>
  <c r="H81" i="114"/>
  <c r="G81" i="114"/>
  <c r="H80" i="114"/>
  <c r="G80" i="114"/>
  <c r="H79" i="114"/>
  <c r="G79" i="114"/>
  <c r="H68" i="114"/>
  <c r="G68" i="114"/>
  <c r="H65" i="114"/>
  <c r="G65" i="114"/>
  <c r="H64" i="114"/>
  <c r="G64" i="114"/>
  <c r="H63" i="114"/>
  <c r="G63" i="114"/>
  <c r="H62" i="114"/>
  <c r="G62" i="114"/>
  <c r="H60" i="114"/>
  <c r="G60" i="114"/>
  <c r="H59" i="114"/>
  <c r="G59" i="114"/>
  <c r="H56" i="114"/>
  <c r="G56" i="114"/>
  <c r="H55" i="114"/>
  <c r="G55" i="114"/>
  <c r="H54" i="114"/>
  <c r="G54" i="114"/>
  <c r="G53" i="114"/>
  <c r="H53" i="114"/>
  <c r="H52" i="114"/>
  <c r="G52" i="114"/>
  <c r="G51" i="114"/>
  <c r="H51" i="114"/>
  <c r="H50" i="114"/>
  <c r="G50" i="114"/>
  <c r="H49" i="114"/>
  <c r="G49" i="114"/>
  <c r="H48" i="114"/>
  <c r="G48" i="114"/>
  <c r="H47" i="114"/>
  <c r="G47" i="114"/>
  <c r="G45" i="114"/>
  <c r="H45" i="114"/>
  <c r="H43" i="114"/>
  <c r="G43" i="114"/>
  <c r="H42" i="114"/>
  <c r="G42" i="114"/>
  <c r="H41" i="114"/>
  <c r="G41" i="114"/>
  <c r="H40" i="114"/>
  <c r="G40" i="114"/>
  <c r="H39" i="114"/>
  <c r="G39" i="114"/>
  <c r="G26" i="114"/>
  <c r="D42" i="111"/>
  <c r="D41" i="111"/>
  <c r="D39" i="111"/>
  <c r="D38" i="111"/>
  <c r="D35" i="113"/>
  <c r="H35" i="113" s="1"/>
  <c r="D34" i="113"/>
  <c r="G34" i="113" s="1"/>
  <c r="D32" i="113"/>
  <c r="G32" i="113" s="1"/>
  <c r="D31" i="113"/>
  <c r="G31" i="113" s="1"/>
  <c r="D30" i="113"/>
  <c r="H30" i="113" s="1"/>
  <c r="D29" i="113"/>
  <c r="G29" i="113" s="1"/>
  <c r="D28" i="113"/>
  <c r="H28" i="113" s="1"/>
  <c r="D27" i="113"/>
  <c r="G27" i="113" s="1"/>
  <c r="D19" i="113"/>
  <c r="H19" i="113" s="1"/>
  <c r="H17" i="113"/>
  <c r="D16" i="113"/>
  <c r="D13" i="113"/>
  <c r="G10" i="113"/>
  <c r="D9" i="113"/>
  <c r="D8" i="113"/>
  <c r="H37" i="113"/>
  <c r="G37" i="113"/>
  <c r="H36" i="113"/>
  <c r="G36" i="113"/>
  <c r="G33" i="113"/>
  <c r="H33" i="113"/>
  <c r="G30" i="113"/>
  <c r="H26" i="113"/>
  <c r="G26" i="113"/>
  <c r="G25" i="113"/>
  <c r="H25" i="113"/>
  <c r="H24" i="113"/>
  <c r="G24" i="113"/>
  <c r="H23" i="113"/>
  <c r="G23" i="113"/>
  <c r="H22" i="113"/>
  <c r="G22" i="113"/>
  <c r="H20" i="113"/>
  <c r="G20" i="113"/>
  <c r="G14" i="113"/>
  <c r="H14" i="113"/>
  <c r="H12" i="113"/>
  <c r="G12" i="113"/>
  <c r="G11" i="113"/>
  <c r="H11" i="113"/>
  <c r="D28" i="93"/>
  <c r="D15" i="93"/>
  <c r="D9" i="112"/>
  <c r="D13" i="93"/>
  <c r="D12" i="112"/>
  <c r="G30" i="112"/>
  <c r="H30" i="112"/>
  <c r="H29" i="112"/>
  <c r="G29" i="112"/>
  <c r="G28" i="112"/>
  <c r="H28" i="112"/>
  <c r="H27" i="112"/>
  <c r="G27" i="112"/>
  <c r="H26" i="112"/>
  <c r="G26" i="112"/>
  <c r="H25" i="112"/>
  <c r="G25" i="112"/>
  <c r="H22" i="112"/>
  <c r="G22" i="112"/>
  <c r="H21" i="112"/>
  <c r="G21" i="112"/>
  <c r="G20" i="112"/>
  <c r="H20" i="112"/>
  <c r="H19" i="112"/>
  <c r="G19" i="112"/>
  <c r="H17" i="112"/>
  <c r="G17" i="112"/>
  <c r="H16" i="112"/>
  <c r="G16" i="112"/>
  <c r="H14" i="112"/>
  <c r="G14" i="112"/>
  <c r="H13" i="112"/>
  <c r="G13" i="112"/>
  <c r="H11" i="112"/>
  <c r="H10" i="112"/>
  <c r="G10" i="112"/>
  <c r="H58" i="114" l="1"/>
  <c r="H190" i="114"/>
  <c r="H194" i="114"/>
  <c r="G46" i="114"/>
  <c r="G69" i="114"/>
  <c r="G222" i="114"/>
  <c r="H29" i="114"/>
  <c r="G44" i="114"/>
  <c r="G57" i="114"/>
  <c r="G195" i="114"/>
  <c r="G203" i="114" s="1"/>
  <c r="H191" i="114"/>
  <c r="H222" i="114"/>
  <c r="H97" i="114"/>
  <c r="H218" i="114"/>
  <c r="H240" i="114"/>
  <c r="H17" i="114"/>
  <c r="G99" i="114"/>
  <c r="H256" i="114"/>
  <c r="G17" i="114"/>
  <c r="G23" i="114"/>
  <c r="H35" i="114"/>
  <c r="G86" i="114"/>
  <c r="G14" i="114"/>
  <c r="H23" i="114"/>
  <c r="H99" i="114"/>
  <c r="H14" i="114"/>
  <c r="G32" i="114"/>
  <c r="G20" i="114"/>
  <c r="H32" i="114"/>
  <c r="H20" i="114"/>
  <c r="H96" i="114"/>
  <c r="G100" i="114"/>
  <c r="H101" i="114"/>
  <c r="H86" i="114"/>
  <c r="G96" i="114"/>
  <c r="H100" i="114"/>
  <c r="G11" i="114"/>
  <c r="G35" i="114"/>
  <c r="G256" i="114"/>
  <c r="H214" i="114"/>
  <c r="G214" i="114"/>
  <c r="G240" i="114"/>
  <c r="G218" i="114"/>
  <c r="G35" i="113"/>
  <c r="H34" i="113"/>
  <c r="H32" i="113"/>
  <c r="H31" i="113"/>
  <c r="H29" i="113"/>
  <c r="G28" i="113"/>
  <c r="H27" i="113"/>
  <c r="G17" i="113"/>
  <c r="H18" i="113"/>
  <c r="H10" i="113"/>
  <c r="H13" i="113"/>
  <c r="G7" i="113"/>
  <c r="G9" i="113"/>
  <c r="G16" i="113"/>
  <c r="H16" i="113"/>
  <c r="H9" i="113"/>
  <c r="G13" i="113"/>
  <c r="G18" i="113"/>
  <c r="G15" i="113"/>
  <c r="G8" i="113"/>
  <c r="H8" i="113"/>
  <c r="H15" i="113"/>
  <c r="H7" i="113"/>
  <c r="G19" i="113"/>
  <c r="H18" i="112"/>
  <c r="G18" i="112"/>
  <c r="G15" i="112"/>
  <c r="G12" i="112"/>
  <c r="H12" i="112"/>
  <c r="H15" i="112"/>
  <c r="G9" i="112"/>
  <c r="H9" i="112"/>
  <c r="G11" i="112"/>
  <c r="D38" i="90"/>
  <c r="D35" i="90"/>
  <c r="D29" i="90"/>
  <c r="D26" i="90"/>
  <c r="D23" i="90"/>
  <c r="D20" i="90"/>
  <c r="D17" i="90"/>
  <c r="D14" i="90"/>
  <c r="D11" i="90"/>
  <c r="G36" i="111"/>
  <c r="G56" i="111"/>
  <c r="G66" i="111"/>
  <c r="G65" i="111"/>
  <c r="G63" i="111"/>
  <c r="G62" i="111"/>
  <c r="G58" i="111"/>
  <c r="G57" i="111"/>
  <c r="G54" i="111"/>
  <c r="G53" i="111"/>
  <c r="G49" i="111"/>
  <c r="G48" i="111"/>
  <c r="G41" i="111"/>
  <c r="G39" i="111"/>
  <c r="G35" i="111"/>
  <c r="G34" i="111"/>
  <c r="G33" i="111"/>
  <c r="G28" i="111"/>
  <c r="G27" i="111"/>
  <c r="G26" i="111"/>
  <c r="G25" i="111"/>
  <c r="G24" i="111"/>
  <c r="G23" i="111"/>
  <c r="G21" i="111"/>
  <c r="G20" i="111"/>
  <c r="G19" i="111"/>
  <c r="G18" i="111"/>
  <c r="G16" i="111"/>
  <c r="G15" i="111"/>
  <c r="G13" i="111"/>
  <c r="G12" i="111"/>
  <c r="G11" i="111"/>
  <c r="G10" i="111"/>
  <c r="G9" i="111"/>
  <c r="G8" i="111"/>
  <c r="G7" i="111"/>
  <c r="H203" i="114" l="1"/>
  <c r="H233" i="114"/>
  <c r="G233" i="114"/>
  <c r="H71" i="114"/>
  <c r="H155" i="114"/>
  <c r="G155" i="114"/>
  <c r="G71" i="114"/>
  <c r="G39" i="113"/>
  <c r="H39" i="113"/>
  <c r="H32" i="112"/>
  <c r="G32" i="112"/>
  <c r="G30" i="111"/>
  <c r="G38" i="111"/>
  <c r="G50" i="111"/>
  <c r="G61" i="111"/>
  <c r="G42" i="111"/>
  <c r="G52" i="111"/>
  <c r="G70" i="111"/>
  <c r="G60" i="111"/>
  <c r="G258" i="114" l="1"/>
  <c r="H258" i="114"/>
  <c r="H33" i="112"/>
  <c r="G44" i="111"/>
  <c r="G68" i="111"/>
  <c r="H260" i="114" l="1"/>
  <c r="G71" i="111"/>
  <c r="G72" i="111" s="1"/>
  <c r="G73" i="111" s="1"/>
  <c r="G6" i="107" l="1"/>
  <c r="H4428" i="7"/>
  <c r="H4427" i="7"/>
  <c r="H4426" i="7"/>
  <c r="H4425" i="7"/>
  <c r="H4424" i="7"/>
  <c r="H4423" i="7"/>
  <c r="G370" i="2"/>
  <c r="H3847" i="7"/>
  <c r="H3873" i="7"/>
  <c r="H3874" i="7"/>
  <c r="H4242" i="7"/>
  <c r="H4241" i="7"/>
  <c r="H4240" i="7"/>
  <c r="H4239" i="7"/>
  <c r="H4238" i="7"/>
  <c r="H4237" i="7"/>
  <c r="H4236" i="7"/>
  <c r="H4235" i="7"/>
  <c r="H4234" i="7"/>
  <c r="H4233" i="7"/>
  <c r="H4226" i="7"/>
  <c r="H4228" i="7" s="1"/>
  <c r="H4230" i="7" s="1"/>
  <c r="E2071" i="7"/>
  <c r="H2071" i="7" s="1"/>
  <c r="E2356" i="7"/>
  <c r="H2356" i="7" s="1"/>
  <c r="E1739" i="7"/>
  <c r="H1739" i="7" s="1"/>
  <c r="H4430" i="7" l="1"/>
  <c r="H4432" i="7" s="1"/>
  <c r="G353" i="2"/>
  <c r="H4245" i="7"/>
  <c r="H4247" i="7" s="1"/>
  <c r="H3767" i="7"/>
  <c r="H3766" i="7"/>
  <c r="H3765" i="7"/>
  <c r="H3764" i="7"/>
  <c r="H3763" i="7"/>
  <c r="H3762" i="7"/>
  <c r="H3761" i="7"/>
  <c r="H3760" i="7"/>
  <c r="H3759" i="7"/>
  <c r="H3758" i="7"/>
  <c r="H3757" i="7"/>
  <c r="H3756" i="7"/>
  <c r="H3755" i="7"/>
  <c r="H3754" i="7"/>
  <c r="H3753" i="7"/>
  <c r="H3752" i="7"/>
  <c r="H3751" i="7"/>
  <c r="H3750" i="7"/>
  <c r="H3749" i="7"/>
  <c r="H3748" i="7"/>
  <c r="H3747" i="7"/>
  <c r="H3746" i="7"/>
  <c r="H3745" i="7"/>
  <c r="H3744" i="7"/>
  <c r="H3743" i="7"/>
  <c r="H3742" i="7"/>
  <c r="H3741" i="7"/>
  <c r="H3740" i="7"/>
  <c r="H3739" i="7"/>
  <c r="H3738" i="7"/>
  <c r="H3737" i="7"/>
  <c r="H3736" i="7"/>
  <c r="H3735" i="7"/>
  <c r="H3734" i="7"/>
  <c r="H3733" i="7"/>
  <c r="H3732" i="7"/>
  <c r="H3731" i="7"/>
  <c r="H3730" i="7"/>
  <c r="H3729" i="7"/>
  <c r="H3728" i="7"/>
  <c r="H3727" i="7"/>
  <c r="H3726" i="7"/>
  <c r="H3725" i="7"/>
  <c r="H3724" i="7"/>
  <c r="H3723" i="7"/>
  <c r="H3722" i="7"/>
  <c r="H3721" i="7"/>
  <c r="G3720" i="7"/>
  <c r="H3720" i="7" s="1"/>
  <c r="G3719" i="7"/>
  <c r="H3719" i="7" s="1"/>
  <c r="H3769" i="7" l="1"/>
  <c r="H3771" i="7" s="1"/>
  <c r="G535" i="2" l="1"/>
  <c r="G29" i="2"/>
  <c r="D19" i="94" l="1"/>
  <c r="D18" i="94"/>
  <c r="D17" i="94"/>
  <c r="D16" i="94"/>
  <c r="D15" i="94"/>
  <c r="D13" i="94"/>
  <c r="D10" i="94"/>
  <c r="D9" i="94"/>
  <c r="D8" i="94"/>
  <c r="D7" i="94"/>
  <c r="D12" i="93"/>
  <c r="C22" i="89"/>
  <c r="A6" i="37"/>
  <c r="A7" i="37" s="1"/>
  <c r="H1863" i="7"/>
  <c r="I126" i="103"/>
  <c r="F27" i="103"/>
  <c r="I124" i="103" l="1"/>
  <c r="I128" i="103"/>
  <c r="A8" i="37"/>
  <c r="A9" i="37" s="1"/>
  <c r="A10" i="37" s="1"/>
  <c r="A11" i="37" s="1"/>
  <c r="A12" i="37" s="1"/>
  <c r="A13" i="37" s="1"/>
  <c r="A14" i="37" l="1"/>
  <c r="A15" i="37" s="1"/>
  <c r="G71" i="8" l="1"/>
  <c r="G70" i="8"/>
  <c r="E67" i="8"/>
  <c r="E4406" i="7"/>
  <c r="E4405" i="7"/>
  <c r="E4403" i="7"/>
  <c r="J1210" i="7"/>
  <c r="K1210" i="7" s="1"/>
  <c r="L1209" i="7"/>
  <c r="J1209" i="7"/>
  <c r="K1209" i="7" s="1"/>
  <c r="J1208" i="7"/>
  <c r="L1210" i="7" s="1"/>
  <c r="E55" i="8"/>
  <c r="G46" i="8"/>
  <c r="G65" i="8"/>
  <c r="G53" i="8"/>
  <c r="G52" i="8"/>
  <c r="G37" i="8"/>
  <c r="G51" i="8"/>
  <c r="G50" i="8"/>
  <c r="G36" i="8"/>
  <c r="G62" i="8"/>
  <c r="G47" i="8"/>
  <c r="G45" i="8"/>
  <c r="G40" i="8"/>
  <c r="G44" i="8"/>
  <c r="G49" i="8"/>
  <c r="G48" i="8"/>
  <c r="G54" i="8"/>
  <c r="G43" i="8"/>
  <c r="G42" i="8"/>
  <c r="A34" i="8"/>
  <c r="G31" i="8"/>
  <c r="G41" i="8"/>
  <c r="A6" i="8"/>
  <c r="A7" i="8" l="1"/>
  <c r="A8" i="8" s="1"/>
  <c r="A9" i="8" s="1"/>
  <c r="A10" i="8" s="1"/>
  <c r="A11" i="8" s="1"/>
  <c r="A12" i="8" s="1"/>
  <c r="A13" i="8" s="1"/>
  <c r="A14" i="8" s="1"/>
  <c r="A15" i="8" s="1"/>
  <c r="A16" i="8" s="1"/>
  <c r="A17" i="8" s="1"/>
  <c r="A18" i="8" s="1"/>
  <c r="A19" i="8" s="1"/>
  <c r="A20" i="8" s="1"/>
  <c r="A21" i="8" s="1"/>
  <c r="A22" i="8" s="1"/>
  <c r="A26" i="8" s="1"/>
  <c r="A27" i="8" s="1"/>
  <c r="A28" i="8" s="1"/>
  <c r="A29" i="8" s="1"/>
  <c r="A30" i="8" s="1"/>
  <c r="M1210" i="7"/>
  <c r="M1209" i="7"/>
  <c r="G55" i="8"/>
  <c r="A35" i="8"/>
  <c r="A36" i="8" s="1"/>
  <c r="A37" i="8" s="1"/>
  <c r="M1212" i="7" l="1"/>
  <c r="N1212" i="7" s="1"/>
  <c r="A38" i="8"/>
  <c r="A39" i="8" s="1"/>
  <c r="A40" i="8" s="1"/>
  <c r="A41" i="8" s="1"/>
  <c r="A42" i="8" s="1"/>
  <c r="A43" i="8" s="1"/>
  <c r="A44" i="8" s="1"/>
  <c r="A45" i="8" s="1"/>
  <c r="A46" i="8" s="1"/>
  <c r="A47" i="8" s="1"/>
  <c r="A48" i="8" s="1"/>
  <c r="A49" i="8" s="1"/>
  <c r="A50" i="8" s="1"/>
  <c r="A51" i="8" s="1"/>
  <c r="A52" i="8" s="1"/>
  <c r="A53" i="8" s="1"/>
  <c r="A54" i="8" l="1"/>
  <c r="A55" i="8" s="1"/>
  <c r="A56" i="8" s="1"/>
  <c r="A57" i="8" s="1"/>
  <c r="A58" i="8" s="1"/>
  <c r="A59" i="8" s="1"/>
  <c r="A60" i="8" s="1"/>
  <c r="A61" i="8" s="1"/>
  <c r="A62" i="8" s="1"/>
  <c r="A63" i="8" s="1"/>
  <c r="A64" i="8" s="1"/>
  <c r="A65" i="8" s="1"/>
  <c r="A66" i="8" s="1"/>
  <c r="A67" i="8" s="1"/>
  <c r="A68" i="8" s="1"/>
  <c r="A69" i="8" s="1"/>
  <c r="A70" i="8" s="1"/>
  <c r="A71" i="8" s="1"/>
  <c r="A72" i="8" s="1"/>
  <c r="E5" i="8" l="1"/>
  <c r="E9" i="8" s="1"/>
  <c r="H4944" i="7"/>
  <c r="H4943" i="7"/>
  <c r="H4942" i="7"/>
  <c r="E4941" i="7"/>
  <c r="H4941" i="7" s="1"/>
  <c r="H4940" i="7"/>
  <c r="H1290" i="7"/>
  <c r="H1289" i="7"/>
  <c r="H1530" i="7"/>
  <c r="H1450" i="7"/>
  <c r="F1449" i="7"/>
  <c r="H1449" i="7" s="1"/>
  <c r="H1448" i="7"/>
  <c r="H1529" i="7"/>
  <c r="H1528" i="7"/>
  <c r="H1527" i="7"/>
  <c r="H1526" i="7"/>
  <c r="H1525" i="7"/>
  <c r="H1524" i="7"/>
  <c r="H1523" i="7"/>
  <c r="H1376" i="7"/>
  <c r="H1301" i="7"/>
  <c r="H1302" i="7"/>
  <c r="H1303" i="7"/>
  <c r="H1304" i="7"/>
  <c r="H1305" i="7"/>
  <c r="H1306" i="7"/>
  <c r="H1307" i="7"/>
  <c r="H1308" i="7"/>
  <c r="H1309" i="7"/>
  <c r="H1310" i="7"/>
  <c r="H1311" i="7"/>
  <c r="H1312" i="7"/>
  <c r="H1313" i="7"/>
  <c r="H1314" i="7"/>
  <c r="H1315" i="7"/>
  <c r="H1316" i="7"/>
  <c r="H1317" i="7"/>
  <c r="H1318" i="7"/>
  <c r="H1319" i="7"/>
  <c r="H1320" i="7"/>
  <c r="H1321" i="7"/>
  <c r="H1322" i="7"/>
  <c r="H1323" i="7"/>
  <c r="H1324" i="7"/>
  <c r="H1325" i="7"/>
  <c r="H1326" i="7"/>
  <c r="H1327" i="7"/>
  <c r="H1328" i="7"/>
  <c r="H1329" i="7"/>
  <c r="H1330" i="7"/>
  <c r="H1331" i="7"/>
  <c r="H1332" i="7"/>
  <c r="H1333" i="7"/>
  <c r="H1334" i="7"/>
  <c r="H1335" i="7"/>
  <c r="H1336" i="7"/>
  <c r="H1337" i="7"/>
  <c r="H1338" i="7"/>
  <c r="H1339" i="7"/>
  <c r="H1340" i="7"/>
  <c r="H1341" i="7"/>
  <c r="H1342" i="7"/>
  <c r="H1300" i="7"/>
  <c r="H1299" i="7"/>
  <c r="H1264" i="7"/>
  <c r="H1263" i="7"/>
  <c r="H1262" i="7"/>
  <c r="H1261" i="7"/>
  <c r="H1260" i="7"/>
  <c r="H1259" i="7"/>
  <c r="H1258" i="7"/>
  <c r="H1257" i="7"/>
  <c r="H1256" i="7"/>
  <c r="H1255" i="7"/>
  <c r="H1254" i="7"/>
  <c r="H1253" i="7"/>
  <c r="H1252" i="7"/>
  <c r="H1251" i="7"/>
  <c r="H1250" i="7"/>
  <c r="H1249" i="7"/>
  <c r="H1248" i="7"/>
  <c r="H1247" i="7"/>
  <c r="H1246" i="7"/>
  <c r="H1245" i="7"/>
  <c r="H1244" i="7"/>
  <c r="H1243" i="7"/>
  <c r="H1242" i="7"/>
  <c r="H1241" i="7"/>
  <c r="H1240" i="7"/>
  <c r="H1239" i="7"/>
  <c r="H1238" i="7"/>
  <c r="H1237" i="7"/>
  <c r="H1236" i="7"/>
  <c r="H1235" i="7"/>
  <c r="H1234" i="7"/>
  <c r="H1233" i="7"/>
  <c r="H1232" i="7"/>
  <c r="H1231" i="7"/>
  <c r="H1230" i="7"/>
  <c r="H1229" i="7"/>
  <c r="H1228" i="7"/>
  <c r="H1227" i="7"/>
  <c r="H1226" i="7"/>
  <c r="H1225" i="7"/>
  <c r="H1224" i="7"/>
  <c r="H1223" i="7"/>
  <c r="H1222" i="7"/>
  <c r="H1221" i="7"/>
  <c r="I139" i="104"/>
  <c r="I132" i="104"/>
  <c r="I110" i="104"/>
  <c r="I103" i="104"/>
  <c r="I101" i="104"/>
  <c r="I99" i="104"/>
  <c r="I98" i="104"/>
  <c r="I95" i="104"/>
  <c r="I94" i="104"/>
  <c r="I89" i="104"/>
  <c r="I82" i="104"/>
  <c r="I81" i="104"/>
  <c r="I77" i="104"/>
  <c r="I75" i="104"/>
  <c r="I71" i="104"/>
  <c r="I70" i="104"/>
  <c r="I64" i="104"/>
  <c r="I58" i="104"/>
  <c r="I43" i="104"/>
  <c r="I41" i="104"/>
  <c r="I32" i="104"/>
  <c r="I31" i="104"/>
  <c r="I21" i="104"/>
  <c r="I20" i="104"/>
  <c r="I18" i="104"/>
  <c r="I14" i="104"/>
  <c r="I135" i="104"/>
  <c r="I127" i="104"/>
  <c r="I123" i="104"/>
  <c r="I122" i="104"/>
  <c r="F120" i="104"/>
  <c r="F115" i="104"/>
  <c r="I109" i="104"/>
  <c r="I108" i="104"/>
  <c r="I105" i="104"/>
  <c r="I97" i="104"/>
  <c r="I93" i="104"/>
  <c r="I84" i="104"/>
  <c r="I83" i="104"/>
  <c r="I65" i="104"/>
  <c r="I63" i="104"/>
  <c r="I62" i="104"/>
  <c r="I61" i="104"/>
  <c r="I60" i="104"/>
  <c r="I59" i="104"/>
  <c r="I57" i="104"/>
  <c r="I51" i="104"/>
  <c r="I47" i="104"/>
  <c r="I45" i="104"/>
  <c r="F37" i="104"/>
  <c r="I37" i="104" s="1"/>
  <c r="I36" i="104"/>
  <c r="I30" i="104"/>
  <c r="I26" i="104"/>
  <c r="I25" i="104"/>
  <c r="I19" i="104"/>
  <c r="I13" i="104"/>
  <c r="I12" i="104"/>
  <c r="I119" i="103"/>
  <c r="I118" i="103"/>
  <c r="I117" i="103"/>
  <c r="I116" i="103"/>
  <c r="F80" i="103"/>
  <c r="F89" i="103" s="1"/>
  <c r="F72" i="103"/>
  <c r="F76" i="103" s="1"/>
  <c r="I61" i="103"/>
  <c r="I60" i="103"/>
  <c r="I59" i="103"/>
  <c r="I58" i="103"/>
  <c r="I52" i="103"/>
  <c r="I51" i="103"/>
  <c r="I50" i="103"/>
  <c r="I49" i="103"/>
  <c r="I44" i="103"/>
  <c r="I43" i="103"/>
  <c r="I42" i="103"/>
  <c r="I41" i="103"/>
  <c r="I36" i="103"/>
  <c r="I35" i="103"/>
  <c r="I34" i="103"/>
  <c r="I33" i="103"/>
  <c r="H4946" i="7" l="1"/>
  <c r="H4948" i="7" s="1"/>
  <c r="I11" i="104"/>
  <c r="I121" i="103"/>
  <c r="D151" i="101" l="1"/>
  <c r="G407" i="99" l="1"/>
  <c r="G28" i="95" l="1"/>
  <c r="G27" i="95"/>
  <c r="G31" i="95"/>
  <c r="G22" i="95"/>
  <c r="G15" i="95"/>
  <c r="G11" i="95"/>
  <c r="G30" i="95"/>
  <c r="G26" i="95"/>
  <c r="G14" i="95"/>
  <c r="G10" i="95"/>
  <c r="G20" i="95"/>
  <c r="G29" i="95"/>
  <c r="G21" i="95"/>
  <c r="G17" i="95"/>
  <c r="G13" i="95"/>
  <c r="G16" i="95"/>
  <c r="G12" i="95"/>
  <c r="G394" i="99"/>
  <c r="G23" i="95"/>
  <c r="G33" i="95" l="1"/>
  <c r="G34" i="95" s="1"/>
  <c r="C13" i="37" l="1"/>
  <c r="D13" i="37" l="1"/>
  <c r="G35" i="95"/>
  <c r="G36" i="95" s="1"/>
  <c r="F12" i="108"/>
  <c r="I12" i="108" s="1"/>
  <c r="F11" i="108"/>
  <c r="F10" i="108"/>
  <c r="J10" i="108" s="1"/>
  <c r="F9" i="108"/>
  <c r="F8" i="108"/>
  <c r="J8" i="108" s="1"/>
  <c r="F7" i="108"/>
  <c r="J7" i="108" s="1"/>
  <c r="D97" i="92"/>
  <c r="D57" i="92"/>
  <c r="D56" i="92"/>
  <c r="D55" i="92"/>
  <c r="D50" i="92"/>
  <c r="D47" i="92"/>
  <c r="D46" i="92"/>
  <c r="D45" i="92"/>
  <c r="D40" i="92"/>
  <c r="D39" i="92"/>
  <c r="D38" i="92"/>
  <c r="D33" i="92"/>
  <c r="D30" i="92"/>
  <c r="D29" i="92"/>
  <c r="D28" i="92"/>
  <c r="D23" i="92"/>
  <c r="D22" i="92"/>
  <c r="D21" i="92"/>
  <c r="D16" i="92"/>
  <c r="D13" i="92"/>
  <c r="D12" i="92"/>
  <c r="D11" i="92"/>
  <c r="G11" i="90"/>
  <c r="H11" i="90"/>
  <c r="G14" i="90"/>
  <c r="H14" i="90"/>
  <c r="G17" i="90"/>
  <c r="H17" i="90"/>
  <c r="G20" i="90"/>
  <c r="H20" i="90"/>
  <c r="G23" i="90"/>
  <c r="H23" i="90"/>
  <c r="H26" i="90"/>
  <c r="G29" i="90"/>
  <c r="H29" i="90"/>
  <c r="H35" i="90"/>
  <c r="G38" i="90"/>
  <c r="G42" i="90"/>
  <c r="G43" i="90"/>
  <c r="H43" i="90"/>
  <c r="H44" i="90"/>
  <c r="G45" i="90"/>
  <c r="H45" i="90"/>
  <c r="G46" i="90"/>
  <c r="H47" i="90"/>
  <c r="G48" i="90"/>
  <c r="H48" i="90"/>
  <c r="G49" i="90"/>
  <c r="H49" i="90"/>
  <c r="G50" i="90"/>
  <c r="G51" i="90"/>
  <c r="H51" i="90"/>
  <c r="H52" i="90"/>
  <c r="G53" i="90"/>
  <c r="H53" i="90"/>
  <c r="G54" i="90"/>
  <c r="G55" i="90"/>
  <c r="H55" i="90"/>
  <c r="G56" i="90"/>
  <c r="H56" i="90"/>
  <c r="G57" i="90"/>
  <c r="H57" i="90"/>
  <c r="G58" i="90"/>
  <c r="G59" i="90"/>
  <c r="H59" i="90"/>
  <c r="H60" i="90"/>
  <c r="G61" i="90"/>
  <c r="H61" i="90"/>
  <c r="G62" i="90"/>
  <c r="H63" i="90"/>
  <c r="H65" i="90"/>
  <c r="G67" i="90"/>
  <c r="H67" i="90"/>
  <c r="G68" i="90"/>
  <c r="H68" i="90"/>
  <c r="G71" i="90"/>
  <c r="H71" i="90"/>
  <c r="G72" i="90"/>
  <c r="H72" i="90"/>
  <c r="G79" i="90"/>
  <c r="G87" i="90"/>
  <c r="H87" i="90"/>
  <c r="G95" i="90"/>
  <c r="H95" i="90"/>
  <c r="G103" i="90"/>
  <c r="H103" i="90"/>
  <c r="G111" i="90"/>
  <c r="G119" i="90"/>
  <c r="H119" i="90"/>
  <c r="G127" i="90"/>
  <c r="H127" i="90"/>
  <c r="H135" i="90"/>
  <c r="G143" i="90"/>
  <c r="G151" i="90"/>
  <c r="H151" i="90"/>
  <c r="G159" i="90"/>
  <c r="H159" i="90"/>
  <c r="G166" i="90"/>
  <c r="H166" i="90"/>
  <c r="G173" i="90"/>
  <c r="H173" i="90"/>
  <c r="G180" i="90"/>
  <c r="H180" i="90"/>
  <c r="G188" i="90"/>
  <c r="H188" i="90"/>
  <c r="G195" i="90"/>
  <c r="G203" i="90"/>
  <c r="H203" i="90"/>
  <c r="H204" i="90"/>
  <c r="H205" i="90"/>
  <c r="G206" i="90"/>
  <c r="G207" i="90"/>
  <c r="H207" i="90"/>
  <c r="G208" i="90"/>
  <c r="H208" i="90"/>
  <c r="H209" i="90"/>
  <c r="G211" i="90"/>
  <c r="G212" i="90"/>
  <c r="H212" i="90"/>
  <c r="G222" i="90"/>
  <c r="H222" i="90"/>
  <c r="G223" i="90"/>
  <c r="H223" i="90"/>
  <c r="G224" i="90"/>
  <c r="H224" i="90"/>
  <c r="G225" i="90"/>
  <c r="H225" i="90"/>
  <c r="G226" i="90"/>
  <c r="H226" i="90"/>
  <c r="G227" i="90"/>
  <c r="H227" i="90"/>
  <c r="G228" i="90"/>
  <c r="H228" i="90"/>
  <c r="G230" i="90"/>
  <c r="H230" i="90"/>
  <c r="G231" i="90"/>
  <c r="H231" i="90"/>
  <c r="G232" i="90"/>
  <c r="H232" i="90"/>
  <c r="G238" i="90"/>
  <c r="H238" i="90"/>
  <c r="H239" i="90"/>
  <c r="G241" i="90"/>
  <c r="H241" i="90"/>
  <c r="H242" i="90"/>
  <c r="G245" i="90"/>
  <c r="G249" i="90"/>
  <c r="H250" i="90"/>
  <c r="G251" i="90"/>
  <c r="H251" i="90"/>
  <c r="G252" i="90"/>
  <c r="G253" i="90"/>
  <c r="H254" i="90"/>
  <c r="G255" i="90"/>
  <c r="H255" i="90"/>
  <c r="G256" i="90"/>
  <c r="G257" i="90"/>
  <c r="H258" i="90"/>
  <c r="G260" i="90"/>
  <c r="H260" i="90"/>
  <c r="G264" i="90"/>
  <c r="H264" i="90"/>
  <c r="G265" i="90"/>
  <c r="H265" i="90"/>
  <c r="G266" i="90"/>
  <c r="H266" i="90"/>
  <c r="G267" i="90"/>
  <c r="H267" i="90"/>
  <c r="G268" i="90"/>
  <c r="H268" i="90"/>
  <c r="G269" i="90"/>
  <c r="H269" i="90"/>
  <c r="G270" i="90"/>
  <c r="H270" i="90"/>
  <c r="G271" i="90"/>
  <c r="H271" i="90"/>
  <c r="G272" i="90"/>
  <c r="H272" i="90"/>
  <c r="G273" i="90"/>
  <c r="H273" i="90"/>
  <c r="G274" i="90"/>
  <c r="H274" i="90"/>
  <c r="G278" i="90"/>
  <c r="H278" i="90"/>
  <c r="H279" i="90"/>
  <c r="G280" i="90"/>
  <c r="H280" i="90"/>
  <c r="G281" i="90"/>
  <c r="H281" i="90"/>
  <c r="G282" i="90"/>
  <c r="H282" i="90"/>
  <c r="H284" i="90"/>
  <c r="G285" i="90"/>
  <c r="H285" i="90"/>
  <c r="G289" i="90"/>
  <c r="H289" i="90"/>
  <c r="H290" i="90"/>
  <c r="G291" i="90"/>
  <c r="H291" i="90"/>
  <c r="G292" i="90"/>
  <c r="H292" i="90"/>
  <c r="G293" i="90"/>
  <c r="H293" i="90"/>
  <c r="G294" i="90"/>
  <c r="H294" i="90"/>
  <c r="G295" i="90"/>
  <c r="H295" i="90"/>
  <c r="G296" i="90"/>
  <c r="G297" i="90"/>
  <c r="H297" i="90"/>
  <c r="G298" i="90"/>
  <c r="H298" i="90"/>
  <c r="G299" i="90"/>
  <c r="H299" i="90"/>
  <c r="G306" i="90"/>
  <c r="H306" i="90"/>
  <c r="G307" i="90"/>
  <c r="H307" i="90"/>
  <c r="G308" i="90"/>
  <c r="H308" i="90"/>
  <c r="G309" i="90"/>
  <c r="H310" i="90"/>
  <c r="G311" i="90"/>
  <c r="H311" i="90"/>
  <c r="G312" i="90"/>
  <c r="H312" i="90"/>
  <c r="G313" i="90"/>
  <c r="G314" i="90"/>
  <c r="H314" i="90"/>
  <c r="G315" i="90"/>
  <c r="H315" i="90"/>
  <c r="G316" i="90"/>
  <c r="H316" i="90"/>
  <c r="G317" i="90"/>
  <c r="G318" i="90"/>
  <c r="H318" i="90"/>
  <c r="G319" i="90"/>
  <c r="H319" i="90"/>
  <c r="G320" i="90"/>
  <c r="H320" i="90"/>
  <c r="G321" i="90"/>
  <c r="G322" i="90"/>
  <c r="H322" i="90"/>
  <c r="G323" i="90"/>
  <c r="H323" i="90"/>
  <c r="G324" i="90"/>
  <c r="H324" i="90"/>
  <c r="G325" i="90"/>
  <c r="H325" i="90"/>
  <c r="G326" i="90"/>
  <c r="H326" i="90"/>
  <c r="G327" i="90"/>
  <c r="H327" i="90"/>
  <c r="H329" i="90"/>
  <c r="G330" i="90"/>
  <c r="H330" i="90"/>
  <c r="G331" i="90"/>
  <c r="H331" i="90"/>
  <c r="G333" i="90"/>
  <c r="H333" i="90"/>
  <c r="G335" i="90"/>
  <c r="H335" i="90"/>
  <c r="G336" i="90"/>
  <c r="H336" i="90"/>
  <c r="G337" i="90"/>
  <c r="H337" i="90"/>
  <c r="H338" i="90"/>
  <c r="G340" i="90"/>
  <c r="H340" i="90"/>
  <c r="G341" i="90"/>
  <c r="H341" i="90"/>
  <c r="G342" i="90"/>
  <c r="H342" i="90"/>
  <c r="G343" i="90"/>
  <c r="G344" i="90"/>
  <c r="H344" i="90"/>
  <c r="G345" i="90"/>
  <c r="H345" i="90"/>
  <c r="G346" i="90"/>
  <c r="H346" i="90"/>
  <c r="G358" i="90"/>
  <c r="H360" i="90"/>
  <c r="G361" i="90"/>
  <c r="H361" i="90"/>
  <c r="G362" i="90"/>
  <c r="G363" i="90"/>
  <c r="H364" i="90"/>
  <c r="G371" i="90"/>
  <c r="H371" i="90"/>
  <c r="G373" i="90"/>
  <c r="H373" i="90"/>
  <c r="G375" i="90"/>
  <c r="H375" i="90"/>
  <c r="G376" i="90"/>
  <c r="H376" i="90"/>
  <c r="G385" i="90"/>
  <c r="H385" i="90"/>
  <c r="G387" i="90"/>
  <c r="H387" i="90"/>
  <c r="G393" i="90"/>
  <c r="H393" i="90"/>
  <c r="G394" i="90"/>
  <c r="H394" i="90"/>
  <c r="G395" i="90"/>
  <c r="G396" i="90"/>
  <c r="H396" i="90"/>
  <c r="G397" i="90"/>
  <c r="H397" i="90"/>
  <c r="G398" i="90"/>
  <c r="H398" i="90"/>
  <c r="G407" i="90"/>
  <c r="H407" i="90"/>
  <c r="G408" i="90"/>
  <c r="H408" i="90"/>
  <c r="G409" i="90"/>
  <c r="H409" i="90"/>
  <c r="G410" i="90"/>
  <c r="H410" i="90"/>
  <c r="G411" i="90"/>
  <c r="H411" i="90"/>
  <c r="G412" i="90"/>
  <c r="H412" i="90"/>
  <c r="G417" i="90"/>
  <c r="H417" i="90"/>
  <c r="G418" i="90"/>
  <c r="H418" i="90"/>
  <c r="H419" i="90"/>
  <c r="G420" i="90"/>
  <c r="H420" i="90"/>
  <c r="G421" i="90"/>
  <c r="H421" i="90"/>
  <c r="G422" i="90"/>
  <c r="H422" i="90"/>
  <c r="G423" i="90"/>
  <c r="G427" i="90"/>
  <c r="H427" i="90"/>
  <c r="G428" i="90"/>
  <c r="H428" i="90"/>
  <c r="G429" i="90"/>
  <c r="H429" i="90"/>
  <c r="G430" i="90"/>
  <c r="G431" i="90"/>
  <c r="G432" i="90"/>
  <c r="H432" i="90"/>
  <c r="G433" i="90"/>
  <c r="H433" i="90"/>
  <c r="G436" i="90"/>
  <c r="H436" i="90"/>
  <c r="G443" i="90"/>
  <c r="H443" i="90"/>
  <c r="G444" i="90"/>
  <c r="H444" i="90"/>
  <c r="H445" i="90"/>
  <c r="G446" i="90"/>
  <c r="G448" i="90"/>
  <c r="G449" i="90"/>
  <c r="H449" i="90"/>
  <c r="G450" i="90"/>
  <c r="H450" i="90"/>
  <c r="G451" i="90"/>
  <c r="H452" i="90"/>
  <c r="H453" i="90"/>
  <c r="G455" i="90"/>
  <c r="H455" i="90"/>
  <c r="H456" i="90"/>
  <c r="G457" i="90"/>
  <c r="H457" i="90"/>
  <c r="G459" i="90"/>
  <c r="H459" i="90"/>
  <c r="G460" i="90"/>
  <c r="H460" i="90"/>
  <c r="G461" i="90"/>
  <c r="H461" i="90"/>
  <c r="G462" i="90"/>
  <c r="H462" i="90"/>
  <c r="G465" i="90"/>
  <c r="H465" i="90"/>
  <c r="G466" i="90"/>
  <c r="H466" i="90"/>
  <c r="G467" i="90"/>
  <c r="H467" i="90"/>
  <c r="G474" i="90"/>
  <c r="H474" i="90"/>
  <c r="G475" i="90"/>
  <c r="H475" i="90"/>
  <c r="H476" i="90"/>
  <c r="G481" i="90"/>
  <c r="H481" i="90"/>
  <c r="G482" i="90"/>
  <c r="H482" i="90"/>
  <c r="G483" i="90"/>
  <c r="H483" i="90"/>
  <c r="H488" i="90"/>
  <c r="G489" i="90"/>
  <c r="H489" i="90"/>
  <c r="G490" i="90"/>
  <c r="H490" i="90"/>
  <c r="G496" i="90"/>
  <c r="H496" i="90"/>
  <c r="G497" i="90"/>
  <c r="H497" i="90"/>
  <c r="G503" i="90"/>
  <c r="H503" i="90"/>
  <c r="G504" i="90"/>
  <c r="H504" i="90"/>
  <c r="G505" i="90"/>
  <c r="H505" i="90"/>
  <c r="G506" i="90"/>
  <c r="H506" i="90"/>
  <c r="G507" i="90"/>
  <c r="H507" i="90"/>
  <c r="G508" i="90"/>
  <c r="H508" i="90"/>
  <c r="G509" i="90"/>
  <c r="H509" i="90"/>
  <c r="G511" i="90"/>
  <c r="H511" i="90"/>
  <c r="G512" i="90"/>
  <c r="H512" i="90"/>
  <c r="G513" i="90"/>
  <c r="H513" i="90"/>
  <c r="G514" i="90"/>
  <c r="G488" i="90"/>
  <c r="H487" i="90"/>
  <c r="G487" i="90"/>
  <c r="H486" i="90"/>
  <c r="G486" i="90"/>
  <c r="H485" i="90"/>
  <c r="G485" i="90"/>
  <c r="H484" i="90"/>
  <c r="G484" i="90"/>
  <c r="H480" i="90"/>
  <c r="G480" i="90"/>
  <c r="H479" i="90"/>
  <c r="G479" i="90"/>
  <c r="H478" i="90"/>
  <c r="G478" i="90"/>
  <c r="H477" i="90"/>
  <c r="G477" i="90"/>
  <c r="G476" i="90"/>
  <c r="H473" i="90"/>
  <c r="G473" i="90"/>
  <c r="H472" i="90"/>
  <c r="G472" i="90"/>
  <c r="H471" i="90"/>
  <c r="G471" i="90"/>
  <c r="H470" i="90"/>
  <c r="G470" i="90"/>
  <c r="H468" i="90"/>
  <c r="G468" i="90"/>
  <c r="H464" i="90"/>
  <c r="G464" i="90"/>
  <c r="H463" i="90"/>
  <c r="G463" i="90"/>
  <c r="G456" i="90"/>
  <c r="G453" i="90"/>
  <c r="G452" i="90"/>
  <c r="H451" i="90"/>
  <c r="H448" i="90"/>
  <c r="H447" i="90"/>
  <c r="G447" i="90"/>
  <c r="H446" i="90"/>
  <c r="G445" i="90"/>
  <c r="H431" i="90"/>
  <c r="H430" i="90"/>
  <c r="H423" i="90"/>
  <c r="G419" i="90"/>
  <c r="H395" i="90"/>
  <c r="H386" i="90"/>
  <c r="G386" i="90"/>
  <c r="G364" i="90"/>
  <c r="H363" i="90"/>
  <c r="H362" i="90"/>
  <c r="G360" i="90"/>
  <c r="H359" i="90"/>
  <c r="G359" i="90"/>
  <c r="H358" i="90"/>
  <c r="H343" i="90"/>
  <c r="G338" i="90"/>
  <c r="H334" i="90"/>
  <c r="G334" i="90"/>
  <c r="G329" i="90"/>
  <c r="H321" i="90"/>
  <c r="H317" i="90"/>
  <c r="H313" i="90"/>
  <c r="G310" i="90"/>
  <c r="H309" i="90"/>
  <c r="H296" i="90"/>
  <c r="G290" i="90"/>
  <c r="G284" i="90"/>
  <c r="G279" i="90"/>
  <c r="G258" i="90"/>
  <c r="H257" i="90"/>
  <c r="H256" i="90"/>
  <c r="G254" i="90"/>
  <c r="H253" i="90"/>
  <c r="H252" i="90"/>
  <c r="G250" i="90"/>
  <c r="H249" i="90"/>
  <c r="H246" i="90"/>
  <c r="G246" i="90"/>
  <c r="H245" i="90"/>
  <c r="H240" i="90"/>
  <c r="G239" i="90"/>
  <c r="H211" i="90"/>
  <c r="G209" i="90"/>
  <c r="H206" i="90"/>
  <c r="G205" i="90"/>
  <c r="G204" i="90"/>
  <c r="H195" i="90"/>
  <c r="H143" i="90"/>
  <c r="G135" i="90"/>
  <c r="H111" i="90"/>
  <c r="H79" i="90"/>
  <c r="H66" i="90"/>
  <c r="G66" i="90"/>
  <c r="G65" i="90"/>
  <c r="G63" i="90"/>
  <c r="H62" i="90"/>
  <c r="G60" i="90"/>
  <c r="H58" i="90"/>
  <c r="H54" i="90"/>
  <c r="G52" i="90"/>
  <c r="H50" i="90"/>
  <c r="G47" i="90"/>
  <c r="H46" i="90"/>
  <c r="G44" i="90"/>
  <c r="H42" i="90"/>
  <c r="H38" i="90"/>
  <c r="G35" i="90"/>
  <c r="G26" i="90"/>
  <c r="J12" i="108" l="1"/>
  <c r="I7" i="108"/>
  <c r="J11" i="108"/>
  <c r="H244" i="90"/>
  <c r="H499" i="90"/>
  <c r="D17" i="89" s="1"/>
  <c r="J9" i="108"/>
  <c r="I11" i="108"/>
  <c r="I8" i="108"/>
  <c r="I9" i="108"/>
  <c r="I10" i="108"/>
  <c r="H515" i="90"/>
  <c r="D18" i="89" s="1"/>
  <c r="G515" i="90"/>
  <c r="C18" i="89" s="1"/>
  <c r="G499" i="90"/>
  <c r="C17" i="89" s="1"/>
  <c r="H492" i="90"/>
  <c r="D16" i="89" s="1"/>
  <c r="G492" i="90"/>
  <c r="C16" i="89" s="1"/>
  <c r="G458" i="90"/>
  <c r="H454" i="90"/>
  <c r="H439" i="90"/>
  <c r="D14" i="89" s="1"/>
  <c r="G439" i="90"/>
  <c r="C14" i="89" s="1"/>
  <c r="G378" i="90"/>
  <c r="C13" i="89" s="1"/>
  <c r="H378" i="90"/>
  <c r="D13" i="89" s="1"/>
  <c r="H366" i="90"/>
  <c r="D12" i="89" s="1"/>
  <c r="G366" i="90"/>
  <c r="C12" i="89" s="1"/>
  <c r="H348" i="90"/>
  <c r="D11" i="89" s="1"/>
  <c r="G348" i="90"/>
  <c r="C11" i="89" s="1"/>
  <c r="G242" i="90"/>
  <c r="G229" i="90"/>
  <c r="H214" i="90"/>
  <c r="D9" i="89" s="1"/>
  <c r="G214" i="90"/>
  <c r="C9" i="89" s="1"/>
  <c r="H74" i="90"/>
  <c r="D8" i="89" s="1"/>
  <c r="G74" i="90"/>
  <c r="C8" i="89" s="1"/>
  <c r="G240" i="90"/>
  <c r="G244" i="90"/>
  <c r="H458" i="90"/>
  <c r="H229" i="90"/>
  <c r="H301" i="90" s="1"/>
  <c r="D10" i="89" s="1"/>
  <c r="G454" i="90"/>
  <c r="J13" i="108" l="1"/>
  <c r="D29" i="89" s="1"/>
  <c r="H469" i="90"/>
  <c r="D15" i="89" s="1"/>
  <c r="D20" i="89" s="1"/>
  <c r="G469" i="90"/>
  <c r="C15" i="89" s="1"/>
  <c r="I13" i="108"/>
  <c r="C29" i="89" s="1"/>
  <c r="G301" i="90"/>
  <c r="C10" i="89" s="1"/>
  <c r="C20" i="89" l="1"/>
  <c r="H1109" i="7"/>
  <c r="G7" i="107" l="1"/>
  <c r="G4" i="107"/>
  <c r="G94" i="2" l="1"/>
  <c r="G5" i="107"/>
  <c r="G9" i="107" s="1"/>
  <c r="C15" i="1" s="1"/>
  <c r="A80" i="70" l="1"/>
  <c r="H5185" i="7"/>
  <c r="H5184" i="7"/>
  <c r="H5182" i="7"/>
  <c r="H5181" i="7"/>
  <c r="H5179" i="7"/>
  <c r="H5178" i="7"/>
  <c r="H5176" i="7"/>
  <c r="H5175" i="7"/>
  <c r="H5183" i="7"/>
  <c r="H5180" i="7"/>
  <c r="H5177" i="7"/>
  <c r="H5174" i="7"/>
  <c r="H5169" i="7"/>
  <c r="H5173" i="7"/>
  <c r="H5172" i="7"/>
  <c r="H5171" i="7"/>
  <c r="H5170" i="7"/>
  <c r="H5168" i="7"/>
  <c r="H5167" i="7"/>
  <c r="A39" i="70"/>
  <c r="B64" i="70"/>
  <c r="B63" i="70"/>
  <c r="F80" i="70" l="1"/>
  <c r="H5187" i="7"/>
  <c r="H5002" i="7"/>
  <c r="H5003" i="7"/>
  <c r="H5004" i="7"/>
  <c r="H5005" i="7"/>
  <c r="H5006" i="7"/>
  <c r="H5007" i="7"/>
  <c r="H5008" i="7"/>
  <c r="H5001" i="7"/>
  <c r="H4987" i="7"/>
  <c r="H4988" i="7"/>
  <c r="H4989" i="7"/>
  <c r="H4990" i="7"/>
  <c r="H4991" i="7"/>
  <c r="H4992" i="7"/>
  <c r="H4993" i="7"/>
  <c r="H4994" i="7"/>
  <c r="H4995" i="7"/>
  <c r="H4996" i="7"/>
  <c r="H4997" i="7"/>
  <c r="H4998" i="7"/>
  <c r="H4999" i="7"/>
  <c r="H4986" i="7"/>
  <c r="H4978" i="7"/>
  <c r="H4977" i="7"/>
  <c r="H4969" i="7"/>
  <c r="H4968" i="7"/>
  <c r="H4926" i="7"/>
  <c r="H4925" i="7"/>
  <c r="H4960" i="7"/>
  <c r="H4959" i="7"/>
  <c r="H4958" i="7"/>
  <c r="H4957" i="7"/>
  <c r="H4956" i="7"/>
  <c r="H4955" i="7"/>
  <c r="H4954" i="7"/>
  <c r="H4953" i="7"/>
  <c r="H4952" i="7"/>
  <c r="H4951" i="7"/>
  <c r="H4917" i="7"/>
  <c r="H4916" i="7"/>
  <c r="H4915" i="7"/>
  <c r="H4914" i="7"/>
  <c r="H4913" i="7"/>
  <c r="H4912" i="7"/>
  <c r="H4911" i="7"/>
  <c r="H4910" i="7"/>
  <c r="H4909" i="7"/>
  <c r="H4908" i="7"/>
  <c r="H4907" i="7"/>
  <c r="H4906" i="7"/>
  <c r="H4905" i="7"/>
  <c r="H4904" i="7"/>
  <c r="H4903" i="7"/>
  <c r="H4902" i="7"/>
  <c r="H4901" i="7"/>
  <c r="H4900" i="7"/>
  <c r="H4899" i="7"/>
  <c r="H4898" i="7"/>
  <c r="H4897" i="7"/>
  <c r="H4896" i="7"/>
  <c r="H4895" i="7"/>
  <c r="H4894" i="7"/>
  <c r="H4893" i="7"/>
  <c r="H4892" i="7"/>
  <c r="H4891" i="7"/>
  <c r="H4890" i="7"/>
  <c r="H4889" i="7"/>
  <c r="H4888" i="7"/>
  <c r="H4887" i="7"/>
  <c r="H4886" i="7"/>
  <c r="H4885" i="7"/>
  <c r="H4884" i="7"/>
  <c r="H4883" i="7"/>
  <c r="H4882" i="7"/>
  <c r="H4881" i="7"/>
  <c r="H4880" i="7"/>
  <c r="H4879" i="7"/>
  <c r="H4878" i="7"/>
  <c r="H4877" i="7"/>
  <c r="H4876" i="7"/>
  <c r="H4875" i="7"/>
  <c r="H4874" i="7"/>
  <c r="H4873" i="7"/>
  <c r="H4872" i="7"/>
  <c r="H4871" i="7"/>
  <c r="H4870" i="7"/>
  <c r="H4869" i="7"/>
  <c r="H4868" i="7"/>
  <c r="H4867" i="7"/>
  <c r="H4866" i="7"/>
  <c r="H4865" i="7"/>
  <c r="H4864" i="7"/>
  <c r="H4863" i="7"/>
  <c r="H4859" i="7"/>
  <c r="H4862" i="7"/>
  <c r="H4861" i="7"/>
  <c r="H4860" i="7"/>
  <c r="H4858" i="7"/>
  <c r="H4857" i="7"/>
  <c r="H4856" i="7"/>
  <c r="H4855" i="7"/>
  <c r="H4854" i="7"/>
  <c r="H4853" i="7"/>
  <c r="H4852" i="7"/>
  <c r="H4851" i="7"/>
  <c r="H4850" i="7"/>
  <c r="H4849" i="7"/>
  <c r="H4848" i="7"/>
  <c r="H4847" i="7"/>
  <c r="H4846" i="7"/>
  <c r="H4845" i="7"/>
  <c r="H4844" i="7"/>
  <c r="H4843" i="7"/>
  <c r="H4842" i="7"/>
  <c r="H4841" i="7"/>
  <c r="H4840" i="7"/>
  <c r="H4839" i="7"/>
  <c r="H4838" i="7"/>
  <c r="H4837" i="7"/>
  <c r="H4836" i="7"/>
  <c r="H4835" i="7"/>
  <c r="H4834" i="7"/>
  <c r="H4833" i="7"/>
  <c r="H4832" i="7"/>
  <c r="H4831" i="7"/>
  <c r="H4830" i="7"/>
  <c r="H4827" i="7"/>
  <c r="H4828" i="7"/>
  <c r="H4829" i="7"/>
  <c r="H4826" i="7"/>
  <c r="H4825" i="7"/>
  <c r="H4824" i="7"/>
  <c r="H4823" i="7"/>
  <c r="H4822" i="7"/>
  <c r="H4821" i="7"/>
  <c r="H4820" i="7"/>
  <c r="H4819" i="7"/>
  <c r="H4818" i="7"/>
  <c r="H4817" i="7"/>
  <c r="H4816" i="7"/>
  <c r="H4815" i="7"/>
  <c r="H4814" i="7"/>
  <c r="H4813" i="7"/>
  <c r="H4812" i="7"/>
  <c r="H4811" i="7"/>
  <c r="H4810" i="7"/>
  <c r="H4809" i="7"/>
  <c r="H4808" i="7"/>
  <c r="H4807" i="7"/>
  <c r="H4806" i="7"/>
  <c r="H4805" i="7"/>
  <c r="H4804" i="7"/>
  <c r="H4803" i="7"/>
  <c r="H4802" i="7"/>
  <c r="H4801" i="7"/>
  <c r="H4800" i="7"/>
  <c r="H4799" i="7"/>
  <c r="H4798" i="7"/>
  <c r="H4797" i="7"/>
  <c r="H4796" i="7"/>
  <c r="H4795" i="7"/>
  <c r="H4794" i="7"/>
  <c r="H4793" i="7"/>
  <c r="H4792" i="7"/>
  <c r="H4791" i="7"/>
  <c r="H4790" i="7"/>
  <c r="H4789" i="7"/>
  <c r="H4788" i="7"/>
  <c r="H4787" i="7"/>
  <c r="H4786" i="7"/>
  <c r="E4783" i="7"/>
  <c r="D4783" i="7"/>
  <c r="H4785" i="7"/>
  <c r="H4784" i="7"/>
  <c r="H4782" i="7"/>
  <c r="H4781" i="7"/>
  <c r="H4780" i="7"/>
  <c r="H4779" i="7"/>
  <c r="H4778" i="7"/>
  <c r="H4777" i="7"/>
  <c r="H4776" i="7"/>
  <c r="H4775" i="7"/>
  <c r="H4774" i="7"/>
  <c r="H4773" i="7"/>
  <c r="H4772" i="7"/>
  <c r="H4771" i="7"/>
  <c r="H4770" i="7"/>
  <c r="H4769" i="7"/>
  <c r="H4768" i="7"/>
  <c r="H4767" i="7"/>
  <c r="H4766" i="7"/>
  <c r="H4765" i="7"/>
  <c r="H4764" i="7"/>
  <c r="H4763" i="7"/>
  <c r="H4762" i="7"/>
  <c r="H4761" i="7"/>
  <c r="H4760" i="7"/>
  <c r="H4759" i="7"/>
  <c r="H4758" i="7"/>
  <c r="H4757" i="7"/>
  <c r="H4756" i="7"/>
  <c r="H4755" i="7"/>
  <c r="H4754" i="7"/>
  <c r="H4753" i="7"/>
  <c r="H4752" i="7"/>
  <c r="H4751" i="7"/>
  <c r="H4750" i="7"/>
  <c r="H4749" i="7"/>
  <c r="H4748" i="7"/>
  <c r="H4747" i="7"/>
  <c r="H4746" i="7"/>
  <c r="H4745" i="7"/>
  <c r="H4744" i="7"/>
  <c r="H4743" i="7"/>
  <c r="H4742" i="7"/>
  <c r="H4741" i="7"/>
  <c r="H4740" i="7"/>
  <c r="H4739" i="7"/>
  <c r="H4738" i="7"/>
  <c r="H4737" i="7"/>
  <c r="H4736" i="7"/>
  <c r="H4735" i="7"/>
  <c r="H4734" i="7"/>
  <c r="H4733" i="7"/>
  <c r="H4732" i="7"/>
  <c r="H4731" i="7"/>
  <c r="H4730" i="7"/>
  <c r="H4729" i="7"/>
  <c r="H4728" i="7"/>
  <c r="H4727" i="7"/>
  <c r="H4726" i="7"/>
  <c r="H4725" i="7"/>
  <c r="H4724" i="7"/>
  <c r="H4723" i="7"/>
  <c r="H4722" i="7"/>
  <c r="H4721" i="7"/>
  <c r="H4720" i="7"/>
  <c r="H4719" i="7"/>
  <c r="H4718" i="7"/>
  <c r="H4717" i="7"/>
  <c r="H4716" i="7"/>
  <c r="H4715" i="7"/>
  <c r="H4714" i="7"/>
  <c r="H4713" i="7"/>
  <c r="H4712" i="7"/>
  <c r="H4711" i="7"/>
  <c r="H4710" i="7"/>
  <c r="H4709" i="7"/>
  <c r="H4708" i="7"/>
  <c r="H4707" i="7"/>
  <c r="H4706" i="7"/>
  <c r="H4705" i="7"/>
  <c r="H4704" i="7"/>
  <c r="H4703" i="7"/>
  <c r="H4702" i="7"/>
  <c r="H4701" i="7"/>
  <c r="H4700" i="7"/>
  <c r="H4699" i="7"/>
  <c r="H4698" i="7"/>
  <c r="H4697" i="7"/>
  <c r="H4696" i="7"/>
  <c r="H4695" i="7"/>
  <c r="H4694" i="7"/>
  <c r="H4693" i="7"/>
  <c r="H4692" i="7"/>
  <c r="H4691" i="7"/>
  <c r="H4690" i="7"/>
  <c r="H4689" i="7"/>
  <c r="H4687" i="7"/>
  <c r="H4688" i="7"/>
  <c r="H4686" i="7"/>
  <c r="H4685" i="7"/>
  <c r="H4684" i="7"/>
  <c r="H4683" i="7"/>
  <c r="H4682" i="7"/>
  <c r="H4681" i="7"/>
  <c r="H4680" i="7"/>
  <c r="H4679" i="7"/>
  <c r="H4678" i="7"/>
  <c r="H4677" i="7"/>
  <c r="H4676" i="7"/>
  <c r="H4675" i="7"/>
  <c r="H4674" i="7"/>
  <c r="H4673" i="7"/>
  <c r="H4672" i="7"/>
  <c r="H4671" i="7"/>
  <c r="H4670" i="7"/>
  <c r="H4669" i="7"/>
  <c r="H4668" i="7"/>
  <c r="H4667" i="7"/>
  <c r="H4666" i="7"/>
  <c r="H4665" i="7"/>
  <c r="H4663" i="7"/>
  <c r="H4664" i="7"/>
  <c r="H4662" i="7"/>
  <c r="H4660" i="7"/>
  <c r="H4661" i="7"/>
  <c r="H4658" i="7"/>
  <c r="H4650" i="7"/>
  <c r="H4649" i="7"/>
  <c r="H4648" i="7"/>
  <c r="H4647" i="7"/>
  <c r="H4646" i="7"/>
  <c r="H4645" i="7"/>
  <c r="H4644" i="7"/>
  <c r="H4643" i="7"/>
  <c r="H4642" i="7"/>
  <c r="H4641" i="7"/>
  <c r="H4640" i="7"/>
  <c r="H4639" i="7"/>
  <c r="H4628" i="7"/>
  <c r="H4627" i="7"/>
  <c r="H4626" i="7"/>
  <c r="H4625" i="7"/>
  <c r="H4624" i="7"/>
  <c r="H4623" i="7"/>
  <c r="H4622" i="7"/>
  <c r="H4621" i="7"/>
  <c r="H4620" i="7"/>
  <c r="H4619" i="7"/>
  <c r="H4618" i="7"/>
  <c r="H4617" i="7"/>
  <c r="F4616" i="7"/>
  <c r="F4615" i="7"/>
  <c r="E4613" i="7"/>
  <c r="H4613" i="7" s="1"/>
  <c r="F4612" i="7"/>
  <c r="H4612" i="7" s="1"/>
  <c r="F4611" i="7"/>
  <c r="H4611" i="7" s="1"/>
  <c r="F4610" i="7"/>
  <c r="H4610" i="7" s="1"/>
  <c r="H4609" i="7"/>
  <c r="H4608" i="7"/>
  <c r="H4607" i="7"/>
  <c r="H4606" i="7"/>
  <c r="H4601" i="7"/>
  <c r="H4605" i="7"/>
  <c r="H4604" i="7"/>
  <c r="H4603" i="7"/>
  <c r="H4602" i="7"/>
  <c r="H4600" i="7"/>
  <c r="H4598" i="7"/>
  <c r="H4597" i="7"/>
  <c r="H4596" i="7"/>
  <c r="H4595" i="7"/>
  <c r="H4594" i="7"/>
  <c r="H4593" i="7"/>
  <c r="H4592" i="7"/>
  <c r="H4591" i="7"/>
  <c r="H4590" i="7"/>
  <c r="H4589" i="7"/>
  <c r="H4588" i="7"/>
  <c r="H4587" i="7"/>
  <c r="H4586" i="7"/>
  <c r="H4585" i="7"/>
  <c r="H4584" i="7"/>
  <c r="H4583" i="7"/>
  <c r="H4582" i="7"/>
  <c r="H4581" i="7"/>
  <c r="H4580" i="7"/>
  <c r="H4579" i="7"/>
  <c r="H4578" i="7"/>
  <c r="H4577" i="7"/>
  <c r="H4576" i="7"/>
  <c r="H4575" i="7"/>
  <c r="H4574" i="7"/>
  <c r="H4573" i="7"/>
  <c r="H4572" i="7"/>
  <c r="H4571" i="7"/>
  <c r="H4570" i="7"/>
  <c r="H4569" i="7"/>
  <c r="H4568" i="7"/>
  <c r="H4566" i="7"/>
  <c r="H4567" i="7"/>
  <c r="H4565" i="7"/>
  <c r="H4564" i="7"/>
  <c r="H4563" i="7"/>
  <c r="H4562" i="7"/>
  <c r="H4561" i="7"/>
  <c r="H4560" i="7"/>
  <c r="H4559" i="7"/>
  <c r="H4558" i="7"/>
  <c r="H4557" i="7"/>
  <c r="H4556" i="7"/>
  <c r="H4555" i="7"/>
  <c r="H4553" i="7"/>
  <c r="H4552" i="7"/>
  <c r="H4551" i="7"/>
  <c r="H4550" i="7"/>
  <c r="H4548" i="7"/>
  <c r="H4547" i="7"/>
  <c r="H4546" i="7"/>
  <c r="E4462" i="7"/>
  <c r="H4462" i="7" s="1"/>
  <c r="H4461" i="7"/>
  <c r="H4538" i="7"/>
  <c r="H4537" i="7"/>
  <c r="H4536" i="7"/>
  <c r="E4535" i="7"/>
  <c r="H4535" i="7" s="1"/>
  <c r="H4534" i="7"/>
  <c r="H4533" i="7"/>
  <c r="H4532" i="7"/>
  <c r="H4531" i="7"/>
  <c r="H4530" i="7"/>
  <c r="H4529" i="7"/>
  <c r="H4528" i="7"/>
  <c r="H4527" i="7"/>
  <c r="H4526" i="7"/>
  <c r="H4525" i="7"/>
  <c r="H4524" i="7"/>
  <c r="H4523" i="7"/>
  <c r="H4522" i="7"/>
  <c r="H4521" i="7"/>
  <c r="H4518" i="7"/>
  <c r="H4520" i="7"/>
  <c r="H4519" i="7"/>
  <c r="H4517" i="7"/>
  <c r="H4516" i="7"/>
  <c r="H4515" i="7"/>
  <c r="H4514" i="7"/>
  <c r="H4513" i="7"/>
  <c r="H4512" i="7"/>
  <c r="H4511" i="7"/>
  <c r="H4510" i="7"/>
  <c r="H4509" i="7"/>
  <c r="H4508" i="7"/>
  <c r="H4507" i="7"/>
  <c r="H4506" i="7"/>
  <c r="H4505" i="7"/>
  <c r="H4504" i="7"/>
  <c r="H4503" i="7"/>
  <c r="H4502" i="7"/>
  <c r="H4501" i="7"/>
  <c r="H4500" i="7"/>
  <c r="H4499" i="7"/>
  <c r="H4498" i="7"/>
  <c r="H4497" i="7"/>
  <c r="H4387" i="7"/>
  <c r="H4386" i="7"/>
  <c r="H4496" i="7"/>
  <c r="H4469" i="7"/>
  <c r="H4471" i="7" s="1"/>
  <c r="H4473" i="7" s="1"/>
  <c r="H4454" i="7"/>
  <c r="H4453" i="7"/>
  <c r="H4452" i="7"/>
  <c r="H4494" i="7"/>
  <c r="H4493" i="7"/>
  <c r="H4495" i="7"/>
  <c r="H4491" i="7"/>
  <c r="H4489" i="7"/>
  <c r="H4445" i="7"/>
  <c r="E4436" i="7"/>
  <c r="H4436" i="7" s="1"/>
  <c r="E4416" i="7"/>
  <c r="E4415" i="7"/>
  <c r="H4406" i="7"/>
  <c r="H4385" i="7"/>
  <c r="E4404" i="7"/>
  <c r="H4404" i="7" s="1"/>
  <c r="H4405" i="7"/>
  <c r="H4384" i="7"/>
  <c r="H4383" i="7"/>
  <c r="H4382" i="7"/>
  <c r="H4381" i="7"/>
  <c r="H4380" i="7"/>
  <c r="H4379" i="7"/>
  <c r="H4378" i="7"/>
  <c r="H4377" i="7"/>
  <c r="H4375" i="7"/>
  <c r="H4308" i="7"/>
  <c r="H4307" i="7"/>
  <c r="H4306" i="7"/>
  <c r="H4305" i="7"/>
  <c r="H4304" i="7"/>
  <c r="H4303" i="7"/>
  <c r="H4302" i="7"/>
  <c r="H4202" i="7"/>
  <c r="H4132" i="7"/>
  <c r="H4131" i="7"/>
  <c r="H4141" i="7"/>
  <c r="H4140" i="7"/>
  <c r="H4139" i="7"/>
  <c r="H4138" i="7"/>
  <c r="H4137" i="7"/>
  <c r="H4136" i="7"/>
  <c r="H4135" i="7"/>
  <c r="H4126" i="7"/>
  <c r="H4130" i="7"/>
  <c r="H4129" i="7"/>
  <c r="G4121" i="7"/>
  <c r="H4121" i="7" s="1"/>
  <c r="H4124" i="7"/>
  <c r="H4120" i="7"/>
  <c r="G4037" i="7"/>
  <c r="H4037" i="7" s="1"/>
  <c r="H4038" i="7"/>
  <c r="H4036" i="7"/>
  <c r="H4035" i="7"/>
  <c r="H4034" i="7"/>
  <c r="H4027" i="7"/>
  <c r="H4026" i="7"/>
  <c r="H4025" i="7"/>
  <c r="H4024" i="7"/>
  <c r="H4023" i="7"/>
  <c r="H4022" i="7"/>
  <c r="H4021" i="7"/>
  <c r="E4014" i="7"/>
  <c r="H4014" i="7" s="1"/>
  <c r="H4013" i="7"/>
  <c r="H4012" i="7"/>
  <c r="H4011" i="7"/>
  <c r="H4010" i="7"/>
  <c r="H4009" i="7"/>
  <c r="H4008" i="7"/>
  <c r="H4007" i="7"/>
  <c r="H4006" i="7"/>
  <c r="H4005" i="7"/>
  <c r="H4004" i="7"/>
  <c r="H4003" i="7"/>
  <c r="H4002" i="7"/>
  <c r="H4001" i="7"/>
  <c r="H4000" i="7"/>
  <c r="H3999" i="7"/>
  <c r="H3998" i="7"/>
  <c r="H3997" i="7"/>
  <c r="H3996" i="7"/>
  <c r="H3995" i="7"/>
  <c r="H3994" i="7"/>
  <c r="H3993" i="7"/>
  <c r="H3992" i="7"/>
  <c r="H3991" i="7"/>
  <c r="H3990" i="7"/>
  <c r="H3989" i="7"/>
  <c r="H3988" i="7"/>
  <c r="H3987" i="7"/>
  <c r="H3986" i="7"/>
  <c r="H3985" i="7"/>
  <c r="H3984" i="7"/>
  <c r="H3983" i="7"/>
  <c r="H3982" i="7"/>
  <c r="H3981" i="7"/>
  <c r="H3980" i="7"/>
  <c r="H4151" i="7"/>
  <c r="H4150" i="7"/>
  <c r="H4149" i="7"/>
  <c r="H4105" i="7"/>
  <c r="F4108" i="7"/>
  <c r="H4108" i="7" s="1"/>
  <c r="F4107" i="7"/>
  <c r="H4107" i="7" s="1"/>
  <c r="F4106" i="7"/>
  <c r="E4102" i="7"/>
  <c r="H4102" i="7" s="1"/>
  <c r="E4101" i="7"/>
  <c r="F4093" i="7"/>
  <c r="H4093" i="7" s="1"/>
  <c r="D3973" i="7"/>
  <c r="D3972" i="7"/>
  <c r="H2622" i="7"/>
  <c r="H2621" i="7"/>
  <c r="H2620" i="7"/>
  <c r="H2619" i="7"/>
  <c r="H2618" i="7"/>
  <c r="H2617" i="7"/>
  <c r="H2616" i="7"/>
  <c r="H2615" i="7"/>
  <c r="H3963" i="7"/>
  <c r="H3788" i="7"/>
  <c r="H3892" i="7"/>
  <c r="H3846" i="7"/>
  <c r="H3845" i="7"/>
  <c r="H3844" i="7"/>
  <c r="H3843" i="7"/>
  <c r="H3842" i="7"/>
  <c r="H3841" i="7"/>
  <c r="E3787" i="7"/>
  <c r="H3786" i="7"/>
  <c r="E3785" i="7"/>
  <c r="E3784" i="7"/>
  <c r="E3783" i="7"/>
  <c r="H3521" i="7"/>
  <c r="H3520" i="7"/>
  <c r="H3695" i="7"/>
  <c r="H3694" i="7"/>
  <c r="H3693" i="7"/>
  <c r="H3692" i="7"/>
  <c r="H3691" i="7"/>
  <c r="H3690" i="7"/>
  <c r="H3688" i="7"/>
  <c r="H3687" i="7"/>
  <c r="H3686" i="7"/>
  <c r="H3684" i="7"/>
  <c r="H3683" i="7"/>
  <c r="H3681" i="7"/>
  <c r="H3680" i="7"/>
  <c r="H3677" i="7"/>
  <c r="H3676" i="7"/>
  <c r="H3674" i="7"/>
  <c r="H3673" i="7"/>
  <c r="H3671" i="7"/>
  <c r="H3670" i="7"/>
  <c r="H3669" i="7"/>
  <c r="H3668" i="7"/>
  <c r="H3667" i="7"/>
  <c r="H3510" i="7"/>
  <c r="H3666" i="7"/>
  <c r="H3665" i="7"/>
  <c r="H3664" i="7"/>
  <c r="H3663" i="7"/>
  <c r="H3662" i="7"/>
  <c r="H3661" i="7"/>
  <c r="H3660" i="7"/>
  <c r="H3659" i="7"/>
  <c r="H3658" i="7"/>
  <c r="H3657" i="7"/>
  <c r="H3655" i="7"/>
  <c r="H3654" i="7"/>
  <c r="H3652" i="7"/>
  <c r="H3651" i="7"/>
  <c r="E3648" i="7"/>
  <c r="H3648" i="7" s="1"/>
  <c r="G3646" i="7"/>
  <c r="H3646" i="7" s="1"/>
  <c r="H3645" i="7"/>
  <c r="H3644" i="7"/>
  <c r="H3642" i="7"/>
  <c r="H3640" i="7"/>
  <c r="H3638" i="7"/>
  <c r="H3637" i="7"/>
  <c r="H3636" i="7"/>
  <c r="H3635" i="7"/>
  <c r="H3634" i="7"/>
  <c r="H3633" i="7"/>
  <c r="H3632" i="7"/>
  <c r="H3631" i="7"/>
  <c r="H3629" i="7"/>
  <c r="H3628" i="7"/>
  <c r="H3627" i="7"/>
  <c r="H3626" i="7"/>
  <c r="H3625" i="7"/>
  <c r="H3624" i="7"/>
  <c r="H3622" i="7"/>
  <c r="H3621" i="7"/>
  <c r="H3620" i="7"/>
  <c r="H3619" i="7"/>
  <c r="H3618" i="7"/>
  <c r="H3617" i="7"/>
  <c r="H3616" i="7"/>
  <c r="H3614" i="7"/>
  <c r="H3613" i="7"/>
  <c r="H3611" i="7"/>
  <c r="H3609" i="7"/>
  <c r="H3607" i="7"/>
  <c r="H3606" i="7"/>
  <c r="H3603" i="7"/>
  <c r="H3602" i="7"/>
  <c r="H3601" i="7"/>
  <c r="H3600" i="7"/>
  <c r="H3599" i="7"/>
  <c r="H3598" i="7"/>
  <c r="H3597" i="7"/>
  <c r="H3594" i="7"/>
  <c r="H3593" i="7"/>
  <c r="H3592" i="7"/>
  <c r="H3591" i="7"/>
  <c r="H3590" i="7"/>
  <c r="H3589" i="7"/>
  <c r="H3587" i="7"/>
  <c r="H3586" i="7"/>
  <c r="H3585" i="7"/>
  <c r="H3584" i="7"/>
  <c r="H3582" i="7"/>
  <c r="H3581" i="7"/>
  <c r="H3580" i="7"/>
  <c r="H3579" i="7"/>
  <c r="H3578" i="7"/>
  <c r="H3576" i="7"/>
  <c r="H3575" i="7"/>
  <c r="H3573" i="7"/>
  <c r="H3572" i="7"/>
  <c r="H3570" i="7"/>
  <c r="H3569" i="7"/>
  <c r="H3568" i="7"/>
  <c r="H3566" i="7"/>
  <c r="H3565" i="7"/>
  <c r="H3563" i="7"/>
  <c r="H3562" i="7"/>
  <c r="H3560" i="7"/>
  <c r="H3559" i="7"/>
  <c r="H3558" i="7"/>
  <c r="H3557" i="7"/>
  <c r="H3556" i="7"/>
  <c r="H3555" i="7"/>
  <c r="H3554" i="7"/>
  <c r="H3550" i="7"/>
  <c r="H3551" i="7"/>
  <c r="H3549" i="7"/>
  <c r="H3548" i="7"/>
  <c r="H3547" i="7"/>
  <c r="H3546" i="7"/>
  <c r="H3544" i="7"/>
  <c r="H3543" i="7"/>
  <c r="H3541" i="7"/>
  <c r="H3540" i="7"/>
  <c r="H3539" i="7"/>
  <c r="H3538" i="7"/>
  <c r="H3537" i="7"/>
  <c r="H3536" i="7"/>
  <c r="H3535" i="7"/>
  <c r="G3532" i="7"/>
  <c r="H3532" i="7" s="1"/>
  <c r="G3531" i="7"/>
  <c r="H3531" i="7" s="1"/>
  <c r="G3530" i="7"/>
  <c r="H3530" i="7" s="1"/>
  <c r="G3529" i="7"/>
  <c r="H3529" i="7" s="1"/>
  <c r="H3689" i="7"/>
  <c r="H3685" i="7"/>
  <c r="H3682" i="7"/>
  <c r="H3679" i="7"/>
  <c r="H3678" i="7"/>
  <c r="H3675" i="7"/>
  <c r="H3672" i="7"/>
  <c r="H3656" i="7"/>
  <c r="H3653" i="7"/>
  <c r="H3650" i="7"/>
  <c r="H3649" i="7"/>
  <c r="H3647" i="7"/>
  <c r="H3643" i="7"/>
  <c r="H3641" i="7"/>
  <c r="H3639" i="7"/>
  <c r="H3630" i="7"/>
  <c r="H3623" i="7"/>
  <c r="H3615" i="7"/>
  <c r="H3612" i="7"/>
  <c r="H3610" i="7"/>
  <c r="H3608" i="7"/>
  <c r="H3605" i="7"/>
  <c r="H3604" i="7"/>
  <c r="H3596" i="7"/>
  <c r="H3595" i="7"/>
  <c r="H3588" i="7"/>
  <c r="H3583" i="7"/>
  <c r="H3577" i="7"/>
  <c r="H3574" i="7"/>
  <c r="H3571" i="7"/>
  <c r="H3567" i="7"/>
  <c r="H3564" i="7"/>
  <c r="H3561" i="7"/>
  <c r="H3553" i="7"/>
  <c r="H3552" i="7"/>
  <c r="H3545" i="7"/>
  <c r="H3542" i="7"/>
  <c r="G3534" i="7"/>
  <c r="H3534" i="7" s="1"/>
  <c r="G3533" i="7"/>
  <c r="H3533" i="7" s="1"/>
  <c r="H3528" i="7"/>
  <c r="G3475" i="7"/>
  <c r="H3475" i="7" s="1"/>
  <c r="H3519" i="7"/>
  <c r="H3518" i="7"/>
  <c r="H3517" i="7"/>
  <c r="H3516" i="7"/>
  <c r="H3515" i="7"/>
  <c r="H3505" i="7"/>
  <c r="H3504" i="7"/>
  <c r="H3501" i="7"/>
  <c r="H3500" i="7"/>
  <c r="H3499" i="7"/>
  <c r="H3494" i="7"/>
  <c r="H3493" i="7"/>
  <c r="E2525" i="7"/>
  <c r="H2525" i="7" s="1"/>
  <c r="E1864" i="7"/>
  <c r="E2524" i="7"/>
  <c r="H2524" i="7" s="1"/>
  <c r="E2523" i="7"/>
  <c r="H2523" i="7" s="1"/>
  <c r="E2522" i="7"/>
  <c r="H2522" i="7" s="1"/>
  <c r="H2521" i="7"/>
  <c r="E2520" i="7"/>
  <c r="H2520" i="7" s="1"/>
  <c r="E2519" i="7"/>
  <c r="H2519" i="7" s="1"/>
  <c r="E2518" i="7"/>
  <c r="H2518" i="7" s="1"/>
  <c r="H2517" i="7"/>
  <c r="H2516" i="7"/>
  <c r="H2501" i="7"/>
  <c r="H2493" i="7"/>
  <c r="H2491" i="7"/>
  <c r="H2487" i="7"/>
  <c r="H2483" i="7"/>
  <c r="H2482" i="7"/>
  <c r="H2479" i="7"/>
  <c r="H5013" i="7" l="1"/>
  <c r="H5015" i="7" s="1"/>
  <c r="H5189" i="7"/>
  <c r="H4928" i="7"/>
  <c r="H4930" i="7" s="1"/>
  <c r="H4981" i="7"/>
  <c r="H4783" i="7"/>
  <c r="H4972" i="7"/>
  <c r="G508" i="2"/>
  <c r="H4963" i="7"/>
  <c r="H4965" i="7" s="1"/>
  <c r="H4464" i="7"/>
  <c r="H4466" i="7" s="1"/>
  <c r="H4456" i="7"/>
  <c r="H4458" i="7" s="1"/>
  <c r="H4447" i="7"/>
  <c r="H4311" i="7"/>
  <c r="H4312" i="7" s="1"/>
  <c r="H4313" i="7" s="1"/>
  <c r="H4040" i="7"/>
  <c r="H4042" i="7" s="1"/>
  <c r="H4029" i="7"/>
  <c r="H4031" i="7" s="1"/>
  <c r="H4016" i="7"/>
  <c r="H4018" i="7" s="1"/>
  <c r="H4153" i="7"/>
  <c r="H4155" i="7" s="1"/>
  <c r="H2624" i="7"/>
  <c r="H2626" i="7" s="1"/>
  <c r="H2477" i="7"/>
  <c r="H2476" i="7"/>
  <c r="E2474" i="7"/>
  <c r="H2470" i="7"/>
  <c r="H2469" i="7"/>
  <c r="H2468" i="7"/>
  <c r="H2462" i="7"/>
  <c r="H2461" i="7"/>
  <c r="H2456" i="7"/>
  <c r="H2452" i="7"/>
  <c r="H2450" i="7"/>
  <c r="H2448" i="7"/>
  <c r="H2445" i="7"/>
  <c r="H2439" i="7"/>
  <c r="H2436" i="7"/>
  <c r="H4974" i="7" l="1"/>
  <c r="H4983" i="7"/>
  <c r="G511" i="2"/>
  <c r="H4449" i="7"/>
  <c r="G326" i="2" l="1"/>
  <c r="G505" i="2"/>
  <c r="G425" i="2" l="1"/>
  <c r="G323" i="2"/>
  <c r="H2433" i="7" l="1"/>
  <c r="H2428" i="7"/>
  <c r="H2427" i="7"/>
  <c r="H2424" i="7"/>
  <c r="H2423" i="7"/>
  <c r="H2419" i="7"/>
  <c r="H2415" i="7"/>
  <c r="H2413" i="7"/>
  <c r="H2411" i="7"/>
  <c r="H2409" i="7"/>
  <c r="H2405" i="7"/>
  <c r="H2402" i="7"/>
  <c r="H2400" i="7"/>
  <c r="H2395" i="7"/>
  <c r="H2394" i="7"/>
  <c r="H2392" i="7"/>
  <c r="H2389" i="7"/>
  <c r="H2387" i="7"/>
  <c r="E2382" i="7"/>
  <c r="H2382" i="7" s="1"/>
  <c r="H2374" i="7"/>
  <c r="H2371" i="7"/>
  <c r="H2360" i="7"/>
  <c r="H2357" i="7"/>
  <c r="H2358" i="7"/>
  <c r="H2353" i="7"/>
  <c r="H2351" i="7"/>
  <c r="H2345" i="7"/>
  <c r="H2343" i="7"/>
  <c r="H2339" i="7"/>
  <c r="H2337" i="7"/>
  <c r="H2334" i="7"/>
  <c r="H2331" i="7"/>
  <c r="H2325" i="7"/>
  <c r="H2320" i="7"/>
  <c r="H2316" i="7"/>
  <c r="H2311" i="7"/>
  <c r="H2306" i="7"/>
  <c r="H2308" i="7"/>
  <c r="H2304" i="7"/>
  <c r="H2300" i="7"/>
  <c r="H2296" i="7"/>
  <c r="H2293" i="7"/>
  <c r="H2290" i="7"/>
  <c r="H2288" i="7"/>
  <c r="H2285" i="7"/>
  <c r="H2284" i="7"/>
  <c r="H2282" i="7"/>
  <c r="H2278" i="7"/>
  <c r="H2274" i="7"/>
  <c r="H2270" i="7"/>
  <c r="H2267" i="7"/>
  <c r="H2265" i="7"/>
  <c r="H2262" i="7"/>
  <c r="H2257" i="7"/>
  <c r="H2256" i="7"/>
  <c r="H2253" i="7"/>
  <c r="H2252" i="7"/>
  <c r="H2248" i="7"/>
  <c r="H2246" i="7"/>
  <c r="H2244" i="7"/>
  <c r="H2238" i="7"/>
  <c r="H2236" i="7"/>
  <c r="H2234" i="7"/>
  <c r="H2231" i="7"/>
  <c r="H2229" i="7"/>
  <c r="H2227" i="7"/>
  <c r="H2222" i="7"/>
  <c r="H2220" i="7"/>
  <c r="H2515" i="7"/>
  <c r="H2514" i="7"/>
  <c r="H2513" i="7"/>
  <c r="H2512" i="7"/>
  <c r="E2511" i="7"/>
  <c r="H2511" i="7" s="1"/>
  <c r="H2510" i="7"/>
  <c r="H2509" i="7"/>
  <c r="H2508" i="7"/>
  <c r="H2507" i="7"/>
  <c r="H2506" i="7"/>
  <c r="H2505" i="7"/>
  <c r="H2504" i="7"/>
  <c r="H2503" i="7"/>
  <c r="H2502" i="7"/>
  <c r="H2500" i="7"/>
  <c r="H2498" i="7"/>
  <c r="H2497" i="7"/>
  <c r="H2496" i="7"/>
  <c r="H2495" i="7"/>
  <c r="H2494" i="7"/>
  <c r="H2492" i="7"/>
  <c r="H2490" i="7"/>
  <c r="H2489" i="7"/>
  <c r="H2488" i="7"/>
  <c r="H2486" i="7"/>
  <c r="H2485" i="7"/>
  <c r="H2484" i="7"/>
  <c r="H2481" i="7"/>
  <c r="H2480" i="7"/>
  <c r="H2478" i="7"/>
  <c r="H2475" i="7"/>
  <c r="H2474" i="7"/>
  <c r="H2473" i="7"/>
  <c r="H2472" i="7"/>
  <c r="H2471" i="7"/>
  <c r="H2467" i="7"/>
  <c r="H2466" i="7"/>
  <c r="H2465" i="7"/>
  <c r="H2464" i="7"/>
  <c r="H2463" i="7"/>
  <c r="H2460" i="7"/>
  <c r="H2459" i="7"/>
  <c r="H2458" i="7"/>
  <c r="H2457" i="7"/>
  <c r="H2455" i="7"/>
  <c r="H2454" i="7"/>
  <c r="H2453" i="7"/>
  <c r="H2451" i="7"/>
  <c r="H2449" i="7"/>
  <c r="H2447" i="7"/>
  <c r="H2446" i="7"/>
  <c r="H2444" i="7"/>
  <c r="H2443" i="7"/>
  <c r="H2442" i="7"/>
  <c r="H2441" i="7"/>
  <c r="H2440" i="7"/>
  <c r="H2438" i="7"/>
  <c r="H2437" i="7"/>
  <c r="H2435" i="7"/>
  <c r="H2434" i="7"/>
  <c r="H2432" i="7"/>
  <c r="H2431" i="7"/>
  <c r="H2430" i="7"/>
  <c r="H2429" i="7"/>
  <c r="H2426" i="7"/>
  <c r="H2425" i="7"/>
  <c r="H2422" i="7"/>
  <c r="H2421" i="7"/>
  <c r="H2420" i="7"/>
  <c r="H2418" i="7"/>
  <c r="H2417" i="7"/>
  <c r="H2416" i="7"/>
  <c r="H2414" i="7"/>
  <c r="H2412" i="7"/>
  <c r="H2410" i="7"/>
  <c r="H2408" i="7"/>
  <c r="H2407" i="7"/>
  <c r="H2406" i="7"/>
  <c r="H2404" i="7"/>
  <c r="H2403" i="7"/>
  <c r="H2401" i="7"/>
  <c r="H2399" i="7"/>
  <c r="H2398" i="7"/>
  <c r="H2397" i="7"/>
  <c r="H2396" i="7"/>
  <c r="H2393" i="7"/>
  <c r="H2391" i="7"/>
  <c r="H2390" i="7"/>
  <c r="H2388" i="7"/>
  <c r="H2386" i="7"/>
  <c r="H2385" i="7"/>
  <c r="H2384" i="7"/>
  <c r="H2383" i="7"/>
  <c r="H2381" i="7"/>
  <c r="H2380" i="7"/>
  <c r="H2379" i="7"/>
  <c r="H2378" i="7"/>
  <c r="H2377" i="7"/>
  <c r="H2376" i="7"/>
  <c r="H2375" i="7"/>
  <c r="H2373" i="7"/>
  <c r="H2372" i="7"/>
  <c r="H2370" i="7"/>
  <c r="H2369" i="7"/>
  <c r="H2368" i="7"/>
  <c r="H2367" i="7"/>
  <c r="H2366" i="7"/>
  <c r="H2365" i="7"/>
  <c r="H2364" i="7"/>
  <c r="H2363" i="7"/>
  <c r="H2362" i="7"/>
  <c r="H2361" i="7"/>
  <c r="H2359" i="7"/>
  <c r="H2355" i="7"/>
  <c r="H2354" i="7"/>
  <c r="H2352" i="7"/>
  <c r="H2350" i="7"/>
  <c r="H2349" i="7"/>
  <c r="H2348" i="7"/>
  <c r="H2347" i="7"/>
  <c r="H2346" i="7"/>
  <c r="H2344" i="7"/>
  <c r="H2342" i="7"/>
  <c r="H2341" i="7"/>
  <c r="H2340" i="7"/>
  <c r="H2338" i="7"/>
  <c r="H2336" i="7"/>
  <c r="H2335" i="7"/>
  <c r="H2333" i="7"/>
  <c r="H2332" i="7"/>
  <c r="H2330" i="7"/>
  <c r="H2329" i="7"/>
  <c r="H2328" i="7"/>
  <c r="H2327" i="7"/>
  <c r="H2326" i="7"/>
  <c r="H2324" i="7"/>
  <c r="H2323" i="7"/>
  <c r="H2322" i="7"/>
  <c r="H2321" i="7"/>
  <c r="H2319" i="7"/>
  <c r="H2318" i="7"/>
  <c r="H2317" i="7"/>
  <c r="H2315" i="7"/>
  <c r="H2314" i="7"/>
  <c r="H2313" i="7"/>
  <c r="H2312" i="7"/>
  <c r="H2310" i="7"/>
  <c r="H2309" i="7"/>
  <c r="H2307" i="7"/>
  <c r="H2305" i="7"/>
  <c r="H2303" i="7"/>
  <c r="H2302" i="7"/>
  <c r="H2301" i="7"/>
  <c r="H2299" i="7"/>
  <c r="H2298" i="7"/>
  <c r="H2297" i="7"/>
  <c r="H2295" i="7"/>
  <c r="H2294" i="7"/>
  <c r="H2292" i="7"/>
  <c r="H2291" i="7"/>
  <c r="H2289" i="7"/>
  <c r="H2287" i="7"/>
  <c r="H2286" i="7"/>
  <c r="H2283" i="7"/>
  <c r="H2281" i="7"/>
  <c r="H2280" i="7"/>
  <c r="H2279" i="7"/>
  <c r="H2277" i="7"/>
  <c r="H2276" i="7"/>
  <c r="H2275" i="7"/>
  <c r="H2273" i="7"/>
  <c r="H2272" i="7"/>
  <c r="H2271" i="7"/>
  <c r="H2269" i="7"/>
  <c r="H2268" i="7"/>
  <c r="H2266" i="7"/>
  <c r="H2264" i="7"/>
  <c r="H2263" i="7"/>
  <c r="H2261" i="7"/>
  <c r="H2260" i="7"/>
  <c r="H2259" i="7"/>
  <c r="H2258" i="7"/>
  <c r="H2255" i="7"/>
  <c r="H2254" i="7"/>
  <c r="H2251" i="7"/>
  <c r="H2250" i="7"/>
  <c r="G2249" i="7"/>
  <c r="H2249" i="7" s="1"/>
  <c r="H2247" i="7"/>
  <c r="H2245" i="7"/>
  <c r="H2243" i="7"/>
  <c r="H2242" i="7"/>
  <c r="H2241" i="7"/>
  <c r="H2240" i="7"/>
  <c r="H2239" i="7"/>
  <c r="H2237" i="7"/>
  <c r="H2235" i="7"/>
  <c r="H2233" i="7"/>
  <c r="H2232" i="7"/>
  <c r="H2230" i="7"/>
  <c r="H2228" i="7"/>
  <c r="H2226" i="7"/>
  <c r="H2225" i="7"/>
  <c r="H2224" i="7"/>
  <c r="H2223" i="7"/>
  <c r="H2221" i="7"/>
  <c r="H2219" i="7"/>
  <c r="H2218" i="7"/>
  <c r="H2217" i="7"/>
  <c r="H2216" i="7"/>
  <c r="H2954" i="7"/>
  <c r="H1915" i="7"/>
  <c r="H1914" i="7"/>
  <c r="H1366" i="7"/>
  <c r="H1365" i="7"/>
  <c r="H1364" i="7"/>
  <c r="H1363" i="7"/>
  <c r="H1362" i="7"/>
  <c r="H1361" i="7"/>
  <c r="H1360" i="7"/>
  <c r="H1359" i="7"/>
  <c r="H1358" i="7"/>
  <c r="H1350" i="7"/>
  <c r="H1349" i="7"/>
  <c r="H1086" i="7"/>
  <c r="H1084" i="7"/>
  <c r="H1082" i="7"/>
  <c r="H1076" i="7"/>
  <c r="H1074" i="7"/>
  <c r="H1072" i="7"/>
  <c r="H1065" i="7"/>
  <c r="H1059" i="7"/>
  <c r="H1054" i="7"/>
  <c r="H1052" i="7"/>
  <c r="H1050" i="7"/>
  <c r="H1048" i="7"/>
  <c r="H1045" i="7"/>
  <c r="H918" i="7"/>
  <c r="H917" i="7"/>
  <c r="H916" i="7"/>
  <c r="H205" i="7"/>
  <c r="H192" i="7"/>
  <c r="H191" i="7"/>
  <c r="H125" i="7"/>
  <c r="H127" i="7"/>
  <c r="H129" i="7"/>
  <c r="H119" i="7"/>
  <c r="H104" i="7"/>
  <c r="H103" i="7"/>
  <c r="H2528" i="7" l="1"/>
  <c r="H1353" i="7"/>
  <c r="H1355" i="7" s="1"/>
  <c r="H1369" i="7"/>
  <c r="H1344" i="7"/>
  <c r="H1346" i="7" s="1"/>
  <c r="H1266" i="7"/>
  <c r="H1042" i="7"/>
  <c r="H1040" i="7"/>
  <c r="H1038" i="7"/>
  <c r="H1036" i="7"/>
  <c r="H1034" i="7"/>
  <c r="H1032" i="7"/>
  <c r="H1030" i="7"/>
  <c r="H1028" i="7"/>
  <c r="H1026" i="7"/>
  <c r="H915" i="7"/>
  <c r="H920" i="7" s="1"/>
  <c r="H284" i="7"/>
  <c r="H287" i="7" s="1"/>
  <c r="H1024" i="7"/>
  <c r="H609" i="7"/>
  <c r="H313" i="7"/>
  <c r="H312" i="7"/>
  <c r="G28" i="8"/>
  <c r="G29" i="8"/>
  <c r="G11" i="8"/>
  <c r="H4287" i="7"/>
  <c r="H4286" i="7"/>
  <c r="H4285" i="7"/>
  <c r="H4284" i="7"/>
  <c r="H4283" i="7"/>
  <c r="H4282" i="7"/>
  <c r="H4281" i="7"/>
  <c r="H4280" i="7"/>
  <c r="H4279" i="7"/>
  <c r="H4270" i="7"/>
  <c r="H4269" i="7"/>
  <c r="H4268" i="7"/>
  <c r="H4267" i="7"/>
  <c r="H4266" i="7"/>
  <c r="H4259" i="7"/>
  <c r="H4258" i="7"/>
  <c r="H4250" i="7"/>
  <c r="H4253" i="7" s="1"/>
  <c r="H4255" i="7" s="1"/>
  <c r="H4218" i="7"/>
  <c r="H4217" i="7"/>
  <c r="H4216" i="7"/>
  <c r="H4215" i="7"/>
  <c r="H4214" i="7"/>
  <c r="H4213" i="7"/>
  <c r="H4212" i="7"/>
  <c r="H4211" i="7"/>
  <c r="H4210" i="7"/>
  <c r="H4209" i="7"/>
  <c r="H4192" i="7"/>
  <c r="H3885" i="7"/>
  <c r="H3833" i="7"/>
  <c r="H4201" i="7"/>
  <c r="H4191" i="7"/>
  <c r="H4188" i="7"/>
  <c r="H4189" i="7"/>
  <c r="H4186" i="7"/>
  <c r="H4185" i="7"/>
  <c r="H4177" i="7"/>
  <c r="H4176" i="7"/>
  <c r="H4166" i="7"/>
  <c r="H4200" i="7"/>
  <c r="H4199" i="7"/>
  <c r="H4198" i="7"/>
  <c r="H4197" i="7"/>
  <c r="H4196" i="7"/>
  <c r="H4195" i="7"/>
  <c r="H4194" i="7"/>
  <c r="H4193" i="7"/>
  <c r="H4190" i="7"/>
  <c r="H4187" i="7"/>
  <c r="H4184" i="7"/>
  <c r="H4183" i="7"/>
  <c r="H4182" i="7"/>
  <c r="H4181" i="7"/>
  <c r="H4180" i="7"/>
  <c r="H4179" i="7"/>
  <c r="H4178" i="7"/>
  <c r="H4175" i="7"/>
  <c r="H4174" i="7"/>
  <c r="H4173" i="7"/>
  <c r="H4172" i="7"/>
  <c r="H4171" i="7"/>
  <c r="H4170" i="7"/>
  <c r="H4169" i="7"/>
  <c r="H4168" i="7"/>
  <c r="H4167" i="7"/>
  <c r="H4165" i="7"/>
  <c r="F4092" i="7"/>
  <c r="F4091" i="7"/>
  <c r="H4052" i="7"/>
  <c r="H4051" i="7"/>
  <c r="H4049" i="7"/>
  <c r="H3891" i="7"/>
  <c r="H3890" i="7"/>
  <c r="H3889" i="7"/>
  <c r="H3888" i="7"/>
  <c r="H3887" i="7"/>
  <c r="H3886" i="7"/>
  <c r="H3884" i="7"/>
  <c r="H3883" i="7"/>
  <c r="H3882" i="7"/>
  <c r="H3881" i="7"/>
  <c r="H3880" i="7"/>
  <c r="H3879" i="7"/>
  <c r="H3878" i="7"/>
  <c r="H3877" i="7"/>
  <c r="H3876" i="7"/>
  <c r="H3875" i="7"/>
  <c r="H3872" i="7"/>
  <c r="H3871" i="7"/>
  <c r="H3870" i="7"/>
  <c r="H3869" i="7"/>
  <c r="H3868" i="7"/>
  <c r="H3867" i="7"/>
  <c r="H3866" i="7"/>
  <c r="H3865" i="7"/>
  <c r="H3864" i="7"/>
  <c r="H3863" i="7"/>
  <c r="H3856" i="7"/>
  <c r="H3855" i="7"/>
  <c r="H3854" i="7"/>
  <c r="H3838" i="7"/>
  <c r="H3836" i="7"/>
  <c r="H3835" i="7"/>
  <c r="H3834" i="7"/>
  <c r="H3832" i="7"/>
  <c r="H3831" i="7"/>
  <c r="H3830" i="7"/>
  <c r="H3829" i="7"/>
  <c r="H3824" i="7"/>
  <c r="H3822" i="7"/>
  <c r="H3821" i="7"/>
  <c r="H3817" i="7"/>
  <c r="H3816" i="7"/>
  <c r="H3815" i="7"/>
  <c r="H3255" i="7"/>
  <c r="H3253" i="7"/>
  <c r="H3251" i="7"/>
  <c r="H3250" i="7"/>
  <c r="H3249" i="7"/>
  <c r="H3248" i="7"/>
  <c r="H3247" i="7"/>
  <c r="H3244" i="7"/>
  <c r="H2592" i="7"/>
  <c r="G2555" i="7"/>
  <c r="H2555" i="7" s="1"/>
  <c r="H2553" i="7"/>
  <c r="H2552" i="7"/>
  <c r="E2551" i="7"/>
  <c r="E2550" i="7"/>
  <c r="H2549" i="7"/>
  <c r="H2548" i="7"/>
  <c r="E2547" i="7"/>
  <c r="H2545" i="7"/>
  <c r="E2544" i="7"/>
  <c r="H2544" i="7" s="1"/>
  <c r="H2543" i="7"/>
  <c r="H2542" i="7"/>
  <c r="E2541" i="7"/>
  <c r="E2540" i="7"/>
  <c r="H2537" i="7"/>
  <c r="H2536" i="7"/>
  <c r="H2535" i="7"/>
  <c r="E2538" i="7"/>
  <c r="E2534" i="7"/>
  <c r="E2533" i="7"/>
  <c r="H1874" i="7"/>
  <c r="H1834" i="7"/>
  <c r="H1833" i="7"/>
  <c r="H1832" i="7"/>
  <c r="H1831" i="7"/>
  <c r="H1830" i="7"/>
  <c r="H1824" i="7"/>
  <c r="H1797" i="7"/>
  <c r="H1784" i="7"/>
  <c r="H1779" i="7"/>
  <c r="H1766" i="7"/>
  <c r="E1760" i="7"/>
  <c r="H1758" i="7"/>
  <c r="H1757" i="7"/>
  <c r="H1731" i="7"/>
  <c r="H1725" i="7"/>
  <c r="H1706" i="7"/>
  <c r="H1700" i="7"/>
  <c r="H1692" i="7"/>
  <c r="H1648" i="7"/>
  <c r="H1643" i="7"/>
  <c r="H1613" i="7"/>
  <c r="H1108" i="7"/>
  <c r="E908" i="7"/>
  <c r="H908" i="7" s="1"/>
  <c r="H910" i="7" s="1"/>
  <c r="H2530" i="7" l="1"/>
  <c r="H1371" i="7"/>
  <c r="H1268" i="7"/>
  <c r="L114" i="2" s="1"/>
  <c r="M114" i="2" s="1"/>
  <c r="H922" i="7"/>
  <c r="H289" i="7"/>
  <c r="H4289" i="7"/>
  <c r="H4291" i="7" s="1"/>
  <c r="H4274" i="7"/>
  <c r="H4276" i="7" s="1"/>
  <c r="H4261" i="7"/>
  <c r="H4263" i="7" s="1"/>
  <c r="H4221" i="7"/>
  <c r="H4223" i="7" s="1"/>
  <c r="H4204" i="7"/>
  <c r="H4206" i="7" s="1"/>
  <c r="H3894" i="7"/>
  <c r="H3858" i="7"/>
  <c r="H3860" i="7" s="1"/>
  <c r="G470" i="2" s="1"/>
  <c r="H912" i="7"/>
  <c r="G214" i="2" l="1"/>
  <c r="G311" i="2"/>
  <c r="G106" i="2" l="1"/>
  <c r="G44" i="2"/>
  <c r="E502" i="7" l="1"/>
  <c r="H502" i="7" s="1"/>
  <c r="E501" i="7"/>
  <c r="H501" i="7" s="1"/>
  <c r="H500" i="7"/>
  <c r="H499" i="7"/>
  <c r="H566" i="7"/>
  <c r="E554" i="7"/>
  <c r="H516" i="7"/>
  <c r="H467" i="7"/>
  <c r="H497" i="7"/>
  <c r="H496" i="7"/>
  <c r="H495" i="7"/>
  <c r="H494" i="7"/>
  <c r="H493" i="7"/>
  <c r="F492" i="7"/>
  <c r="H492" i="7" s="1"/>
  <c r="H491" i="7"/>
  <c r="H490" i="7"/>
  <c r="H489" i="7"/>
  <c r="H488" i="7"/>
  <c r="H487" i="7"/>
  <c r="H486" i="7"/>
  <c r="H485" i="7"/>
  <c r="H484" i="7"/>
  <c r="H483" i="7"/>
  <c r="H482" i="7"/>
  <c r="H481" i="7"/>
  <c r="H480" i="7"/>
  <c r="H479" i="7"/>
  <c r="H478" i="7"/>
  <c r="H477" i="7"/>
  <c r="H476" i="7"/>
  <c r="H475" i="7"/>
  <c r="H474" i="7"/>
  <c r="H473" i="7"/>
  <c r="H472" i="7"/>
  <c r="H471" i="7"/>
  <c r="H470" i="7"/>
  <c r="H469" i="7"/>
  <c r="H468" i="7"/>
  <c r="H466" i="7"/>
  <c r="H465" i="7"/>
  <c r="H464" i="7"/>
  <c r="H463" i="7"/>
  <c r="H462" i="7"/>
  <c r="H461" i="7"/>
  <c r="H460" i="7"/>
  <c r="H459" i="7"/>
  <c r="H458" i="7"/>
  <c r="H457" i="7"/>
  <c r="H456" i="7"/>
  <c r="H455" i="7"/>
  <c r="F454" i="7"/>
  <c r="H454" i="7" s="1"/>
  <c r="F453" i="7"/>
  <c r="H453" i="7" s="1"/>
  <c r="H452" i="7"/>
  <c r="H451" i="7"/>
  <c r="H450" i="7"/>
  <c r="H449" i="7"/>
  <c r="H448" i="7"/>
  <c r="H447" i="7"/>
  <c r="H446" i="7"/>
  <c r="H445" i="7"/>
  <c r="H444" i="7"/>
  <c r="H443" i="7"/>
  <c r="H442" i="7"/>
  <c r="H441" i="7"/>
  <c r="H440" i="7"/>
  <c r="H439" i="7"/>
  <c r="H326" i="7" l="1"/>
  <c r="H325" i="7"/>
  <c r="H357" i="7"/>
  <c r="H356" i="7"/>
  <c r="H355" i="7"/>
  <c r="H354" i="7"/>
  <c r="E272" i="7"/>
  <c r="H241" i="7"/>
  <c r="E200" i="7"/>
  <c r="H168" i="7"/>
  <c r="H162" i="7"/>
  <c r="H161" i="7"/>
  <c r="H359" i="7" l="1"/>
  <c r="H361" i="7" s="1"/>
  <c r="G57" i="2" s="1"/>
  <c r="H121" i="7" l="1"/>
  <c r="H116" i="7"/>
  <c r="H115" i="7"/>
  <c r="H113" i="7"/>
  <c r="H1582" i="7"/>
  <c r="H1581" i="7"/>
  <c r="H1580" i="7"/>
  <c r="H1579" i="7"/>
  <c r="H1578" i="7"/>
  <c r="H1577" i="7"/>
  <c r="H1576" i="7"/>
  <c r="H1575" i="7"/>
  <c r="H1574" i="7"/>
  <c r="H1573" i="7"/>
  <c r="H1572" i="7"/>
  <c r="H1571" i="7"/>
  <c r="H1570" i="7"/>
  <c r="H1569" i="7"/>
  <c r="H1568" i="7"/>
  <c r="H1567" i="7"/>
  <c r="H1566" i="7"/>
  <c r="H1565" i="7"/>
  <c r="H1564" i="7"/>
  <c r="H1563" i="7"/>
  <c r="H1562" i="7"/>
  <c r="H1561" i="7"/>
  <c r="H1560" i="7"/>
  <c r="H1559" i="7"/>
  <c r="H1558" i="7"/>
  <c r="H1557" i="7"/>
  <c r="H1541" i="7"/>
  <c r="H1522" i="7"/>
  <c r="H1520" i="7"/>
  <c r="H1518" i="7"/>
  <c r="H1516" i="7"/>
  <c r="H1514" i="7"/>
  <c r="H1512" i="7"/>
  <c r="H1510" i="7"/>
  <c r="H1508" i="7"/>
  <c r="H1506" i="7"/>
  <c r="H1504" i="7"/>
  <c r="H1502" i="7"/>
  <c r="E1500" i="7"/>
  <c r="H1500" i="7" s="1"/>
  <c r="H1498" i="7"/>
  <c r="H1521" i="7"/>
  <c r="H1519" i="7"/>
  <c r="H1517" i="7"/>
  <c r="H1515" i="7"/>
  <c r="H1513" i="7"/>
  <c r="H1511" i="7"/>
  <c r="H1509" i="7"/>
  <c r="H1507" i="7"/>
  <c r="H1505" i="7"/>
  <c r="H1503" i="7"/>
  <c r="H1501" i="7"/>
  <c r="E1499" i="7"/>
  <c r="H1499" i="7" s="1"/>
  <c r="F1477" i="7"/>
  <c r="E1477" i="7"/>
  <c r="D1460" i="7"/>
  <c r="H1460" i="7" s="1"/>
  <c r="H1463" i="7"/>
  <c r="H1462" i="7"/>
  <c r="H1461" i="7"/>
  <c r="H1459" i="7"/>
  <c r="H1458" i="7"/>
  <c r="H1447" i="7"/>
  <c r="H1446" i="7"/>
  <c r="H1445" i="7"/>
  <c r="F1436" i="7"/>
  <c r="H1393" i="7"/>
  <c r="H1392" i="7"/>
  <c r="E1427" i="7"/>
  <c r="H1427" i="7" s="1"/>
  <c r="E1426" i="7"/>
  <c r="H1272" i="7"/>
  <c r="H1271" i="7"/>
  <c r="H1288" i="7"/>
  <c r="H1477" i="7" l="1"/>
  <c r="H1585" i="7"/>
  <c r="H1587" i="7" s="1"/>
  <c r="H1467" i="7"/>
  <c r="H1452" i="7"/>
  <c r="H1396" i="7"/>
  <c r="H1398" i="7" s="1"/>
  <c r="H1275" i="7"/>
  <c r="H1277" i="7" s="1"/>
  <c r="H1287" i="7"/>
  <c r="H1200" i="7"/>
  <c r="H1199" i="7"/>
  <c r="H1198" i="7"/>
  <c r="H1197" i="7"/>
  <c r="H1196" i="7"/>
  <c r="H1195" i="7"/>
  <c r="H1194" i="7"/>
  <c r="H1193" i="7"/>
  <c r="H1192" i="7"/>
  <c r="H1191" i="7"/>
  <c r="H1190" i="7"/>
  <c r="H1189" i="7"/>
  <c r="H1188" i="7"/>
  <c r="H1187" i="7"/>
  <c r="H1186" i="7"/>
  <c r="H1185" i="7"/>
  <c r="H1184" i="7"/>
  <c r="H1183" i="7"/>
  <c r="H1182" i="7"/>
  <c r="H1181" i="7"/>
  <c r="H1180" i="7"/>
  <c r="H1179" i="7"/>
  <c r="H1178" i="7"/>
  <c r="H1177" i="7"/>
  <c r="H1176" i="7"/>
  <c r="H1175" i="7"/>
  <c r="H1174" i="7"/>
  <c r="H1173" i="7"/>
  <c r="H1172" i="7"/>
  <c r="H1171" i="7"/>
  <c r="H1170" i="7"/>
  <c r="H1169" i="7"/>
  <c r="H1168" i="7"/>
  <c r="H1167" i="7"/>
  <c r="H1166" i="7"/>
  <c r="H1469" i="7" l="1"/>
  <c r="H1454" i="7"/>
  <c r="H1165" i="7"/>
  <c r="H1164" i="7"/>
  <c r="H1163" i="7"/>
  <c r="H1162" i="7"/>
  <c r="H1161" i="7"/>
  <c r="H1160" i="7"/>
  <c r="H1159" i="7"/>
  <c r="H1158" i="7"/>
  <c r="G245" i="2" l="1"/>
  <c r="G227" i="2"/>
  <c r="G126" i="2"/>
  <c r="H1157" i="7"/>
  <c r="H1156" i="7"/>
  <c r="H1155" i="7"/>
  <c r="H1154" i="7"/>
  <c r="H1153" i="7"/>
  <c r="H1152" i="7"/>
  <c r="H1151" i="7"/>
  <c r="H1150" i="7"/>
  <c r="H1149" i="7"/>
  <c r="H1148" i="7"/>
  <c r="H1147" i="7"/>
  <c r="H1146" i="7"/>
  <c r="H1145" i="7"/>
  <c r="H1144" i="7"/>
  <c r="H1143" i="7"/>
  <c r="H1142" i="7"/>
  <c r="H1141" i="7"/>
  <c r="H1140" i="7"/>
  <c r="H1139" i="7"/>
  <c r="H1138" i="7"/>
  <c r="H1137" i="7"/>
  <c r="H1136" i="7"/>
  <c r="H1135" i="7"/>
  <c r="H1134" i="7"/>
  <c r="H1133" i="7"/>
  <c r="H1132" i="7"/>
  <c r="H1131" i="7"/>
  <c r="H1130" i="7"/>
  <c r="H1129" i="7"/>
  <c r="H1128" i="7"/>
  <c r="H1127" i="7"/>
  <c r="H1126" i="7"/>
  <c r="H1125" i="7"/>
  <c r="H1124" i="7"/>
  <c r="H1123" i="7"/>
  <c r="H1122" i="7"/>
  <c r="H1121" i="7"/>
  <c r="H1120" i="7"/>
  <c r="H1117" i="7"/>
  <c r="E1116" i="7"/>
  <c r="E1107" i="7"/>
  <c r="H1107" i="7" s="1"/>
  <c r="H1106" i="7"/>
  <c r="H1105" i="7"/>
  <c r="H1104" i="7"/>
  <c r="H1103" i="7"/>
  <c r="H1102" i="7"/>
  <c r="H1101" i="7"/>
  <c r="H1100" i="7"/>
  <c r="H1099" i="7"/>
  <c r="H1098" i="7"/>
  <c r="H1097" i="7"/>
  <c r="H1096" i="7"/>
  <c r="H1095" i="7"/>
  <c r="H1094" i="7"/>
  <c r="E1093" i="7"/>
  <c r="H1093" i="7" s="1"/>
  <c r="E1092" i="7"/>
  <c r="H1092" i="7" s="1"/>
  <c r="H1091" i="7"/>
  <c r="H1090" i="7"/>
  <c r="H1089" i="7"/>
  <c r="H1088" i="7"/>
  <c r="H1087" i="7"/>
  <c r="H1085" i="7"/>
  <c r="H1083" i="7"/>
  <c r="H1081" i="7"/>
  <c r="H1080" i="7"/>
  <c r="H1079" i="7"/>
  <c r="H1078" i="7"/>
  <c r="H1077" i="7"/>
  <c r="H1075" i="7"/>
  <c r="H1073" i="7"/>
  <c r="H1071" i="7"/>
  <c r="H1070" i="7"/>
  <c r="H1069" i="7"/>
  <c r="H1068" i="7"/>
  <c r="H1067" i="7"/>
  <c r="H1066" i="7"/>
  <c r="H1064" i="7"/>
  <c r="H1063" i="7"/>
  <c r="H1062" i="7"/>
  <c r="H1061" i="7"/>
  <c r="H1060" i="7"/>
  <c r="H1058" i="7"/>
  <c r="H1057" i="7"/>
  <c r="H1056" i="7"/>
  <c r="H1055" i="7"/>
  <c r="H1053" i="7"/>
  <c r="H1051" i="7"/>
  <c r="H1049" i="7"/>
  <c r="H1047" i="7"/>
  <c r="H1046" i="7"/>
  <c r="H1044" i="7"/>
  <c r="H1043" i="7"/>
  <c r="H1041" i="7"/>
  <c r="H1039" i="7"/>
  <c r="H1037" i="7"/>
  <c r="H1035" i="7"/>
  <c r="H1033" i="7"/>
  <c r="H1031" i="7"/>
  <c r="H1029" i="7"/>
  <c r="H1027" i="7"/>
  <c r="H1025" i="7"/>
  <c r="H1023" i="7"/>
  <c r="H1021" i="7"/>
  <c r="H1020" i="7"/>
  <c r="H1019" i="7"/>
  <c r="H1018" i="7"/>
  <c r="H1017" i="7"/>
  <c r="H1016" i="7"/>
  <c r="H1015" i="7"/>
  <c r="H1014" i="7"/>
  <c r="H1013" i="7"/>
  <c r="H1012" i="7"/>
  <c r="H1011" i="7"/>
  <c r="H1010" i="7"/>
  <c r="H1009" i="7"/>
  <c r="H1008" i="7"/>
  <c r="H1007" i="7"/>
  <c r="H1006" i="7"/>
  <c r="H1005" i="7"/>
  <c r="H1004" i="7"/>
  <c r="H1003" i="7"/>
  <c r="H1002" i="7"/>
  <c r="H1001" i="7"/>
  <c r="H1000" i="7"/>
  <c r="H999" i="7"/>
  <c r="H998" i="7"/>
  <c r="H997" i="7"/>
  <c r="H996" i="7"/>
  <c r="H995" i="7"/>
  <c r="H994" i="7"/>
  <c r="H993" i="7"/>
  <c r="H992" i="7"/>
  <c r="H991" i="7"/>
  <c r="H990" i="7"/>
  <c r="H989" i="7"/>
  <c r="H988" i="7" l="1"/>
  <c r="H987" i="7"/>
  <c r="H986" i="7"/>
  <c r="H985" i="7"/>
  <c r="H984" i="7"/>
  <c r="H983" i="7"/>
  <c r="H982" i="7"/>
  <c r="H981" i="7"/>
  <c r="H980" i="7"/>
  <c r="H979" i="7"/>
  <c r="G122" i="2" l="1"/>
  <c r="H978" i="7"/>
  <c r="H977" i="7"/>
  <c r="H976" i="7"/>
  <c r="H975" i="7"/>
  <c r="H974" i="7"/>
  <c r="H973" i="7"/>
  <c r="H972" i="7"/>
  <c r="H971" i="7"/>
  <c r="H970" i="7"/>
  <c r="H969" i="7"/>
  <c r="H968" i="7"/>
  <c r="H967" i="7"/>
  <c r="H966" i="7"/>
  <c r="H1922" i="7" l="1"/>
  <c r="H1924" i="7" s="1"/>
  <c r="H1926" i="7" l="1"/>
  <c r="H2631" i="7" l="1"/>
  <c r="E2943" i="7"/>
  <c r="H2943" i="7" s="1"/>
  <c r="H2942" i="7"/>
  <c r="H2941" i="7"/>
  <c r="H2940" i="7"/>
  <c r="H2939" i="7"/>
  <c r="H2938" i="7"/>
  <c r="H2937" i="7"/>
  <c r="H2936" i="7"/>
  <c r="H2929" i="7"/>
  <c r="H2928" i="7"/>
  <c r="H2921" i="7"/>
  <c r="H2920" i="7"/>
  <c r="H2919" i="7"/>
  <c r="H2918" i="7"/>
  <c r="H2917" i="7"/>
  <c r="H2916" i="7"/>
  <c r="H2915" i="7"/>
  <c r="H2914" i="7"/>
  <c r="H2913" i="7"/>
  <c r="H2912" i="7"/>
  <c r="H2911" i="7"/>
  <c r="H2910" i="7"/>
  <c r="H2909" i="7"/>
  <c r="H2908" i="7"/>
  <c r="H2907" i="7"/>
  <c r="H2906" i="7"/>
  <c r="H2905" i="7"/>
  <c r="H2904" i="7"/>
  <c r="E2897" i="7"/>
  <c r="H2897" i="7" s="1"/>
  <c r="H2896" i="7"/>
  <c r="H2895" i="7"/>
  <c r="H2894" i="7"/>
  <c r="H2893" i="7"/>
  <c r="H2892" i="7"/>
  <c r="E2891" i="7"/>
  <c r="H2891" i="7" s="1"/>
  <c r="H2890" i="7"/>
  <c r="H2889" i="7"/>
  <c r="H2888" i="7"/>
  <c r="H2887" i="7"/>
  <c r="H2886" i="7"/>
  <c r="H2885" i="7"/>
  <c r="H2884" i="7"/>
  <c r="H2883" i="7"/>
  <c r="H2882" i="7"/>
  <c r="H2881" i="7"/>
  <c r="H2880" i="7"/>
  <c r="H2879" i="7"/>
  <c r="E2871" i="7"/>
  <c r="H2871" i="7" s="1"/>
  <c r="H2870" i="7"/>
  <c r="E2869" i="7"/>
  <c r="H2869" i="7" s="1"/>
  <c r="H2868" i="7"/>
  <c r="E2867" i="7"/>
  <c r="H2867" i="7" s="1"/>
  <c r="E2866" i="7"/>
  <c r="H2866" i="7" s="1"/>
  <c r="E2865" i="7"/>
  <c r="H2865" i="7" s="1"/>
  <c r="H2864" i="7"/>
  <c r="H2863" i="7"/>
  <c r="H2862" i="7"/>
  <c r="H2861" i="7"/>
  <c r="H2860" i="7"/>
  <c r="H2859" i="7"/>
  <c r="H2858" i="7"/>
  <c r="H2857" i="7"/>
  <c r="H2856" i="7"/>
  <c r="H2855" i="7"/>
  <c r="H2854" i="7"/>
  <c r="H2853" i="7"/>
  <c r="H2852" i="7"/>
  <c r="H2851" i="7"/>
  <c r="H2850" i="7"/>
  <c r="H2849" i="7"/>
  <c r="H2848" i="7"/>
  <c r="H2847" i="7"/>
  <c r="H2846" i="7"/>
  <c r="H2845" i="7"/>
  <c r="H2844" i="7"/>
  <c r="H2843" i="7"/>
  <c r="H2842" i="7"/>
  <c r="H2841" i="7"/>
  <c r="H2840" i="7"/>
  <c r="H2839" i="7"/>
  <c r="H2838" i="7"/>
  <c r="H2837" i="7"/>
  <c r="H2836" i="7"/>
  <c r="H2835" i="7"/>
  <c r="H2834" i="7"/>
  <c r="H2833" i="7"/>
  <c r="H2832" i="7"/>
  <c r="H2831" i="7"/>
  <c r="H2830" i="7"/>
  <c r="H2829" i="7"/>
  <c r="H2828" i="7"/>
  <c r="H2827" i="7"/>
  <c r="H2826" i="7"/>
  <c r="H2825" i="7"/>
  <c r="H2824" i="7"/>
  <c r="H2823" i="7"/>
  <c r="H2822" i="7"/>
  <c r="H2821" i="7"/>
  <c r="H2820" i="7"/>
  <c r="H2819" i="7"/>
  <c r="H2818" i="7"/>
  <c r="H2817" i="7"/>
  <c r="H2816" i="7"/>
  <c r="H2815" i="7"/>
  <c r="H2814" i="7"/>
  <c r="H2813" i="7"/>
  <c r="H2812" i="7"/>
  <c r="H2811" i="7"/>
  <c r="H2810" i="7"/>
  <c r="H2809" i="7"/>
  <c r="H2808" i="7"/>
  <c r="H2807" i="7"/>
  <c r="H2806" i="7"/>
  <c r="H2805" i="7"/>
  <c r="H2804" i="7"/>
  <c r="H2803" i="7"/>
  <c r="H2802" i="7"/>
  <c r="H2801" i="7"/>
  <c r="H2800" i="7"/>
  <c r="H2799" i="7"/>
  <c r="H2798" i="7"/>
  <c r="H2797" i="7"/>
  <c r="H2796" i="7"/>
  <c r="H2795" i="7"/>
  <c r="H2794" i="7"/>
  <c r="H2793" i="7"/>
  <c r="H2792" i="7"/>
  <c r="H2791" i="7"/>
  <c r="H2790" i="7"/>
  <c r="H2789" i="7"/>
  <c r="H2788" i="7"/>
  <c r="H2787" i="7"/>
  <c r="H2786" i="7"/>
  <c r="H2785" i="7"/>
  <c r="H2784" i="7"/>
  <c r="H2783" i="7"/>
  <c r="H2782" i="7"/>
  <c r="H2781" i="7"/>
  <c r="H2780" i="7"/>
  <c r="H2779" i="7"/>
  <c r="H2778" i="7"/>
  <c r="H2777" i="7"/>
  <c r="H2776" i="7"/>
  <c r="H2775" i="7"/>
  <c r="H2774" i="7"/>
  <c r="H2773" i="7"/>
  <c r="H2772" i="7"/>
  <c r="H2771" i="7"/>
  <c r="H2770" i="7"/>
  <c r="H2769" i="7"/>
  <c r="H2768" i="7"/>
  <c r="H2767" i="7"/>
  <c r="H2766" i="7"/>
  <c r="H2765" i="7"/>
  <c r="H2764" i="7"/>
  <c r="H2763" i="7"/>
  <c r="H2762" i="7"/>
  <c r="H2761" i="7"/>
  <c r="H2760" i="7"/>
  <c r="H2759" i="7"/>
  <c r="H2758" i="7"/>
  <c r="H2757" i="7"/>
  <c r="H2756" i="7"/>
  <c r="H2755" i="7"/>
  <c r="H2754" i="7"/>
  <c r="H2753" i="7"/>
  <c r="H2752" i="7"/>
  <c r="H2751" i="7"/>
  <c r="H2750" i="7"/>
  <c r="H2749" i="7"/>
  <c r="H2748" i="7"/>
  <c r="H2747" i="7"/>
  <c r="H2746" i="7"/>
  <c r="H2745" i="7"/>
  <c r="H2744" i="7"/>
  <c r="H2743" i="7"/>
  <c r="H2742" i="7"/>
  <c r="H2741" i="7"/>
  <c r="H2740" i="7"/>
  <c r="H2739" i="7"/>
  <c r="H2738" i="7"/>
  <c r="H2737" i="7"/>
  <c r="H2736" i="7"/>
  <c r="H2735" i="7"/>
  <c r="H2734" i="7"/>
  <c r="H2733" i="7"/>
  <c r="H2732" i="7"/>
  <c r="H2731" i="7"/>
  <c r="H2730" i="7"/>
  <c r="H2729" i="7"/>
  <c r="H2728" i="7"/>
  <c r="H2727" i="7"/>
  <c r="H2726" i="7"/>
  <c r="H2725" i="7"/>
  <c r="H2724" i="7"/>
  <c r="H2723" i="7"/>
  <c r="H2722" i="7"/>
  <c r="H2721" i="7"/>
  <c r="H2720" i="7"/>
  <c r="H2719" i="7"/>
  <c r="H2718" i="7"/>
  <c r="H2717" i="7"/>
  <c r="H2716" i="7"/>
  <c r="H2715" i="7"/>
  <c r="H2714" i="7"/>
  <c r="H2713" i="7"/>
  <c r="H2712" i="7"/>
  <c r="H2711" i="7"/>
  <c r="H2710" i="7"/>
  <c r="H2709" i="7"/>
  <c r="H2708" i="7"/>
  <c r="H2707" i="7"/>
  <c r="H2706" i="7"/>
  <c r="H2705" i="7"/>
  <c r="H2704" i="7"/>
  <c r="H2703" i="7"/>
  <c r="H2702" i="7"/>
  <c r="H2701" i="7"/>
  <c r="H2700" i="7"/>
  <c r="H2699" i="7"/>
  <c r="H2698" i="7"/>
  <c r="H2697" i="7"/>
  <c r="H2696" i="7"/>
  <c r="H2695" i="7"/>
  <c r="H2694" i="7"/>
  <c r="H2693" i="7"/>
  <c r="H2692" i="7"/>
  <c r="H2691" i="7"/>
  <c r="H2690" i="7"/>
  <c r="H2689" i="7"/>
  <c r="H2688" i="7"/>
  <c r="H2687" i="7"/>
  <c r="H2686" i="7"/>
  <c r="H2685" i="7"/>
  <c r="H2684" i="7"/>
  <c r="H2683" i="7"/>
  <c r="H2682" i="7"/>
  <c r="H2681" i="7"/>
  <c r="H2680" i="7"/>
  <c r="H2679" i="7"/>
  <c r="H2678" i="7"/>
  <c r="H2677" i="7"/>
  <c r="H2676" i="7"/>
  <c r="H2675" i="7"/>
  <c r="H2674" i="7"/>
  <c r="H2673" i="7"/>
  <c r="H2672" i="7"/>
  <c r="H2671" i="7"/>
  <c r="H2670" i="7"/>
  <c r="H2669" i="7"/>
  <c r="H2668" i="7"/>
  <c r="H2667" i="7"/>
  <c r="H2666" i="7"/>
  <c r="H2665" i="7"/>
  <c r="H2664" i="7"/>
  <c r="H2663" i="7"/>
  <c r="H2662" i="7"/>
  <c r="H2661" i="7"/>
  <c r="H2660" i="7"/>
  <c r="H2659" i="7"/>
  <c r="H2658" i="7"/>
  <c r="H2657" i="7"/>
  <c r="H2656" i="7"/>
  <c r="H2655" i="7"/>
  <c r="H2654" i="7"/>
  <c r="G2653" i="7"/>
  <c r="H2653" i="7" s="1"/>
  <c r="H2652" i="7"/>
  <c r="H2651" i="7"/>
  <c r="H2650" i="7"/>
  <c r="H2649" i="7"/>
  <c r="H2648" i="7"/>
  <c r="H2647" i="7"/>
  <c r="H2646" i="7"/>
  <c r="H2645" i="7"/>
  <c r="H2644" i="7"/>
  <c r="H2643" i="7"/>
  <c r="H2642" i="7"/>
  <c r="H2641" i="7"/>
  <c r="H2640" i="7"/>
  <c r="H2639" i="7"/>
  <c r="H2638" i="7"/>
  <c r="H2637" i="7"/>
  <c r="H2636" i="7"/>
  <c r="H2635" i="7"/>
  <c r="H2634" i="7"/>
  <c r="H2633" i="7"/>
  <c r="H2632" i="7"/>
  <c r="H2630" i="7"/>
  <c r="H2931" i="7" l="1"/>
  <c r="H2932" i="7" s="1"/>
  <c r="H2933" i="7" s="1"/>
  <c r="H2923" i="7"/>
  <c r="H2924" i="7" s="1"/>
  <c r="H2925" i="7" s="1"/>
  <c r="H2899" i="7"/>
  <c r="H2947" i="7"/>
  <c r="H2874" i="7"/>
  <c r="H2949" i="7" l="1"/>
  <c r="H2900" i="7"/>
  <c r="H2901" i="7" s="1"/>
  <c r="H2876" i="7"/>
  <c r="G3476" i="7" l="1"/>
  <c r="H3476" i="7" s="1"/>
  <c r="G3474" i="7"/>
  <c r="H3474" i="7" s="1"/>
  <c r="H3514" i="7"/>
  <c r="H3513" i="7"/>
  <c r="H3512" i="7"/>
  <c r="H3511" i="7"/>
  <c r="H3509" i="7"/>
  <c r="H3508" i="7"/>
  <c r="H3507" i="7"/>
  <c r="H3506" i="7"/>
  <c r="H3503" i="7"/>
  <c r="H3502" i="7"/>
  <c r="H3498" i="7"/>
  <c r="H3497" i="7"/>
  <c r="H3496" i="7"/>
  <c r="H3495" i="7"/>
  <c r="H3492" i="7"/>
  <c r="H3491" i="7"/>
  <c r="H3490" i="7"/>
  <c r="H3489" i="7"/>
  <c r="H3488" i="7"/>
  <c r="H3487" i="7"/>
  <c r="H3486" i="7"/>
  <c r="H3485" i="7"/>
  <c r="H3484" i="7"/>
  <c r="H3483" i="7"/>
  <c r="H3482" i="7"/>
  <c r="H3481" i="7"/>
  <c r="H3480" i="7"/>
  <c r="H3479" i="7"/>
  <c r="H3478" i="7"/>
  <c r="H3477" i="7"/>
  <c r="H1864" i="7"/>
  <c r="H1862" i="7"/>
  <c r="E1861" i="7"/>
  <c r="H1861" i="7" s="1"/>
  <c r="E1891" i="7"/>
  <c r="H1891" i="7" s="1"/>
  <c r="H1860" i="7"/>
  <c r="E1942" i="7"/>
  <c r="H1942" i="7" s="1"/>
  <c r="H2194" i="7"/>
  <c r="H2193" i="7"/>
  <c r="H2189" i="7"/>
  <c r="H3523" i="7" l="1"/>
  <c r="H3697" i="7"/>
  <c r="H2113" i="7" l="1"/>
  <c r="H2106" i="7"/>
  <c r="H2035" i="7"/>
  <c r="H1953" i="7"/>
  <c r="H2207" i="7"/>
  <c r="H2206" i="7"/>
  <c r="H2205" i="7"/>
  <c r="H2204" i="7"/>
  <c r="H2203" i="7"/>
  <c r="E2202" i="7"/>
  <c r="H2202" i="7" s="1"/>
  <c r="H2201" i="7"/>
  <c r="H2200" i="7"/>
  <c r="H2199" i="7"/>
  <c r="H2198" i="7"/>
  <c r="H2197" i="7"/>
  <c r="H2196" i="7"/>
  <c r="H2195" i="7"/>
  <c r="H2192" i="7"/>
  <c r="H2191" i="7"/>
  <c r="H2190" i="7"/>
  <c r="H2188" i="7"/>
  <c r="H2187" i="7"/>
  <c r="H2185" i="7"/>
  <c r="H2184" i="7"/>
  <c r="H2183" i="7"/>
  <c r="H2182" i="7"/>
  <c r="H2181" i="7"/>
  <c r="H2180" i="7"/>
  <c r="H2179" i="7"/>
  <c r="H2178" i="7"/>
  <c r="H2177" i="7"/>
  <c r="H2176" i="7"/>
  <c r="H2175" i="7"/>
  <c r="H2174" i="7"/>
  <c r="H2173" i="7"/>
  <c r="H2172" i="7"/>
  <c r="H2171" i="7"/>
  <c r="H2170" i="7"/>
  <c r="H2169" i="7"/>
  <c r="H2168" i="7"/>
  <c r="H2167" i="7"/>
  <c r="H2166" i="7"/>
  <c r="H2165" i="7"/>
  <c r="H2164" i="7"/>
  <c r="H2163" i="7"/>
  <c r="H2162" i="7"/>
  <c r="H2161" i="7"/>
  <c r="H2160" i="7"/>
  <c r="H2159" i="7"/>
  <c r="H2158" i="7"/>
  <c r="H2157" i="7"/>
  <c r="H2156" i="7"/>
  <c r="H2155" i="7"/>
  <c r="H2154" i="7"/>
  <c r="H2153" i="7"/>
  <c r="H2152" i="7"/>
  <c r="H2151" i="7"/>
  <c r="H2150" i="7"/>
  <c r="H2149" i="7"/>
  <c r="H2148" i="7"/>
  <c r="H2147" i="7"/>
  <c r="H2146" i="7"/>
  <c r="H2145" i="7"/>
  <c r="H2144" i="7"/>
  <c r="H2143" i="7"/>
  <c r="H2142" i="7"/>
  <c r="H2141" i="7"/>
  <c r="H2140" i="7"/>
  <c r="H2139" i="7"/>
  <c r="H2138" i="7"/>
  <c r="H2137" i="7"/>
  <c r="H2136" i="7"/>
  <c r="H2135" i="7"/>
  <c r="H2134" i="7"/>
  <c r="H2133" i="7"/>
  <c r="H2132" i="7"/>
  <c r="H2131" i="7"/>
  <c r="H2130" i="7"/>
  <c r="H2129" i="7"/>
  <c r="H2128" i="7"/>
  <c r="H2127" i="7"/>
  <c r="H2126" i="7"/>
  <c r="H2125" i="7"/>
  <c r="H2124" i="7"/>
  <c r="H2123" i="7"/>
  <c r="H2122" i="7"/>
  <c r="H2121" i="7"/>
  <c r="H2120" i="7"/>
  <c r="H2119" i="7"/>
  <c r="H2118" i="7"/>
  <c r="H2117" i="7"/>
  <c r="H2116" i="7"/>
  <c r="H2115" i="7"/>
  <c r="H2114" i="7"/>
  <c r="H2112" i="7"/>
  <c r="H2111" i="7"/>
  <c r="H2110" i="7"/>
  <c r="H2109" i="7"/>
  <c r="H2108" i="7"/>
  <c r="H2107" i="7"/>
  <c r="H2105" i="7"/>
  <c r="H2104" i="7"/>
  <c r="H2103" i="7"/>
  <c r="H2102" i="7"/>
  <c r="H2101" i="7"/>
  <c r="H2100" i="7"/>
  <c r="H2099" i="7"/>
  <c r="H2098" i="7"/>
  <c r="H2097" i="7"/>
  <c r="H2096" i="7"/>
  <c r="H2095" i="7"/>
  <c r="H2094" i="7"/>
  <c r="H2093" i="7"/>
  <c r="H2092" i="7"/>
  <c r="H2091" i="7"/>
  <c r="H2090" i="7"/>
  <c r="H2089" i="7"/>
  <c r="H2088" i="7"/>
  <c r="H2087" i="7"/>
  <c r="H2086" i="7"/>
  <c r="H2085" i="7"/>
  <c r="H2084" i="7"/>
  <c r="H2083" i="7"/>
  <c r="H2082" i="7"/>
  <c r="H2081" i="7"/>
  <c r="H2080" i="7"/>
  <c r="H2079" i="7"/>
  <c r="H2078" i="7"/>
  <c r="H2077" i="7"/>
  <c r="H2076" i="7"/>
  <c r="H2075" i="7"/>
  <c r="H2074" i="7"/>
  <c r="H2073" i="7"/>
  <c r="H2072" i="7"/>
  <c r="H2070" i="7"/>
  <c r="H2069" i="7"/>
  <c r="H2068" i="7"/>
  <c r="H2067" i="7"/>
  <c r="H2066" i="7"/>
  <c r="H2065" i="7"/>
  <c r="H2064" i="7"/>
  <c r="H2063" i="7"/>
  <c r="H2062" i="7"/>
  <c r="H2061" i="7"/>
  <c r="H2060" i="7"/>
  <c r="H2059" i="7"/>
  <c r="H2058" i="7"/>
  <c r="H2057" i="7"/>
  <c r="H2056" i="7"/>
  <c r="H2055" i="7"/>
  <c r="H2054" i="7"/>
  <c r="H2053" i="7"/>
  <c r="H2052" i="7"/>
  <c r="H2051" i="7"/>
  <c r="H2050" i="7"/>
  <c r="H2049" i="7"/>
  <c r="H2048" i="7"/>
  <c r="H2047" i="7"/>
  <c r="H2046" i="7"/>
  <c r="H2045" i="7"/>
  <c r="H2044" i="7"/>
  <c r="H2043" i="7"/>
  <c r="H2042" i="7"/>
  <c r="H2041" i="7"/>
  <c r="H2040" i="7"/>
  <c r="H2039" i="7"/>
  <c r="H2038" i="7"/>
  <c r="H2037" i="7"/>
  <c r="H2036" i="7"/>
  <c r="H2034" i="7"/>
  <c r="H2033" i="7"/>
  <c r="H2032" i="7"/>
  <c r="H2031" i="7"/>
  <c r="H2030" i="7"/>
  <c r="H2029" i="7"/>
  <c r="H2028" i="7"/>
  <c r="H2027" i="7"/>
  <c r="H2026" i="7"/>
  <c r="H2025" i="7"/>
  <c r="H2024" i="7"/>
  <c r="H2023" i="7"/>
  <c r="H2022" i="7"/>
  <c r="H2021" i="7"/>
  <c r="H2020" i="7"/>
  <c r="H2019" i="7"/>
  <c r="H2018" i="7"/>
  <c r="H2017" i="7"/>
  <c r="H2016" i="7"/>
  <c r="H2015" i="7"/>
  <c r="H2014" i="7"/>
  <c r="H2013" i="7"/>
  <c r="H2012" i="7"/>
  <c r="H2011" i="7"/>
  <c r="H2010" i="7"/>
  <c r="H2009" i="7"/>
  <c r="H2008" i="7"/>
  <c r="H2007" i="7"/>
  <c r="H2006" i="7"/>
  <c r="H2005" i="7"/>
  <c r="H2004" i="7"/>
  <c r="H2003" i="7"/>
  <c r="H2002" i="7"/>
  <c r="H2001" i="7"/>
  <c r="H2000" i="7"/>
  <c r="H1999" i="7"/>
  <c r="H1998" i="7"/>
  <c r="H1997" i="7"/>
  <c r="H1996" i="7"/>
  <c r="H1995" i="7"/>
  <c r="H1994" i="7"/>
  <c r="H1993" i="7"/>
  <c r="H1992" i="7"/>
  <c r="H1991" i="7"/>
  <c r="H1990" i="7"/>
  <c r="H1989" i="7"/>
  <c r="H1988" i="7"/>
  <c r="H1987" i="7"/>
  <c r="H1986" i="7"/>
  <c r="H1985" i="7"/>
  <c r="H1984" i="7"/>
  <c r="H1983" i="7"/>
  <c r="H1982" i="7"/>
  <c r="H1981" i="7"/>
  <c r="H1980" i="7"/>
  <c r="H1979" i="7"/>
  <c r="H1978" i="7"/>
  <c r="H1977" i="7"/>
  <c r="H1976" i="7"/>
  <c r="G1975" i="7"/>
  <c r="H1975" i="7" s="1"/>
  <c r="H1974" i="7"/>
  <c r="H1973" i="7"/>
  <c r="H1972" i="7"/>
  <c r="H1971" i="7"/>
  <c r="H1970" i="7"/>
  <c r="H1969" i="7"/>
  <c r="H1968" i="7"/>
  <c r="H1967" i="7"/>
  <c r="H1966" i="7"/>
  <c r="H1965" i="7"/>
  <c r="H1964" i="7"/>
  <c r="H1963" i="7"/>
  <c r="H1962" i="7"/>
  <c r="H1961" i="7"/>
  <c r="H1960" i="7"/>
  <c r="H1959" i="7"/>
  <c r="H1958" i="7"/>
  <c r="H1957" i="7"/>
  <c r="H1956" i="7"/>
  <c r="H1955" i="7"/>
  <c r="H1954" i="7"/>
  <c r="H1952" i="7"/>
  <c r="H1930" i="7"/>
  <c r="H1859" i="7"/>
  <c r="H1858" i="7"/>
  <c r="H1941" i="7"/>
  <c r="H1901" i="7"/>
  <c r="H3268" i="7"/>
  <c r="H3265" i="7"/>
  <c r="H3270" i="7"/>
  <c r="H3269" i="7"/>
  <c r="H3267" i="7"/>
  <c r="H3266" i="7"/>
  <c r="H3264" i="7"/>
  <c r="H3263" i="7"/>
  <c r="H3262" i="7"/>
  <c r="H3246" i="7"/>
  <c r="H3243" i="7"/>
  <c r="H2585" i="7"/>
  <c r="H2588" i="7"/>
  <c r="H2577" i="7"/>
  <c r="H2576" i="7"/>
  <c r="H2575" i="7"/>
  <c r="E2574" i="7"/>
  <c r="H2574" i="7" s="1"/>
  <c r="H2570" i="7"/>
  <c r="H2569" i="7"/>
  <c r="H2568" i="7"/>
  <c r="H2567" i="7"/>
  <c r="H2566" i="7"/>
  <c r="H2565" i="7"/>
  <c r="G2554" i="7"/>
  <c r="E2546" i="7"/>
  <c r="G2539" i="7"/>
  <c r="H2539" i="7" s="1"/>
  <c r="H2210" i="7" l="1"/>
  <c r="H2212" i="7" s="1"/>
  <c r="H3273" i="7"/>
  <c r="H3275" i="7" s="1"/>
  <c r="H2546" i="7"/>
  <c r="H2554" i="7"/>
  <c r="H2550" i="7"/>
  <c r="H2547" i="7"/>
  <c r="H2551" i="7"/>
  <c r="H2541" i="7"/>
  <c r="H2540" i="7"/>
  <c r="G287" i="2" l="1"/>
  <c r="H1890" i="7"/>
  <c r="H1857" i="7" l="1"/>
  <c r="H1856" i="7"/>
  <c r="H1855" i="7"/>
  <c r="H1854" i="7"/>
  <c r="H1853" i="7"/>
  <c r="H1852" i="7"/>
  <c r="H1851" i="7"/>
  <c r="H1850" i="7"/>
  <c r="H1849" i="7"/>
  <c r="H1848" i="7"/>
  <c r="H1847" i="7"/>
  <c r="H1846" i="7"/>
  <c r="H1843" i="7"/>
  <c r="H1845" i="7"/>
  <c r="H1844" i="7"/>
  <c r="H1842" i="7"/>
  <c r="H1841" i="7"/>
  <c r="H1840" i="7"/>
  <c r="H1839" i="7"/>
  <c r="H1838" i="7"/>
  <c r="H1837" i="7"/>
  <c r="H1836" i="7"/>
  <c r="H1835" i="7"/>
  <c r="H1829" i="7"/>
  <c r="H1828" i="7"/>
  <c r="H1827" i="7"/>
  <c r="H1826" i="7"/>
  <c r="H1825" i="7"/>
  <c r="H1823" i="7"/>
  <c r="H1822" i="7"/>
  <c r="H1821" i="7"/>
  <c r="H1820" i="7"/>
  <c r="H1819" i="7"/>
  <c r="H1818" i="7"/>
  <c r="H1817" i="7"/>
  <c r="H1816" i="7"/>
  <c r="H1815" i="7"/>
  <c r="H1814" i="7"/>
  <c r="H1813" i="7"/>
  <c r="H1812" i="7"/>
  <c r="H1811" i="7"/>
  <c r="H1810" i="7"/>
  <c r="H1809" i="7"/>
  <c r="H1808" i="7"/>
  <c r="H1807" i="7"/>
  <c r="H1806" i="7"/>
  <c r="H1805" i="7"/>
  <c r="H1804" i="7"/>
  <c r="H1803" i="7"/>
  <c r="H1802" i="7"/>
  <c r="H1801" i="7"/>
  <c r="H1800" i="7"/>
  <c r="H1799" i="7"/>
  <c r="H1798" i="7"/>
  <c r="H1796" i="7"/>
  <c r="H1795" i="7"/>
  <c r="H1794" i="7"/>
  <c r="H1793" i="7"/>
  <c r="H1792" i="7"/>
  <c r="H1791" i="7"/>
  <c r="H1790" i="7"/>
  <c r="H1789" i="7"/>
  <c r="H1788" i="7"/>
  <c r="H1787" i="7"/>
  <c r="H1786" i="7"/>
  <c r="H1785" i="7"/>
  <c r="H1783" i="7"/>
  <c r="H1782" i="7"/>
  <c r="H1781" i="7"/>
  <c r="H1780" i="7"/>
  <c r="H1778" i="7"/>
  <c r="H1777" i="7"/>
  <c r="H1776" i="7"/>
  <c r="H1775" i="7"/>
  <c r="H1774" i="7"/>
  <c r="H1773" i="7"/>
  <c r="H1772" i="7"/>
  <c r="H1771" i="7"/>
  <c r="H1770" i="7"/>
  <c r="H1769" i="7"/>
  <c r="H1768" i="7"/>
  <c r="H1767" i="7"/>
  <c r="H1765" i="7"/>
  <c r="H1764" i="7"/>
  <c r="H1763" i="7"/>
  <c r="H1762" i="7"/>
  <c r="H1761" i="7"/>
  <c r="H1760" i="7"/>
  <c r="H1759" i="7"/>
  <c r="H1756" i="7"/>
  <c r="H1755" i="7"/>
  <c r="H1754" i="7"/>
  <c r="H1753" i="7"/>
  <c r="H1752" i="7"/>
  <c r="H1751" i="7"/>
  <c r="H1750" i="7"/>
  <c r="H1749" i="7"/>
  <c r="H1748" i="7"/>
  <c r="H1747" i="7"/>
  <c r="H1746" i="7"/>
  <c r="H1745" i="7"/>
  <c r="H1744" i="7"/>
  <c r="H1743" i="7"/>
  <c r="H1742" i="7"/>
  <c r="H1741" i="7"/>
  <c r="H1740" i="7"/>
  <c r="H1738" i="7"/>
  <c r="H1737" i="7"/>
  <c r="H1736" i="7"/>
  <c r="H1735" i="7"/>
  <c r="H1734" i="7"/>
  <c r="H1733" i="7"/>
  <c r="H1732" i="7"/>
  <c r="H1730" i="7"/>
  <c r="H1729" i="7"/>
  <c r="H1728" i="7"/>
  <c r="H1727" i="7"/>
  <c r="H1726" i="7"/>
  <c r="H1724" i="7"/>
  <c r="H1723" i="7"/>
  <c r="H1722" i="7"/>
  <c r="H1721" i="7"/>
  <c r="H1720" i="7"/>
  <c r="H1719" i="7"/>
  <c r="H1718" i="7"/>
  <c r="H1717" i="7"/>
  <c r="H1716" i="7"/>
  <c r="H1715" i="7"/>
  <c r="H1714" i="7"/>
  <c r="H1713" i="7"/>
  <c r="H1712" i="7"/>
  <c r="H1711" i="7"/>
  <c r="H1710" i="7"/>
  <c r="H1709" i="7"/>
  <c r="H1708" i="7"/>
  <c r="H1707" i="7"/>
  <c r="H1705" i="7"/>
  <c r="H1704" i="7"/>
  <c r="H1703" i="7"/>
  <c r="H1702" i="7"/>
  <c r="H1701" i="7"/>
  <c r="H1699" i="7"/>
  <c r="H1698" i="7"/>
  <c r="H1697" i="7"/>
  <c r="H1696" i="7"/>
  <c r="H1695" i="7"/>
  <c r="H1694" i="7"/>
  <c r="H1693" i="7"/>
  <c r="H1691" i="7"/>
  <c r="H1690" i="7"/>
  <c r="H1689" i="7"/>
  <c r="H1688" i="7"/>
  <c r="H1687" i="7"/>
  <c r="H1686" i="7"/>
  <c r="H1685" i="7"/>
  <c r="H1684" i="7"/>
  <c r="H1683" i="7"/>
  <c r="H1682" i="7"/>
  <c r="H1681" i="7"/>
  <c r="H1680" i="7"/>
  <c r="H1679" i="7"/>
  <c r="H1678" i="7"/>
  <c r="H1677" i="7"/>
  <c r="H1676" i="7"/>
  <c r="H1675" i="7"/>
  <c r="H1674" i="7"/>
  <c r="H1673" i="7"/>
  <c r="H1672" i="7"/>
  <c r="H1671" i="7"/>
  <c r="H1670" i="7"/>
  <c r="H1669" i="7"/>
  <c r="H1668" i="7"/>
  <c r="H1667" i="7"/>
  <c r="H1666" i="7"/>
  <c r="H1665" i="7"/>
  <c r="H1664" i="7"/>
  <c r="H1663" i="7"/>
  <c r="H1662" i="7"/>
  <c r="H1661" i="7"/>
  <c r="H1660" i="7"/>
  <c r="H1659" i="7"/>
  <c r="H1658" i="7"/>
  <c r="H1657" i="7"/>
  <c r="H1656" i="7"/>
  <c r="H1655" i="7"/>
  <c r="H1654" i="7"/>
  <c r="H1653" i="7"/>
  <c r="H1652" i="7"/>
  <c r="H1651" i="7"/>
  <c r="G1635" i="7"/>
  <c r="H1635" i="7" s="1"/>
  <c r="H1650" i="7"/>
  <c r="H1649" i="7"/>
  <c r="H1647" i="7"/>
  <c r="H1646" i="7"/>
  <c r="H1645" i="7"/>
  <c r="H1644" i="7"/>
  <c r="H1642" i="7"/>
  <c r="H1641" i="7"/>
  <c r="H1640" i="7"/>
  <c r="H1639" i="7"/>
  <c r="H1638" i="7"/>
  <c r="H1637" i="7"/>
  <c r="H1636" i="7"/>
  <c r="H1634" i="7"/>
  <c r="H1633" i="7"/>
  <c r="H1632" i="7"/>
  <c r="H1631" i="7"/>
  <c r="H1630" i="7"/>
  <c r="H1629" i="7"/>
  <c r="H1628" i="7"/>
  <c r="H1627" i="7"/>
  <c r="H1626" i="7"/>
  <c r="H1625" i="7"/>
  <c r="H1624" i="7"/>
  <c r="H1623" i="7"/>
  <c r="H1622" i="7"/>
  <c r="H1621" i="7"/>
  <c r="H1620" i="7"/>
  <c r="H1619" i="7"/>
  <c r="H1618" i="7"/>
  <c r="H1617" i="7"/>
  <c r="H1616" i="7"/>
  <c r="H1615" i="7"/>
  <c r="H1614" i="7"/>
  <c r="H1612" i="7"/>
  <c r="H1426" i="7"/>
  <c r="H1429" i="7" s="1"/>
  <c r="H1867" i="7" l="1"/>
  <c r="H1431" i="7"/>
  <c r="H1592" i="7" l="1"/>
  <c r="H1591" i="7"/>
  <c r="H1590" i="7"/>
  <c r="G69" i="8"/>
  <c r="D7" i="106"/>
  <c r="G58" i="8"/>
  <c r="G39" i="8"/>
  <c r="G38" i="8"/>
  <c r="G35" i="8"/>
  <c r="G20" i="8"/>
  <c r="F1472" i="7"/>
  <c r="H1375" i="7"/>
  <c r="H608" i="7"/>
  <c r="H965" i="7"/>
  <c r="H964" i="7"/>
  <c r="H963" i="7"/>
  <c r="H962" i="7"/>
  <c r="H1598" i="7" l="1"/>
  <c r="H1600" i="7" s="1"/>
  <c r="H607" i="7"/>
  <c r="F606" i="7"/>
  <c r="H606" i="7" s="1"/>
  <c r="H560" i="7"/>
  <c r="H513" i="7"/>
  <c r="H514" i="7"/>
  <c r="H420" i="7"/>
  <c r="H417" i="7"/>
  <c r="H403" i="7"/>
  <c r="H392" i="7"/>
  <c r="H390" i="7"/>
  <c r="F381" i="7"/>
  <c r="H381" i="7" s="1"/>
  <c r="F380" i="7"/>
  <c r="H334" i="7"/>
  <c r="E329" i="7"/>
  <c r="H328" i="7"/>
  <c r="E327" i="7"/>
  <c r="H307" i="7"/>
  <c r="H306" i="7"/>
  <c r="H305" i="7"/>
  <c r="E304" i="7"/>
  <c r="E297" i="7"/>
  <c r="H295" i="7"/>
  <c r="E274" i="7"/>
  <c r="H274" i="7" s="1"/>
  <c r="E273" i="7"/>
  <c r="H273" i="7" s="1"/>
  <c r="H272" i="7"/>
  <c r="E271" i="7"/>
  <c r="H271" i="7" s="1"/>
  <c r="H254" i="7"/>
  <c r="E253" i="7"/>
  <c r="H253" i="7" s="1"/>
  <c r="H252" i="7"/>
  <c r="H251" i="7"/>
  <c r="H250" i="7"/>
  <c r="E262" i="7"/>
  <c r="F262" i="7"/>
  <c r="H263" i="7"/>
  <c r="E239" i="7"/>
  <c r="H218" i="7"/>
  <c r="H217" i="7"/>
  <c r="E213" i="7"/>
  <c r="H190" i="7"/>
  <c r="H189" i="7"/>
  <c r="H188" i="7"/>
  <c r="H187" i="7"/>
  <c r="H186" i="7"/>
  <c r="H185" i="7"/>
  <c r="H184" i="7"/>
  <c r="H183" i="7"/>
  <c r="H182" i="7"/>
  <c r="H181" i="7"/>
  <c r="H180" i="7"/>
  <c r="H179" i="7"/>
  <c r="H178" i="7"/>
  <c r="H177" i="7"/>
  <c r="H167" i="7"/>
  <c r="H166" i="7"/>
  <c r="H160" i="7"/>
  <c r="H154" i="7"/>
  <c r="H153" i="7"/>
  <c r="H152" i="7"/>
  <c r="H169" i="7"/>
  <c r="H165" i="7"/>
  <c r="H164" i="7"/>
  <c r="H163" i="7"/>
  <c r="H159" i="7"/>
  <c r="H158" i="7"/>
  <c r="H157" i="7"/>
  <c r="H156" i="7"/>
  <c r="H155" i="7"/>
  <c r="H151" i="7"/>
  <c r="H150" i="7"/>
  <c r="H149" i="7"/>
  <c r="H148" i="7"/>
  <c r="H135" i="7"/>
  <c r="H122" i="7"/>
  <c r="H108" i="7"/>
  <c r="H107" i="7"/>
  <c r="H134" i="7"/>
  <c r="H133" i="7"/>
  <c r="H132" i="7"/>
  <c r="H131" i="7"/>
  <c r="H130" i="7"/>
  <c r="H128" i="7"/>
  <c r="H126" i="7"/>
  <c r="H124" i="7"/>
  <c r="H123" i="7"/>
  <c r="H120" i="7"/>
  <c r="H118" i="7"/>
  <c r="H117" i="7"/>
  <c r="H114" i="7"/>
  <c r="H112" i="7"/>
  <c r="H111" i="7"/>
  <c r="H110" i="7"/>
  <c r="H109" i="7"/>
  <c r="H106" i="7"/>
  <c r="H105" i="7"/>
  <c r="H278" i="7" l="1"/>
  <c r="H280" i="7" s="1"/>
  <c r="H256" i="7"/>
  <c r="H258" i="7" s="1"/>
  <c r="H262" i="7"/>
  <c r="H265" i="7" s="1"/>
  <c r="H172" i="7"/>
  <c r="H961" i="7"/>
  <c r="G35" i="2" l="1"/>
  <c r="H267" i="7"/>
  <c r="G68" i="8"/>
  <c r="G67" i="8"/>
  <c r="G22" i="8"/>
  <c r="G41" i="2" l="1"/>
  <c r="H4438" i="7"/>
  <c r="E4437" i="7"/>
  <c r="H4437" i="7" s="1"/>
  <c r="H4416" i="7"/>
  <c r="E4414" i="7"/>
  <c r="H4376" i="7"/>
  <c r="H4374" i="7"/>
  <c r="H4373" i="7"/>
  <c r="H4339" i="7"/>
  <c r="H4338" i="7"/>
  <c r="H4337" i="7"/>
  <c r="H4336" i="7"/>
  <c r="H4326" i="7"/>
  <c r="H4327" i="7"/>
  <c r="H1280" i="7"/>
  <c r="F600" i="7"/>
  <c r="H600" i="7" s="1"/>
  <c r="H593" i="7"/>
  <c r="H430" i="7"/>
  <c r="H429" i="7"/>
  <c r="H589" i="7"/>
  <c r="H572" i="7"/>
  <c r="H571" i="7"/>
  <c r="H542" i="7"/>
  <c r="H541" i="7"/>
  <c r="H512" i="7"/>
  <c r="H511" i="7"/>
  <c r="H519" i="7"/>
  <c r="H428" i="7"/>
  <c r="F427" i="7"/>
  <c r="H427" i="7" s="1"/>
  <c r="H426" i="7"/>
  <c r="H425" i="7"/>
  <c r="F424" i="7"/>
  <c r="H424" i="7" s="1"/>
  <c r="F423" i="7"/>
  <c r="H423" i="7" s="1"/>
  <c r="H422" i="7"/>
  <c r="H421" i="7"/>
  <c r="H4343" i="7" l="1"/>
  <c r="H4344" i="7" s="1"/>
  <c r="H4345" i="7" s="1"/>
  <c r="G389" i="2" l="1"/>
  <c r="G396" i="2"/>
  <c r="G380" i="2" l="1"/>
  <c r="H419" i="7" l="1"/>
  <c r="H418" i="7"/>
  <c r="H416" i="7"/>
  <c r="H415" i="7"/>
  <c r="H414" i="7"/>
  <c r="H413" i="7"/>
  <c r="H412" i="7"/>
  <c r="H411" i="7"/>
  <c r="H410" i="7"/>
  <c r="H409" i="7"/>
  <c r="H408" i="7"/>
  <c r="H407" i="7"/>
  <c r="H406" i="7"/>
  <c r="H405" i="7"/>
  <c r="H404" i="7"/>
  <c r="H402" i="7"/>
  <c r="H401" i="7"/>
  <c r="H391" i="7"/>
  <c r="H333" i="7"/>
  <c r="H400" i="7"/>
  <c r="H399" i="7"/>
  <c r="H398" i="7"/>
  <c r="H397" i="7"/>
  <c r="H396" i="7"/>
  <c r="H395" i="7"/>
  <c r="H394" i="7"/>
  <c r="H389" i="7"/>
  <c r="H393" i="7"/>
  <c r="H388" i="7"/>
  <c r="H387" i="7"/>
  <c r="H386" i="7"/>
  <c r="H385" i="7"/>
  <c r="H384" i="7"/>
  <c r="H383" i="7"/>
  <c r="H380" i="7"/>
  <c r="H371" i="7"/>
  <c r="H368" i="7"/>
  <c r="H304" i="7"/>
  <c r="H303" i="7"/>
  <c r="H296" i="7" l="1"/>
  <c r="H223" i="7"/>
  <c r="H222" i="7"/>
  <c r="H216" i="7"/>
  <c r="H215" i="7"/>
  <c r="H143" i="7" l="1"/>
  <c r="H144" i="7" s="1"/>
  <c r="H145" i="7" s="1"/>
  <c r="H5128" i="7"/>
  <c r="H5129" i="7"/>
  <c r="H5130" i="7"/>
  <c r="H5131" i="7"/>
  <c r="H5132" i="7"/>
  <c r="H5133" i="7"/>
  <c r="H5066" i="7"/>
  <c r="H5065" i="7"/>
  <c r="H5055" i="7"/>
  <c r="H5056" i="7"/>
  <c r="H5127" i="7" l="1"/>
  <c r="H5126" i="7"/>
  <c r="H5125" i="7"/>
  <c r="H5124" i="7"/>
  <c r="H5123" i="7"/>
  <c r="H5122" i="7"/>
  <c r="H5054" i="7"/>
  <c r="H5053" i="7"/>
  <c r="H5052" i="7"/>
  <c r="H5051" i="7"/>
  <c r="H5050" i="7"/>
  <c r="H4106" i="7" l="1"/>
  <c r="H4050" i="7"/>
  <c r="H41" i="7"/>
  <c r="H40" i="7"/>
  <c r="H39" i="7"/>
  <c r="H38" i="7"/>
  <c r="H37" i="7"/>
  <c r="H36" i="7"/>
  <c r="H35" i="7"/>
  <c r="H34" i="7"/>
  <c r="H33" i="7"/>
  <c r="H32" i="7"/>
  <c r="H31" i="7"/>
  <c r="H30" i="7"/>
  <c r="H29" i="7"/>
  <c r="I5038" i="7" l="1"/>
  <c r="H1603" i="7"/>
  <c r="H1549" i="7"/>
  <c r="H1540" i="7"/>
  <c r="H1384" i="7"/>
  <c r="H1383" i="7"/>
  <c r="H1119" i="7"/>
  <c r="H1118" i="7"/>
  <c r="H1116" i="7"/>
  <c r="H1203" i="7" l="1"/>
  <c r="H1607" i="7"/>
  <c r="H1609" i="7" s="1"/>
  <c r="H1552" i="7"/>
  <c r="H1554" i="7" s="1"/>
  <c r="H1387" i="7"/>
  <c r="H1389" i="7" s="1"/>
  <c r="G242" i="2" l="1"/>
  <c r="G60" i="8" l="1"/>
  <c r="H960" i="7" l="1"/>
  <c r="H959" i="7"/>
  <c r="H4092" i="7" l="1"/>
  <c r="H4091" i="7"/>
  <c r="H4090" i="7"/>
  <c r="G3443" i="7"/>
  <c r="G3442" i="7"/>
  <c r="G3428" i="7"/>
  <c r="G3426" i="7"/>
  <c r="G3416" i="7"/>
  <c r="G3410" i="7"/>
  <c r="G3389" i="7"/>
  <c r="G3379" i="7"/>
  <c r="G3373" i="7"/>
  <c r="G3368" i="7"/>
  <c r="G3367" i="7"/>
  <c r="G3363" i="7"/>
  <c r="G3360" i="7"/>
  <c r="G3354" i="7"/>
  <c r="G3352" i="7"/>
  <c r="G3336" i="7"/>
  <c r="G3331" i="7"/>
  <c r="G3329" i="7"/>
  <c r="G3324" i="7"/>
  <c r="G3322" i="7"/>
  <c r="G3318" i="7"/>
  <c r="G3314" i="7"/>
  <c r="G3310" i="7"/>
  <c r="G3307" i="7"/>
  <c r="G3304" i="7"/>
  <c r="G3297" i="7"/>
  <c r="G3294" i="7"/>
  <c r="G3207" i="7"/>
  <c r="G3206" i="7"/>
  <c r="G3187" i="7"/>
  <c r="G3184" i="7"/>
  <c r="G3166" i="7"/>
  <c r="G3156" i="7"/>
  <c r="G3122" i="7"/>
  <c r="G3108" i="7"/>
  <c r="G3100" i="7"/>
  <c r="G3094" i="7"/>
  <c r="G3093" i="7"/>
  <c r="G3089" i="7"/>
  <c r="G3084" i="7"/>
  <c r="G3073" i="7"/>
  <c r="G3070" i="7"/>
  <c r="G3044" i="7"/>
  <c r="G3038" i="7"/>
  <c r="G3037" i="7"/>
  <c r="G3035" i="7"/>
  <c r="G3027" i="7"/>
  <c r="G3024" i="7"/>
  <c r="G3017" i="7"/>
  <c r="G3010" i="7"/>
  <c r="G3005" i="7"/>
  <c r="G3003" i="7"/>
  <c r="G3002" i="7"/>
  <c r="G3000" i="7"/>
  <c r="G2998" i="7"/>
  <c r="G2997" i="7"/>
  <c r="G2995" i="7"/>
  <c r="G2993" i="7"/>
  <c r="G2992" i="7"/>
  <c r="G2990" i="7"/>
  <c r="G2986" i="7"/>
  <c r="G2984" i="7"/>
  <c r="G2982" i="7"/>
  <c r="G2981" i="7"/>
  <c r="G2979" i="7"/>
  <c r="G2977" i="7"/>
  <c r="G2976" i="7"/>
  <c r="G2974" i="7"/>
  <c r="G2972" i="7"/>
  <c r="G2970" i="7"/>
  <c r="G2965" i="7"/>
  <c r="G2957" i="7"/>
  <c r="G2538" i="7"/>
  <c r="H4095" i="7" l="1"/>
  <c r="H4097" i="7" l="1"/>
  <c r="J5110" i="7" l="1"/>
  <c r="J5111" i="7"/>
  <c r="J5112" i="7"/>
  <c r="J5113" i="7"/>
  <c r="J5114" i="7"/>
  <c r="J5115" i="7"/>
  <c r="J5116" i="7"/>
  <c r="J5117" i="7"/>
  <c r="J5118" i="7"/>
  <c r="J5119" i="7"/>
  <c r="J5120" i="7"/>
  <c r="J5121" i="7"/>
  <c r="J5109" i="7"/>
  <c r="A42" i="70"/>
  <c r="H5121" i="7"/>
  <c r="H5120" i="7"/>
  <c r="H5118" i="7"/>
  <c r="H5117" i="7"/>
  <c r="H5113" i="7"/>
  <c r="H5110" i="7"/>
  <c r="H5119" i="7"/>
  <c r="H5116" i="7"/>
  <c r="H5115" i="7"/>
  <c r="H5114" i="7"/>
  <c r="H5112" i="7"/>
  <c r="H5111" i="7"/>
  <c r="H5109" i="7"/>
  <c r="H5049" i="7"/>
  <c r="H5048" i="7"/>
  <c r="H5047" i="7"/>
  <c r="H5044" i="7"/>
  <c r="J5135" i="7" l="1"/>
  <c r="J5136" i="7" s="1"/>
  <c r="J5137" i="7" s="1"/>
  <c r="G6" i="8" l="1"/>
  <c r="H889" i="7" l="1"/>
  <c r="H888" i="7"/>
  <c r="H892" i="7" l="1"/>
  <c r="H894" i="7" s="1"/>
  <c r="G66" i="8" l="1"/>
  <c r="F12" i="106"/>
  <c r="F11" i="106"/>
  <c r="F10" i="106"/>
  <c r="F7" i="106"/>
  <c r="F6" i="106"/>
  <c r="F5" i="106"/>
  <c r="I120" i="104"/>
  <c r="I119" i="104"/>
  <c r="I115" i="104"/>
  <c r="I114" i="104"/>
  <c r="I86" i="104"/>
  <c r="I54" i="104"/>
  <c r="I53" i="104"/>
  <c r="I52" i="104"/>
  <c r="I115" i="103"/>
  <c r="I110" i="103"/>
  <c r="I106" i="103"/>
  <c r="I103" i="103"/>
  <c r="I100" i="103"/>
  <c r="I95" i="103"/>
  <c r="I91" i="103"/>
  <c r="I84" i="103"/>
  <c r="I80" i="103"/>
  <c r="I76" i="103"/>
  <c r="I72" i="103"/>
  <c r="I57" i="103"/>
  <c r="I48" i="103"/>
  <c r="I40" i="103"/>
  <c r="I32" i="103"/>
  <c r="I27" i="103"/>
  <c r="I22" i="103"/>
  <c r="I15" i="103"/>
  <c r="I9" i="103"/>
  <c r="I141" i="104" l="1"/>
  <c r="C7" i="102" s="1"/>
  <c r="I65" i="103"/>
  <c r="I131" i="103" s="1"/>
  <c r="C6" i="102" s="1"/>
  <c r="I89" i="103"/>
  <c r="F9" i="106"/>
  <c r="F8" i="106"/>
  <c r="C9" i="102" l="1"/>
  <c r="F14" i="106"/>
  <c r="C15" i="37" s="1"/>
  <c r="D15" i="37" s="1"/>
  <c r="C14" i="37" l="1"/>
  <c r="D14" i="37" s="1"/>
  <c r="C13" i="102" l="1"/>
  <c r="C10" i="102"/>
  <c r="C11" i="102" s="1"/>
  <c r="G65" i="101"/>
  <c r="G41" i="101" l="1"/>
  <c r="G112" i="101"/>
  <c r="G88" i="101"/>
  <c r="G56" i="101"/>
  <c r="G44" i="101"/>
  <c r="G47" i="101"/>
  <c r="G97" i="101"/>
  <c r="G91" i="101"/>
  <c r="G94" i="101"/>
  <c r="G33" i="99"/>
  <c r="G345" i="99" l="1"/>
  <c r="G32" i="99"/>
  <c r="G48" i="99"/>
  <c r="G339" i="99"/>
  <c r="G70" i="99"/>
  <c r="G46" i="99"/>
  <c r="G350" i="99"/>
  <c r="G330" i="99"/>
  <c r="G285" i="99"/>
  <c r="G213" i="99"/>
  <c r="G125" i="99"/>
  <c r="G53" i="99"/>
  <c r="G385" i="99"/>
  <c r="G369" i="99"/>
  <c r="G361" i="99"/>
  <c r="G321" i="99"/>
  <c r="G295" i="99"/>
  <c r="G288" i="99"/>
  <c r="G284" i="99"/>
  <c r="G280" i="99"/>
  <c r="G216" i="99"/>
  <c r="G204" i="99"/>
  <c r="G188" i="99"/>
  <c r="G172" i="99"/>
  <c r="G164" i="99"/>
  <c r="G156" i="99"/>
  <c r="G136" i="99"/>
  <c r="G108" i="99"/>
  <c r="G92" i="99"/>
  <c r="G84" i="99"/>
  <c r="G72" i="99"/>
  <c r="G28" i="99"/>
  <c r="G24" i="99"/>
  <c r="G265" i="99"/>
  <c r="G173" i="99"/>
  <c r="G373" i="99"/>
  <c r="G365" i="99"/>
  <c r="G191" i="99"/>
  <c r="G147" i="99"/>
  <c r="G43" i="99"/>
  <c r="G366" i="99"/>
  <c r="G225" i="99"/>
  <c r="G185" i="99"/>
  <c r="G137" i="99"/>
  <c r="G29" i="99"/>
  <c r="G368" i="99"/>
  <c r="G308" i="99"/>
  <c r="G294" i="99"/>
  <c r="G287" i="99"/>
  <c r="G275" i="99"/>
  <c r="G243" i="99"/>
  <c r="G219" i="99"/>
  <c r="G207" i="99"/>
  <c r="G107" i="99"/>
  <c r="G91" i="99"/>
  <c r="G71" i="99"/>
  <c r="G23" i="99"/>
  <c r="G19" i="99"/>
  <c r="G382" i="99"/>
  <c r="G322" i="99"/>
  <c r="G302" i="99"/>
  <c r="G277" i="99"/>
  <c r="G233" i="99"/>
  <c r="G41" i="99"/>
  <c r="G364" i="99"/>
  <c r="G338" i="99"/>
  <c r="G344" i="99"/>
  <c r="G379" i="99"/>
  <c r="G367" i="99"/>
  <c r="G343" i="99"/>
  <c r="G327" i="99"/>
  <c r="G307" i="99"/>
  <c r="G303" i="99"/>
  <c r="G293" i="99"/>
  <c r="G286" i="99"/>
  <c r="G242" i="99"/>
  <c r="G234" i="99"/>
  <c r="G222" i="99"/>
  <c r="G210" i="99"/>
  <c r="G174" i="99"/>
  <c r="G166" i="99"/>
  <c r="G150" i="99"/>
  <c r="G146" i="99"/>
  <c r="G110" i="99"/>
  <c r="G106" i="99"/>
  <c r="G58" i="99"/>
  <c r="G18" i="99"/>
  <c r="G370" i="99"/>
  <c r="G289" i="99"/>
  <c r="G165" i="99"/>
  <c r="G93" i="99"/>
  <c r="G151" i="101"/>
  <c r="G136" i="101"/>
  <c r="G32" i="101"/>
  <c r="G145" i="101"/>
  <c r="G142" i="101"/>
  <c r="G29" i="101"/>
  <c r="G38" i="101"/>
  <c r="G148" i="101"/>
  <c r="G35" i="101"/>
  <c r="G398" i="99" l="1"/>
  <c r="G158" i="99"/>
  <c r="G352" i="99"/>
  <c r="G129" i="99"/>
  <c r="G34" i="99"/>
  <c r="G98" i="99"/>
  <c r="G226" i="99"/>
  <c r="G375" i="99"/>
  <c r="G159" i="101"/>
  <c r="C7" i="98" s="1"/>
  <c r="G409" i="99" l="1"/>
  <c r="G410" i="99" s="1"/>
  <c r="G411" i="99" s="1"/>
  <c r="G160" i="101"/>
  <c r="G161" i="101" s="1"/>
  <c r="C6" i="98" l="1"/>
  <c r="C8" i="98" s="1"/>
  <c r="C12" i="37" l="1"/>
  <c r="D12" i="37" s="1"/>
  <c r="C9" i="98"/>
  <c r="C10" i="98" s="1"/>
  <c r="G17" i="97" l="1"/>
  <c r="G15" i="97"/>
  <c r="G12" i="97"/>
  <c r="G6" i="97"/>
  <c r="G13" i="96"/>
  <c r="G16" i="96"/>
  <c r="G10" i="97"/>
  <c r="G8" i="97"/>
  <c r="G12" i="96" l="1"/>
  <c r="G20" i="96"/>
  <c r="G25" i="96"/>
  <c r="G14" i="96"/>
  <c r="G8" i="96"/>
  <c r="G31" i="96"/>
  <c r="G23" i="96"/>
  <c r="G27" i="96"/>
  <c r="G29" i="96"/>
  <c r="G11" i="96"/>
  <c r="G7" i="96"/>
  <c r="G18" i="96"/>
  <c r="G18" i="97"/>
  <c r="G32" i="96" l="1"/>
  <c r="G19" i="97"/>
  <c r="G20" i="97" s="1"/>
  <c r="G33" i="96" l="1"/>
  <c r="G34" i="96" s="1"/>
  <c r="H9" i="94"/>
  <c r="H13" i="94"/>
  <c r="H17" i="94"/>
  <c r="G8" i="94"/>
  <c r="H8" i="94"/>
  <c r="G9" i="94"/>
  <c r="H10" i="94"/>
  <c r="G11" i="94"/>
  <c r="H11" i="94"/>
  <c r="G12" i="94"/>
  <c r="H12" i="94"/>
  <c r="G13" i="94"/>
  <c r="H14" i="94"/>
  <c r="G15" i="94"/>
  <c r="H15" i="94"/>
  <c r="G16" i="94"/>
  <c r="H16" i="94"/>
  <c r="G17" i="94"/>
  <c r="H18" i="94"/>
  <c r="G19" i="94"/>
  <c r="H19" i="94"/>
  <c r="G20" i="94"/>
  <c r="G23" i="94"/>
  <c r="H23" i="94"/>
  <c r="G24" i="94"/>
  <c r="H24" i="94"/>
  <c r="G25" i="94"/>
  <c r="H25" i="94"/>
  <c r="G26" i="94"/>
  <c r="H26" i="94"/>
  <c r="G27" i="94"/>
  <c r="H27" i="94"/>
  <c r="G28" i="94"/>
  <c r="H28" i="94"/>
  <c r="G29" i="94"/>
  <c r="H29" i="94"/>
  <c r="G30" i="94"/>
  <c r="H30" i="94"/>
  <c r="G31" i="94"/>
  <c r="H31" i="94"/>
  <c r="G32" i="94"/>
  <c r="H32" i="94"/>
  <c r="G33" i="94"/>
  <c r="H33" i="94"/>
  <c r="G34" i="94"/>
  <c r="H34" i="94"/>
  <c r="G35" i="94"/>
  <c r="H35" i="94"/>
  <c r="G36" i="94"/>
  <c r="H36" i="94"/>
  <c r="G37" i="94"/>
  <c r="H37" i="94"/>
  <c r="H7" i="94"/>
  <c r="G7" i="94"/>
  <c r="G10" i="93"/>
  <c r="H10" i="93"/>
  <c r="H11" i="93"/>
  <c r="G12" i="93"/>
  <c r="H12" i="93"/>
  <c r="H13" i="93"/>
  <c r="H14" i="93"/>
  <c r="G15" i="93"/>
  <c r="H15" i="93"/>
  <c r="G16" i="93"/>
  <c r="H16" i="93"/>
  <c r="G17" i="93"/>
  <c r="H17" i="93"/>
  <c r="H18" i="93"/>
  <c r="G19" i="93"/>
  <c r="H19" i="93"/>
  <c r="G20" i="93"/>
  <c r="H20" i="93"/>
  <c r="G21" i="93"/>
  <c r="H21" i="93"/>
  <c r="G22" i="93"/>
  <c r="H22" i="93"/>
  <c r="G25" i="93"/>
  <c r="H25" i="93"/>
  <c r="G26" i="93"/>
  <c r="H26" i="93"/>
  <c r="G27" i="93"/>
  <c r="H27" i="93"/>
  <c r="G28" i="93"/>
  <c r="H28" i="93"/>
  <c r="G29" i="93"/>
  <c r="H29" i="93"/>
  <c r="G30" i="93"/>
  <c r="H30" i="93"/>
  <c r="H9" i="93"/>
  <c r="G9" i="93"/>
  <c r="G10" i="92"/>
  <c r="H10" i="92"/>
  <c r="G11" i="92"/>
  <c r="H11" i="92"/>
  <c r="G12" i="92"/>
  <c r="H12" i="92"/>
  <c r="G13" i="92"/>
  <c r="H13" i="92"/>
  <c r="G14" i="92"/>
  <c r="H14" i="92"/>
  <c r="G15" i="92"/>
  <c r="H15" i="92"/>
  <c r="G16" i="92"/>
  <c r="H16" i="92"/>
  <c r="G17" i="92"/>
  <c r="H17" i="92"/>
  <c r="G20" i="92"/>
  <c r="H20" i="92"/>
  <c r="G21" i="92"/>
  <c r="H21" i="92"/>
  <c r="G22" i="92"/>
  <c r="H22" i="92"/>
  <c r="G23" i="92"/>
  <c r="H23" i="92"/>
  <c r="G26" i="92"/>
  <c r="H26" i="92"/>
  <c r="G27" i="92"/>
  <c r="H27" i="92"/>
  <c r="G28" i="92"/>
  <c r="H28" i="92"/>
  <c r="G29" i="92"/>
  <c r="H29" i="92"/>
  <c r="G30" i="92"/>
  <c r="H30" i="92"/>
  <c r="G31" i="92"/>
  <c r="H31" i="92"/>
  <c r="G32" i="92"/>
  <c r="H32" i="92"/>
  <c r="G33" i="92"/>
  <c r="H33" i="92"/>
  <c r="G34" i="92"/>
  <c r="H34" i="92"/>
  <c r="G37" i="92"/>
  <c r="H37" i="92"/>
  <c r="G38" i="92"/>
  <c r="H38" i="92"/>
  <c r="G39" i="92"/>
  <c r="H39" i="92"/>
  <c r="G40" i="92"/>
  <c r="H40" i="92"/>
  <c r="G43" i="92"/>
  <c r="H43" i="92"/>
  <c r="G44" i="92"/>
  <c r="H44" i="92"/>
  <c r="G45" i="92"/>
  <c r="H45" i="92"/>
  <c r="G46" i="92"/>
  <c r="H46" i="92"/>
  <c r="G47" i="92"/>
  <c r="H47" i="92"/>
  <c r="G48" i="92"/>
  <c r="H48" i="92"/>
  <c r="G49" i="92"/>
  <c r="H49" i="92"/>
  <c r="G50" i="92"/>
  <c r="H50" i="92"/>
  <c r="G53" i="92"/>
  <c r="H53" i="92"/>
  <c r="G54" i="92"/>
  <c r="H54" i="92"/>
  <c r="G55" i="92"/>
  <c r="H55" i="92"/>
  <c r="G56" i="92"/>
  <c r="H56" i="92"/>
  <c r="G57" i="92"/>
  <c r="H57" i="92"/>
  <c r="G60" i="92"/>
  <c r="H60" i="92"/>
  <c r="G61" i="92"/>
  <c r="H61" i="92"/>
  <c r="G62" i="92"/>
  <c r="H62" i="92"/>
  <c r="G63" i="92"/>
  <c r="H63" i="92"/>
  <c r="G64" i="92"/>
  <c r="H64" i="92"/>
  <c r="G65" i="92"/>
  <c r="H65" i="92"/>
  <c r="G66" i="92"/>
  <c r="H66" i="92"/>
  <c r="G67" i="92"/>
  <c r="H67" i="92"/>
  <c r="G70" i="92"/>
  <c r="H70" i="92"/>
  <c r="G78" i="92"/>
  <c r="H78" i="92"/>
  <c r="G94" i="92"/>
  <c r="H94" i="92"/>
  <c r="G95" i="92"/>
  <c r="H95" i="92"/>
  <c r="G96" i="92"/>
  <c r="H96" i="92"/>
  <c r="G97" i="92"/>
  <c r="H97" i="92"/>
  <c r="G101" i="92"/>
  <c r="H101" i="92"/>
  <c r="G102" i="92"/>
  <c r="H102" i="92"/>
  <c r="G103" i="92"/>
  <c r="H103" i="92"/>
  <c r="H9" i="92"/>
  <c r="G9" i="92"/>
  <c r="G8" i="91"/>
  <c r="G9" i="91"/>
  <c r="H8" i="91"/>
  <c r="H9" i="91"/>
  <c r="H10" i="91"/>
  <c r="H7" i="91"/>
  <c r="H22" i="94"/>
  <c r="G22" i="94"/>
  <c r="H20" i="94"/>
  <c r="G18" i="94"/>
  <c r="G14" i="94"/>
  <c r="G10" i="94"/>
  <c r="G13" i="93"/>
  <c r="G11" i="93"/>
  <c r="A25" i="92"/>
  <c r="A36" i="92" s="1"/>
  <c r="A19" i="92"/>
  <c r="G10" i="91"/>
  <c r="G7" i="91"/>
  <c r="E29" i="89"/>
  <c r="C11" i="37" s="1"/>
  <c r="D11" i="37" s="1"/>
  <c r="E22" i="89" l="1"/>
  <c r="C7" i="37" s="1"/>
  <c r="D7" i="37" s="1"/>
  <c r="E17" i="89"/>
  <c r="G18" i="93"/>
  <c r="G14" i="93"/>
  <c r="H39" i="94"/>
  <c r="D28" i="89" s="1"/>
  <c r="G39" i="94"/>
  <c r="H32" i="93"/>
  <c r="D27" i="89" s="1"/>
  <c r="H105" i="92"/>
  <c r="D26" i="89" s="1"/>
  <c r="G105" i="92"/>
  <c r="G12" i="91"/>
  <c r="C24" i="89" s="1"/>
  <c r="H12" i="91"/>
  <c r="E15" i="89"/>
  <c r="D24" i="89" l="1"/>
  <c r="G32" i="93"/>
  <c r="C27" i="89" s="1"/>
  <c r="E27" i="89" s="1"/>
  <c r="C9" i="37" s="1"/>
  <c r="D9" i="37" s="1"/>
  <c r="E12" i="89"/>
  <c r="E11" i="89"/>
  <c r="E10" i="89"/>
  <c r="E13" i="89"/>
  <c r="E18" i="89"/>
  <c r="E16" i="89"/>
  <c r="I39" i="94"/>
  <c r="C28" i="89"/>
  <c r="E28" i="89" s="1"/>
  <c r="C10" i="37" s="1"/>
  <c r="D10" i="37" s="1"/>
  <c r="I105" i="92"/>
  <c r="C26" i="89"/>
  <c r="I12" i="91"/>
  <c r="E14" i="89"/>
  <c r="E9" i="89"/>
  <c r="E8" i="89"/>
  <c r="E24" i="89" l="1"/>
  <c r="I32" i="93"/>
  <c r="E20" i="89"/>
  <c r="C6" i="37" s="1"/>
  <c r="E26" i="89"/>
  <c r="C8" i="37" s="1"/>
  <c r="D8" i="37" s="1"/>
  <c r="G21" i="8"/>
  <c r="G17" i="8"/>
  <c r="H4477" i="7"/>
  <c r="H4478" i="7"/>
  <c r="H4476" i="7"/>
  <c r="G422" i="2" s="1"/>
  <c r="H4435" i="7"/>
  <c r="G413" i="2" s="1"/>
  <c r="H4158" i="7"/>
  <c r="H4134" i="7"/>
  <c r="H4133" i="7"/>
  <c r="H4128" i="7"/>
  <c r="H4127" i="7"/>
  <c r="H4125" i="7"/>
  <c r="H4123" i="7"/>
  <c r="H4122" i="7"/>
  <c r="H4119" i="7"/>
  <c r="H4118" i="7"/>
  <c r="H4117" i="7"/>
  <c r="H4116" i="7"/>
  <c r="H4048" i="7"/>
  <c r="H4047" i="7"/>
  <c r="H3840" i="7"/>
  <c r="H3839" i="7"/>
  <c r="H3837" i="7"/>
  <c r="H3828" i="7"/>
  <c r="H3827" i="7"/>
  <c r="H3826" i="7"/>
  <c r="H3825" i="7"/>
  <c r="H3823" i="7"/>
  <c r="H3820" i="7"/>
  <c r="H3819" i="7"/>
  <c r="H3818" i="7"/>
  <c r="H3814" i="7"/>
  <c r="H3811" i="7"/>
  <c r="H3810" i="7"/>
  <c r="H3809" i="7"/>
  <c r="E3800" i="7"/>
  <c r="H3800" i="7" s="1"/>
  <c r="E3799" i="7"/>
  <c r="H3799" i="7" s="1"/>
  <c r="E3796" i="7"/>
  <c r="H3796" i="7" s="1"/>
  <c r="H3795" i="7"/>
  <c r="H3801" i="7"/>
  <c r="H3798" i="7"/>
  <c r="H3797" i="7"/>
  <c r="H3787" i="7"/>
  <c r="H3785" i="7"/>
  <c r="H3784" i="7"/>
  <c r="H3783" i="7"/>
  <c r="G302" i="2" s="1"/>
  <c r="D6" i="37" l="1"/>
  <c r="E32" i="89"/>
  <c r="H4440" i="7"/>
  <c r="H4442" i="7" s="1"/>
  <c r="H4160" i="7"/>
  <c r="H4161" i="7" s="1"/>
  <c r="H4162" i="7" s="1"/>
  <c r="H3804" i="7"/>
  <c r="H3806" i="7" s="1"/>
  <c r="H3790" i="7"/>
  <c r="H3792" i="7" s="1"/>
  <c r="G354" i="2" l="1"/>
  <c r="G419" i="2" l="1"/>
  <c r="H3776" i="7" l="1"/>
  <c r="H3775" i="7"/>
  <c r="H3774" i="7"/>
  <c r="H3254" i="7"/>
  <c r="H3252" i="7"/>
  <c r="H3245" i="7"/>
  <c r="H3242" i="7"/>
  <c r="H3466" i="7"/>
  <c r="H3465" i="7"/>
  <c r="H3464" i="7"/>
  <c r="H3463" i="7"/>
  <c r="H3462" i="7"/>
  <c r="H3461" i="7"/>
  <c r="H3460" i="7"/>
  <c r="H3459" i="7"/>
  <c r="H3458" i="7"/>
  <c r="H3457" i="7"/>
  <c r="H3456" i="7"/>
  <c r="H3455" i="7"/>
  <c r="H3454" i="7"/>
  <c r="E3453" i="7"/>
  <c r="H3453" i="7" s="1"/>
  <c r="H3452" i="7"/>
  <c r="H3451" i="7"/>
  <c r="H3450" i="7"/>
  <c r="H3449" i="7"/>
  <c r="H3448" i="7"/>
  <c r="H3447" i="7"/>
  <c r="H3446" i="7"/>
  <c r="H3445" i="7"/>
  <c r="H3443" i="7"/>
  <c r="H3442" i="7"/>
  <c r="H3441" i="7"/>
  <c r="H3440" i="7"/>
  <c r="H3439" i="7"/>
  <c r="H3438" i="7"/>
  <c r="H3437" i="7"/>
  <c r="H3436" i="7"/>
  <c r="H3435" i="7"/>
  <c r="H3434" i="7"/>
  <c r="H3433" i="7"/>
  <c r="H3432" i="7"/>
  <c r="H3431" i="7"/>
  <c r="H3430" i="7"/>
  <c r="H3429" i="7"/>
  <c r="H3428" i="7"/>
  <c r="H3427" i="7"/>
  <c r="H3426" i="7"/>
  <c r="H3425" i="7"/>
  <c r="H3424" i="7"/>
  <c r="H3423" i="7"/>
  <c r="H3422" i="7"/>
  <c r="H3421" i="7"/>
  <c r="H3420" i="7"/>
  <c r="H3419" i="7"/>
  <c r="H3418" i="7"/>
  <c r="H3417" i="7"/>
  <c r="H3416" i="7"/>
  <c r="H3415" i="7"/>
  <c r="H3414" i="7"/>
  <c r="H3413" i="7"/>
  <c r="H3412" i="7"/>
  <c r="H3411" i="7"/>
  <c r="H3410" i="7"/>
  <c r="H3409" i="7"/>
  <c r="H3408" i="7"/>
  <c r="H3407" i="7"/>
  <c r="H3406" i="7"/>
  <c r="H3405" i="7"/>
  <c r="H3404" i="7"/>
  <c r="H3403" i="7"/>
  <c r="H3402" i="7"/>
  <c r="H3401" i="7"/>
  <c r="H3400" i="7"/>
  <c r="H3399" i="7"/>
  <c r="H3398" i="7"/>
  <c r="H3397" i="7"/>
  <c r="H3396" i="7"/>
  <c r="H3395" i="7"/>
  <c r="H3394" i="7"/>
  <c r="H3393" i="7"/>
  <c r="H3392" i="7"/>
  <c r="H3391" i="7"/>
  <c r="H3390" i="7"/>
  <c r="H3389" i="7"/>
  <c r="H3388" i="7"/>
  <c r="H3387" i="7"/>
  <c r="H3386" i="7"/>
  <c r="H3385" i="7"/>
  <c r="H3384" i="7"/>
  <c r="H3383" i="7"/>
  <c r="H3382" i="7"/>
  <c r="H3381" i="7"/>
  <c r="H3380" i="7"/>
  <c r="H3379" i="7"/>
  <c r="H3378" i="7"/>
  <c r="H3377" i="7"/>
  <c r="H3376" i="7"/>
  <c r="H3375" i="7"/>
  <c r="H3374" i="7"/>
  <c r="H3373" i="7"/>
  <c r="H3372" i="7"/>
  <c r="H3371" i="7"/>
  <c r="H3370" i="7"/>
  <c r="H3369" i="7"/>
  <c r="H3368" i="7"/>
  <c r="H3367" i="7"/>
  <c r="H3366" i="7"/>
  <c r="H3365" i="7"/>
  <c r="H3364" i="7"/>
  <c r="H3363" i="7"/>
  <c r="H3362" i="7"/>
  <c r="H3361" i="7"/>
  <c r="H3360" i="7"/>
  <c r="H3359" i="7"/>
  <c r="H3358" i="7"/>
  <c r="H3357" i="7"/>
  <c r="H3356" i="7"/>
  <c r="H3355" i="7"/>
  <c r="H3354" i="7"/>
  <c r="H3353" i="7"/>
  <c r="H3352" i="7"/>
  <c r="H3351" i="7"/>
  <c r="H3350" i="7"/>
  <c r="H3349" i="7"/>
  <c r="H3348" i="7"/>
  <c r="H3347" i="7"/>
  <c r="H3346" i="7"/>
  <c r="H3345" i="7"/>
  <c r="H3344" i="7"/>
  <c r="H3343" i="7"/>
  <c r="H3342" i="7"/>
  <c r="H3341" i="7"/>
  <c r="H3340" i="7"/>
  <c r="H3339" i="7"/>
  <c r="H3338" i="7"/>
  <c r="H3337" i="7"/>
  <c r="H3336" i="7"/>
  <c r="H3335" i="7"/>
  <c r="H3334" i="7"/>
  <c r="H3333" i="7"/>
  <c r="H3332" i="7"/>
  <c r="H3331" i="7"/>
  <c r="H3329" i="7"/>
  <c r="H3328" i="7"/>
  <c r="H3327" i="7"/>
  <c r="H3326" i="7"/>
  <c r="H3325" i="7"/>
  <c r="H3324" i="7"/>
  <c r="H3323" i="7"/>
  <c r="H3322" i="7"/>
  <c r="H3321" i="7"/>
  <c r="H3320" i="7"/>
  <c r="H3319" i="7"/>
  <c r="H3318" i="7"/>
  <c r="H3317" i="7"/>
  <c r="H3316" i="7"/>
  <c r="H3315" i="7"/>
  <c r="H3314" i="7"/>
  <c r="H3313" i="7"/>
  <c r="H3312" i="7"/>
  <c r="H3311" i="7"/>
  <c r="H3310" i="7"/>
  <c r="H3309" i="7"/>
  <c r="H3308" i="7"/>
  <c r="H3307" i="7"/>
  <c r="H3306" i="7"/>
  <c r="H3305" i="7"/>
  <c r="H3304" i="7"/>
  <c r="H3303" i="7"/>
  <c r="H3302" i="7"/>
  <c r="H3301" i="7"/>
  <c r="H3300" i="7"/>
  <c r="H3299" i="7"/>
  <c r="H3298" i="7"/>
  <c r="H3297" i="7"/>
  <c r="H3296" i="7"/>
  <c r="H3295" i="7"/>
  <c r="H3294" i="7"/>
  <c r="H3293" i="7"/>
  <c r="H3292" i="7"/>
  <c r="H3291" i="7"/>
  <c r="H3290" i="7"/>
  <c r="H3289" i="7"/>
  <c r="H3288" i="7"/>
  <c r="H3287" i="7"/>
  <c r="H3286" i="7"/>
  <c r="H3285" i="7"/>
  <c r="H3284" i="7"/>
  <c r="H3283" i="7"/>
  <c r="H3282" i="7"/>
  <c r="H3281" i="7"/>
  <c r="H3280" i="7"/>
  <c r="H3279" i="7"/>
  <c r="H3235" i="7"/>
  <c r="H3234" i="7"/>
  <c r="H3233" i="7"/>
  <c r="H3232" i="7"/>
  <c r="E3231" i="7"/>
  <c r="H3231" i="7" s="1"/>
  <c r="H3230" i="7"/>
  <c r="H3229" i="7"/>
  <c r="H3228" i="7"/>
  <c r="H3227" i="7"/>
  <c r="H3226" i="7"/>
  <c r="H3225" i="7"/>
  <c r="H3224" i="7"/>
  <c r="H3223" i="7"/>
  <c r="H3222" i="7"/>
  <c r="H3221" i="7"/>
  <c r="H3220" i="7"/>
  <c r="H3219" i="7"/>
  <c r="H3218" i="7"/>
  <c r="H3217" i="7"/>
  <c r="H3216" i="7"/>
  <c r="H3215" i="7"/>
  <c r="H3214" i="7"/>
  <c r="H3213" i="7"/>
  <c r="H3211" i="7"/>
  <c r="H3205" i="7"/>
  <c r="H3203" i="7"/>
  <c r="H3194" i="7"/>
  <c r="H3192" i="7"/>
  <c r="H3189" i="7"/>
  <c r="H3186" i="7"/>
  <c r="H3183" i="7"/>
  <c r="H3181" i="7"/>
  <c r="H3179" i="7"/>
  <c r="H3177" i="7"/>
  <c r="H3174" i="7"/>
  <c r="H3172" i="7"/>
  <c r="H3170" i="7"/>
  <c r="H3168" i="7"/>
  <c r="H3165" i="7"/>
  <c r="H3163" i="7"/>
  <c r="H3161" i="7"/>
  <c r="H3158" i="7"/>
  <c r="H3155" i="7"/>
  <c r="H3153" i="7"/>
  <c r="H3150" i="7"/>
  <c r="H3146" i="7"/>
  <c r="H3145" i="7"/>
  <c r="H3143" i="7"/>
  <c r="H3138" i="7"/>
  <c r="H3135" i="7"/>
  <c r="H3140" i="7"/>
  <c r="H3131" i="7"/>
  <c r="H3128" i="7"/>
  <c r="H3126" i="7"/>
  <c r="H3124" i="7"/>
  <c r="H3121" i="7"/>
  <c r="H3117" i="7"/>
  <c r="H3115" i="7"/>
  <c r="H3110" i="7"/>
  <c r="H3104" i="7"/>
  <c r="H3102" i="7"/>
  <c r="H3099" i="7"/>
  <c r="H3088" i="7"/>
  <c r="H3086" i="7"/>
  <c r="H3083" i="7"/>
  <c r="H3081" i="7"/>
  <c r="H3079" i="7"/>
  <c r="H3077" i="7"/>
  <c r="H3075" i="7"/>
  <c r="H3072" i="7"/>
  <c r="H3069" i="7"/>
  <c r="H3067" i="7"/>
  <c r="H3065" i="7"/>
  <c r="H3063" i="7"/>
  <c r="H3061" i="7"/>
  <c r="H3059" i="7"/>
  <c r="H3056" i="7"/>
  <c r="H3053" i="7"/>
  <c r="H3051" i="7"/>
  <c r="H3047" i="7"/>
  <c r="H3043" i="7"/>
  <c r="H3040" i="7"/>
  <c r="H3038" i="7"/>
  <c r="H3035" i="7"/>
  <c r="H3033" i="7"/>
  <c r="H3031" i="7"/>
  <c r="H3029" i="7"/>
  <c r="H3026" i="7"/>
  <c r="H3023" i="7"/>
  <c r="H3021" i="7"/>
  <c r="H3019" i="7"/>
  <c r="H3016" i="7"/>
  <c r="H3014" i="7"/>
  <c r="H3012" i="7"/>
  <c r="H3009" i="7"/>
  <c r="H3007" i="7"/>
  <c r="H3005" i="7"/>
  <c r="H3002" i="7"/>
  <c r="H3000" i="7"/>
  <c r="H2997" i="7"/>
  <c r="H2995" i="7"/>
  <c r="H2992" i="7"/>
  <c r="H2990" i="7"/>
  <c r="H2986" i="7"/>
  <c r="H2984" i="7"/>
  <c r="H2981" i="7"/>
  <c r="H2979" i="7"/>
  <c r="H2976" i="7"/>
  <c r="H2974" i="7"/>
  <c r="H2972" i="7"/>
  <c r="H2970" i="7"/>
  <c r="H2965" i="7"/>
  <c r="H2957" i="7"/>
  <c r="H3210" i="7"/>
  <c r="H3209" i="7"/>
  <c r="H3207" i="7"/>
  <c r="H3206" i="7"/>
  <c r="H3204" i="7"/>
  <c r="H3202" i="7"/>
  <c r="H3201" i="7"/>
  <c r="H3200" i="7"/>
  <c r="H3199" i="7"/>
  <c r="H3198" i="7"/>
  <c r="H3197" i="7"/>
  <c r="H3196" i="7"/>
  <c r="H3195" i="7"/>
  <c r="H3193" i="7"/>
  <c r="H3191" i="7"/>
  <c r="H3190" i="7"/>
  <c r="H3188" i="7"/>
  <c r="H3187" i="7"/>
  <c r="H3185" i="7"/>
  <c r="H3184" i="7"/>
  <c r="H3182" i="7"/>
  <c r="H3180" i="7"/>
  <c r="H3178" i="7"/>
  <c r="H3176" i="7"/>
  <c r="H3175" i="7"/>
  <c r="H3173" i="7"/>
  <c r="H3171" i="7"/>
  <c r="H3169" i="7"/>
  <c r="H3167" i="7"/>
  <c r="H3166" i="7"/>
  <c r="H3164" i="7"/>
  <c r="H3162" i="7"/>
  <c r="H3160" i="7"/>
  <c r="H3159" i="7"/>
  <c r="H3157" i="7"/>
  <c r="H3156" i="7"/>
  <c r="H3154" i="7"/>
  <c r="H3152" i="7"/>
  <c r="H3151" i="7"/>
  <c r="H3149" i="7"/>
  <c r="H3148" i="7"/>
  <c r="H3147" i="7"/>
  <c r="H3144" i="7"/>
  <c r="H3142" i="7"/>
  <c r="H3141" i="7"/>
  <c r="H3139" i="7"/>
  <c r="H3137" i="7"/>
  <c r="H3136" i="7"/>
  <c r="H3134" i="7"/>
  <c r="H3133" i="7"/>
  <c r="H3132" i="7"/>
  <c r="H3130" i="7"/>
  <c r="H3129" i="7"/>
  <c r="H3127" i="7"/>
  <c r="H3125" i="7"/>
  <c r="H3123" i="7"/>
  <c r="H3122" i="7"/>
  <c r="H3120" i="7"/>
  <c r="H3119" i="7"/>
  <c r="H3118" i="7"/>
  <c r="H3116" i="7"/>
  <c r="H3114" i="7"/>
  <c r="H3113" i="7"/>
  <c r="H3112" i="7"/>
  <c r="H3111" i="7"/>
  <c r="H3109" i="7"/>
  <c r="H3108" i="7"/>
  <c r="H3107" i="7"/>
  <c r="H3106" i="7"/>
  <c r="H3105" i="7"/>
  <c r="H3103" i="7"/>
  <c r="H3101" i="7"/>
  <c r="H3100" i="7"/>
  <c r="H3098" i="7"/>
  <c r="H3097" i="7"/>
  <c r="H3096" i="7"/>
  <c r="H3095" i="7"/>
  <c r="H3094" i="7"/>
  <c r="H3093" i="7"/>
  <c r="H3092" i="7"/>
  <c r="H3091" i="7"/>
  <c r="H3090" i="7"/>
  <c r="H3089" i="7"/>
  <c r="H3087" i="7"/>
  <c r="H3085" i="7"/>
  <c r="H3084" i="7"/>
  <c r="H3082" i="7"/>
  <c r="H3080" i="7"/>
  <c r="H3078" i="7"/>
  <c r="H3076" i="7"/>
  <c r="H3074" i="7"/>
  <c r="H3073" i="7"/>
  <c r="H3071" i="7"/>
  <c r="H3070" i="7"/>
  <c r="H3068" i="7"/>
  <c r="H3066" i="7"/>
  <c r="H3064" i="7"/>
  <c r="H3062" i="7"/>
  <c r="H3060" i="7"/>
  <c r="H3058" i="7"/>
  <c r="H3057" i="7"/>
  <c r="H3055" i="7"/>
  <c r="H3054" i="7"/>
  <c r="H3052" i="7"/>
  <c r="H3050" i="7"/>
  <c r="H3049" i="7"/>
  <c r="H3048" i="7"/>
  <c r="H3046" i="7"/>
  <c r="H3045" i="7"/>
  <c r="H3044" i="7"/>
  <c r="H3042" i="7"/>
  <c r="H3041" i="7"/>
  <c r="H3039" i="7"/>
  <c r="H3037" i="7"/>
  <c r="H3034" i="7"/>
  <c r="H3032" i="7"/>
  <c r="H3030" i="7"/>
  <c r="H3028" i="7"/>
  <c r="H3027" i="7"/>
  <c r="H3025" i="7"/>
  <c r="H3024" i="7"/>
  <c r="H3022" i="7"/>
  <c r="H3020" i="7"/>
  <c r="H3018" i="7"/>
  <c r="H3017" i="7"/>
  <c r="H3015" i="7"/>
  <c r="H3013" i="7"/>
  <c r="H3011" i="7"/>
  <c r="H3010" i="7"/>
  <c r="H3008" i="7"/>
  <c r="H3006" i="7"/>
  <c r="H3004" i="7"/>
  <c r="H3003" i="7"/>
  <c r="H3001" i="7"/>
  <c r="H2999" i="7"/>
  <c r="H2998" i="7"/>
  <c r="H2996" i="7"/>
  <c r="H2994" i="7"/>
  <c r="H2993" i="7"/>
  <c r="H2991" i="7"/>
  <c r="H2989" i="7"/>
  <c r="H2988" i="7"/>
  <c r="H2987" i="7"/>
  <c r="H2985" i="7"/>
  <c r="H2983" i="7"/>
  <c r="H2982" i="7"/>
  <c r="H2980" i="7"/>
  <c r="H2978" i="7"/>
  <c r="H2977" i="7"/>
  <c r="H2975" i="7"/>
  <c r="H2973" i="7"/>
  <c r="H2971" i="7"/>
  <c r="H2969" i="7"/>
  <c r="H2968" i="7"/>
  <c r="H2967" i="7"/>
  <c r="H2966" i="7"/>
  <c r="H2964" i="7"/>
  <c r="H2963" i="7"/>
  <c r="H2962" i="7"/>
  <c r="H2961" i="7"/>
  <c r="H2960" i="7"/>
  <c r="H2959" i="7"/>
  <c r="H2958" i="7"/>
  <c r="H2956" i="7"/>
  <c r="H2955" i="7"/>
  <c r="H2953" i="7"/>
  <c r="H2600" i="7"/>
  <c r="H2604" i="7"/>
  <c r="H2601" i="7"/>
  <c r="H2607" i="7"/>
  <c r="H2606" i="7"/>
  <c r="H2605" i="7"/>
  <c r="H2603" i="7"/>
  <c r="H2602" i="7"/>
  <c r="E2584" i="7"/>
  <c r="H1374" i="7"/>
  <c r="H1378" i="7" s="1"/>
  <c r="H3237" i="7" l="1"/>
  <c r="H3778" i="7"/>
  <c r="H3257" i="7"/>
  <c r="H3469" i="7"/>
  <c r="H2609" i="7"/>
  <c r="H2534" i="7"/>
  <c r="H2538" i="7"/>
  <c r="H2533" i="7"/>
  <c r="H1380" i="7"/>
  <c r="H2557" i="7" l="1"/>
  <c r="H3780" i="7"/>
  <c r="H3259" i="7"/>
  <c r="H3471" i="7"/>
  <c r="G284" i="2" l="1"/>
  <c r="G184" i="2"/>
  <c r="H1940" i="7" l="1"/>
  <c r="H1939" i="7"/>
  <c r="H1938" i="7"/>
  <c r="H1937" i="7"/>
  <c r="H1929" i="7"/>
  <c r="H1889" i="7"/>
  <c r="H1888" i="7"/>
  <c r="H1913" i="7"/>
  <c r="H1912" i="7"/>
  <c r="H1911" i="7"/>
  <c r="H1910" i="7"/>
  <c r="H1908" i="7"/>
  <c r="H1907" i="7"/>
  <c r="H1909" i="7"/>
  <c r="H1906" i="7"/>
  <c r="H1905" i="7"/>
  <c r="H1904" i="7"/>
  <c r="H1903" i="7"/>
  <c r="H1902" i="7"/>
  <c r="H1900" i="7"/>
  <c r="H1899" i="7"/>
  <c r="H1898" i="7"/>
  <c r="G257" i="2" s="1"/>
  <c r="H1946" i="7" l="1"/>
  <c r="H1948" i="7" s="1"/>
  <c r="H1932" i="7"/>
  <c r="H2559" i="7"/>
  <c r="H1917" i="7"/>
  <c r="H1934" i="7" l="1"/>
  <c r="G266" i="2"/>
  <c r="H1919" i="7"/>
  <c r="G263" i="2" l="1"/>
  <c r="G260" i="2" l="1"/>
  <c r="H1887" i="7"/>
  <c r="H1886" i="7"/>
  <c r="E1885" i="7"/>
  <c r="H1885" i="7" s="1"/>
  <c r="H1884" i="7"/>
  <c r="H1883" i="7"/>
  <c r="H1882" i="7"/>
  <c r="H1881" i="7"/>
  <c r="H1880" i="7"/>
  <c r="H1879" i="7"/>
  <c r="H1878" i="7"/>
  <c r="H1877" i="7"/>
  <c r="H1876" i="7"/>
  <c r="H1539" i="7" l="1"/>
  <c r="H1538" i="7"/>
  <c r="H1489" i="7" l="1"/>
  <c r="H1476" i="7" l="1"/>
  <c r="H1475" i="7"/>
  <c r="H1474" i="7"/>
  <c r="H1473" i="7"/>
  <c r="H1472" i="7"/>
  <c r="G230" i="2" s="1"/>
  <c r="H1437" i="7"/>
  <c r="H1436" i="7"/>
  <c r="H1435" i="7"/>
  <c r="F1418" i="7"/>
  <c r="H1480" i="7" l="1"/>
  <c r="H1482" i="7" s="1"/>
  <c r="H1439" i="7"/>
  <c r="G233" i="2" l="1"/>
  <c r="H1406" i="7" l="1"/>
  <c r="H1407" i="7"/>
  <c r="H1405" i="7"/>
  <c r="H1404" i="7"/>
  <c r="H1286" i="7"/>
  <c r="H1285" i="7"/>
  <c r="H1211" i="7"/>
  <c r="H1210" i="7"/>
  <c r="H958" i="7"/>
  <c r="G38" i="2" l="1"/>
  <c r="G221" i="2" l="1"/>
  <c r="H900" i="7"/>
  <c r="H899" i="7"/>
  <c r="H898" i="7"/>
  <c r="H948" i="7"/>
  <c r="H947" i="7"/>
  <c r="H946" i="7"/>
  <c r="H945" i="7"/>
  <c r="H944" i="7"/>
  <c r="H943" i="7"/>
  <c r="H942" i="7"/>
  <c r="H941" i="7"/>
  <c r="H940" i="7"/>
  <c r="H939" i="7"/>
  <c r="H938" i="7"/>
  <c r="H937" i="7"/>
  <c r="H936" i="7"/>
  <c r="H935" i="7"/>
  <c r="H934" i="7"/>
  <c r="H933" i="7"/>
  <c r="H932" i="7"/>
  <c r="H931" i="7"/>
  <c r="H930" i="7"/>
  <c r="H929" i="7"/>
  <c r="H928" i="7"/>
  <c r="H927" i="7"/>
  <c r="H926" i="7"/>
  <c r="H925" i="7"/>
  <c r="G103" i="2" s="1"/>
  <c r="H879" i="7"/>
  <c r="H878" i="7"/>
  <c r="H877" i="7"/>
  <c r="E876" i="7"/>
  <c r="H876" i="7" s="1"/>
  <c r="E875" i="7"/>
  <c r="H875" i="7" s="1"/>
  <c r="H874" i="7"/>
  <c r="H873" i="7"/>
  <c r="H872" i="7"/>
  <c r="H871" i="7"/>
  <c r="H870" i="7"/>
  <c r="E869" i="7"/>
  <c r="H869" i="7" s="1"/>
  <c r="H868" i="7"/>
  <c r="H867" i="7"/>
  <c r="H866" i="7"/>
  <c r="H865" i="7"/>
  <c r="E864" i="7"/>
  <c r="H864" i="7" s="1"/>
  <c r="H863" i="7"/>
  <c r="H862" i="7"/>
  <c r="H861" i="7"/>
  <c r="H860" i="7"/>
  <c r="H859" i="7"/>
  <c r="E858" i="7"/>
  <c r="H858" i="7" s="1"/>
  <c r="H857" i="7"/>
  <c r="H856" i="7"/>
  <c r="H855" i="7"/>
  <c r="H854" i="7"/>
  <c r="H853" i="7"/>
  <c r="H852" i="7"/>
  <c r="H851" i="7"/>
  <c r="H850" i="7"/>
  <c r="H849" i="7"/>
  <c r="H848" i="7"/>
  <c r="E847" i="7"/>
  <c r="H847" i="7" s="1"/>
  <c r="E846" i="7"/>
  <c r="H846" i="7" s="1"/>
  <c r="H845" i="7"/>
  <c r="H844" i="7"/>
  <c r="H843" i="7"/>
  <c r="H842" i="7"/>
  <c r="H841" i="7"/>
  <c r="H840" i="7"/>
  <c r="H839" i="7"/>
  <c r="H838" i="7"/>
  <c r="H837" i="7"/>
  <c r="E836" i="7"/>
  <c r="H836" i="7" s="1"/>
  <c r="H835" i="7"/>
  <c r="E834" i="7"/>
  <c r="H834" i="7" s="1"/>
  <c r="H833" i="7"/>
  <c r="H832" i="7"/>
  <c r="H831" i="7"/>
  <c r="H830" i="7"/>
  <c r="H829" i="7"/>
  <c r="H828" i="7"/>
  <c r="E827" i="7"/>
  <c r="E825" i="7"/>
  <c r="E824" i="7"/>
  <c r="E750" i="7"/>
  <c r="H750" i="7" s="1"/>
  <c r="E748" i="7"/>
  <c r="E749" i="7"/>
  <c r="E740" i="7"/>
  <c r="H740" i="7" s="1"/>
  <c r="E739" i="7"/>
  <c r="H739" i="7" s="1"/>
  <c r="E738" i="7"/>
  <c r="H738" i="7" s="1"/>
  <c r="E737" i="7"/>
  <c r="H737" i="7" s="1"/>
  <c r="E736" i="7"/>
  <c r="H736" i="7" s="1"/>
  <c r="E735" i="7"/>
  <c r="H735" i="7" s="1"/>
  <c r="E734" i="7"/>
  <c r="H734" i="7" s="1"/>
  <c r="E733" i="7"/>
  <c r="H733" i="7" s="1"/>
  <c r="E732" i="7"/>
  <c r="H732" i="7" s="1"/>
  <c r="E731" i="7"/>
  <c r="H731" i="7" s="1"/>
  <c r="E730" i="7"/>
  <c r="H730" i="7" s="1"/>
  <c r="E729" i="7"/>
  <c r="H729" i="7" s="1"/>
  <c r="E728" i="7"/>
  <c r="H728" i="7" s="1"/>
  <c r="E727" i="7"/>
  <c r="H727" i="7" s="1"/>
  <c r="E726" i="7"/>
  <c r="H726" i="7" s="1"/>
  <c r="E725" i="7"/>
  <c r="H725" i="7" s="1"/>
  <c r="E724" i="7"/>
  <c r="H724" i="7" s="1"/>
  <c r="E723" i="7"/>
  <c r="H723" i="7" s="1"/>
  <c r="E722" i="7"/>
  <c r="H722" i="7" s="1"/>
  <c r="E721" i="7"/>
  <c r="H721" i="7" s="1"/>
  <c r="E720" i="7"/>
  <c r="H720" i="7" s="1"/>
  <c r="E719" i="7"/>
  <c r="H719" i="7" s="1"/>
  <c r="E718" i="7"/>
  <c r="H718" i="7" s="1"/>
  <c r="E717" i="7"/>
  <c r="H717" i="7" s="1"/>
  <c r="E716" i="7"/>
  <c r="H716" i="7" s="1"/>
  <c r="E715" i="7"/>
  <c r="H715" i="7" s="1"/>
  <c r="E714" i="7"/>
  <c r="H714" i="7" s="1"/>
  <c r="E713" i="7"/>
  <c r="H713" i="7" s="1"/>
  <c r="E712" i="7"/>
  <c r="H712" i="7" s="1"/>
  <c r="E711" i="7"/>
  <c r="H711" i="7" s="1"/>
  <c r="E710" i="7"/>
  <c r="H710" i="7" s="1"/>
  <c r="E709" i="7"/>
  <c r="H709" i="7" s="1"/>
  <c r="E708" i="7"/>
  <c r="H708" i="7" s="1"/>
  <c r="E707" i="7"/>
  <c r="H707" i="7" s="1"/>
  <c r="E706" i="7"/>
  <c r="H706" i="7" s="1"/>
  <c r="E705" i="7"/>
  <c r="H705" i="7" s="1"/>
  <c r="E704" i="7"/>
  <c r="H704" i="7" s="1"/>
  <c r="E703" i="7"/>
  <c r="H703" i="7" s="1"/>
  <c r="E702" i="7"/>
  <c r="H702" i="7" s="1"/>
  <c r="E701" i="7"/>
  <c r="H701" i="7" s="1"/>
  <c r="E700" i="7"/>
  <c r="H700" i="7" s="1"/>
  <c r="H951" i="7" l="1"/>
  <c r="E699" i="7"/>
  <c r="H699" i="7" s="1"/>
  <c r="E698" i="7"/>
  <c r="H698" i="7" s="1"/>
  <c r="E697" i="7"/>
  <c r="H697" i="7" s="1"/>
  <c r="E696" i="7"/>
  <c r="H696" i="7" s="1"/>
  <c r="E695" i="7"/>
  <c r="H695" i="7" s="1"/>
  <c r="E694" i="7"/>
  <c r="H694" i="7" s="1"/>
  <c r="E693" i="7"/>
  <c r="H693" i="7" s="1"/>
  <c r="E692" i="7"/>
  <c r="H692" i="7" s="1"/>
  <c r="E691" i="7"/>
  <c r="H691" i="7" s="1"/>
  <c r="E690" i="7"/>
  <c r="H690" i="7" s="1"/>
  <c r="E689" i="7"/>
  <c r="H689" i="7" s="1"/>
  <c r="E688" i="7"/>
  <c r="H688" i="7" s="1"/>
  <c r="E687" i="7"/>
  <c r="H687" i="7" s="1"/>
  <c r="E686" i="7"/>
  <c r="H686" i="7" s="1"/>
  <c r="E685" i="7"/>
  <c r="H685" i="7" s="1"/>
  <c r="E684" i="7"/>
  <c r="H684" i="7" s="1"/>
  <c r="E683" i="7"/>
  <c r="H683" i="7" s="1"/>
  <c r="E682" i="7"/>
  <c r="H682" i="7" s="1"/>
  <c r="E681" i="7"/>
  <c r="H681" i="7" s="1"/>
  <c r="E680" i="7"/>
  <c r="H680" i="7" s="1"/>
  <c r="E679" i="7"/>
  <c r="H679" i="7" s="1"/>
  <c r="E678" i="7"/>
  <c r="H678" i="7" s="1"/>
  <c r="E677" i="7"/>
  <c r="H677" i="7" s="1"/>
  <c r="E676" i="7"/>
  <c r="H676" i="7" s="1"/>
  <c r="E675" i="7"/>
  <c r="H675" i="7" s="1"/>
  <c r="E674" i="7"/>
  <c r="H674" i="7" s="1"/>
  <c r="H621" i="7"/>
  <c r="H620" i="7"/>
  <c r="H673" i="7"/>
  <c r="H672" i="7"/>
  <c r="H671" i="7"/>
  <c r="E670" i="7"/>
  <c r="H670" i="7" s="1"/>
  <c r="H669" i="7"/>
  <c r="H668" i="7"/>
  <c r="H667" i="7"/>
  <c r="H666" i="7"/>
  <c r="H665" i="7"/>
  <c r="H664" i="7"/>
  <c r="H663" i="7"/>
  <c r="H662" i="7"/>
  <c r="H661" i="7"/>
  <c r="H660" i="7"/>
  <c r="H659" i="7"/>
  <c r="H658" i="7"/>
  <c r="E657" i="7"/>
  <c r="H649" i="7"/>
  <c r="H648" i="7"/>
  <c r="H647" i="7"/>
  <c r="H638" i="7"/>
  <c r="H637" i="7"/>
  <c r="H953" i="7" l="1"/>
  <c r="H651" i="7"/>
  <c r="H653" i="7" s="1"/>
  <c r="H641" i="7"/>
  <c r="H643" i="7" l="1"/>
  <c r="I641" i="7"/>
  <c r="G82" i="2" l="1"/>
  <c r="H553" i="7" l="1"/>
  <c r="H619" i="7"/>
  <c r="H618" i="7"/>
  <c r="H617" i="7"/>
  <c r="H605" i="7"/>
  <c r="H604" i="7"/>
  <c r="H603" i="7"/>
  <c r="H602" i="7"/>
  <c r="H601" i="7"/>
  <c r="H599" i="7"/>
  <c r="H598" i="7"/>
  <c r="H597" i="7"/>
  <c r="H596" i="7"/>
  <c r="H595" i="7"/>
  <c r="H594" i="7"/>
  <c r="H592" i="7"/>
  <c r="H591" i="7"/>
  <c r="H590" i="7"/>
  <c r="H588" i="7"/>
  <c r="H587" i="7"/>
  <c r="H586" i="7"/>
  <c r="H498" i="7"/>
  <c r="H505" i="7" s="1"/>
  <c r="H507" i="7" s="1"/>
  <c r="H585" i="7"/>
  <c r="H584" i="7"/>
  <c r="H583" i="7"/>
  <c r="F582" i="7"/>
  <c r="E582" i="7"/>
  <c r="H581" i="7"/>
  <c r="H580" i="7"/>
  <c r="H579" i="7"/>
  <c r="H578" i="7"/>
  <c r="H577" i="7"/>
  <c r="H576" i="7"/>
  <c r="H575" i="7"/>
  <c r="H574" i="7"/>
  <c r="H573" i="7"/>
  <c r="H570" i="7"/>
  <c r="H569" i="7"/>
  <c r="H568" i="7"/>
  <c r="H567" i="7"/>
  <c r="H331" i="7"/>
  <c r="H582" i="7" l="1"/>
  <c r="G79" i="2"/>
  <c r="H623" i="7"/>
  <c r="H625" i="7" s="1"/>
  <c r="H565" i="7"/>
  <c r="H564" i="7"/>
  <c r="H563" i="7"/>
  <c r="H562" i="7"/>
  <c r="H561" i="7"/>
  <c r="H559" i="7"/>
  <c r="H558" i="7"/>
  <c r="H557" i="7" l="1"/>
  <c r="H556" i="7"/>
  <c r="H555" i="7"/>
  <c r="H554" i="7"/>
  <c r="H552" i="7"/>
  <c r="H551" i="7"/>
  <c r="H550" i="7"/>
  <c r="H549" i="7"/>
  <c r="H548" i="7" l="1"/>
  <c r="F345" i="7"/>
  <c r="H345" i="7" s="1"/>
  <c r="H346" i="7"/>
  <c r="H344" i="7"/>
  <c r="H343" i="7"/>
  <c r="H342" i="7"/>
  <c r="H531" i="7"/>
  <c r="H530" i="7"/>
  <c r="H517" i="7"/>
  <c r="H348" i="7" l="1"/>
  <c r="H350" i="7" s="1"/>
  <c r="G109" i="2" l="1"/>
  <c r="G55" i="2" l="1"/>
  <c r="H382" i="7" l="1"/>
  <c r="H379" i="7"/>
  <c r="H378" i="7"/>
  <c r="H374" i="7"/>
  <c r="F311" i="7"/>
  <c r="H311" i="7" s="1"/>
  <c r="H310" i="7"/>
  <c r="F309" i="7"/>
  <c r="H309" i="7" s="1"/>
  <c r="H308" i="7"/>
  <c r="H332" i="7"/>
  <c r="H330" i="7"/>
  <c r="H329" i="7"/>
  <c r="H327" i="7"/>
  <c r="H324" i="7"/>
  <c r="H323" i="7"/>
  <c r="H322" i="7"/>
  <c r="H302" i="7"/>
  <c r="H240" i="7"/>
  <c r="H239" i="7"/>
  <c r="H238" i="7"/>
  <c r="H237" i="7"/>
  <c r="H236" i="7"/>
  <c r="H228" i="7"/>
  <c r="H227" i="7"/>
  <c r="H226" i="7"/>
  <c r="H225" i="7"/>
  <c r="H224" i="7"/>
  <c r="H221" i="7"/>
  <c r="H220" i="7"/>
  <c r="H219" i="7"/>
  <c r="H214" i="7"/>
  <c r="H213" i="7"/>
  <c r="G14" i="2"/>
  <c r="H230" i="7" l="1"/>
  <c r="H336" i="7"/>
  <c r="H244" i="7"/>
  <c r="H246" i="7" s="1"/>
  <c r="H194" i="7"/>
  <c r="H196" i="7" s="1"/>
  <c r="H94" i="7" l="1"/>
  <c r="H93" i="7"/>
  <c r="H92" i="7"/>
  <c r="H91" i="7"/>
  <c r="H90" i="7"/>
  <c r="H89" i="7"/>
  <c r="H88" i="7"/>
  <c r="H87" i="7"/>
  <c r="H86" i="7"/>
  <c r="H85" i="7"/>
  <c r="H84" i="7"/>
  <c r="H83" i="7"/>
  <c r="H82" i="7"/>
  <c r="H81" i="7" l="1"/>
  <c r="H80" i="7"/>
  <c r="H79" i="7"/>
  <c r="H78" i="7"/>
  <c r="H77" i="7"/>
  <c r="H76" i="7"/>
  <c r="H75" i="7"/>
  <c r="H74" i="7"/>
  <c r="J67" i="7" l="1"/>
  <c r="J68" i="7" s="1"/>
  <c r="H73" i="7"/>
  <c r="H72" i="7"/>
  <c r="H71" i="7"/>
  <c r="H70" i="7"/>
  <c r="H69" i="7"/>
  <c r="H68" i="7"/>
  <c r="H67" i="7"/>
  <c r="H66" i="7"/>
  <c r="H65" i="7"/>
  <c r="H64" i="7"/>
  <c r="H63" i="7"/>
  <c r="H62" i="7"/>
  <c r="H61" i="7"/>
  <c r="H60" i="7"/>
  <c r="H59" i="7"/>
  <c r="H58" i="7"/>
  <c r="H57" i="7"/>
  <c r="H56" i="7"/>
  <c r="H55" i="7"/>
  <c r="H54" i="7"/>
  <c r="H53" i="7"/>
  <c r="H52" i="7"/>
  <c r="H51" i="7"/>
  <c r="H50" i="7"/>
  <c r="H49" i="7"/>
  <c r="H48" i="7"/>
  <c r="H25" i="7"/>
  <c r="H28" i="7"/>
  <c r="H27" i="7"/>
  <c r="H26" i="7"/>
  <c r="H24" i="7"/>
  <c r="H23" i="7"/>
  <c r="H22" i="7"/>
  <c r="H21" i="7"/>
  <c r="H20" i="7"/>
  <c r="H19" i="7"/>
  <c r="H18" i="7"/>
  <c r="H17" i="7"/>
  <c r="H16" i="7"/>
  <c r="H15" i="7"/>
  <c r="H14" i="7"/>
  <c r="H13" i="7"/>
  <c r="H12" i="7"/>
  <c r="H11" i="7"/>
  <c r="H10" i="7"/>
  <c r="H9" i="7"/>
  <c r="H8" i="7"/>
  <c r="H7" i="7"/>
  <c r="H6" i="7"/>
  <c r="H5" i="7"/>
  <c r="H97" i="7" l="1"/>
  <c r="H43" i="7"/>
  <c r="H45" i="7" s="1"/>
  <c r="A5" i="2" l="1"/>
  <c r="A8" i="2" s="1"/>
  <c r="G5" i="2"/>
  <c r="H5160" i="7" l="1"/>
  <c r="H5159" i="7"/>
  <c r="H5158" i="7"/>
  <c r="H5154" i="7"/>
  <c r="H5153" i="7"/>
  <c r="H5152" i="7"/>
  <c r="H5149" i="7"/>
  <c r="H5148" i="7"/>
  <c r="H5147" i="7"/>
  <c r="H5144" i="7"/>
  <c r="H5143" i="7"/>
  <c r="H5142" i="7"/>
  <c r="H5162" i="7" l="1"/>
  <c r="H5164" i="7" s="1"/>
  <c r="F50" i="70" l="1"/>
  <c r="H4060" i="7" l="1"/>
  <c r="G27" i="8" l="1"/>
  <c r="G74" i="2" l="1"/>
  <c r="H4637" i="7" l="1"/>
  <c r="H4636" i="7"/>
  <c r="H4082" i="7"/>
  <c r="H4081" i="7"/>
  <c r="H4074" i="7"/>
  <c r="H3942" i="7"/>
  <c r="H3929" i="7"/>
  <c r="H3928" i="7"/>
  <c r="H3927" i="7"/>
  <c r="H3924" i="7"/>
  <c r="H3923" i="7"/>
  <c r="H3921" i="7"/>
  <c r="G3919" i="7"/>
  <c r="H3919" i="7" s="1"/>
  <c r="G3918" i="7"/>
  <c r="H3918" i="7" s="1"/>
  <c r="H3917" i="7"/>
  <c r="H3916" i="7"/>
  <c r="H3915" i="7"/>
  <c r="H3812" i="7"/>
  <c r="H204" i="7" l="1"/>
  <c r="H102" i="7"/>
  <c r="H5088" i="7"/>
  <c r="H5087" i="7"/>
  <c r="H5086" i="7"/>
  <c r="H5085" i="7"/>
  <c r="H5084" i="7"/>
  <c r="H5077" i="7"/>
  <c r="H5100" i="7"/>
  <c r="H5099" i="7"/>
  <c r="H5098" i="7"/>
  <c r="H5097" i="7"/>
  <c r="H5083" i="7"/>
  <c r="H5082" i="7"/>
  <c r="H5081" i="7"/>
  <c r="H5080" i="7"/>
  <c r="H5079" i="7"/>
  <c r="H5078" i="7"/>
  <c r="H5076" i="7"/>
  <c r="H5075" i="7"/>
  <c r="H5074" i="7"/>
  <c r="H5103" i="7" l="1"/>
  <c r="H5092" i="7"/>
  <c r="H5094" i="7" s="1"/>
  <c r="H5105" i="7" l="1"/>
  <c r="H3941" i="7" l="1"/>
  <c r="H3940" i="7"/>
  <c r="H3939" i="7"/>
  <c r="H3938" i="7"/>
  <c r="H3937" i="7"/>
  <c r="H3936" i="7"/>
  <c r="H3935" i="7"/>
  <c r="H3934" i="7"/>
  <c r="H3933" i="7"/>
  <c r="H3932" i="7"/>
  <c r="H3931" i="7"/>
  <c r="H3930" i="7"/>
  <c r="H3904" i="7"/>
  <c r="H3903" i="7"/>
  <c r="H3926" i="7"/>
  <c r="H3925" i="7"/>
  <c r="H3922" i="7"/>
  <c r="H3920" i="7"/>
  <c r="H3914" i="7"/>
  <c r="H3944" i="7" l="1"/>
  <c r="H3946" i="7" s="1"/>
  <c r="G64" i="8" l="1"/>
  <c r="G61" i="8"/>
  <c r="H4933" i="7" l="1"/>
  <c r="H5064" i="7"/>
  <c r="H5063" i="7"/>
  <c r="H5046" i="7"/>
  <c r="H5045" i="7"/>
  <c r="H5043" i="7"/>
  <c r="H5035" i="7"/>
  <c r="H5034" i="7"/>
  <c r="H5030" i="7"/>
  <c r="H5029" i="7"/>
  <c r="H5026" i="7"/>
  <c r="H5025" i="7"/>
  <c r="H5022" i="7"/>
  <c r="H5021" i="7"/>
  <c r="H5020" i="7"/>
  <c r="H5031" i="7"/>
  <c r="H5032" i="7"/>
  <c r="H5033" i="7"/>
  <c r="H5028" i="7"/>
  <c r="H5027" i="7"/>
  <c r="H5024" i="7"/>
  <c r="H5023" i="7"/>
  <c r="G57" i="8"/>
  <c r="G56" i="8"/>
  <c r="G59" i="8"/>
  <c r="G63" i="8"/>
  <c r="G16" i="8"/>
  <c r="G19" i="8"/>
  <c r="G18" i="8"/>
  <c r="G15" i="8"/>
  <c r="G14" i="8"/>
  <c r="G13" i="8"/>
  <c r="G12" i="8"/>
  <c r="H4935" i="7" l="1"/>
  <c r="H4937" i="7" s="1"/>
  <c r="H5135" i="7"/>
  <c r="H5137" i="7" s="1"/>
  <c r="F42" i="70" s="1"/>
  <c r="H5069" i="7"/>
  <c r="H5070" i="7" s="1"/>
  <c r="H5071" i="7" s="1"/>
  <c r="F39" i="70" s="1"/>
  <c r="A6" i="70"/>
  <c r="H5058" i="7"/>
  <c r="H5060" i="7" s="1"/>
  <c r="G7" i="8"/>
  <c r="G30" i="8"/>
  <c r="H4659" i="7"/>
  <c r="H4657" i="7"/>
  <c r="H4638" i="7"/>
  <c r="H4635" i="7"/>
  <c r="H4554" i="7"/>
  <c r="H4492" i="7"/>
  <c r="H4490" i="7"/>
  <c r="H4415" i="7"/>
  <c r="H4414" i="7"/>
  <c r="H4920" i="7" l="1"/>
  <c r="G26" i="8"/>
  <c r="F47" i="70"/>
  <c r="F78" i="70"/>
  <c r="F67" i="70"/>
  <c r="A9" i="70"/>
  <c r="A12" i="70" s="1"/>
  <c r="A27" i="70" s="1"/>
  <c r="A30" i="70" s="1"/>
  <c r="A33" i="70" s="1"/>
  <c r="A36" i="70" s="1"/>
  <c r="A44" i="70" s="1"/>
  <c r="A47" i="70" s="1"/>
  <c r="H4652" i="7"/>
  <c r="H4654" i="7" s="1"/>
  <c r="H4418" i="7"/>
  <c r="H4420" i="7" s="1"/>
  <c r="G492" i="2" l="1"/>
  <c r="A56" i="70"/>
  <c r="A50" i="70"/>
  <c r="A53" i="70" s="1"/>
  <c r="F56" i="70"/>
  <c r="A67" i="70"/>
  <c r="A71" i="70" s="1"/>
  <c r="A59" i="70"/>
  <c r="A63" i="70" s="1"/>
  <c r="F53" i="70"/>
  <c r="F76" i="70"/>
  <c r="F30" i="70"/>
  <c r="H4922" i="7"/>
  <c r="G460" i="2" l="1"/>
  <c r="G457" i="2"/>
  <c r="G526" i="2"/>
  <c r="G523" i="2"/>
  <c r="A76" i="70"/>
  <c r="A78" i="70" s="1"/>
  <c r="G451" i="2" l="1"/>
  <c r="H4372" i="7"/>
  <c r="H4371" i="7"/>
  <c r="E4348" i="7"/>
  <c r="H4316" i="7"/>
  <c r="H4319" i="7" s="1"/>
  <c r="H4320" i="7" s="1"/>
  <c r="H4321" i="7" s="1"/>
  <c r="H4059" i="7"/>
  <c r="H4063" i="7" s="1"/>
  <c r="H4115" i="7"/>
  <c r="H4079" i="7"/>
  <c r="H4075" i="7"/>
  <c r="H4073" i="7"/>
  <c r="H3973" i="7"/>
  <c r="H3972" i="7"/>
  <c r="H3953" i="7"/>
  <c r="H3952" i="7"/>
  <c r="H3951" i="7"/>
  <c r="H4389" i="7" l="1"/>
  <c r="H4390" i="7" s="1"/>
  <c r="H4391" i="7" s="1"/>
  <c r="G269" i="2"/>
  <c r="H4065" i="7"/>
  <c r="H4144" i="7"/>
  <c r="H4146" i="7" s="1"/>
  <c r="H2590" i="7" l="1"/>
  <c r="H2578" i="7"/>
  <c r="H2562" i="7"/>
  <c r="H1875" i="7"/>
  <c r="H1537" i="7"/>
  <c r="H1544" i="7" s="1"/>
  <c r="H1497" i="7"/>
  <c r="H1488" i="7"/>
  <c r="H1487" i="7"/>
  <c r="H1486" i="7"/>
  <c r="H1485" i="7"/>
  <c r="H1403" i="7"/>
  <c r="H957" i="7"/>
  <c r="H1546" i="7" l="1"/>
  <c r="H1532" i="7"/>
  <c r="H1534" i="7" s="1"/>
  <c r="H1492" i="7"/>
  <c r="H1494" i="7" s="1"/>
  <c r="H1205" i="7" l="1"/>
  <c r="G341" i="2" l="1"/>
  <c r="G236" i="2"/>
  <c r="H827" i="7" l="1"/>
  <c r="H749" i="7" l="1"/>
  <c r="H748" i="7"/>
  <c r="H533" i="7"/>
  <c r="H203" i="7"/>
  <c r="H202" i="7"/>
  <c r="H201" i="7"/>
  <c r="H753" i="7" l="1"/>
  <c r="H755" i="7" s="1"/>
  <c r="G88" i="2" l="1"/>
  <c r="H1419" i="7"/>
  <c r="G217" i="2" s="1"/>
  <c r="H1418" i="7"/>
  <c r="H1417" i="7"/>
  <c r="H1402" i="7"/>
  <c r="H1401" i="7"/>
  <c r="H1284" i="7"/>
  <c r="H1283" i="7"/>
  <c r="H1282" i="7"/>
  <c r="H1281" i="7"/>
  <c r="H1209" i="7"/>
  <c r="H1208" i="7"/>
  <c r="H4488" i="7"/>
  <c r="H4487" i="7"/>
  <c r="H4486" i="7"/>
  <c r="H4485" i="7"/>
  <c r="H4484" i="7"/>
  <c r="H4479" i="7"/>
  <c r="H4483" i="7"/>
  <c r="H4482" i="7"/>
  <c r="H4481" i="7"/>
  <c r="H4480" i="7"/>
  <c r="H4395" i="7"/>
  <c r="G410" i="2" l="1"/>
  <c r="G416" i="2"/>
  <c r="H1421" i="7"/>
  <c r="H1423" i="7" s="1"/>
  <c r="H1293" i="7"/>
  <c r="H1412" i="7"/>
  <c r="H4540" i="7"/>
  <c r="H4542" i="7" s="1"/>
  <c r="H3896" i="7"/>
  <c r="H4325" i="7"/>
  <c r="A377" i="2"/>
  <c r="H4080" i="7"/>
  <c r="H4078" i="7"/>
  <c r="H4077" i="7"/>
  <c r="H4076" i="7"/>
  <c r="H4072" i="7"/>
  <c r="H4071" i="7"/>
  <c r="H4070" i="7"/>
  <c r="H4046" i="7"/>
  <c r="H3906" i="7"/>
  <c r="H3905" i="7"/>
  <c r="H3902" i="7"/>
  <c r="H3901" i="7"/>
  <c r="A383" i="2" l="1"/>
  <c r="A380" i="2"/>
  <c r="A389" i="2" s="1"/>
  <c r="H3975" i="7"/>
  <c r="H1441" i="7"/>
  <c r="G224" i="2" s="1"/>
  <c r="H1414" i="7"/>
  <c r="H1295" i="7"/>
  <c r="G392" i="2" l="1"/>
  <c r="G155" i="2"/>
  <c r="G305" i="2" l="1"/>
  <c r="G401" i="2" l="1"/>
  <c r="H3813" i="7"/>
  <c r="G299" i="2"/>
  <c r="H2591" i="7" l="1"/>
  <c r="H2589" i="7"/>
  <c r="H2587" i="7"/>
  <c r="H2586" i="7"/>
  <c r="H2584" i="7"/>
  <c r="H2583" i="7"/>
  <c r="H1873" i="7"/>
  <c r="H1872" i="7"/>
  <c r="H2582" i="7"/>
  <c r="H2581" i="7"/>
  <c r="H2580" i="7"/>
  <c r="H2579" i="7"/>
  <c r="H2573" i="7"/>
  <c r="H2572" i="7"/>
  <c r="H2571" i="7"/>
  <c r="H2564" i="7"/>
  <c r="H2563" i="7"/>
  <c r="H2594" i="7" l="1"/>
  <c r="H2596" i="7" s="1"/>
  <c r="G239" i="2"/>
  <c r="H1893" i="7"/>
  <c r="G272" i="2" l="1"/>
  <c r="H1895" i="7"/>
  <c r="H629" i="7" l="1"/>
  <c r="H657" i="7"/>
  <c r="H631" i="7" l="1"/>
  <c r="H742" i="7"/>
  <c r="H744" i="7" s="1"/>
  <c r="H633" i="7" l="1"/>
  <c r="G76" i="2" s="1"/>
  <c r="H547" i="7"/>
  <c r="H546" i="7"/>
  <c r="H545" i="7"/>
  <c r="H544" i="7"/>
  <c r="H377" i="7"/>
  <c r="H376" i="7"/>
  <c r="H375" i="7"/>
  <c r="H373" i="7"/>
  <c r="H372" i="7"/>
  <c r="H370" i="7"/>
  <c r="H369" i="7"/>
  <c r="H367" i="7"/>
  <c r="H366" i="7"/>
  <c r="H365" i="7"/>
  <c r="H433" i="7" l="1"/>
  <c r="H435" i="7" s="1"/>
  <c r="H301" i="7" l="1"/>
  <c r="H300" i="7"/>
  <c r="H299" i="7"/>
  <c r="H294" i="7"/>
  <c r="H298" i="7"/>
  <c r="H297" i="7"/>
  <c r="H293" i="7"/>
  <c r="H317" i="7" l="1"/>
  <c r="H338" i="7"/>
  <c r="H518" i="7"/>
  <c r="H515" i="7"/>
  <c r="A50" i="2"/>
  <c r="A53" i="2" s="1"/>
  <c r="A55" i="2" s="1"/>
  <c r="H200" i="7"/>
  <c r="H199" i="7"/>
  <c r="A59" i="2" l="1"/>
  <c r="A62" i="2" s="1"/>
  <c r="A57" i="2"/>
  <c r="H319" i="7"/>
  <c r="G60" i="2"/>
  <c r="H207" i="7"/>
  <c r="H174" i="7"/>
  <c r="F44" i="70" l="1"/>
  <c r="F36" i="70"/>
  <c r="H209" i="7"/>
  <c r="G53" i="2" l="1"/>
  <c r="F9" i="70"/>
  <c r="G17" i="2"/>
  <c r="G20" i="2"/>
  <c r="A11" i="2"/>
  <c r="A14" i="2" s="1"/>
  <c r="A20" i="2" l="1"/>
  <c r="A23" i="2" s="1"/>
  <c r="A26" i="2" s="1"/>
  <c r="A17" i="2"/>
  <c r="A32" i="2" l="1"/>
  <c r="A35" i="2" s="1"/>
  <c r="A29" i="2"/>
  <c r="A38" i="2"/>
  <c r="A41" i="2" s="1"/>
  <c r="A44" i="2" s="1"/>
  <c r="G529" i="2" l="1"/>
  <c r="G532" i="2"/>
  <c r="H826" i="7"/>
  <c r="H543" i="7" l="1"/>
  <c r="H611" i="7" s="1"/>
  <c r="F72" i="70" l="1"/>
  <c r="F73" i="70"/>
  <c r="G366" i="2"/>
  <c r="H613" i="7"/>
  <c r="G362" i="2" l="1"/>
  <c r="G10" i="8"/>
  <c r="G34" i="8"/>
  <c r="G9" i="8"/>
  <c r="H4394" i="7"/>
  <c r="H4397" i="7" s="1"/>
  <c r="H5019" i="7"/>
  <c r="H5018" i="7"/>
  <c r="H4616" i="7"/>
  <c r="H4615" i="7"/>
  <c r="H4549" i="7"/>
  <c r="H4545" i="7"/>
  <c r="H4403" i="7"/>
  <c r="H4364" i="7"/>
  <c r="H4363" i="7"/>
  <c r="H4348" i="7"/>
  <c r="H4350" i="7" s="1"/>
  <c r="H4295" i="7"/>
  <c r="H4294" i="7"/>
  <c r="H4104" i="7"/>
  <c r="H4103" i="7"/>
  <c r="H4101" i="7"/>
  <c r="H4630" i="7" l="1"/>
  <c r="H5038" i="7"/>
  <c r="H4399" i="7"/>
  <c r="G404" i="2" s="1"/>
  <c r="H4351" i="7"/>
  <c r="H4352" i="7" s="1"/>
  <c r="H4297" i="7"/>
  <c r="H5040" i="7" l="1"/>
  <c r="H2611" i="7"/>
  <c r="G355" i="2" l="1"/>
  <c r="F3" i="70"/>
  <c r="G448" i="2"/>
  <c r="G454" i="2"/>
  <c r="F12" i="70"/>
  <c r="F27" i="70" l="1"/>
  <c r="G32" i="2"/>
  <c r="F59" i="70" l="1"/>
  <c r="H956" i="7" l="1"/>
  <c r="H1111" i="7" s="1"/>
  <c r="H897" i="7"/>
  <c r="H825" i="7"/>
  <c r="H1113" i="7" l="1"/>
  <c r="H903" i="7"/>
  <c r="H905" i="7" s="1"/>
  <c r="G100" i="2" l="1"/>
  <c r="F6" i="70" l="1"/>
  <c r="H532" i="7"/>
  <c r="H99" i="7" l="1"/>
  <c r="G8" i="2" l="1"/>
  <c r="H3954" i="7" l="1"/>
  <c r="H3950" i="7"/>
  <c r="H1214" i="7"/>
  <c r="H1216" i="7" s="1"/>
  <c r="G520" i="2" l="1"/>
  <c r="G120" i="2" l="1"/>
  <c r="G118" i="2" l="1"/>
  <c r="G71" i="2" l="1"/>
  <c r="G97" i="2" l="1"/>
  <c r="H529" i="7"/>
  <c r="H535" i="7" s="1"/>
  <c r="H537" i="7" l="1"/>
  <c r="G50" i="2" l="1"/>
  <c r="H4402" i="7"/>
  <c r="H4100" i="7"/>
  <c r="H4110" i="7" s="1"/>
  <c r="A467" i="2"/>
  <c r="H4324" i="7"/>
  <c r="A351" i="2"/>
  <c r="A473" i="2" l="1"/>
  <c r="A470" i="2"/>
  <c r="A476" i="2" s="1"/>
  <c r="H4331" i="7"/>
  <c r="A361" i="2"/>
  <c r="A365" i="2" s="1"/>
  <c r="A369" i="2" s="1"/>
  <c r="A479" i="2"/>
  <c r="A492" i="2" s="1"/>
  <c r="A505" i="2" s="1"/>
  <c r="A508" i="2" s="1"/>
  <c r="A511" i="2" s="1"/>
  <c r="A514" i="2" s="1"/>
  <c r="A517" i="2" s="1"/>
  <c r="A520" i="2" s="1"/>
  <c r="A523" i="2" s="1"/>
  <c r="A526" i="2" s="1"/>
  <c r="H3699" i="7"/>
  <c r="H4632" i="7"/>
  <c r="H4409" i="7"/>
  <c r="H4112" i="7"/>
  <c r="G278" i="2" s="1"/>
  <c r="H4411" i="7" l="1"/>
  <c r="G407" i="2" s="1"/>
  <c r="A538" i="2" l="1"/>
  <c r="A529" i="2"/>
  <c r="A532" i="2" s="1"/>
  <c r="A535" i="2" s="1"/>
  <c r="H824" i="7" l="1"/>
  <c r="H137" i="7"/>
  <c r="G343" i="2" l="1"/>
  <c r="F33" i="70" l="1"/>
  <c r="G383" i="2"/>
  <c r="G8" i="8" l="1"/>
  <c r="H4362" i="7"/>
  <c r="H4366" i="7" s="1"/>
  <c r="H4355" i="7"/>
  <c r="H4332" i="7"/>
  <c r="H4069" i="7"/>
  <c r="H4068" i="7"/>
  <c r="H3962" i="7"/>
  <c r="H3949" i="7"/>
  <c r="H3900" i="7"/>
  <c r="H3899" i="7"/>
  <c r="G314" i="2"/>
  <c r="H3849" i="7"/>
  <c r="H823" i="7"/>
  <c r="H883" i="7" s="1"/>
  <c r="H4357" i="7" l="1"/>
  <c r="H4358" i="7" s="1"/>
  <c r="H4359" i="7" s="1"/>
  <c r="H4085" i="7"/>
  <c r="H4054" i="7"/>
  <c r="H4333" i="7"/>
  <c r="G386" i="2" s="1"/>
  <c r="H885" i="7"/>
  <c r="G5" i="8"/>
  <c r="H523" i="7"/>
  <c r="H3967" i="7"/>
  <c r="H3239" i="7"/>
  <c r="H3909" i="7"/>
  <c r="H3957" i="7"/>
  <c r="H139" i="7"/>
  <c r="C13" i="1" l="1"/>
  <c r="G11" i="2"/>
  <c r="H4367" i="7"/>
  <c r="H4368" i="7" s="1"/>
  <c r="G398" i="2" s="1"/>
  <c r="H3525" i="7"/>
  <c r="H4056" i="7"/>
  <c r="H3977" i="7"/>
  <c r="H3969" i="7"/>
  <c r="G318" i="2" s="1"/>
  <c r="H3959" i="7"/>
  <c r="H3851" i="7"/>
  <c r="H1869" i="7"/>
  <c r="H525" i="7"/>
  <c r="H232" i="7"/>
  <c r="H4298" i="7"/>
  <c r="H4299" i="7" s="1"/>
  <c r="H4087" i="7"/>
  <c r="G335" i="2" s="1"/>
  <c r="H3911" i="7"/>
  <c r="G320" i="2" l="1"/>
  <c r="G329" i="2"/>
  <c r="G332" i="2"/>
  <c r="G377" i="2"/>
  <c r="G338" i="2"/>
  <c r="G479" i="2" l="1"/>
  <c r="G517" i="2"/>
  <c r="G514" i="2"/>
  <c r="A435" i="2" l="1"/>
  <c r="A438" i="2" l="1"/>
  <c r="A441" i="2" s="1"/>
  <c r="A448" i="2" s="1"/>
  <c r="A451" i="2" l="1"/>
  <c r="A457" i="2" s="1"/>
  <c r="A454" i="2"/>
  <c r="A460" i="2" s="1"/>
  <c r="G444" i="2" l="1"/>
  <c r="G476" i="2"/>
  <c r="A386" i="2"/>
  <c r="A392" i="2" s="1"/>
  <c r="A396" i="2" s="1"/>
  <c r="A398" i="2" s="1"/>
  <c r="A251" i="2"/>
  <c r="A254" i="2" s="1"/>
  <c r="A260" i="2" l="1"/>
  <c r="A257" i="2"/>
  <c r="G443" i="2"/>
  <c r="G473" i="2"/>
  <c r="G435" i="2"/>
  <c r="G538" i="2"/>
  <c r="A263" i="2" l="1"/>
  <c r="A266" i="2" s="1"/>
  <c r="A269" i="2" s="1"/>
  <c r="A272" i="2" s="1"/>
  <c r="A275" i="2" s="1"/>
  <c r="A278" i="2" s="1"/>
  <c r="F63" i="70"/>
  <c r="F82" i="70" s="1"/>
  <c r="C14" i="1" s="1"/>
  <c r="A401" i="2"/>
  <c r="A404" i="2" s="1"/>
  <c r="A407" i="2" s="1"/>
  <c r="A410" i="2" s="1"/>
  <c r="A416" i="2" l="1"/>
  <c r="A419" i="2" s="1"/>
  <c r="A422" i="2" s="1"/>
  <c r="A425" i="2" s="1"/>
  <c r="A413" i="2"/>
  <c r="A281" i="2"/>
  <c r="G281" i="2"/>
  <c r="G296" i="2"/>
  <c r="G290" i="2"/>
  <c r="G308" i="2"/>
  <c r="G293" i="2"/>
  <c r="G254" i="2"/>
  <c r="G356" i="2" l="1"/>
  <c r="G352" i="2"/>
  <c r="A290" i="2"/>
  <c r="A293" i="2" s="1"/>
  <c r="A296" i="2" s="1"/>
  <c r="A299" i="2" s="1"/>
  <c r="A302" i="2" s="1"/>
  <c r="A284" i="2"/>
  <c r="A287" i="2" s="1"/>
  <c r="G275" i="2"/>
  <c r="G429" i="2"/>
  <c r="C10" i="1" s="1"/>
  <c r="A541" i="2"/>
  <c r="G251" i="2"/>
  <c r="G467" i="2"/>
  <c r="G373" i="2" l="1"/>
  <c r="C9" i="1" s="1"/>
  <c r="A305" i="2"/>
  <c r="A308" i="2" s="1"/>
  <c r="G91" i="2"/>
  <c r="G348" i="2"/>
  <c r="C8" i="1" s="1"/>
  <c r="A314" i="2" l="1"/>
  <c r="A317" i="2" s="1"/>
  <c r="A320" i="2" s="1"/>
  <c r="A311" i="2"/>
  <c r="A329" i="2" l="1"/>
  <c r="A332" i="2" s="1"/>
  <c r="A335" i="2" s="1"/>
  <c r="A338" i="2" s="1"/>
  <c r="A341" i="2" s="1"/>
  <c r="A343" i="2" s="1"/>
  <c r="A323" i="2"/>
  <c r="A326" i="2" s="1"/>
  <c r="A114" i="2" l="1"/>
  <c r="A118" i="2" l="1"/>
  <c r="A65" i="2"/>
  <c r="A120" i="2" l="1"/>
  <c r="A122" i="2" s="1"/>
  <c r="G85" i="2"/>
  <c r="A68" i="2"/>
  <c r="A71" i="2" s="1"/>
  <c r="A74" i="2" s="1"/>
  <c r="A76" i="2" s="1"/>
  <c r="A79" i="2" s="1"/>
  <c r="A82" i="2" s="1"/>
  <c r="A155" i="2" l="1"/>
  <c r="A184" i="2" s="1"/>
  <c r="A214" i="2" s="1"/>
  <c r="A126" i="2"/>
  <c r="A217" i="2"/>
  <c r="A221" i="2" s="1"/>
  <c r="A85" i="2"/>
  <c r="A224" i="2" l="1"/>
  <c r="A91" i="2"/>
  <c r="A88" i="2"/>
  <c r="A94" i="2" s="1"/>
  <c r="A97" i="2" s="1"/>
  <c r="A100" i="2" l="1"/>
  <c r="A103" i="2" s="1"/>
  <c r="A106" i="2" s="1"/>
  <c r="A109" i="2" s="1"/>
  <c r="A227" i="2"/>
  <c r="G26" i="2"/>
  <c r="G114" i="2"/>
  <c r="G65" i="2"/>
  <c r="A230" i="2" l="1"/>
  <c r="A233" i="2"/>
  <c r="A236" i="2" s="1"/>
  <c r="A239" i="2" s="1"/>
  <c r="A242" i="2" s="1"/>
  <c r="A245" i="2" s="1"/>
  <c r="G248" i="2"/>
  <c r="C7" i="1" s="1"/>
  <c r="G68" i="2"/>
  <c r="G541" i="2" l="1"/>
  <c r="G545" i="2" l="1"/>
  <c r="C12" i="1" s="1"/>
  <c r="G442" i="2"/>
  <c r="G23" i="2" l="1"/>
  <c r="G47" i="2" s="1"/>
  <c r="C5" i="1" s="1"/>
  <c r="G112" i="2"/>
  <c r="C6" i="1" l="1"/>
  <c r="G438" i="2" l="1"/>
  <c r="G463" i="2" s="1"/>
  <c r="C11" i="1" s="1"/>
  <c r="C17" i="1" l="1"/>
  <c r="C5" i="37" l="1"/>
  <c r="C17" i="37" s="1"/>
  <c r="D5" i="37" l="1"/>
  <c r="D17" i="37"/>
  <c r="C18" i="37" l="1"/>
  <c r="C19" i="37" s="1"/>
</calcChain>
</file>

<file path=xl/sharedStrings.xml><?xml version="1.0" encoding="utf-8"?>
<sst xmlns="http://schemas.openxmlformats.org/spreadsheetml/2006/main" count="11633" uniqueCount="2579">
  <si>
    <t>SUMMARY SHEET</t>
  </si>
  <si>
    <t>SL.No</t>
  </si>
  <si>
    <t>Description</t>
  </si>
  <si>
    <t>TOTAL AMOUNT</t>
  </si>
  <si>
    <t>DESCRIPTION</t>
  </si>
  <si>
    <t>BOQ for Interior fitouts work</t>
  </si>
  <si>
    <t>Sl.No</t>
  </si>
  <si>
    <t xml:space="preserve">Unit </t>
  </si>
  <si>
    <t xml:space="preserve">Rate </t>
  </si>
  <si>
    <t>Amount</t>
  </si>
  <si>
    <t>Sqm</t>
  </si>
  <si>
    <t>Pest Control</t>
  </si>
  <si>
    <t>Unit</t>
  </si>
  <si>
    <t>Qty</t>
  </si>
  <si>
    <t>Rate</t>
  </si>
  <si>
    <t xml:space="preserve"> Civil Work Measurement Sheet</t>
  </si>
  <si>
    <t>Nos</t>
  </si>
  <si>
    <t>Length</t>
  </si>
  <si>
    <t>Width</t>
  </si>
  <si>
    <t>Height</t>
  </si>
  <si>
    <t>Total QTY</t>
  </si>
  <si>
    <t xml:space="preserve">Total </t>
  </si>
  <si>
    <t>Add - 5%</t>
  </si>
  <si>
    <t>Grand Total</t>
  </si>
  <si>
    <t>SUB TOTAL CARRIED TO SUMMARY</t>
  </si>
  <si>
    <t>Flooring</t>
  </si>
  <si>
    <t>FLOORING</t>
  </si>
  <si>
    <t>Basic Rate</t>
  </si>
  <si>
    <t>Installation</t>
  </si>
  <si>
    <t>Vinyl Flooring</t>
  </si>
  <si>
    <t>ALUMINIUM SKIRTING</t>
  </si>
  <si>
    <t>Rmt</t>
  </si>
  <si>
    <t>Alumium Skirting</t>
  </si>
  <si>
    <t>TRANSITION STRIP</t>
  </si>
  <si>
    <t>Providing and fixing Transition strip at junction of carpet and granite floor, carpet and vitrified floor etc., , edge buffing and fixing complete. As per the following specification.</t>
  </si>
  <si>
    <t>Granite</t>
  </si>
  <si>
    <t>False Ceiling</t>
  </si>
  <si>
    <t>FALSE CEILING</t>
  </si>
  <si>
    <t>GYPSUM FALSE CEILING</t>
  </si>
  <si>
    <t>Ceiling section of 0.55mm thk having web of 51.5mm &amp; flanges 26 mm each  lips 10.5 mm fixed to intermediate  channel with connecting clips &amp; perpendicular to int channel @ 457mm  c/c.12.5 mm tapered edge Plaster board ( IS 2095-1982 ) screw fixed to ceiling section with 25mm dry wall screws @ 230 mm c/c. Boards to be joint &amp; finished so as to have flush look including filling  finishing edges with jointing compound paper tape/cloth gauze &amp; 2 coats of primer suitable for plaster board. Rate to include M.S.framing around A/C ducts where ever necessary.</t>
  </si>
  <si>
    <t xml:space="preserve">Providing and fixing Suspended False Ceiling which includes Gypsum Plaster board 12mm thk., False Ceiling on 24 gauge G.I. frame work which includes Providing. &amp; fixing G.I. perimeter channels 0.55 mm thk 20mmx30mm,web size 27mm along perimeter of ceiling, screw fixed to brick wall/partition with nylon sleeves &amp; screws @ approx 2'0" c/c. Suspending G.I. intermediate channels size 45 mm,0.9 mm thk, flanges of size15mm each from the soffit 1220mm c/c with ceiling angle 25 x10mm x 0.55mm thk fixed to soffit G.I. cleat &amp; steel expansion fasteners. </t>
  </si>
  <si>
    <t>Gypsum Ceiling</t>
  </si>
  <si>
    <t>Partition</t>
  </si>
  <si>
    <t>PARTITION</t>
  </si>
  <si>
    <t>ALUMINIUM PARTITION</t>
  </si>
  <si>
    <t>Alumium Frame</t>
  </si>
  <si>
    <t>GI Frame</t>
  </si>
  <si>
    <t>12mm THICK PLY/MDF SKINNING</t>
  </si>
  <si>
    <t>Providing &amp; fixing 12mm thick MDF skinning on existing frame / Wall work using 19mm screws at every 300mm centre to centre. The MDF skinning is finished using approved metal putty &amp; primer as per detail dwg.</t>
  </si>
  <si>
    <t>Ply cladding</t>
  </si>
  <si>
    <t>12.5mm THICK GYPSUM SKINNING.</t>
  </si>
  <si>
    <t>Providing &amp; fixing 12.5mm thick taper edge gypsum skinning on existing aluminum frame work using propriety supplied screws at every 300mm center to center. The gypsum skinning is finished using proprietary supplied jointing tape &amp; jointing compound as per manufacturer's specification.</t>
  </si>
  <si>
    <t>ROCK WOOL INSULATION</t>
  </si>
  <si>
    <t>Rockwool Insulation</t>
  </si>
  <si>
    <t>LACQURED GLASS PANELLING</t>
  </si>
  <si>
    <t>sqm</t>
  </si>
  <si>
    <t>Glass Partition</t>
  </si>
  <si>
    <t>TOTAL</t>
  </si>
  <si>
    <t>DOORS</t>
  </si>
  <si>
    <t>nos</t>
  </si>
  <si>
    <t>Size : - 1000 x 2400mm</t>
  </si>
  <si>
    <t>Supply  &amp; Fixing of Single Leaf Glass door. Door frame formed out of Stamndard Sections as per Manufacturers Specification.Complete as per details and instructions of the Architect.</t>
  </si>
  <si>
    <t>Note:</t>
  </si>
  <si>
    <t>Gaze / Dorma Hardwares to be used</t>
  </si>
  <si>
    <t>Doors</t>
  </si>
  <si>
    <t>CUSTOM FURNITURE</t>
  </si>
  <si>
    <t>WALL FINISHES</t>
  </si>
  <si>
    <t>Contractor shall protect the entire furniture provided by him or other agencies before starting the painting / punning work and shall be held responsible for any stains or damage including aluminum windows, AC grilles, Diffusers, grid ceiling, Modular furniture, carpet etc.</t>
  </si>
  <si>
    <t>POP WALL PUNNING</t>
  </si>
  <si>
    <t xml:space="preserve">Providing and applying Plaster of Paris punning of average thickness 12mm to existing wall surfaces in true level and plumb complete as directed. </t>
  </si>
  <si>
    <t>Existing wall surfaces to be prepare by scraping away any loose particles, dust, etc by washing and scrubbing and 1 coat of primer approved by manufacturer applied. The wall surfaces are then smoothened using putty approved by the manufacturers. Surfaces are then sandpapered to achieve a smooth finish and two or more coats of paint are applied as per manufacturer's specification.</t>
  </si>
  <si>
    <t>ACRYLIC EMULSION PAINT ( Premium )</t>
  </si>
  <si>
    <t>Ceiling</t>
  </si>
  <si>
    <t>Providing and applying Acrylic Emulsion ( Premium ) paint finish to walls, blocked partitions, and plasterboard ceiling surfaces of approved shade, texture.</t>
  </si>
  <si>
    <t>MISCELLANEOUS WORKS</t>
  </si>
  <si>
    <t>FROSTING FILM-GLASS PARTITION</t>
  </si>
  <si>
    <t>Providing &amp; fixing printed frosting film of 3M make  as per design &amp; installed over the glass partition as per manufacturer's specification &amp; installation guidelines. Vendor shall include wastage while quoting. Vendor shall provide 10 year warranty as per manufacturer's guidelines.</t>
  </si>
  <si>
    <t>HOUSE KEEPING</t>
  </si>
  <si>
    <t>LS</t>
  </si>
  <si>
    <t>Providing professional house - keeping support for the entire site inclusive of dedicated labour and supervisory personnel as and when instructed by project manager in writing. Cost to include all equipments (including wet &amp; dry industrial vacuum cleaners whenever required), consumables, protective and safety measures, at site.</t>
  </si>
  <si>
    <t>DEEP CLEANING</t>
  </si>
  <si>
    <t>POP Punning</t>
  </si>
  <si>
    <t>Painting</t>
  </si>
  <si>
    <t>Miscelleneous</t>
  </si>
  <si>
    <t>Pelmet</t>
  </si>
  <si>
    <t>CORNER GUARD</t>
  </si>
  <si>
    <t>Supply &amp; Installation of Alumium Corner Guard</t>
  </si>
  <si>
    <t>LOGO</t>
  </si>
  <si>
    <t>Supply &amp; Installation of Logo</t>
  </si>
  <si>
    <t>Acoustic Partition</t>
  </si>
  <si>
    <t>Storage</t>
  </si>
  <si>
    <t>Total Modular</t>
  </si>
  <si>
    <r>
      <rPr>
        <b/>
        <sz val="11"/>
        <rFont val="Calibri Light"/>
        <family val="2"/>
        <scheme val="major"/>
      </rPr>
      <t>Shutter :</t>
    </r>
    <r>
      <rPr>
        <sz val="11"/>
        <rFont val="Calibri Light"/>
        <family val="2"/>
        <scheme val="major"/>
      </rPr>
      <t xml:space="preserve"> Providing &amp; fixing glass door  formed out of 10mm thick clear toughned glass. The glass shutter should be polished on the edges. </t>
    </r>
  </si>
  <si>
    <t>Brick Cladding</t>
  </si>
  <si>
    <t>Tile Cladding</t>
  </si>
  <si>
    <t>Mirror</t>
  </si>
  <si>
    <t>Acoustic Ceiling</t>
  </si>
  <si>
    <t>Acoustic cladding</t>
  </si>
  <si>
    <t>TILE CLADDING</t>
  </si>
  <si>
    <t>Pantry</t>
  </si>
  <si>
    <t>TILE FLOORING</t>
  </si>
  <si>
    <t>Providing and laying to pattern, 10mm thick tile flooring Tiling using tiles of size given below , colour and make to pattern over Adhesive of make Latricrete / Polyglaze  including joints shall be pointed with the matching cement based  polymer grout as recommended by Laticrete/ Ardex Endura or approved equivalent, etc., Allow for protective plastic sheet to protect the tile till the handing over, the rate inclusive of providing necessary spacers to ensure uniform joints etc. complete. 
Rate including Materials, Manpower, Machinery, Tools, Transportation, Shifting to the required location, all wastages like design, pattern and handling, Lead and Lifts and all other necessary works required to complete full scope of Job at all locations and levels as per drawings and technical specifications.</t>
  </si>
  <si>
    <t>MS Frame</t>
  </si>
  <si>
    <t>PEN TRAY</t>
  </si>
  <si>
    <t>Supply &amp; Installation of PEN TRAY</t>
  </si>
  <si>
    <t>Civil Work</t>
  </si>
  <si>
    <t>CIVIL WORK</t>
  </si>
  <si>
    <t>Block Work</t>
  </si>
  <si>
    <t>Plastering</t>
  </si>
  <si>
    <t>150mm THICK SOLID BLOCK WALL</t>
  </si>
  <si>
    <t>RCC LINTEL</t>
  </si>
  <si>
    <t>Providing and laying 150/200x150/200x150/200mm lintel concrete by using reinforced cement concrete of nominal mix 1:1.5:3,The work includes concrete laying, shuttering, scaffolding, curing, 4Nos of 8mm dia Reinforement, etc complete as per the EIC.</t>
  </si>
  <si>
    <t>SCREED FLOORING</t>
  </si>
  <si>
    <t>Screed</t>
  </si>
  <si>
    <t>Column</t>
  </si>
  <si>
    <t>Raised Flooring</t>
  </si>
  <si>
    <t>ESD Flooring</t>
  </si>
  <si>
    <t>WATER PROOFING</t>
  </si>
  <si>
    <t>Providing and applying water proofing treatment on sunken / raised areas of toilets, etc. with three coats of tapecrete and sealing all junction, corners and joints of pipes after first coat with epoxy mortar as per approved specifications of the specialist agency including providing 10 years written guarantee against any defects and leakage. (Tapecrete is polymer modified cementious material being manufactured in collaboration with FRC Composite Ltd. Canada. It shall have low permeability with a high resistance to cracking). The rate including over the wall facia to height of 600mm. Only floor area shall be measured and paid for this item</t>
  </si>
  <si>
    <t>Door</t>
  </si>
  <si>
    <t>EPOXY FLOORING</t>
  </si>
  <si>
    <t>Providing and applying a 3-coat epoxy floor coating system in the AHU room, including surface preparation by mechanical grinding, application of epoxy primer, high-build 100% solids epoxy base coat (300–500 microns), and an optional UV-resistant topcoat for added durability. The system shall be resistant to chemicals, moisture, and abrasion, with a slip-resistant finish if required. All materials, labour, tools, and equipment shall be included, and the work shall be completed as per manufacturer’s specifications and instructions of the Engineer-in-Charge.</t>
  </si>
  <si>
    <t>Epoxy Flooring</t>
  </si>
  <si>
    <t>Staircase</t>
  </si>
  <si>
    <t>CARPET FLOORING</t>
  </si>
  <si>
    <t>Supply, Laying of carpet tiles over hardflooring by approved authorised dealer only.
Construction-Tufted, Structured Loop PileFace Fibre; ECONYL® Type 6 nylon made with 100% regenerated nylon; Finished Face Weight-490 g/m2; Gauge-47.2/10 cm; Rows-44/10 cm;
Tuft Density-224 000/m2; Finished Pile Height-2.5mm; Standard Backing
Comfort Lite 90% Recycled content,Polyurethane cushion. Nominal Total Thickness-8.3 mm
Nominal Total Weight-3 800 g/m2</t>
  </si>
  <si>
    <t>Transition Strip</t>
  </si>
  <si>
    <t>GRANITE THRESHOLD</t>
  </si>
  <si>
    <t>Granite Threshold</t>
  </si>
  <si>
    <t>Gypsum Cladding</t>
  </si>
  <si>
    <t>Laqured Glass</t>
  </si>
  <si>
    <t>SINGLE GLAZED PARTITION SYSTEM</t>
  </si>
  <si>
    <t>Supply and fix tiles on wall surfaces as per approved samples and drawings. Tiles shall be minimum 9-10 mm thick as per selection . Cost includes cement mortor (or) polymer-modified cementitious adhesive suitable for  tile installation in vertical installation , tile to be fixed  with uniform 2-3 mm joints using spacers and Weber epoxy grout , ensuring proper alignment and level. Include cutting, wastage , cleaning, and protection. Measurement based on installed tiled area including joints. Work to be free of defects and in compliance with relevant IS standards.</t>
  </si>
  <si>
    <t>GLASS DOOR</t>
  </si>
  <si>
    <t>Coustom Furniture</t>
  </si>
  <si>
    <t>Counter</t>
  </si>
  <si>
    <t>True Ceiling</t>
  </si>
  <si>
    <t xml:space="preserve">Wall </t>
  </si>
  <si>
    <t>Wall Paint</t>
  </si>
  <si>
    <t>PELMET</t>
  </si>
  <si>
    <t>Providing and fixing pelmets made of 18mm Pre laminated ply of size 150x150mm wide along windows and glazed area and with  necessary wood support, and also to mount the Blinds and Pull Down screens. The edges on the glazing side has to finished with enamel paint / Edge banding .  Vertical support Ply to be anchored to the structural beam. Fixing detail may vary as per site conditions. Rate to be inclusive of the same. Make of Ply- Archid ply, Green ply, Century</t>
  </si>
  <si>
    <t>Blinds</t>
  </si>
  <si>
    <t>BLINDS</t>
  </si>
  <si>
    <t xml:space="preserve">ROLLER BLINDS  -Blackout Serene Opaque . Supply &amp; Installation of manually operated roller blinds and Printed shade, fabric width 1.8 mtr or 2.3 mtr and height 2.4mtr </t>
  </si>
  <si>
    <t>Tech. Specification
Construction -100% Polyester
Fabric Thickness 0.60 Mm
Fabric Weight + 5% 390 Gsm
Fabric Width 230 Csm
Coating Blackout 3 Pass Foam Coat-ing
EPI/PPI 176/164
Warp &amp; Weft Warp : 80 Den Twisted SD
Weft : 300 Den Roto</t>
  </si>
  <si>
    <t>HARDWARE</t>
  </si>
  <si>
    <t>TOP TUBE : Made of extruded aluminium 38 mm Dia. With wall thickness of 1.2 mm with spline adoptable to accommodate clutch of ACMEDA make.</t>
  </si>
  <si>
    <t xml:space="preserve">CLUTCH MECHANISM : Moulded plastic having antifriction additive with Glass fibre reinforcement. Should have a minimum lifting capacity of 8 lbs </t>
  </si>
  <si>
    <t>OPERATING CHAIN : #10 steel ball chain adoptable to the clutch pitch for smooth lifting &amp; lowering of blind.</t>
  </si>
  <si>
    <t>LOCKING MEMBER : #12 steel stop locks for limit setting adoptable to the steel chain.</t>
  </si>
  <si>
    <t>LOAD TUBE : 38 mm Extruded aluminium wall thickness :1.2 mm + / - 5%</t>
  </si>
  <si>
    <t xml:space="preserve">Bonding ( Fabric &gt; Tube ) : 15 mm wide double sided adhesive tape of 3M </t>
  </si>
  <si>
    <t>Bottom Bar : aluminium extruded box section with powder coated finish matching the roller fabric -Min weight to be 365 gms / Lmr for a perfect fall of fabric to avoid warpage / floating.Instalattion to be insert type with end caps.</t>
  </si>
  <si>
    <t>Warranty : 1 Year</t>
  </si>
  <si>
    <t>Storage unit</t>
  </si>
  <si>
    <t>Modular Furniture</t>
  </si>
  <si>
    <t>Café</t>
  </si>
  <si>
    <t>Pedestal Unit</t>
  </si>
  <si>
    <t>CIVIL &amp; INTERIOR</t>
  </si>
  <si>
    <t>GRAND TOTAL</t>
  </si>
  <si>
    <t>GST-18%</t>
  </si>
  <si>
    <t>UPS Room</t>
  </si>
  <si>
    <t>Electrical Room</t>
  </si>
  <si>
    <t>Sliding Door</t>
  </si>
  <si>
    <t>FIRE RATED METAL DOOR</t>
  </si>
  <si>
    <t>Providing and fixing of 2 Hr Fire rated metal door Single shutter made of 1.6mm thk galvanized steel frames of size 140x57 mm with rebate and 1.2mm thk galvanized steel of 46mm thk double skin shutter  with necessary infill materials and glue/sealant fixed in all respect including poly urethane paint with protective film coating and all accessories like hinges, lock, handles, door closers, with 6mm thk Toughened fire glass vision panel (without mesh) etc., as per the specifications. (Note - Before ordering Cross Check the site for Dimension &amp; get the approvel from the architect with shop drawing).</t>
  </si>
  <si>
    <t>SOLID FLUSH DOOR</t>
  </si>
  <si>
    <t>Flush Door</t>
  </si>
  <si>
    <t xml:space="preserve">Aluminium Door Frame  - Providing and fixing doors with aluminium door frame of size 100 X 25 mm with rebate,  size with 32 mm thk fluh door finished in 1 mm thk laminate of approved shade .with hardwares. </t>
  </si>
  <si>
    <t xml:space="preserve"> </t>
  </si>
  <si>
    <t xml:space="preserve">TOTAL </t>
  </si>
  <si>
    <t>Store Room</t>
  </si>
  <si>
    <t>Work Station Area</t>
  </si>
  <si>
    <t>Battery &amp; UPS Room</t>
  </si>
  <si>
    <t>Gents Toilet</t>
  </si>
  <si>
    <t>Triangle Portion</t>
  </si>
  <si>
    <t>AHU &amp; Electrical Room Front</t>
  </si>
  <si>
    <t xml:space="preserve">Making 150mm thick wall of  Solid concrete Block in 1:4 cement mortar, with 2 nos. of 8 mm diameter steel reinforcement in every 4 layer &amp; 2 nos. of hoop iron strips 25mm x 1.6mm, painted with anti-corrosive paint, RCC Lintel at  2400 mm Ht, properly bent and bonded at the end, inclusive of shuttering, scaffolding, Raking of joints and proper curing etc complete. The joints between the RCC and masonry will have hold fasts @ 600mm c/c, with joints finished in chicken mesh 20 gauge and finished with cement plaster </t>
  </si>
  <si>
    <t>PLASTERING</t>
  </si>
  <si>
    <t>Providing &amp; applying in one coat 12mm thick rough Cement plaster in proper line &amp; level  on internal surface of   RCC/Bricks/Blocks walls with cement mortar 1:4 finished  rough to take on POP punning. Rate shall be inclusive of scaffolding, grooves ,sills, band, curing, surface preparation before the application of plaster.</t>
  </si>
  <si>
    <t>RCC Lintel</t>
  </si>
  <si>
    <t>Server Room</t>
  </si>
  <si>
    <t>Water Proofing</t>
  </si>
  <si>
    <t>AHU Room -1</t>
  </si>
  <si>
    <t>AHU Room -2</t>
  </si>
  <si>
    <t>Tile Flooring</t>
  </si>
  <si>
    <t>Reception</t>
  </si>
  <si>
    <t>Same as above 3.01 Tile Flooring</t>
  </si>
  <si>
    <t>Basic Rate -50/Sqft</t>
  </si>
  <si>
    <t>VINYL FLOORING</t>
  </si>
  <si>
    <t>Ahu Room Passage</t>
  </si>
  <si>
    <t>Focus Room</t>
  </si>
  <si>
    <t>Toilet Passage</t>
  </si>
  <si>
    <t>Carpet Flooring</t>
  </si>
  <si>
    <t>Manager Cabin</t>
  </si>
  <si>
    <t>6 Pax Meeting Room</t>
  </si>
  <si>
    <t>Collab Area</t>
  </si>
  <si>
    <t>4 Pax Meeting Room</t>
  </si>
  <si>
    <t>Electrical &amp; AHU Room</t>
  </si>
  <si>
    <t>UPS &amp; Battery Room</t>
  </si>
  <si>
    <t>Collab</t>
  </si>
  <si>
    <t>Booth Seating</t>
  </si>
  <si>
    <t>4 Pax</t>
  </si>
  <si>
    <t>ODC 2</t>
  </si>
  <si>
    <t>ODC 1</t>
  </si>
  <si>
    <t>ODC 5</t>
  </si>
  <si>
    <t>ODC 6</t>
  </si>
  <si>
    <t>Providing and installing 19mm thick polished Granite ledge of 100 to 150mm wide, the exposed edge of the ledge shall be ground to full round shall polished to gloss. The ledge formed shall be installed over a 1:3 cement mortar bedding of average 25mm thick set in cement slurry, the joints shall be grouted in approved matching colour epoxy grout. Price quoted shall be inclusive of lead, lift, required stagging, scaffolding etc., complete as per detail drawing.</t>
  </si>
  <si>
    <t>Lift Lobby</t>
  </si>
  <si>
    <t>RAISED FLOORING</t>
  </si>
  <si>
    <t>Raised Floor: The system should be of nominal 600mm x 600mm (35mm thick) modular panels with heavy-duty pedestals and stringers. The total system weight shall not exceed 40Kg/Sqmt. The system shall be able to withstand a UDL of 800 kg/Sqmt and a point load of 360 kgs/sq.inc Panels: Panels shall be made of steel with an infill of light wt, non-combustible cementitious material. The bottom of the panel shall be embossed in a hemispherical shape to give strength and flexural rigidity. The infill material shall not become loose when the panels are cut. The panel should be able to withstand an ultimate load of at least 2.5 times the designed point load. The entire panel shall be coated with epoxy powder coating of 75-100 microns on the exposed surface. The panel top&amp;bottom sheet shall be 0.7/0.7mm resp.  The panels shall have a top covering of anti-static high pressure laminate with resistance of 2x105 - 5x109 ohms. The HPL thickness shall not be less than 1.2mm. Pedestals: The pedestal base shall be square of 100mm X 100mm X 2mm bearing area and assemble to a tube of 22mm dia. With 2mm wall thickness. The pedestal head to be not less than 3mm. The pedestals should be able to accept an axial load of 22,500N and and ultimate load not less the 45,000N. pedestal head shall be galvanized die-cut steel welded to a threaded rod with a counter locking leveling nut.</t>
  </si>
  <si>
    <t>GI FRAME</t>
  </si>
  <si>
    <t>Providing &amp; fixing 50mm thk Wall lining with C-stud partition which  is placed adjacent to RCC wall. 48x0.5mm  C-stud {Material-IS 513,Y/S-300Mpa, Finish - AZ150 (IS 15961)} placed at 610mm c/c in 50x0.5mm {Material-IS 513,Y/S-300Mpa, Finish - AZ150 (IS 15961} floor.  Floor &amp; Ceiling channel is anchored to the floor &amp; True ceiling using Rawl plug Ø8x45mm {Material-IS 513 CR1 grade, Zinc coating, Pull Out Load-6.8kN for M30 concrete grade} /Hilti Nail anchor fasteners at 600mm c/c in centerline manner. 50x32x32x0.5mm Floor channel to be cut &amp; bend &amp; bracing at every 1200mm c/c vertically. Floor channel is fixed to brick wall with Sleeve Anchor (Ø6x40mm)/ Impact anchor or to RCC with Rawl Plug. Floor channel to be wrapped with 70µ Self Adhesive LDPE moisture barrier film to further improve corrosion resistance performance.  A  Noggin channel {Material-IS 513,Y/S-300Mpa, Finish - AZ150 (IS 15961)} of 48x0.5mm width has to be provided at the horizontal joints of outer boards. First layer to be screw fixed drywall screws of 35mm at minimum spacing of 300mm at Centre and 300mm at periphery. Extra reinforcement to be provided at openings (doors, windows, Skirting etc.,) all the steel studs used shall have high quality galvanising and must be fully knurled. Ensure studs are firmly fixed and no undulations before boarding. Finally square and tapered edges of the boards are to be jointed and finished so as to have a flush look which includes filling and finishing with Pro-Fill Jointing compound Air Dry (Conforms to ASTM C475), Joint Paper tape.  All other detailing and specifications to be followed as per approved drawing.</t>
  </si>
  <si>
    <t xml:space="preserve">Supply &amp; Installation of  Full Height Glass Partition System of 10mm toughened glass with proprietary wideline partition systems of size as per Manufacturers specification as verticals and horizontals at top and bottom with  option for installing glass  &amp;  glass to glass joint with other required accessories from FFL to 2400mm as per the  drawing.and instructions of the Architects.Contractor to polish / chamfer the edges of the glass &amp; seal the joints between glass with clear silicon sealant. Complete as per the design of the Architect's.
</t>
  </si>
  <si>
    <t>ODC 4</t>
  </si>
  <si>
    <t>ODC 3</t>
  </si>
  <si>
    <t>6 Pax</t>
  </si>
  <si>
    <t>Fluted Board cladding</t>
  </si>
  <si>
    <t>GLO PANEL CLADDING</t>
  </si>
  <si>
    <t>Basic Rate 350/Sqft</t>
  </si>
  <si>
    <t>Glo Panel</t>
  </si>
  <si>
    <t>Providing &amp; fixing 12mm thk Readymade flutted paneling fixed over existing 19mm thick Ply backing , complete as per instruction of the Architect's.</t>
  </si>
  <si>
    <t>MDF BAND WITH LAMINATE FINISH</t>
  </si>
  <si>
    <t>Providing &amp; fabricating 150mm Band  made of  4mm thk MDF finished with Laminate fixed on the the Existing ply work wherever specified. etc complete as per the drawing &amp; instructions of the Architects.</t>
  </si>
  <si>
    <t>MDF Band</t>
  </si>
  <si>
    <t>Basic rate - 250/Sqft</t>
  </si>
  <si>
    <t>Size : - 1800 x 2400mm (Sliding door)</t>
  </si>
  <si>
    <t>SOLID ACRYLIC TOP COUNTER</t>
  </si>
  <si>
    <t>Providing and fixing storage unit with 600mm wide 6 mm thk corian counter top of approved shade corian to be fixed over on storage made of 18mm thk BWR Ply board. Storage inner surface to be finished with white laminate and shutters to be in laminate finish with finger groove profile handle as per detailed drawing. Cost inclusive of 150mm high Backspalsh band above storage unit to mount powet / data sockets as per detail dwg . Make of Ply - Greenply,  Archidply . Make of Laminate - Merino, Greenlam, Century .</t>
  </si>
  <si>
    <t>Planter Box</t>
  </si>
  <si>
    <t>TECH PANEL _300MM X 2400MM</t>
  </si>
  <si>
    <t>Providing &amp; fixing of Tech Panel of 300mm wide, the finish of tech panel shall match the Door frame colour, fixed using required accessories as per the manufactures recommandation &amp; as per the Architec's instruction.</t>
  </si>
  <si>
    <t>Tech Panel</t>
  </si>
  <si>
    <r>
      <rPr>
        <b/>
        <sz val="11"/>
        <rFont val="Calibri Light"/>
        <family val="2"/>
        <scheme val="major"/>
      </rPr>
      <t>Table top (SAS) :</t>
    </r>
    <r>
      <rPr>
        <sz val="11"/>
        <rFont val="Calibri Light"/>
        <family val="2"/>
        <scheme val="major"/>
      </rPr>
      <t xml:space="preserve"> Table top of 900mm wide to be formed out of 18mm thick HDF clad with 12mm thick approved  Solid acrylic surface, with edge binding the edges shall have reverse water fall to form a fascia of 50mm thk etc  complete as per detail dwg. &amp; Architect's instruction. bottom of the table top shall be finished with approved 1mm thk Laminate
</t>
    </r>
    <r>
      <rPr>
        <b/>
        <sz val="11"/>
        <rFont val="Calibri Light"/>
        <family val="2"/>
        <scheme val="major"/>
      </rPr>
      <t xml:space="preserve">Modesty panel @ 750mm ht  </t>
    </r>
    <r>
      <rPr>
        <sz val="11"/>
        <rFont val="Calibri Light"/>
        <family val="2"/>
        <scheme val="major"/>
      </rPr>
      <t xml:space="preserve">: Modesty shall be formed out of 30x30mm thk MS box section and cladded with 18mm thk HDF and finished with 12mm  readymade flutted panele, Modesty panel to have 100mm high skirting etc complete as per the details shown in the drawing. In modesty panel the cutout to be made for the wheel chair. 
</t>
    </r>
    <r>
      <rPr>
        <b/>
        <sz val="11"/>
        <rFont val="Calibri Light"/>
        <family val="2"/>
        <scheme val="major"/>
      </rPr>
      <t>Modesty panel/Transaction @ 300mm from FFL to 1050mm ht  :</t>
    </r>
    <r>
      <rPr>
        <sz val="11"/>
        <rFont val="Calibri Light"/>
        <family val="2"/>
        <scheme val="major"/>
      </rPr>
      <t xml:space="preserve"> Modesty/Transaction shall be formed out of 30x30mm thk MS box section and cladded with 18mm thk flexi HDF and finished with 12mm Solid acrylic surface, Modesty panel to have SAS provision for cove lighting etc complete as per the details shown in the drawing.  In modesty panel the cutout to be made for the wheel chair. and the whole cutout external shall be finished with 12mm thk SAS.</t>
    </r>
  </si>
  <si>
    <r>
      <rPr>
        <b/>
        <sz val="11"/>
        <rFont val="Calibri Light"/>
        <family val="2"/>
        <scheme val="major"/>
      </rPr>
      <t>Pedestal Unit (Built in) :</t>
    </r>
    <r>
      <rPr>
        <sz val="11"/>
        <rFont val="Calibri Light"/>
        <family val="2"/>
        <scheme val="major"/>
      </rPr>
      <t xml:space="preserve"> Providing and fixing Pedestal unit 2nos of 600mm X 550mm X 630mm ht. made out of 18mm thk HDF finished with 1mm thk approved laminate . Drawer unit to have 2 drawers and 1 shutter made out of 18mm thk HDF finished with approved 1mm thk laminate , mounted on approved drawer channel, central locking, approved handle. Complete as per the detailed dwg and instructions of the Architect.</t>
    </r>
  </si>
  <si>
    <t>Bench Seating with High Bar Tabe</t>
  </si>
  <si>
    <t>OVERHEAD STORAGE</t>
  </si>
  <si>
    <t>Providing &amp; fabricating storage formed out of 18mm thick HDF finished in 1mm thick approved laminate on both side. The shelves of the storage shall be formed out of 18mm thick HDF finished in 1mm thick approved laminate mounted over SS adjustable pins. Shutter of storage unit to be of 18mm thk  HDF Finished with 1mm thk approved Laminate. Each set of shutters to be provided with 1 Nos. chrome finished multi-purpose lock of approved make, 75mm medium sized stainless steel tower bolt, 1 Nos. heavy duty SS ball catch, 100mm C type brushed SS handle , Soft closing Hinges.  complete as per detail dwg. &amp; Architects instruction.</t>
  </si>
  <si>
    <t>Over Head Storage</t>
  </si>
  <si>
    <t>DB SHUTTER</t>
  </si>
  <si>
    <r>
      <rPr>
        <b/>
        <sz val="11"/>
        <rFont val="Calibri Light"/>
        <family val="2"/>
        <scheme val="major"/>
      </rPr>
      <t>Shutter:</t>
    </r>
    <r>
      <rPr>
        <sz val="11"/>
        <rFont val="Calibri Light"/>
        <family val="2"/>
        <scheme val="major"/>
      </rPr>
      <t xml:space="preserve"> The shutter of the shutters to be formed out of 25mm thick MDF / HDF, with 12 x 12mm  routher cut  Slats to be finished with approved Low VOC Duco Paint. Complete as per the Detailed Dwg and instructions of the Architect.
</t>
    </r>
    <r>
      <rPr>
        <b/>
        <sz val="11"/>
        <rFont val="Calibri Light"/>
        <family val="2"/>
        <scheme val="major"/>
      </rPr>
      <t>Frame:</t>
    </r>
    <r>
      <rPr>
        <sz val="11"/>
        <rFont val="Calibri Light"/>
        <family val="2"/>
        <scheme val="major"/>
      </rPr>
      <t xml:space="preserve"> The frame to be formed out of 50mm X 50mm approved timber finished in approved automotive paint supported with 50mm X 50mm timber frame work
</t>
    </r>
    <r>
      <rPr>
        <b/>
        <sz val="11"/>
        <rFont val="Calibri Light"/>
        <family val="2"/>
        <scheme val="major"/>
      </rPr>
      <t xml:space="preserve">Hardware: </t>
    </r>
    <r>
      <rPr>
        <sz val="11"/>
        <rFont val="Calibri Light"/>
        <family val="2"/>
        <scheme val="major"/>
      </rPr>
      <t>Approved Soft Closing  hinges of approved make, 1no. Dead lock of approved make each shutter, tower bolt of approved make.</t>
    </r>
  </si>
  <si>
    <t>Db Shutter</t>
  </si>
  <si>
    <t>PORTAL - 650mm D x 100mm thk</t>
  </si>
  <si>
    <t>Portal</t>
  </si>
  <si>
    <t>Providing and fixing portal made out of 25x50mm aluminium framework fixed to wall on all the sides with required support and cladded with 1 layer of 12mm thk HDF  finished with factory pressed 1mm thk approved shade of laminate on 4mm thk MDF on both the sides &amp; top of the portal as per the detailed drawings.
Contractor to ensure the stability of the portal on all the 3 sides with necessary supports inside the portal.</t>
  </si>
  <si>
    <t>AHU Room</t>
  </si>
  <si>
    <t>Toilet outer</t>
  </si>
  <si>
    <t>ROUGH PLASTERING BEHINDE POP PUNNING</t>
  </si>
  <si>
    <t>TEXTURE PAINT</t>
  </si>
  <si>
    <t>Providing and applying oil primer of 2 coats over the partition and over the masonary wall (plastered and POP punned walls ) making the smooth surface to receive the wallpaper/vinyl graphics . The cost to include providing grooves at junctions wherever required as per the instructions of the Architect.</t>
  </si>
  <si>
    <t xml:space="preserve">OIL PRIMER  </t>
  </si>
  <si>
    <t>Providing and applying Textured Cement paint finish to walls, blocked partitions, and plasterboard ceiling surfaces of approved shade, texture.
Existing wall surfaces to be prepare by scraping away any loose particles, dust, etc by washing and scrubbing and 1 coat of primer approved by manufacturer applied. The wall surfaces/Partititon are then smoothened using putty approved by the manufacturers. Surfaces are then sandpapered to achieve a smooth finish and two or more coats of paint are applied as per manufacturer's specification.</t>
  </si>
  <si>
    <t>VINYL GRAPHICS</t>
  </si>
  <si>
    <t>Providing &amp; fixing vinyl Clear printed graphic film fixed using  film adhesive. Vendor shall include wastage while quoting. Vendor shall provide 3 year warranty as per manufacturer's guidelines.</t>
  </si>
  <si>
    <t xml:space="preserve">Providing &amp; installing Commercial type suspended modular ceiling consisting of </t>
  </si>
  <si>
    <t>General requisites</t>
  </si>
  <si>
    <t>Grids width: 15mm Silhouette with black revel finished in approved shade. The main Runners &amp; cross Tees to have "stab" installation system made of corrosion-protected high tensile steel OR approved equivalent.</t>
  </si>
  <si>
    <t>Tile specification :</t>
  </si>
  <si>
    <t>Tile type:  Lay-in ceiling type</t>
  </si>
  <si>
    <t>Tile size:  600mm X 600mm X 15mm thk.</t>
  </si>
  <si>
    <t>Edge detail : Recessed Bevelled Edge</t>
  </si>
  <si>
    <t>Humidity resistance: 95% RH</t>
  </si>
  <si>
    <r>
      <t xml:space="preserve">Color:  </t>
    </r>
    <r>
      <rPr>
        <b/>
        <sz val="9"/>
        <color theme="1"/>
        <rFont val="Century Gothic"/>
        <family val="2"/>
      </rPr>
      <t>approved RAL</t>
    </r>
  </si>
  <si>
    <t>Surface burning characters: Class1, BS 476:Part 7:1987</t>
  </si>
  <si>
    <t>Smoke Developed:  0 &amp; Flame Spread = 5 as per UL</t>
  </si>
  <si>
    <t>Thermal conductivity:  0.052 - .057 W/mk</t>
  </si>
  <si>
    <t>Thikness/Weight : 4.5 Kg/m2</t>
  </si>
  <si>
    <t>CAC:      32 dB</t>
  </si>
  <si>
    <t>Surface Pattern : Plain with random perforations</t>
  </si>
  <si>
    <t>Ceiling Suspension System</t>
  </si>
  <si>
    <t xml:space="preserve">Proprietary supplied ceiling suspension system to consist of 2mm or 3mm GI suspension rod/wire with adjustable adjustable threaded "J" bolt of 3mm dia securely affixed to structural ceiling using soffit angle fixing bracket and 10mm dia hook type anchor fastener. Ceiling suspension system to be fixed at interval (grid) of 1200mm in both directions. </t>
  </si>
  <si>
    <t>Proprietary supplied Grid System to consist of Main Runners @ 600mm and joined by Cross Tees @ 600mm to form overall grid opening of 600mm x 600mm. Additional cross tees are to be placed where appropriate for light fixtures, AC diffusers.</t>
  </si>
  <si>
    <t>The grid system used shall be hot dipped galvanized steel sections, with exposed surfaces chemically cleaned and capped prefinished in high - gloss polyester enamel with two coat system on cold rolled steel.</t>
  </si>
  <si>
    <t>Grid member sizes</t>
  </si>
  <si>
    <t>Main runners         : 15mm X 40mm X 0.38mm</t>
  </si>
  <si>
    <t>Cross tees            :  15mm X 40mm X 0.38mm</t>
  </si>
  <si>
    <t>Shadowline Perimeter section  : 19mm X 7mm x 7mm  X 14mm</t>
  </si>
  <si>
    <t>False ceiling will be measured on horizontal plane only. Horizontal plane measurements are to be inclusive of all vertical drops, edge moldings, fascias, etc.</t>
  </si>
  <si>
    <t>All extra tiles occupied by lights and diffusers to be returned to Owner.</t>
  </si>
  <si>
    <t>Grid Ceiling</t>
  </si>
  <si>
    <t>Battery Room</t>
  </si>
  <si>
    <t>Baffle Mesh Ceiling</t>
  </si>
  <si>
    <t>Passage</t>
  </si>
  <si>
    <t>ODC</t>
  </si>
  <si>
    <t>Hand Wash Area</t>
  </si>
  <si>
    <t>Phone Booth</t>
  </si>
  <si>
    <t>3 Pax</t>
  </si>
  <si>
    <t>Tile Skirting</t>
  </si>
  <si>
    <t>TILE SKIRTING</t>
  </si>
  <si>
    <t>Ladies Toilet</t>
  </si>
  <si>
    <t>Hand Wash</t>
  </si>
  <si>
    <t>Cove</t>
  </si>
  <si>
    <t>OSB Ceiling</t>
  </si>
  <si>
    <t>Lamiate Ceiling</t>
  </si>
  <si>
    <t>ACOUSTIC CEILING</t>
  </si>
  <si>
    <t>Baffle Ceiling</t>
  </si>
  <si>
    <t>Both</t>
  </si>
  <si>
    <t>Entrance</t>
  </si>
  <si>
    <t>Manager Cabin TV</t>
  </si>
  <si>
    <t>Same as above Tile cladding</t>
  </si>
  <si>
    <t>Baffle Partition</t>
  </si>
  <si>
    <t>BAFFLE PARTION</t>
  </si>
  <si>
    <t>Providing and Installation Baffle Partition as per attached image</t>
  </si>
  <si>
    <t>Size : - 1500 x 2400mm (Double leaf)</t>
  </si>
  <si>
    <t>WASH BASIN COUNTER</t>
  </si>
  <si>
    <t>Providing and fixing storage unit with 690mm wide 12 mm thk corian counter top of approved shade garnite to be fixed over on MS support &amp; made of 18mm thk BWR Ply board.  as per detailed drawing. Cost inclusive of 150mm high Backspalsh band above counter to mount powet / data sockets as per detail dwg . Make of Ply - Greenply,  Archidply . Make of Laminate - Merino, Greenlam, Century .</t>
  </si>
  <si>
    <t>Wash basin counter</t>
  </si>
  <si>
    <t>Serving Counter</t>
  </si>
  <si>
    <t>STORAGE UNIT</t>
  </si>
  <si>
    <t>ABOVE PARTITION</t>
  </si>
  <si>
    <t>Above Partition</t>
  </si>
  <si>
    <t>Slotted Rack</t>
  </si>
  <si>
    <t>Work Station</t>
  </si>
  <si>
    <t>Texture Paint</t>
  </si>
  <si>
    <t>Oli Primmer</t>
  </si>
  <si>
    <t>3mm thk brushed finished logo with viny sticker fixed with screws. as per approved sample.</t>
  </si>
  <si>
    <t>ARTWORKS</t>
  </si>
  <si>
    <t>Supply &amp; Installation of Plants</t>
  </si>
  <si>
    <t>ENAMEL PAINT</t>
  </si>
  <si>
    <t>Providing and applying enamel paint of approved shade and colour on Tray &amp; Duct
.Surfaces are then sandpapered to achieve a smooth finish and two or more coats of paint are applied as per manufacturer's specification.</t>
  </si>
  <si>
    <t>MODULAR FURNITURE</t>
  </si>
  <si>
    <t>Linear workstation (1350 x 750mm)</t>
  </si>
  <si>
    <t>Height Adjustable work station (1350 x 750mm)</t>
  </si>
  <si>
    <t>Manager Cabin with Storage unit (2100 x 2100mm)</t>
  </si>
  <si>
    <t>6 Pax Table (2200 x 1200mm)</t>
  </si>
  <si>
    <t>4 Pax circular Table (1200mm)</t>
  </si>
  <si>
    <t>Café Table (1200 x 750mm)</t>
  </si>
  <si>
    <t>CHAIRS</t>
  </si>
  <si>
    <t>LOOSE FURNITURE</t>
  </si>
  <si>
    <t>Quad Pod</t>
  </si>
  <si>
    <t>Toilet Work</t>
  </si>
  <si>
    <t>Toilet</t>
  </si>
  <si>
    <t>Ladies toilet</t>
  </si>
  <si>
    <t>FLOOR CHIPPING</t>
  </si>
  <si>
    <t>Chipping and removing of existing concrete with all necessary tools tackles, barricading of the work place, protection of existing finishes, cleaning of the workplace at the end of day's work, clearing of debris, disposing the debris in landfill site allocated by the Municipal Authorities outside the campus and preparing the place to receive the next finish as required, complete as per Project Manager's instructions..</t>
  </si>
  <si>
    <t>CONTRUCTION OF 150MM THICK SIZE SOLID BLOCK MASONRY</t>
  </si>
  <si>
    <t>Providing and applying in one coat, avg 12-15mm thick plaster on internal surface of RCC / brick / block walls in cement mortar 1:4, complete to true line &amp; plumb in all levels and locations &amp; finished rough to take on POP punning. Rate shall include for scaffolding, making grooves, sills, pattas, curing, surface preparation before the application of plaster, providing galvanized chicken mesh to a width of 150 mm at the junctions of masonry and RCC structure (column to wall, wall to beam, lintel to beam, corners of walls/columns etc. complete) including tying in position by using suitable nails / clamps / screws and as directed etc. complete at all levels. The contractor shall make good the grooves, pockets etc. after the scaffolding is removed.</t>
  </si>
  <si>
    <t>WATERPROOFING</t>
  </si>
  <si>
    <t>Providing of water proofing - chemical Treatment – the slab to be cleaned and apply 3 coats of chemical on the floor and on the peripheral walls up to 900mm. Base coat – Applying base coat of 1:6 mortar over chemical treatment on the floor and on the peripheral walls up to 450mm.Cost of the water proofing shall include cleaning of the surface of all dirt and grit before the application. The water proofed area shall be ponded and tested for a minimum of 24 hours or as per manufacturer's specification.
Note - Warranty to be provided up to 10 years</t>
  </si>
  <si>
    <t xml:space="preserve"> Remove all sharp projections and make surface reasonably smooth</t>
  </si>
  <si>
    <t xml:space="preserve"> Thoroughly pre-wet all concrete surfaces for at least one hour prior to application of coating, by ponding of water on flat surfaces and by vigorous spraying of water on vertical surfaces.</t>
  </si>
  <si>
    <t>Remove all water from surfaces prior to applying of water proof coating, so that the surface is only damp or surface dry. Standing water or shiny wet surface shall not be present under any circumstances</t>
  </si>
  <si>
    <t>Apply water proof coating / Brush Topping as specified for various conditions.</t>
  </si>
  <si>
    <t>Apply 12mm thick cement plaster 1:4 (1cement : 4 coarse sand) after applications of final coat.</t>
  </si>
  <si>
    <t>After application of final coat of Tape Crete, allow to air dry for 4-6 hours. Do not use any water for curing during this time.</t>
  </si>
  <si>
    <t xml:space="preserve"> In case of high temperatures and low humidity combined with high wind condition, cover the coating with polythene sheet to prevent rapid drying.</t>
  </si>
  <si>
    <t>Maximum 6 hours after final application, moist cure for 24 hours by spraying water. Ensure that at no time during this 24 hour period the coating is completely dry or completely submerged in water.</t>
  </si>
  <si>
    <t>After moist curing, allow to air dry for 3 days.</t>
  </si>
  <si>
    <t xml:space="preserve"> After air drying, complete the curing by submersion in water for 24 hours.</t>
  </si>
  <si>
    <t>Make : Fosroc , Sika India Pvt.Ltd</t>
  </si>
  <si>
    <t>CINDER  FILLING</t>
  </si>
  <si>
    <t>cum</t>
  </si>
  <si>
    <t>Providing cinder filling for the sunken portions a toilet sunken slab and wherever specified with cement mortar 1:3 with approved waterproofing compound including compacting, then the layer of cinder and then surface finishing with cement mortar 1:3 with waterproofing compound evenly to take floor finishing (tiles), inclusive of all leads and lifts, levelling, curing etc. complete as per directions of engineer-in charge</t>
  </si>
  <si>
    <t>SCREED CONCRETE OVER CINDER</t>
  </si>
  <si>
    <t xml:space="preserve">Providing &amp; laying plain cement concrete 1:3:6 for a mimumum thickness of 40mm over prepared bed in toilets with 12mm down size aggregates including the cost of all materials, labour, compaction, levelling, at all levels, leads and lifts, curing, shuttering etc. complete as per instruction of Engineer-in charge
</t>
  </si>
  <si>
    <t xml:space="preserve">Providing and  laying vitrified tile flooring with 3mm Spacers  over Laticrete Tile Adhisive 4-6mm thk. Joints between tiling to be filled with approved Epoxy grout of approved shade as per manufacturers specifications. Rate to include cost for laying tiles to approved pattern, design as directed by Architect, including curing, acid wash, etc. </t>
  </si>
  <si>
    <t xml:space="preserve">MIRROR PANELING </t>
  </si>
  <si>
    <t xml:space="preserve">Providing &amp; fabricating 6mm tk Mirror Glass panelling of approved make &amp; shade on to the existing solid wall over 12mm thk Marine Ply backing and aluminium/GI frame work  ,complete as per the detailed dwg or the instructions of the Architects.  </t>
  </si>
  <si>
    <t>Consider Aluminium "U" channel of 5mm thk at the ht of 2400mm ht for horizontal &amp; vertical groove</t>
  </si>
  <si>
    <t>Toilet Cubicals</t>
  </si>
  <si>
    <t>Mos</t>
  </si>
  <si>
    <t>Urinal Divider</t>
  </si>
  <si>
    <t>Floor Demolition</t>
  </si>
  <si>
    <t>Toilet Ledge Wall</t>
  </si>
  <si>
    <t>Bunker Bed</t>
  </si>
  <si>
    <t>Making 150mm thick wall of  Solid concrete Block in 1:4 cement mortar, with 2 nos. of 8 mm diameter steel reinforcement in every 4 layer &amp; 2 nos. of hoop iron strips 25mm x 1.6mm, painted with anti-corrosive paint, RCC Lintel at  2400 mm Ht, properly bent and bonded at the end, inclusive of shuttering, scaffolding, Raking of joints and proper curing etc complete. The joints between the RCC and masonry will have hold fasts @ 600mm c/c, with joints finished in chicken mesh 20 gauge and finished with cement plaster</t>
  </si>
  <si>
    <t>Cinder Filling</t>
  </si>
  <si>
    <t>WASH BASIN COUNTER  - GRANITE</t>
  </si>
  <si>
    <t>Clean surface to remove all dust, foreign matters, loose particles or any deposits of contaminants which could affect the bond between the surface and waterproof coating.</t>
  </si>
  <si>
    <t>GRANITE LEDGE</t>
  </si>
  <si>
    <t>Providing and Fixing , granit top of the ledge to be finished with 18mm thk approved granite, edges chamfered. Complete as per detailed drawing and instructions of the Architect</t>
  </si>
  <si>
    <t>GRANITE DOOR JAM</t>
  </si>
  <si>
    <t xml:space="preserve">METAL GRID CEILING -600 x 600mm </t>
  </si>
  <si>
    <t>Providing and Fixing Metal Grid False Ceiling tiles of 0.4mm thick GI sheets with 600mmx600mm size manufactured out of galvanised iron, and size of the tile can be customized as per the architect/designer requirement with a finish powder coated   finish are formed in the  grid to complete the job , the grid would be 15mm shilouted grid made of 0.4mm gi sheet ,and the grid would be hung to the true ceiling by using M6 Hook type anchor fastener , GI wire complete as per the Drawing and instructions of the Architect</t>
  </si>
  <si>
    <t>Sl No</t>
  </si>
  <si>
    <t>GST 18%</t>
  </si>
  <si>
    <t xml:space="preserve">Project       :  </t>
  </si>
  <si>
    <t xml:space="preserve">Subject      : </t>
  </si>
  <si>
    <t xml:space="preserve">Rev            : </t>
  </si>
  <si>
    <t>R0</t>
  </si>
  <si>
    <t>S.L</t>
  </si>
  <si>
    <t>Supply Rate</t>
  </si>
  <si>
    <t>Installation Rate</t>
  </si>
  <si>
    <t>Total Amount</t>
  </si>
  <si>
    <t>Remarks</t>
  </si>
  <si>
    <t>a</t>
  </si>
  <si>
    <t>Set</t>
  </si>
  <si>
    <t>b</t>
  </si>
  <si>
    <t>c</t>
  </si>
  <si>
    <t>d</t>
  </si>
  <si>
    <t>e</t>
  </si>
  <si>
    <t>f</t>
  </si>
  <si>
    <t>g</t>
  </si>
  <si>
    <t>h</t>
  </si>
  <si>
    <t>i</t>
  </si>
  <si>
    <t>Lot</t>
  </si>
  <si>
    <t>Total Amount ( Incl GST) -[B]</t>
  </si>
  <si>
    <t>j</t>
  </si>
  <si>
    <t>k</t>
  </si>
  <si>
    <t>l</t>
  </si>
  <si>
    <t>EXCLUSIONS</t>
  </si>
  <si>
    <t>m</t>
  </si>
  <si>
    <t>n</t>
  </si>
  <si>
    <t>o</t>
  </si>
  <si>
    <t>p</t>
  </si>
  <si>
    <t>q</t>
  </si>
  <si>
    <t>A</t>
  </si>
  <si>
    <t>B</t>
  </si>
  <si>
    <t>C</t>
  </si>
  <si>
    <t xml:space="preserve">ELECTRICAL </t>
  </si>
  <si>
    <t xml:space="preserve">HVAC </t>
  </si>
  <si>
    <t>PHE WORK</t>
  </si>
  <si>
    <t>Discussion Chairs</t>
  </si>
  <si>
    <t>Singular POD (900mm Length x 750mm Width x 1200mm Height )</t>
  </si>
  <si>
    <t>Laptop Table for POD</t>
  </si>
  <si>
    <t>SLOTED RACK</t>
  </si>
  <si>
    <t>Providing and fixing of MS Metal powder coated slotted angle Racks with MS shelves of 16 gauge of 100kg load capacity. Each Rack to have 4 shelves of 1.2mm thk metal sheet. Slotted angle racks Industrial Type as per the details shown in the drawing and as approved by shop drawings from architects. Rack to provide MS Levelers 30mm Dia of 4 nos as per the approval from the Architect</t>
  </si>
  <si>
    <t>BOQ for Interior Furniture</t>
  </si>
  <si>
    <t>Scope of Work :  Electrical and ELV</t>
  </si>
  <si>
    <t xml:space="preserve">Area  </t>
  </si>
  <si>
    <t xml:space="preserve">Purpose -  Tender </t>
  </si>
  <si>
    <t>Rev No : R0</t>
  </si>
  <si>
    <t xml:space="preserve">SUMMARY </t>
  </si>
  <si>
    <t>S.No</t>
  </si>
  <si>
    <t xml:space="preserve">Description </t>
  </si>
  <si>
    <t>Amount (Supply)</t>
  </si>
  <si>
    <t>Amount (Installation)</t>
  </si>
  <si>
    <t>Amount (Supply+Installation)</t>
  </si>
  <si>
    <t xml:space="preserve">Remarks </t>
  </si>
  <si>
    <t xml:space="preserve">Electrical Works : internal </t>
  </si>
  <si>
    <t>LT Switchgear :</t>
  </si>
  <si>
    <t xml:space="preserve">MCB Distribution Boards : </t>
  </si>
  <si>
    <t>Low Voltage Cables and End Termination :</t>
  </si>
  <si>
    <t>Swicthes and Sockets :</t>
  </si>
  <si>
    <t xml:space="preserve">Circuit Mains </t>
  </si>
  <si>
    <t>Point Wiring</t>
  </si>
  <si>
    <t>Cable Trays/Raceways</t>
  </si>
  <si>
    <t>Earthing</t>
  </si>
  <si>
    <t>Pipes (Electrical/IT/AV/CCTV/ACS)</t>
  </si>
  <si>
    <t xml:space="preserve">Structural Works </t>
  </si>
  <si>
    <t xml:space="preserve">Miscellaneous Works </t>
  </si>
  <si>
    <t xml:space="preserve">Light Fixtures </t>
  </si>
  <si>
    <t>UPS</t>
  </si>
  <si>
    <t>D</t>
  </si>
  <si>
    <t xml:space="preserve">IT Networking </t>
  </si>
  <si>
    <t>E</t>
  </si>
  <si>
    <t xml:space="preserve">CCTV </t>
  </si>
  <si>
    <t>F</t>
  </si>
  <si>
    <t xml:space="preserve">Access Control System </t>
  </si>
  <si>
    <t xml:space="preserve">Total Amount </t>
  </si>
  <si>
    <t>GST</t>
  </si>
  <si>
    <t xml:space="preserve">Grand Total </t>
  </si>
  <si>
    <t>EXCLUSIONS:</t>
  </si>
  <si>
    <t>Software for ACS /Attendence management</t>
  </si>
  <si>
    <t xml:space="preserve">Fixed Deposit to Electricity board, Power Sanction and Approvals,Solar panels. </t>
  </si>
  <si>
    <t>Video conferencing / Display/ Projector - AV System related works</t>
  </si>
  <si>
    <t>Intrusion system</t>
  </si>
  <si>
    <t>Active Components &amp; Servers, Switches, Rack for Access Control</t>
  </si>
  <si>
    <t>Novec/ Vesda system</t>
  </si>
  <si>
    <t>Isolation transformer for UPS</t>
  </si>
  <si>
    <t>Taxes shall be extra as applicable</t>
  </si>
  <si>
    <t>UPS - Existing UPS shall be utilised</t>
  </si>
  <si>
    <t>CCTV and ACS  : Software,Licence,PC,Monitors Display Screen.</t>
  </si>
  <si>
    <t>IT / Networking Exclusion : Networking Active components , Software, Wi Fi devices, Server, Router, Active Switch, Firewall ,EPABX ,IT Equipment-. Printers, Fax, Photocopier,, Office Equipment, laptop, desktop, speaker phones etc</t>
  </si>
  <si>
    <t xml:space="preserve">Electrical Works </t>
  </si>
  <si>
    <t xml:space="preserve">ITEM DESCRIPTION </t>
  </si>
  <si>
    <t>UNIT</t>
  </si>
  <si>
    <t>Total Amount (Supply)</t>
  </si>
  <si>
    <t>Total Amount (Installation)</t>
  </si>
  <si>
    <t>Total</t>
  </si>
  <si>
    <t>Supply</t>
  </si>
  <si>
    <t xml:space="preserve">Installation </t>
  </si>
  <si>
    <t>LT SWITCHGEAR</t>
  </si>
  <si>
    <t>160A 4P MCCB  in metallic enclosure -IP 42 (Without Release)</t>
  </si>
  <si>
    <t>80A 4P MCB  in metallic enclosure -IP 42</t>
  </si>
  <si>
    <t>80A 4P MCB  in metallic enclosure -IP 65</t>
  </si>
  <si>
    <t>63A 4P MCB  in metallic enclosure -IP 42</t>
  </si>
  <si>
    <t>63A 4P MCB  in metallic enclosure -IP 65 (Suitable to terminate 16/25 sqmm Cables)</t>
  </si>
  <si>
    <t>40A 4P MCB  in metallic enclosure -IP 42</t>
  </si>
  <si>
    <t>25A 4P MCB  in metallic enclosure -IP 42</t>
  </si>
  <si>
    <t>25A 4P MCB  in metallic enclosure -IP 65</t>
  </si>
  <si>
    <t>63A DP MCB  in metallic enclosure -IP 42</t>
  </si>
  <si>
    <t>Inverter</t>
  </si>
  <si>
    <t>63A DP MCB  in metallic enclosure -IP 65</t>
  </si>
  <si>
    <t>40A DP MCB in metallic enclosure -IP 42</t>
  </si>
  <si>
    <t>40A DP MCB in metallic enclosure -IP 65</t>
  </si>
  <si>
    <t xml:space="preserve">25A DP MCB in metallic enclosure -IP 42 </t>
  </si>
  <si>
    <t>25A DP MCB  in metallic enclosure -IP 65</t>
  </si>
  <si>
    <t xml:space="preserve">20A DP MCB in metallic enclosure -IP 42 </t>
  </si>
  <si>
    <t>20A DP MCB  in metallic enclosure -IP 65</t>
  </si>
  <si>
    <t xml:space="preserve">20A DP ELCB in metallic enclosure -IP 42 </t>
  </si>
  <si>
    <t>r</t>
  </si>
  <si>
    <t>20A DP ELCB  in metallic enclosure -IP 65</t>
  </si>
  <si>
    <t>STARTERS</t>
  </si>
  <si>
    <t>Total - Section-1</t>
  </si>
  <si>
    <t>MCB Distribution boards (IP 45)</t>
  </si>
  <si>
    <t>Supply, installation of Metal door MCB DBs with  CRCA sheet, powder coated, MS Powdercoated box on top / bottom &amp; on sides. MCBs shall be rated for 10kA with current limiting feature. Bus bars shall be with tinned copper with seperate earth bus/neutral bus per phase along with yellow ferrules with circuit numer. Dummy ways to be covered with blank plates. All outgoings shall be labeled &amp; laminated. As built drawing A3 OR A4(SLD) shall be affixed on inside face of DB door. Rates quoted shall include Phase separator and necessary mounting arrangement as requied along with the green wire for door earthing. Enclosure shall be suitable to accommodate incomer, phase isolators if any &amp; outgoings. All Distribution boards shall be of double door type and shall be of Sheet steel enclosure confirming to IP42 grade.Note : Cost to exclude the powder coated DB frame around the DB. The same is captured in Item No: 9.0</t>
  </si>
  <si>
    <t xml:space="preserve">6 Way  MCB Distribution Board - LDB </t>
  </si>
  <si>
    <t>MCB DB comprising the following</t>
  </si>
  <si>
    <r>
      <t xml:space="preserve">Type of DB - 8 way  MCB DB </t>
    </r>
    <r>
      <rPr>
        <b/>
        <sz val="11"/>
        <rFont val="Calibri"/>
        <family val="2"/>
        <scheme val="minor"/>
      </rPr>
      <t>(Double Door)  - 7 SEGMENT</t>
    </r>
  </si>
  <si>
    <t>25A 4P MCB - 1 No. as incomer</t>
  </si>
  <si>
    <t>25A DP RCCB, 30mA, 2 Module - 3 Nos. as Sub incomer per phase</t>
  </si>
  <si>
    <t>6-10A SP MCB, 10 kA - 12 Nos. as outgoings : MCB are of 'C' Curve</t>
  </si>
  <si>
    <r>
      <t xml:space="preserve">The rate shall include providing Cu. bus barsinterconnection, separate earth bus, </t>
    </r>
    <r>
      <rPr>
        <b/>
        <sz val="11"/>
        <rFont val="Calibri"/>
        <family val="2"/>
        <scheme val="minor"/>
      </rPr>
      <t xml:space="preserve">separate neutral bus for each phases, </t>
    </r>
    <r>
      <rPr>
        <sz val="11"/>
        <rFont val="Calibri"/>
        <family val="2"/>
        <scheme val="minor"/>
      </rPr>
      <t>Blank Plates and incluuding necessary connected civil works like chipping, rough plastering etc.</t>
    </r>
  </si>
  <si>
    <t xml:space="preserve">8 Way  MCB Distribution Board - LDB </t>
  </si>
  <si>
    <r>
      <t xml:space="preserve">Type of DB - 8 way  MCB DB </t>
    </r>
    <r>
      <rPr>
        <b/>
        <sz val="11"/>
        <rFont val="Calibri"/>
        <family val="2"/>
        <scheme val="minor"/>
      </rPr>
      <t>(Double Door)</t>
    </r>
    <r>
      <rPr>
        <sz val="11"/>
        <rFont val="Calibri"/>
        <family val="2"/>
        <scheme val="minor"/>
      </rPr>
      <t xml:space="preserve"> - 7 SEGMENT</t>
    </r>
  </si>
  <si>
    <t>40A 4P MCB - 1 No. as incomer</t>
  </si>
  <si>
    <t>32A DP RCCB, 30mA, 2 Module - 3 Nos. as Sub incomer per phase</t>
  </si>
  <si>
    <t>6-10A SP MCB, 10 kA - 18 Nos. as outgoings : MCB are of 'C' Curve</t>
  </si>
  <si>
    <t xml:space="preserve">12 Way  MCB Distribution Board - LDB </t>
  </si>
  <si>
    <r>
      <t xml:space="preserve">Type of DB - 12 way MCB DB </t>
    </r>
    <r>
      <rPr>
        <b/>
        <sz val="11"/>
        <rFont val="Calibri"/>
        <family val="2"/>
        <scheme val="minor"/>
      </rPr>
      <t>(Double Door)  - 7 SEGMENT</t>
    </r>
  </si>
  <si>
    <t xml:space="preserve">8 Way  MCB Distribution Board - PDB </t>
  </si>
  <si>
    <r>
      <t xml:space="preserve">Type of DB - 8 way  MCB DB </t>
    </r>
    <r>
      <rPr>
        <b/>
        <sz val="11"/>
        <rFont val="Calibri"/>
        <family val="2"/>
        <scheme val="minor"/>
      </rPr>
      <t>(Double Door)</t>
    </r>
    <r>
      <rPr>
        <sz val="11"/>
        <rFont val="Calibri"/>
        <family val="2"/>
        <scheme val="minor"/>
      </rPr>
      <t xml:space="preserve">  - 7 SEGMENT</t>
    </r>
  </si>
  <si>
    <t>16A SP MCB, 10 kA - 18 Nos. as outgoings : MCB are of 'C' Curve</t>
  </si>
  <si>
    <r>
      <t xml:space="preserve">The rate shall include providing Cu. bus barsinterconnection, separate earth bus, </t>
    </r>
    <r>
      <rPr>
        <b/>
        <sz val="11"/>
        <rFont val="Calibri"/>
        <family val="2"/>
        <scheme val="minor"/>
      </rPr>
      <t>separate neutral bus for each phases</t>
    </r>
    <r>
      <rPr>
        <sz val="11"/>
        <rFont val="Calibri"/>
        <family val="2"/>
        <scheme val="minor"/>
      </rPr>
      <t>, Blank Plates and incluuding necessary connected civil works like chipping, rough plastering etc.</t>
    </r>
  </si>
  <si>
    <t xml:space="preserve">12 Way  MCB Distribution Board - PDB </t>
  </si>
  <si>
    <r>
      <t xml:space="preserve">Type of DB - 12 way  MCB DB </t>
    </r>
    <r>
      <rPr>
        <b/>
        <sz val="11"/>
        <rFont val="Calibri"/>
        <family val="2"/>
        <scheme val="minor"/>
      </rPr>
      <t>(Double Door) - 7 SEGMENT</t>
    </r>
  </si>
  <si>
    <t>16A SP MCB, 10 kA - 30 Nos. as outgoings : MCB are of 'C' Curve</t>
  </si>
  <si>
    <t>63A 4P MCB - 1 No. as incomer</t>
  </si>
  <si>
    <t>40A DP RCCB, 30mA, 2 Module - 3 Nos. as Sub incomer per phase</t>
  </si>
  <si>
    <t xml:space="preserve">8 Way  MCB Distribution Board - UDB </t>
  </si>
  <si>
    <r>
      <t xml:space="preserve">Type of DB - 8 way  MCB DB </t>
    </r>
    <r>
      <rPr>
        <b/>
        <sz val="11"/>
        <rFont val="Calibri"/>
        <family val="2"/>
        <scheme val="minor"/>
      </rPr>
      <t>(Double Door) - 7 SEGMENT</t>
    </r>
  </si>
  <si>
    <t>40A TPN MCB - 1 No. as incomer</t>
  </si>
  <si>
    <t xml:space="preserve">32A DP RCCB, 30mA, 2 Module - 3 Nos. as Sub incomer per phase , Si type </t>
  </si>
  <si>
    <t>16A SP MCB, 10 kA - 18 Nos. as outgoings : MCB are of 'D' Curve</t>
  </si>
  <si>
    <r>
      <t>The rate shall include providing Cu. bus barsinterconnection, separate earth bus,</t>
    </r>
    <r>
      <rPr>
        <b/>
        <sz val="11"/>
        <rFont val="Calibri"/>
        <family val="2"/>
        <scheme val="minor"/>
      </rPr>
      <t xml:space="preserve"> separate neutral bus for each phases</t>
    </r>
    <r>
      <rPr>
        <sz val="11"/>
        <rFont val="Calibri"/>
        <family val="2"/>
        <scheme val="minor"/>
      </rPr>
      <t>, Blank Plates and incluuding necessary connected civil works like chipping, rough plastering etc.</t>
    </r>
  </si>
  <si>
    <t xml:space="preserve">12 Way  MCB Distribution Board - UDB </t>
  </si>
  <si>
    <t>63A TPN MCB - 1 No. as incomer</t>
  </si>
  <si>
    <t xml:space="preserve">40A DP RCCB, 30mA, 2 Module - 3 Nos. as Sub incomer per phase , Si type </t>
  </si>
  <si>
    <t>The rate shall include providing Cu. bus barsinterconnection, separate earth bus, separate neutral bus for each phases, Blank Plates and incluuding necessary connected civil works like chipping, rough plastering etc.</t>
  </si>
  <si>
    <t>12 Way SPN MCB Distribution Board (ELDB)</t>
  </si>
  <si>
    <r>
      <t xml:space="preserve">Type of DB - 12 way SPN MCB DB </t>
    </r>
    <r>
      <rPr>
        <b/>
        <sz val="11"/>
        <rFont val="Calibri"/>
        <family val="2"/>
        <scheme val="minor"/>
      </rPr>
      <t>(Single Door)</t>
    </r>
  </si>
  <si>
    <t xml:space="preserve">8 Way VTPN  MCB Distribution Board  </t>
  </si>
  <si>
    <r>
      <t xml:space="preserve">Type of DB - 8 way VTPN  MCB DB </t>
    </r>
    <r>
      <rPr>
        <b/>
        <sz val="11"/>
        <rFont val="Calibri"/>
        <family val="2"/>
        <scheme val="minor"/>
      </rPr>
      <t>(Double Door)</t>
    </r>
  </si>
  <si>
    <t xml:space="preserve">Outgoings :  20A SP MCB -24 Nos </t>
  </si>
  <si>
    <t xml:space="preserve">12 Way VTPN  MCB Distribution Board  </t>
  </si>
  <si>
    <r>
      <t xml:space="preserve">Type of DB - 12 way VTPN  MCB DB </t>
    </r>
    <r>
      <rPr>
        <b/>
        <sz val="11"/>
        <rFont val="Calibri"/>
        <family val="2"/>
        <scheme val="minor"/>
      </rPr>
      <t>(Double Door)</t>
    </r>
  </si>
  <si>
    <t xml:space="preserve">Outgoings :  10-20A SP MCB -30 Nos </t>
  </si>
  <si>
    <t>Outgoings :  Dummy 6 Modules</t>
  </si>
  <si>
    <t xml:space="preserve">3 Tier 14 Modules (Flexi Tier DB's )  </t>
  </si>
  <si>
    <t xml:space="preserve">Type of DB - Flexi DB (Double Door) (3 x 14 Modules) </t>
  </si>
  <si>
    <t>63A DP MCB - 1 No. as incomer</t>
  </si>
  <si>
    <t xml:space="preserve">Outgoings :  32A DP MCB -6 Nos  D Curve </t>
  </si>
  <si>
    <r>
      <t xml:space="preserve">The rate shall include providing Cu. bus barsinterconnection, </t>
    </r>
    <r>
      <rPr>
        <b/>
        <sz val="11"/>
        <rFont val="Calibri"/>
        <family val="2"/>
        <scheme val="minor"/>
      </rPr>
      <t>separate earth bus, separate neutral bus for each phases,</t>
    </r>
    <r>
      <rPr>
        <sz val="11"/>
        <rFont val="Calibri"/>
        <family val="2"/>
        <scheme val="minor"/>
      </rPr>
      <t xml:space="preserve"> Blank Plates and incluuding necessary connected civil works like chipping, rough plastering etc.</t>
    </r>
  </si>
  <si>
    <t>4 Tier 14 Modules (Flexi Tier DB's )  Server DB (Source 1&amp;2)</t>
  </si>
  <si>
    <t xml:space="preserve">Type of DB - Flexi DB (Double Door) (4 x 14 Modules) </t>
  </si>
  <si>
    <t xml:space="preserve">63A 4P MCB - 1 No. as incomer D Curve </t>
  </si>
  <si>
    <t>MCB's  with out enclosure</t>
  </si>
  <si>
    <t xml:space="preserve">63A 4 Pole,10kA, C Curve MCB </t>
  </si>
  <si>
    <t xml:space="preserve">40A 4 Pole,10kA, C Curve MCB </t>
  </si>
  <si>
    <t xml:space="preserve">6A 1 Pole,10kA, C Curve MCB </t>
  </si>
  <si>
    <t xml:space="preserve">16A 1 Pole,10kA, C Curve MCB </t>
  </si>
  <si>
    <t xml:space="preserve">6A DP,10kA, C Curve MCB </t>
  </si>
  <si>
    <t xml:space="preserve">16A DP,10kA, C Curve MCB </t>
  </si>
  <si>
    <t xml:space="preserve">32A DP,10kA, D Curve MCB </t>
  </si>
  <si>
    <t>Supply, installation of Metal Enclosure to accomadate DP MCB's with  CRCA sheet, powder coated, MS Powdercoated box on top / bottom &amp; on sides. Sheet steel enclosure confirming to IP42 grade. Note : Cost to exclude the MCB's</t>
  </si>
  <si>
    <t>Supply, installation of Metal Enclosure to accomadate 4P MCB's with  CRCA sheet, powder coated, MS Powdercoated box on top / bottom &amp; on sides. Sheet steel enclosure confirming to IP42 grade. Note : Cost to exclude the MCB's</t>
  </si>
  <si>
    <t xml:space="preserve">Total - Section- 2 </t>
  </si>
  <si>
    <t>LOW VOLTAGE CABLES AND END TERMINATION</t>
  </si>
  <si>
    <t>3.1</t>
  </si>
  <si>
    <t>Low voltage Aluminium conductor cables</t>
  </si>
  <si>
    <t>Supply and laying of 1100 V grade, XLPE insulated,extruded PVC Inner Sheathed and extruded FRLS-PVC Outer sheatehed , aluminium conductor, Armoured  power cable as per specifications.  The cable shall be laid in cable trays as required. The cable shall be clamped at regular intervals to the suppoprts in trench or to cable trays or brick wall using MS clamps and fasteners. Rate shall exclude the cost of cable trays and termination in this item. The rate shall include cost for Cable identification labels at both ends clearly mentioning the cable specs &amp; also at appropriate intervals along the cable route should be provided. The labels shall be engraved / anodized aluminium with white letters on black background.</t>
  </si>
  <si>
    <t>Qty varies as per Site Condition</t>
  </si>
  <si>
    <t xml:space="preserve">NOTE: Cables will not be procured based on BOQ only. True measurements will be taken by Contractor before ordering, based on Drawings. </t>
  </si>
  <si>
    <t>3.5CX 120Sqmm Alu.arm  Cable</t>
  </si>
  <si>
    <t>3.5CX 95Sqmm Alu.arm  Cable</t>
  </si>
  <si>
    <t>3.5CX 70Sqmm Alu.arm  Cable</t>
  </si>
  <si>
    <t>3.5CX 50Sqmm Alu.arm  Cable</t>
  </si>
  <si>
    <t>3.5CX 35Sqmm Alu.arm  Cable</t>
  </si>
  <si>
    <t>4CX 25Sqmm Alu.arm  Cable</t>
  </si>
  <si>
    <t>4CX 16Sqmm Alu.arm  Cable</t>
  </si>
  <si>
    <t xml:space="preserve">4CX 10Sqmm Alu.arm  Cable </t>
  </si>
  <si>
    <t>3.2</t>
  </si>
  <si>
    <t>Low Voltage Copper Conductor Cables</t>
  </si>
  <si>
    <t xml:space="preserve">  </t>
  </si>
  <si>
    <t xml:space="preserve">Supply and laying of 1100 V grade, XLPE insulated,extruded PVC Inner Sheathed and extruded FRLS-PVC Outer sheatehed  copper conductor, Armoured/Un armoured  power cable as per specifications.  The cable shall be laid in  indoor trenches / cable trays as required. The cable shall be clamped at regular intervals to the suppoprts in trench or to cable trays or brick wall using MS clamps and fasteners. Rate shall exclude the cost of cable trays and termination  in this item. </t>
  </si>
  <si>
    <t>Armoured Copper Cables :</t>
  </si>
  <si>
    <t>4Cx 25sqmm Cu Arm Cable</t>
  </si>
  <si>
    <t>4Cx 16sqmm Cu Arm Cable</t>
  </si>
  <si>
    <t>4Cx 10sqmm Cu Arm Cable</t>
  </si>
  <si>
    <t>4Cx 6sqmm Cu Arm Cable</t>
  </si>
  <si>
    <t>4Cx 4sqmm Cu Arm Cable</t>
  </si>
  <si>
    <t>3Cx 6sqmm Cu Arm. Cable</t>
  </si>
  <si>
    <t>3Cx 4sqmm Cu Arm. Cable</t>
  </si>
  <si>
    <t>3.3</t>
  </si>
  <si>
    <t>Copper Flexible Cables :</t>
  </si>
  <si>
    <t xml:space="preserve">1Cx95sqmm Cu Flexible Cable  </t>
  </si>
  <si>
    <t xml:space="preserve">1Cx70sqmm Cu Flexible Cable  </t>
  </si>
  <si>
    <t xml:space="preserve">1Cx50sqmm Cu Flexible Cable  </t>
  </si>
  <si>
    <t xml:space="preserve">1Cx35sqmm Cu Flexible Cable  </t>
  </si>
  <si>
    <t xml:space="preserve">1Cx25sqmm Cu Flexible Cable  </t>
  </si>
  <si>
    <t xml:space="preserve">1Cx16sqmm Cu Flexible Cable  </t>
  </si>
  <si>
    <t xml:space="preserve">1Cx10sqmm Cu Flexible Cable  </t>
  </si>
  <si>
    <t xml:space="preserve">1Cx6sqmm Cu Flexible Cable  </t>
  </si>
  <si>
    <t xml:space="preserve">4Cx6sqmm Cu Flexible Cable  </t>
  </si>
  <si>
    <t xml:space="preserve">4Cx10sqmm Cu Flexible Cable  </t>
  </si>
  <si>
    <t xml:space="preserve">3Cx6sqmm Cu Flexible Cable  </t>
  </si>
  <si>
    <t>3.4</t>
  </si>
  <si>
    <t>LOW VOLTAGE CABLE END TERMINATION:</t>
  </si>
  <si>
    <r>
      <t xml:space="preserve">Supply and providing LV cable end termination for below listed cable with copper lugs, brass cable glands, tapping, crimping, etc. complete. </t>
    </r>
    <r>
      <rPr>
        <b/>
        <sz val="11"/>
        <rFont val="Calibri"/>
        <family val="2"/>
        <scheme val="minor"/>
      </rPr>
      <t xml:space="preserve">           </t>
    </r>
    <r>
      <rPr>
        <sz val="11"/>
        <rFont val="Calibri"/>
        <family val="2"/>
        <scheme val="minor"/>
      </rPr>
      <t xml:space="preserve">                                                                                                                                                                                                                                       </t>
    </r>
    <r>
      <rPr>
        <b/>
        <sz val="11"/>
        <rFont val="Calibri"/>
        <family val="2"/>
        <scheme val="minor"/>
      </rPr>
      <t>Single Compression Glands : Cable Size Below 150 Sqmm                                                                                                                                  Double Compression Glands : Cable size above 185sqmm and Single core cables 400 sqmm and above</t>
    </r>
    <r>
      <rPr>
        <sz val="11"/>
        <rFont val="Calibri"/>
        <family val="2"/>
        <scheme val="minor"/>
      </rPr>
      <t xml:space="preserve">
The Quoted rate is inclusive of Gland earthing using copper shim and earth wire and also the cable tag  near the cable termination showing the size of the cable and the location of from and TO</t>
    </r>
  </si>
  <si>
    <t>3.5CX 25Sqmm Alu.arm  Cable</t>
  </si>
  <si>
    <t>3.5</t>
  </si>
  <si>
    <t>3.6</t>
  </si>
  <si>
    <t xml:space="preserve">1Cx95sqmm Cu Flexible Cable </t>
  </si>
  <si>
    <t xml:space="preserve">1Cx70sqmm Cu Flexible Cable </t>
  </si>
  <si>
    <t xml:space="preserve">1Cx50sqmm Cu Flexible Cable </t>
  </si>
  <si>
    <t>1Cx35sqmm Cu Flexible Cable</t>
  </si>
  <si>
    <t xml:space="preserve">1Cx25sqmm Cu Flexible Cable </t>
  </si>
  <si>
    <t xml:space="preserve">1Cx16sqmm Cu Flexible Cable </t>
  </si>
  <si>
    <t xml:space="preserve">1Cx10sqmm Cu Flexible Cable </t>
  </si>
  <si>
    <t xml:space="preserve">1Cx6sqmm Cu Flexible Cable </t>
  </si>
  <si>
    <t xml:space="preserve">3Cx6sqmm Cu Flexible Cable </t>
  </si>
  <si>
    <t>Total - Part 3</t>
  </si>
  <si>
    <t>SWITCHES AND SOCKETS</t>
  </si>
  <si>
    <t xml:space="preserve">Supply and install switches and Sockets System as required according to the specification, drawings and design. The installation rate of all the following accessories shall include for the supply of all materials such as passivated metal switchbox,junction boxes, switch plate, switches, conduit accessories, wires, tags, supports, fittings fixings and the like, to form complete elements and shall include for earthing the switchboxes  The installation rate shall include for termination of all  cables and wires into the devices, testing,commissioning and setting to work as required by the specifications. </t>
  </si>
  <si>
    <t xml:space="preserve">Power Receptacles with Box </t>
  </si>
  <si>
    <t>Supply, installation, testing and Commissioning of 1 x 6A, universal socket Outlet  including interconnection etc., complete.The sockets shall be with face plate GI Back Box and its accessories.</t>
  </si>
  <si>
    <t>Supply, installation, testing and Commissioning of 1 x 6A, universal switch  including interconnection etc., complete.The switch shall be with face plate GI Back Box and its accessories.Rate shall exclude the cost for fixing of Faceplate ,back box with plastering and rough finish  (Dependant Socket)</t>
  </si>
  <si>
    <t xml:space="preserve">Supply, installation, testing and Commissioning of 1 x 16A, universal socket Outlet  including interconnection etc., complete.The sockets shall be with face plate GI Back Box and its accessories.Rate shall include the cost for fixing of back box with plastering and rough finish  </t>
  </si>
  <si>
    <t xml:space="preserve">Supply, installation, testing and Commissioning of 1 x 16A, Switch  including interconnection etc., complete.The switch shall be with face plate GI Back Box and its accessories.Rate shall include the cost for fixing of back box with plastering and rough finish  </t>
  </si>
  <si>
    <t xml:space="preserve">Supply, installation, testing and Commissioning of 1 x 6A, universal socket controlled with 1 x 6A Switch including interconnection etc., complete.The sockets shall be with face plate GI Back Box and its accessories.Rate shall include the cost for fixing of back box with plastering and rough finish  </t>
  </si>
  <si>
    <t xml:space="preserve">Supply, installation, testing and Commissioning of 1 x 6/16A, universal socket controlled with 1 x 16A Switch including interconnection etc., complete.The sockets shall be with face plate GI Back Box and its accessories.Rate shall include the cost for fixing of back box with plastering and rough finish  </t>
  </si>
  <si>
    <t xml:space="preserve">Supply, installation, testing and Commissioning of 2 x 6A, universal socket controlled with 2 x 6A Switch including interconnection etc., complete.The sockets shall be with face plate GI Back Box and its accessories.Rate shall include the cost for fixing of back box with plastering and rough finish  </t>
  </si>
  <si>
    <t xml:space="preserve">Supply, installation, testing and Commissioning of 2 x 6/16A,, universal socket controlled with 2 x 16A Switch including interconnection etc., complete.The sockets shall be with face plate GI Back Box and its accessories.Rate shall include the cost for fixing of back box with plastering and rough finish  </t>
  </si>
  <si>
    <r>
      <t>Supply, installation, testing and Commissioning of</t>
    </r>
    <r>
      <rPr>
        <b/>
        <sz val="11"/>
        <rFont val="Calibri"/>
        <family val="2"/>
        <scheme val="minor"/>
      </rPr>
      <t xml:space="preserve"> 2 x 6/16A, universal socket controlled with 2 x 16A Switch floor mounted pop up box - IP65 (MK Floor BOX)  </t>
    </r>
    <r>
      <rPr>
        <sz val="11"/>
        <rFont val="Calibri"/>
        <family val="2"/>
        <scheme val="minor"/>
      </rPr>
      <t>including interconnection etc., complete.The sockets shall be with face plate, GI BOX with accessories.Rate shall include the cost for fixing of back box with plastering and rough finish (Make: Legrand or Equivalent) (The Floor Box Suitable to ccomadate 2 nos Data Only Provision)</t>
    </r>
  </si>
  <si>
    <r>
      <t>Supply, installation, testing and Commissioning of</t>
    </r>
    <r>
      <rPr>
        <b/>
        <sz val="11"/>
        <rFont val="Calibri"/>
        <family val="2"/>
        <scheme val="minor"/>
      </rPr>
      <t xml:space="preserve"> 3 x 6A, universal socket controlled with 1 x 16A Switch table flip pop up box + Data(Provision) and C Type </t>
    </r>
    <r>
      <rPr>
        <sz val="11"/>
        <rFont val="Calibri"/>
        <family val="2"/>
        <scheme val="minor"/>
      </rPr>
      <t xml:space="preserve">including interconnection etc., complete.The sockets shall be with face plate, GI BOX with accessories.Rate shall include the cost for fixing of back box (Make: CMD,AH Meyer,Legrand or Equivalent) </t>
    </r>
  </si>
  <si>
    <t xml:space="preserve">Supply, installation, testing and Commissioning of 1 x 6A, universal socket controlled with 1 x 6A Switch including interconnection etc., complete.The sockets shall be with face plate GI Back Box and its accessories.Rate shall include the cost for fixing of back box with plastering and rough finish (VAV,VRF IDU's) </t>
  </si>
  <si>
    <t xml:space="preserve">Supply, installation, testing and Commissioning of 1 x 6/16A, universal socket controlled with 1 x 16A Switch including interconnection etc., complete.The sockets shall be with face plate GI Back Box and its accessories.Rate shall include the cost for fixing of back box with plastering and rough finish (DX IDU's Exhaust Fan,Fresh Air Fan, AC) </t>
  </si>
  <si>
    <r>
      <t>Supply, installation, testing and Commissioning of</t>
    </r>
    <r>
      <rPr>
        <b/>
        <sz val="11"/>
        <rFont val="Calibri"/>
        <family val="2"/>
        <scheme val="minor"/>
      </rPr>
      <t xml:space="preserve"> 2</t>
    </r>
    <r>
      <rPr>
        <sz val="11"/>
        <rFont val="Calibri"/>
        <family val="2"/>
        <scheme val="minor"/>
      </rPr>
      <t xml:space="preserve"> </t>
    </r>
    <r>
      <rPr>
        <b/>
        <sz val="11"/>
        <rFont val="Calibri"/>
        <family val="2"/>
        <scheme val="minor"/>
      </rPr>
      <t xml:space="preserve">x 6/16A,, universal socket controlled with 2 x 16A Switch </t>
    </r>
    <r>
      <rPr>
        <sz val="11"/>
        <rFont val="Calibri"/>
        <family val="2"/>
        <scheme val="minor"/>
      </rPr>
      <t xml:space="preserve">including interconnection etc., complete.The sockets shall be with face plate, GI BOX with accessories.Rate shall include the cost for fixing of back box with plastering and rough finish </t>
    </r>
    <r>
      <rPr>
        <b/>
        <sz val="11"/>
        <rFont val="Calibri"/>
        <family val="2"/>
        <scheme val="minor"/>
      </rPr>
      <t xml:space="preserve">(DDC,FAPA,PA,BMS Rack,ACS,CCTV/ ELV) </t>
    </r>
  </si>
  <si>
    <r>
      <t>Supply and installation of</t>
    </r>
    <r>
      <rPr>
        <b/>
        <sz val="10"/>
        <rFont val="Calibri"/>
        <family val="2"/>
        <scheme val="minor"/>
      </rPr>
      <t xml:space="preserve">  C Type Charger . </t>
    </r>
    <r>
      <rPr>
        <sz val="11"/>
        <rFont val="Calibri"/>
        <family val="2"/>
        <scheme val="minor"/>
      </rPr>
      <t>Make : AH Meyer/CJ Infra/MK/Legrand (Only for Modular Phone Booth)</t>
    </r>
  </si>
  <si>
    <t xml:space="preserve">Nos </t>
  </si>
  <si>
    <t xml:space="preserve">Supply and installation of 18 Gauge, 2 Module,  GI Metal Box </t>
  </si>
  <si>
    <t>4.16</t>
  </si>
  <si>
    <t>Supply and installation of 18 Gauge, 3 Module,  GI Metal Box</t>
  </si>
  <si>
    <t xml:space="preserve">Supply and installation of 18 Gauge, 4 Module,  GI Metal Box </t>
  </si>
  <si>
    <t>4.18</t>
  </si>
  <si>
    <t xml:space="preserve">Supply and installation of 18 Gauge, 6 Module,  GI Metal Box </t>
  </si>
  <si>
    <t>4.19</t>
  </si>
  <si>
    <r>
      <t xml:space="preserve">Supply and fixing of </t>
    </r>
    <r>
      <rPr>
        <b/>
        <sz val="11"/>
        <rFont val="Calibri"/>
        <family val="2"/>
        <scheme val="minor"/>
      </rPr>
      <t xml:space="preserve">Blankplates </t>
    </r>
  </si>
  <si>
    <t>4.20</t>
  </si>
  <si>
    <r>
      <t xml:space="preserve">Supply and fixing of </t>
    </r>
    <r>
      <rPr>
        <b/>
        <sz val="11"/>
        <rFont val="Calibri"/>
        <family val="2"/>
        <scheme val="minor"/>
      </rPr>
      <t>3 Pin Plug top suitable for 16/20A</t>
    </r>
    <r>
      <rPr>
        <sz val="11"/>
        <rFont val="Calibri"/>
        <family val="2"/>
        <scheme val="minor"/>
      </rPr>
      <t xml:space="preserve">  </t>
    </r>
  </si>
  <si>
    <t>4.21</t>
  </si>
  <si>
    <t>Supply, installation, testing and Commissioning of Fans complete with blades, capacitor, standard down  rod, connecting cord, etc.</t>
  </si>
  <si>
    <t>1200 mm dia ceiling fan with standard down rod and accessories. The rate shall exclude the cost of fan regulator in this item.</t>
  </si>
  <si>
    <t>Wall  Mounted fan and accessories. The rate shall exclude the cost of fan regulator in this item.</t>
  </si>
  <si>
    <t>4.22</t>
  </si>
  <si>
    <r>
      <t xml:space="preserve">Industrial Sockets :  </t>
    </r>
    <r>
      <rPr>
        <sz val="11"/>
        <rFont val="Calibri"/>
        <family val="2"/>
        <scheme val="minor"/>
      </rPr>
      <t>Bals Make , Model No BALS-Prd.-nr - 15105 or Eqv</t>
    </r>
  </si>
  <si>
    <t>4.23</t>
  </si>
  <si>
    <t xml:space="preserve">Supply and Installation of 32A 1 phase industrial type outlets and plug top controlled by 32A DP MCB housed in a metal enclosure (D Curve) + 6/16A Modular Switch Socket . IT Rack Sockets Industrial Type - HUB/Server Room </t>
  </si>
  <si>
    <t xml:space="preserve">Power Receptacles without Box </t>
  </si>
  <si>
    <r>
      <t>Supply, installation, testing and Commissioning of</t>
    </r>
    <r>
      <rPr>
        <b/>
        <sz val="11"/>
        <rFont val="Calibri"/>
        <family val="2"/>
        <scheme val="minor"/>
      </rPr>
      <t xml:space="preserve"> 2</t>
    </r>
    <r>
      <rPr>
        <sz val="11"/>
        <rFont val="Calibri"/>
        <family val="2"/>
        <scheme val="minor"/>
      </rPr>
      <t xml:space="preserve"> </t>
    </r>
    <r>
      <rPr>
        <b/>
        <sz val="11"/>
        <rFont val="Calibri"/>
        <family val="2"/>
        <scheme val="minor"/>
      </rPr>
      <t xml:space="preserve">x 6A,, universal socket controlled with 1 x 16A Switch </t>
    </r>
    <r>
      <rPr>
        <sz val="11"/>
        <rFont val="Calibri"/>
        <family val="2"/>
        <scheme val="minor"/>
      </rPr>
      <t>including interconnection etc., complete.The sockets shall be with face plate and accessories.</t>
    </r>
  </si>
  <si>
    <r>
      <t>Supply, installation, testing and Commissioning of</t>
    </r>
    <r>
      <rPr>
        <b/>
        <sz val="11"/>
        <rFont val="Calibri"/>
        <family val="2"/>
        <scheme val="minor"/>
      </rPr>
      <t xml:space="preserve"> 3</t>
    </r>
    <r>
      <rPr>
        <sz val="11"/>
        <rFont val="Calibri"/>
        <family val="2"/>
        <scheme val="minor"/>
      </rPr>
      <t xml:space="preserve"> </t>
    </r>
    <r>
      <rPr>
        <b/>
        <sz val="11"/>
        <rFont val="Calibri"/>
        <family val="2"/>
        <scheme val="minor"/>
      </rPr>
      <t xml:space="preserve">x 6A,, universal socket controlled with 1 x 16A Switch </t>
    </r>
    <r>
      <rPr>
        <sz val="11"/>
        <rFont val="Calibri"/>
        <family val="2"/>
        <scheme val="minor"/>
      </rPr>
      <t>including interconnection etc., complete.The sockets shall be with face plate and accessories.(Workstation/Reception)</t>
    </r>
  </si>
  <si>
    <r>
      <t>Supply, installation, testing and Commissioning of</t>
    </r>
    <r>
      <rPr>
        <b/>
        <sz val="11"/>
        <rFont val="Calibri"/>
        <family val="2"/>
        <scheme val="minor"/>
      </rPr>
      <t xml:space="preserve"> 4</t>
    </r>
    <r>
      <rPr>
        <sz val="11"/>
        <rFont val="Calibri"/>
        <family val="2"/>
        <scheme val="minor"/>
      </rPr>
      <t xml:space="preserve"> </t>
    </r>
    <r>
      <rPr>
        <b/>
        <sz val="11"/>
        <rFont val="Calibri"/>
        <family val="2"/>
        <scheme val="minor"/>
      </rPr>
      <t xml:space="preserve">x 6A,, universal socket controlled with 1 x 16A Switch </t>
    </r>
    <r>
      <rPr>
        <sz val="11"/>
        <rFont val="Calibri"/>
        <family val="2"/>
        <scheme val="minor"/>
      </rPr>
      <t>including interconnection etc., complete.The sockets shall be with face plate and accessories.(Workstation/Reception)</t>
    </r>
  </si>
  <si>
    <r>
      <t>Supply, installation, testing and Commissioning of</t>
    </r>
    <r>
      <rPr>
        <b/>
        <sz val="11"/>
        <rFont val="Calibri"/>
        <family val="2"/>
        <scheme val="minor"/>
      </rPr>
      <t xml:space="preserve"> 2</t>
    </r>
    <r>
      <rPr>
        <sz val="11"/>
        <rFont val="Calibri"/>
        <family val="2"/>
        <scheme val="minor"/>
      </rPr>
      <t xml:space="preserve"> </t>
    </r>
    <r>
      <rPr>
        <b/>
        <sz val="11"/>
        <rFont val="Calibri"/>
        <family val="2"/>
        <scheme val="minor"/>
      </rPr>
      <t xml:space="preserve">x 6/16A,, universal socket controlled with 1 x 16A Switch </t>
    </r>
    <r>
      <rPr>
        <sz val="11"/>
        <rFont val="Calibri"/>
        <family val="2"/>
        <scheme val="minor"/>
      </rPr>
      <t>including interconnection etc., complete.The sockets shall be with face plate and accessories.(Workstation)</t>
    </r>
  </si>
  <si>
    <r>
      <t>Supply and installation of</t>
    </r>
    <r>
      <rPr>
        <b/>
        <sz val="10"/>
        <rFont val="Calibri"/>
        <family val="2"/>
        <scheme val="minor"/>
      </rPr>
      <t xml:space="preserve">  C Type Charger  1 Module to be accomated within the Workstation sockets Faceplates </t>
    </r>
  </si>
  <si>
    <t>Total - Section - 4</t>
  </si>
  <si>
    <t>CIRCUIT MAINS</t>
  </si>
  <si>
    <t>CIRCUIT MAIN FOR LIGHTING/POWER :</t>
  </si>
  <si>
    <t>Circuit wiring from MCB DB / LT Board  to   Switchboxes / Power sockets / MCB DBs  with   all   wiring materials, FRLS grade   fire  retardant  copper wires, necessary draw boxes and other required accessories. Different colours of flexible cable to be used</t>
  </si>
  <si>
    <t>Supply and drawing of 1100V grade, multi strand FRLS insulated copper conductor wire/Flexible Cable. drawn into 2 mm thick rigid PVC conduit pipes in open/Concealed conduit system with necessary conduit and fixing accessories like bends, collars, junction boxes etc..</t>
  </si>
  <si>
    <t>Lighting   - Grey</t>
  </si>
  <si>
    <t>UPS Power -White</t>
  </si>
  <si>
    <t xml:space="preserve">Raw power  - Black </t>
  </si>
  <si>
    <t xml:space="preserve">3 core 1.5 sqmm Double Insulated Copper copper conductor flexible cable with FRLS  Sheathing in the existing raceways/conduits. Rate shall exclude the cost of Raceway/Conduit in this items. </t>
  </si>
  <si>
    <t>Rmtrs</t>
  </si>
  <si>
    <t>3R x 1.5 sq.mm. FRLS  wires drawn  in 25mm Dia PVC conduit with all accessories for general lighting.The rate shall include the cost of conduits and its accessories .</t>
  </si>
  <si>
    <t>3 core 2.5 sqmm PVC Insulated Copper copper conductor flexible cable with FRLS Sheathing in the existing raceways/conduits. Rate shall exclude the cost of Raceway/conduit  in this items.</t>
  </si>
  <si>
    <t xml:space="preserve">3 core 4 sqmm PVC Insulated Copper copper conductor flexible cable with FRLS Sheathing in the existing raceways/conduit. Rate shall exclude the cost of Raceway/conduit in this items. </t>
  </si>
  <si>
    <t xml:space="preserve">3 core 6 sqmm PVC Insulated Copper copper conductor flexible cable with FRLS Sheathing in the existing raceways/conduit. Rate shall exclude the cost of Raceway/conduit in this items. </t>
  </si>
  <si>
    <t>2R x 2.5 sq.mm. + 1R 1.5 sq mm FRLS wires drawn  in 25mm Dia PVC conduit with all accessories for general lighting.The rate shall include the cost of conduits and its accessories .</t>
  </si>
  <si>
    <t xml:space="preserve">2R x 4sqmm and 1RX2.5Sqmm  FRLS MSCC wires drawn in  25mm dia PVC conduit with all accessories for general purpose power sockets.The rate shall include the cost of conduits and its accessories. </t>
  </si>
  <si>
    <t>Total - Section - 5</t>
  </si>
  <si>
    <t>6</t>
  </si>
  <si>
    <t xml:space="preserve">POINT WIRING </t>
  </si>
  <si>
    <t xml:space="preserve">Point wiring of light, using 1100 volt grade, 3Rx1.5Sqmm multi strand FRLS insulated copper wires, drawn in existing raceways/Conduit. The rate shall include providing mounting boxes with tapped holes for lights switches, moulded front plates with brass screws  earthing of  all points using third core of the cable,  For MCB Controlled Lights -DB to 1st light will be measured as circuit wiring.The point wiring shall be as per specification.Rate shall exclude the cost of MCB,Rceways and conduits in this item. Primary point shall be treated as first light point from SB.
Secondary point: Looping between the Lights </t>
  </si>
  <si>
    <t>6.1</t>
  </si>
  <si>
    <t>PRIMARY LIGHT POINT (Switch Control)</t>
  </si>
  <si>
    <t xml:space="preserve">Primary light point means wiring from first switch control  to  the first  light outlet.  The  switch  and  all necessary accessories would be part of primary point.'. Not to  include the incoming lighting circuit from MCB-DB to switch.' But to include the sub-circuit if  it is drawn from adjacent switch box.
Ceiling  flexible  conduit  shall  be  included  at the drop of light fixture. </t>
  </si>
  <si>
    <t>6.2</t>
  </si>
  <si>
    <t>SECONDARY LIGHT POINT (Switch Control)</t>
  </si>
  <si>
    <t xml:space="preserve">Secondary light point means extention of light outlet from existing primary point. Same to be controlled by the existing  switch of primary point. Ceiling flexible conduit shall be included at the drop of light fixture.. </t>
  </si>
  <si>
    <t>6.4</t>
  </si>
  <si>
    <t>SECONDARY LIGHT POINT (MCB Control)</t>
  </si>
  <si>
    <t xml:space="preserve">Secondary light point means extention of light outlet from existing primary point. Same to be controlled by the existing  MCB of primary point. Ceiling flexible conduit shall be included at the drop of light fixture. The Wiring from DB to First Light point will be measured under circuit mains. </t>
  </si>
  <si>
    <t>6.5</t>
  </si>
  <si>
    <t>Ceiling fan point controlled by 6/10 A flush type SP switch. The rate shall include MS fan hook boxes.  The rate shall also include cost of 300 W electronic fan speed controller in this item only.Rate shall exclude the cost of ceiling fan in this item.</t>
  </si>
  <si>
    <t>Total - Section - 6</t>
  </si>
  <si>
    <t>CABLE TRAY/RACEWAYS</t>
  </si>
  <si>
    <t>7.1</t>
  </si>
  <si>
    <t>Ladder Type</t>
  </si>
  <si>
    <r>
      <t xml:space="preserve">Supply and providing Ladder cable trays factory fabricated out of 2mm thick pre </t>
    </r>
    <r>
      <rPr>
        <b/>
        <sz val="11"/>
        <rFont val="Calibri"/>
        <family val="2"/>
        <scheme val="minor"/>
      </rPr>
      <t>galvanized sheet steel,</t>
    </r>
    <r>
      <rPr>
        <sz val="11"/>
        <rFont val="Calibri"/>
        <family val="2"/>
        <scheme val="minor"/>
      </rPr>
      <t xml:space="preserve"> channel size 75 x 15 mm and rung size 30 x 6 mm, spaced at 250 mm interval, supporting angle frame at every 1.8 m, bottom angle fasteners, anchor grip bolts, synthetic enamelled painting, etc.  The tray shall be suspended from ceiling using anchor bolt and angle iron supports or mounted from wall.  The rate shall include all  accessories like bends, elbows, tees, coupler plates, etc., which will be measured as linear measurement and fixing accessories.The Rate shall include the cost of supports/Threadrods/MS angles required along with required accessories. The quoted rate is inclusive of supply and laying of 25 x 3 GI strip bolted on rungs of  tray all along the cable tray. (Above 450mm Tray MS Supports to be provided)</t>
    </r>
  </si>
  <si>
    <t>150 mm wide 50 mm height</t>
  </si>
  <si>
    <t>300 mm wide 75 mm height</t>
  </si>
  <si>
    <t>450 mm wide 75 mm height</t>
  </si>
  <si>
    <t>7.2</t>
  </si>
  <si>
    <t>Perforated Type  (Electrical)</t>
  </si>
  <si>
    <t>7.2.1</t>
  </si>
  <si>
    <t>Note: Installation charges shall includes the necessary hardware viz, anchor fasteners, full threaded down rods and slotted C channel supports.
a) Support at intervals of 750mm
b) Slotted channel to suit width of the tray
c) Spring and plate washers with locknuts (galvanised).</t>
  </si>
  <si>
    <t>a)</t>
  </si>
  <si>
    <t>50 mm wide 50 mm height</t>
  </si>
  <si>
    <t>b)</t>
  </si>
  <si>
    <t>100 mm wide 50 mm height</t>
  </si>
  <si>
    <t>c)</t>
  </si>
  <si>
    <t>d)</t>
  </si>
  <si>
    <t>200 mm wide 50 mm height</t>
  </si>
  <si>
    <t>e)</t>
  </si>
  <si>
    <t>300 mm wide 50 mm height</t>
  </si>
  <si>
    <t>f)</t>
  </si>
  <si>
    <t>450 mm wide 50 mm height</t>
  </si>
  <si>
    <t>7.3</t>
  </si>
  <si>
    <t>RACE WAY with Covers  (Eelctrical /IT/AV)</t>
  </si>
  <si>
    <t>Supply and installation of Race ways of following sizes.
a). Ceiling raceway's made of  of 1.6 mm thick  Powder Coated GI with 1.2 mm thick screwed / Push to fit type cover.  The cost shall include required GI supporting materials as per standards/final GFC drawings.
b).Floor raceway's made of  of 1.6 mm thick GI sheet.The covers shall be 2.0mm thick for the raceways</t>
  </si>
  <si>
    <t xml:space="preserve">The raceway thickness shall be considered as per manufacturer standards based on the width of raceway trays.The race ways shall be suitable for installation in above false ceiling / open ceiling areas. </t>
  </si>
  <si>
    <t>The joining accessories shall be of same material supplied along with race ways. The raceways shall have 20mm and 25mm dia knockouts for every 1meter length.Approval shall be obtained from consultants on product sample before procurement.The raceway shall be complied with enclosed technical specification.The Rate shall include the cost of supports/Threadrods/MS angles required along with required accessories.</t>
  </si>
  <si>
    <t>CEILING RACE WAY (Eelctrical,IT,AV,Automation,Security System)- Color as per Client and Interiors</t>
  </si>
  <si>
    <t>450mm x 50mm</t>
  </si>
  <si>
    <t>300mm x 50mm</t>
  </si>
  <si>
    <t>200mm x 50mm</t>
  </si>
  <si>
    <t>150mm x 50mm</t>
  </si>
  <si>
    <t>100mm x 50mm</t>
  </si>
  <si>
    <t>50mm x 50mm</t>
  </si>
  <si>
    <t>7.4</t>
  </si>
  <si>
    <t>FLOOR RACE WAY FOR (Eelctrical /IT/AV)</t>
  </si>
  <si>
    <t>Floor raceway's made of  of 1.6 mm thick GI  sheet steel.The covers shall be 2.0mm thick for the raceways laid under the screed. Rate to include the cost of Floor Chipping.</t>
  </si>
  <si>
    <t>450mm x 40mm</t>
  </si>
  <si>
    <t>300mm x 40mm</t>
  </si>
  <si>
    <t>200mm x 40mm</t>
  </si>
  <si>
    <t>150mm x 40mm</t>
  </si>
  <si>
    <t>100mm x 40mm</t>
  </si>
  <si>
    <t>75mm x 40mm</t>
  </si>
  <si>
    <t>50mm x 40mm</t>
  </si>
  <si>
    <t>7.5</t>
  </si>
  <si>
    <t>FLOOR JUNCTION BOXES</t>
  </si>
  <si>
    <t>460mm x 460mm x 50mm</t>
  </si>
  <si>
    <t>310mm x 310mm x 50mm</t>
  </si>
  <si>
    <t>210mm x 210mm x 50mm</t>
  </si>
  <si>
    <t>160mm x 160mm x 50mm</t>
  </si>
  <si>
    <t>110mm x 110mm x 50mm</t>
  </si>
  <si>
    <t>85mm x 85mm x 50mm</t>
  </si>
  <si>
    <t>60mm x 60mm x 50mm</t>
  </si>
  <si>
    <t xml:space="preserve">POWDER COATED FRAME FOR MCB DB's </t>
  </si>
  <si>
    <t>Supply and Installation of DB Frame with wire ways shall be made out of 1.6mm thick CRCA sheet steel and powder coating colour shall match the colour of MCB DB's with hinged type door. 150mm x  100mm  1.6mm thick,  wire ways The DB frame size  to match with DB Depth / Raceway with 2mm thick screwed / press to  fit cover with hinged type door  for making Frame for MCB DB's. Complete required including installation accessories.</t>
  </si>
  <si>
    <t>Total - Section - 7</t>
  </si>
  <si>
    <t>8</t>
  </si>
  <si>
    <t>EARTHING</t>
  </si>
  <si>
    <t>8.1</t>
  </si>
  <si>
    <t>Neutral earthing
Supply, earth excavation, back filling, chamber and fixing of 0.6m x 0.6m x 3mm CU Plate earth station in conformity with IS 3043. 2 no's of 40x6 Cu strip,50mm Dia 3 mtr Long GI pipe, CI funnel of 20 gauge, block masonry chamber of 450mm (L)x 450mm(B) x 300mm(H) (clear space), concrete base light duty C.I Man hole cover with frame of size 450mm X 450mm and packing with mixture of charcoal and salt around the plate electrode including digging up to permanent moisture level but not less than 3mtr back filling as required. All work shall be carried out in conformity with specifications, standards &amp; Codes. Refer Single line diagram, earthing schematic diagram and fault level calculations. Rate Shall include the labelling of the earth pits Inside the Chamber and on top of the chamber as per project manager's instructions.</t>
  </si>
  <si>
    <t>8.2</t>
  </si>
  <si>
    <t>Body earthing
Supply, earth excavation, back filling, chamber and fixing of 100mm DIA GI Pipe earth station in conformity with IS 3043. 2 no.s of 50x6 GI strip, CI funnel of 20 gauge, block masonry chamber of 450mm(L)x 450mm(B)x 300mm(H) (clear space), concrete base light duty C.I Man hole cover with frame of size 450mm X 450mm and packing with mixture of charcoal and salt around the pipe electrode including digging up to permanent moisture level but not less than 3mtr back filling as required. All work shall be carried out in conformity with specifications, standards &amp; Codes. Refer Single line diagram, earthing schematic diagram and fault level calculations. Rate Shall include the labelling of the earth pits Inside the Chamber and on top of the chamber as per project manager's instructions.</t>
  </si>
  <si>
    <t>8.3</t>
  </si>
  <si>
    <t>8.4</t>
  </si>
  <si>
    <r>
      <t xml:space="preserve">Supply, Installation, Testing and Commissioning on </t>
    </r>
    <r>
      <rPr>
        <b/>
        <sz val="11"/>
        <rFont val="Calibri"/>
        <family val="2"/>
        <scheme val="minor"/>
      </rPr>
      <t>Maintenance free Chemical Earth Electrodes</t>
    </r>
    <r>
      <rPr>
        <sz val="11"/>
        <rFont val="Calibri"/>
        <family val="2"/>
        <scheme val="minor"/>
      </rPr>
      <t xml:space="preserve"> complying with
the latest version of IS 3043 / IEC / IEEE Specifications. The Earth Electrode shall be with 3 M long, 40 mm. dia high tensile strength, copper bonded Steel Rods coated with minimum 250 micron pure eletrolytic Copper. Soil enrichment compound in quantities not less than 10 Kgs shall be used and the Earth Pit shall be back-filled with good quality soil without any Stones /Granules / Sand etc. The Earth Station shall be provided with
suitable requisite Copper / GI terminals, 450 x 450 mm brick.Rate Shall include the labelling of the earth pits Inside the Chamber and on top of the chamber as per project manager's instructions.</t>
    </r>
  </si>
  <si>
    <t>8.5</t>
  </si>
  <si>
    <t>Supply, installation, testing &amp; commissioning of GI/Cu earth strips below in, ground, wall, Screed as per site condition. All Alu and Cu. Strips shall be run in PVC  sleeve. Cost of civil works shall be included for strips laid below ground. Including connection/ terminating with  like antirustic 12 mm dia x 75 mm length GI bolt nuts,spring, washer etc. as required. Jointing shall be done by overlapping and with 2 sets of brass nut bolt &amp; spring washer spaced at 50mm. Joints to be welded for Al and bracing for copper strips.
 ( PVC Sleeves - Black for Neutral and Green for Body Earthing)</t>
  </si>
  <si>
    <t xml:space="preserve">8 SWG Cu wire for Earthing </t>
  </si>
  <si>
    <t xml:space="preserve">8 SWG GI wire for Earthing </t>
  </si>
  <si>
    <t>25x3mm GI Flat</t>
  </si>
  <si>
    <t>25x6mm GI. Flat</t>
  </si>
  <si>
    <t>25x3mm Cu. Flat</t>
  </si>
  <si>
    <t>25x6mm Cu. Flat</t>
  </si>
  <si>
    <t>1Cx25sqmm Cu Flexible Cable  Earthing (Green)</t>
  </si>
  <si>
    <t>1Cx16sqmm Cu Flexible Cable  Earthing (Green)</t>
  </si>
  <si>
    <t>1Cx10sqmm Cu Flexible Cable  Earthing (Green)</t>
  </si>
  <si>
    <t>1Cx6sqmm Cu Flexible Cable  Earthing (Green)</t>
  </si>
  <si>
    <t>1Cx4sqmm Cu Flexible Cable  Earthing (Green)</t>
  </si>
  <si>
    <t>8.6</t>
  </si>
  <si>
    <t>Supply and installation of Earth pads made out of copper/GI busbars installed on 1100 V insulators including hardware and other minor civil works.associated works.</t>
  </si>
  <si>
    <t>Busbar of 0.5 Mtr length made out of 25 x 6 mm Cu. strip with drill holes of M8 at 25mm interval mounted on insulators and acrylic cover to be provided.</t>
  </si>
  <si>
    <t>Busbar of 0.5 Mtr length made out of 40 x 6 mm Cu. strip with drill holes of M8 at 25mm interval mounted on insulators and acrylic cover to be provided.</t>
  </si>
  <si>
    <t>Busbar of 0.5 Mtr length made out of 40 x 6 mm GI strip with drill holes of M8 at 25mm interval mounted on insulators.</t>
  </si>
  <si>
    <t>Total - Part 8</t>
  </si>
  <si>
    <t>9</t>
  </si>
  <si>
    <t>PVC pipes (Electrical/IT/AV/CCTV/ACS)</t>
  </si>
  <si>
    <t>9.1</t>
  </si>
  <si>
    <t>Supply and laying of 2 mm thick rigid Heavy Duty FRLS PVC conduits in concealed conduit system using conduit accessories like junction boxes, collars, bends, elbows, binding wires, etc.</t>
  </si>
  <si>
    <t>32 mm dia conduit</t>
  </si>
  <si>
    <t>25 mm dia conduit</t>
  </si>
  <si>
    <t>20 mm dia conduit</t>
  </si>
  <si>
    <t>MS pipes (Electrical/IT/AV/CCTV/ACS)</t>
  </si>
  <si>
    <t>9.2</t>
  </si>
  <si>
    <t>Supply and laying of 2 mm thick rigid MS conduits in concealed/Open conduit system using conduit accessories like junction boxes, collars, bends, elbows, binding wires, etc.</t>
  </si>
  <si>
    <t>GI pipes (Electrical/IT/AV/CCTV/ACS)</t>
  </si>
  <si>
    <t>9.3</t>
  </si>
  <si>
    <t>Supply and laying of 2 mm thick rigid GI conduits in concealed/Open conduit system using conduit accessories like junction boxes, collars, bends, elbows, binding wires, etc.</t>
  </si>
  <si>
    <t>Total - Section -  9</t>
  </si>
  <si>
    <t>10</t>
  </si>
  <si>
    <t xml:space="preserve">STRUCTURAL WORKS </t>
  </si>
  <si>
    <t>10.1</t>
  </si>
  <si>
    <t xml:space="preserve">Supply, cutting, welding, grouting, fastening, cleaning and painting of MS Channels, angles, plate, supporting brackets/structures , etc complete with necessary hardwares. </t>
  </si>
  <si>
    <t xml:space="preserve">Kgs </t>
  </si>
  <si>
    <t>10.2</t>
  </si>
  <si>
    <t>Supply of 6mm thick MS chequred plates duly painted. Plates to be cut size as per site requirement.</t>
  </si>
  <si>
    <t>Total - Section - 10</t>
  </si>
  <si>
    <t>11</t>
  </si>
  <si>
    <t>MISCELLANEOUS ITEMS</t>
  </si>
  <si>
    <t>11.1</t>
  </si>
  <si>
    <t>Supply and fixing of Danger board 440Volts, 11kV class enamelled, 11"x 9" in English, Hindi &amp; local language for 11kV / 440V marking.</t>
  </si>
  <si>
    <t>11.2</t>
  </si>
  <si>
    <t>Supply of a pair of 11kV grade hand glove with  ISI approved</t>
  </si>
  <si>
    <t>11.3</t>
  </si>
  <si>
    <t>Supply and Installation of Rubber mat 11kv grade ISI approved 2M x 1M, 2.5 mm thickness.</t>
  </si>
  <si>
    <t>11.4</t>
  </si>
  <si>
    <t>Supply and fixing of first-aid box containing medicines for 4 persons to give first-aid treatment.</t>
  </si>
  <si>
    <t>11.5</t>
  </si>
  <si>
    <t>Supply and fixing of Shock treatment chart with inscriptions in English, Hindi and local language framed in wooden frame.</t>
  </si>
  <si>
    <t>11.6</t>
  </si>
  <si>
    <t>SITC of Hand held Fire Extinguisher - ABC Powder - 4.5 Kg  with floor mount accessories</t>
  </si>
  <si>
    <t>11.7</t>
  </si>
  <si>
    <t>Supply and Installation of ABC type 4.5 kg CO2  Fire extinguisher of make 'Safex' Safety systems with necessary MS stand.</t>
  </si>
  <si>
    <t>11.8</t>
  </si>
  <si>
    <t xml:space="preserve">For temporary Lighting in the construction area  with necessary light fixtures ,cabling &amp; Power Distribution control panel for construction works.The cost shall include necessary industrial sockets, cables, distribution boards, earthing,Light fixtures and all safety  accessories as required. </t>
  </si>
  <si>
    <t>11.9</t>
  </si>
  <si>
    <t>Preparation  and  Submission of as built  drawings of total work executed (3 Sets hard and soft copy)</t>
  </si>
  <si>
    <t>Professional   charges   towards   filing   application, preparation  of  drawings  in  necessary  formats  for approval,   follow   up   and  arranging  approval   of drawings,  scheme  by  Local  electricity  authority Electrical   Inspectorate,  obtaining  clearance  from electricity authority / Electrical Inspectorate.</t>
  </si>
  <si>
    <t>Total - Section - 11</t>
  </si>
  <si>
    <t>Total Qty</t>
  </si>
  <si>
    <t xml:space="preserve">Mtrs </t>
  </si>
  <si>
    <t>Scope of Work : Electrical</t>
  </si>
  <si>
    <t>Purpose - UPS TENDER</t>
  </si>
  <si>
    <t>S.no</t>
  </si>
  <si>
    <t>1</t>
  </si>
  <si>
    <t>2</t>
  </si>
  <si>
    <t>3</t>
  </si>
  <si>
    <t>4</t>
  </si>
  <si>
    <t>5</t>
  </si>
  <si>
    <t>7</t>
  </si>
  <si>
    <t>1.1</t>
  </si>
  <si>
    <t>Nos.</t>
  </si>
  <si>
    <t>RO</t>
  </si>
  <si>
    <t xml:space="preserve"> Total</t>
  </si>
  <si>
    <t xml:space="preserve">ESTIMATION FOR NETWORK </t>
  </si>
  <si>
    <t>Date:</t>
  </si>
  <si>
    <t xml:space="preserve">Location:  </t>
  </si>
  <si>
    <t>Revision</t>
  </si>
  <si>
    <t>Project no:</t>
  </si>
  <si>
    <t>Document No:</t>
  </si>
  <si>
    <t>DATA</t>
  </si>
  <si>
    <t>4-pair, Cat 6A UTP Cable, roll of 305m, Grey</t>
  </si>
  <si>
    <t>Box</t>
  </si>
  <si>
    <t>Cat6A RJ45-RJ45 UTP Patch Cords, color matched, Yellow - Field end, 7 ft</t>
  </si>
  <si>
    <t>Single Face Plates (80%)</t>
  </si>
  <si>
    <t>Dual Face Plates (20%)</t>
  </si>
  <si>
    <t>Quad Face Plates</t>
  </si>
  <si>
    <t xml:space="preserve">Blank Inserts </t>
  </si>
  <si>
    <t>Supply and fixing  of Metal box suitable  information outlet , flush/surface type in position .   The rate shall exclude the cost of faceplate and Information Outlet.</t>
  </si>
  <si>
    <t>HUB ROOM SIDE - DATA</t>
  </si>
  <si>
    <t>Cat 6A 24 Port Angled Discrete Jack panel - fully loaded (1U).The rate shall include the cost of Patch Panel, Information Outlets with all the required supporting accessories.</t>
  </si>
  <si>
    <t xml:space="preserve">Cat 6A UTP 10ft patch cords-Jack Panel side - 20% </t>
  </si>
  <si>
    <t xml:space="preserve">Cat 6A UTP 7ft patch cords-Jack Panel side - 60% </t>
  </si>
  <si>
    <t>Cat 6A UTP 4ft patch cords-Jack Panel side - 20%</t>
  </si>
  <si>
    <t>VOICE</t>
  </si>
  <si>
    <t>HUB ROOM SIDE - VOICE</t>
  </si>
  <si>
    <t>Cat 6 24 Port Angled Discrete Jack panel - fully loaded (1U).The rate shall include the cost of Patch Panel, Information Outlets with all the required supporting accessories.</t>
  </si>
  <si>
    <t xml:space="preserve">Cat 6 UTP 10ft patch cords-Jack Panel side - 20% </t>
  </si>
  <si>
    <t xml:space="preserve">Cat 6 UTP 7ft patch cords-Jack Panel side - 60% </t>
  </si>
  <si>
    <t>Cat 6 UTP 4ft patch cords-Jack Panel side - 20%</t>
  </si>
  <si>
    <t>WIFI - DATA</t>
  </si>
  <si>
    <t>Cat6A UTP Information Outlet for Workstation end</t>
  </si>
  <si>
    <t>Single Face Plates (100%)</t>
  </si>
  <si>
    <t>Dual Face Plates</t>
  </si>
  <si>
    <t>HUB ROOM SIDE -WIFI</t>
  </si>
  <si>
    <t>Cat 6A 8 Port Angled Discrete Jack panel - fully loaded (1U).The rate shall include the cost of Patch Panel, Information Outlets with all the required supporting accessories.</t>
  </si>
  <si>
    <t xml:space="preserve">Fiber Backbone Cable </t>
  </si>
  <si>
    <t xml:space="preserve">12 Core MM - OM3 Indoor /Outdoor Fiber Optic Cable </t>
  </si>
  <si>
    <t>Mtrs</t>
  </si>
  <si>
    <t>1U Sliding Face Plate shelf (Front Face Plate full single Plate type)</t>
  </si>
  <si>
    <t>Each</t>
  </si>
  <si>
    <t>Front Face Plate Panel, Accepts 24 Duplex LC Adapters</t>
  </si>
  <si>
    <t>LC Duplex Adapter</t>
  </si>
  <si>
    <t>LC, MM Pigtail, 3 Feet 50/125</t>
  </si>
  <si>
    <t>RoloSplice Kit 2 Fusion Splice Trays, for 1U Fiber Shelf</t>
  </si>
  <si>
    <t xml:space="preserve">Multimode Fiber Patch chords of 3 meters- LC TO LC </t>
  </si>
  <si>
    <t xml:space="preserve">Multimode Fiber Patch chords of 10 meters- LC TO LC </t>
  </si>
  <si>
    <t xml:space="preserve">RACKS &amp; WIRE MANAGERS </t>
  </si>
  <si>
    <t>45U, 2 Post Open Rack</t>
  </si>
  <si>
    <t xml:space="preserve">High Density 8'' Vertical cable Manager </t>
  </si>
  <si>
    <t xml:space="preserve">High Density 12'' Vertical cable Manager </t>
  </si>
  <si>
    <t>2U Horizantal Cable Manager, Fingure Duct Style</t>
  </si>
  <si>
    <t>Ladder Set</t>
  </si>
  <si>
    <t>2U, 5/15amps Horizontal PDU</t>
  </si>
  <si>
    <t>Velcro Cable Tie Black, 25m</t>
  </si>
  <si>
    <t xml:space="preserve">42U Rack Frame/800X800- Closed network Rack </t>
  </si>
  <si>
    <t>Casters Set of 4/Tp3</t>
  </si>
  <si>
    <t>Levellers</t>
  </si>
  <si>
    <t>19" Adopter kit /42U/Loops</t>
  </si>
  <si>
    <t>Perforated Door/42/800/Convex/</t>
  </si>
  <si>
    <t>Perforated Door/42/800/Dual</t>
  </si>
  <si>
    <t>Side Panels/800/42U/Vented</t>
  </si>
  <si>
    <t>Swing Handle /Mechnical Lock / Single Point / Common Key/Die Cast Metal</t>
  </si>
  <si>
    <t>1Ph, 230V, 32/40A, Zero U standard Vertcal rack mount power distribution unit with 12 X Indian Round Pin 5/15A, (Inlet Plug Not Installed, Recommended IEC30932A 2P +E), 16A MCB X 2 Circuits- PDU Rating 5KVA/4.5KVA/Bottom feed-3Mt/ Black</t>
  </si>
  <si>
    <t>Horz. Cable Organiser/1U/Loop</t>
  </si>
  <si>
    <t>Shelf/1000</t>
  </si>
  <si>
    <t>Mounting Hardware-CR (Pack of 20)</t>
  </si>
  <si>
    <t>Velcro/ cable Tie Wraps</t>
  </si>
  <si>
    <t>Self-Laminated Labels for Patch Cords</t>
  </si>
  <si>
    <t>Labels for Outlets/ Faceplates/ Panels</t>
  </si>
  <si>
    <t>06 U wall mount rack with required mounting accessories, Rate shall include required accessories, tools and tackles, transportation, material and labor etc., complete as instructed by Engineer In charge. The contractor should follow the safety measures inside the premises.</t>
  </si>
  <si>
    <t>09 U wall mount rack with required mounting accessories, Rate shall include required accessories, tools and tackles, transportation, material and labor etc., complete as instructed by Engineer In charge. The contractor should follow the safety measures inside the premises.</t>
  </si>
  <si>
    <t>15 U wall mount rack with required mounting accessories, Rate shall include required accessories, tools and tackles, transportation, material and labor etc., complete as instructed by Engineer In charge. The contractor should follow the safety measures inside the premises.</t>
  </si>
  <si>
    <t>Fluke Test ,Commissioning along with test report</t>
  </si>
  <si>
    <t>Ports</t>
  </si>
  <si>
    <t>PVC pipes</t>
  </si>
  <si>
    <t>Supply and laying of 2 mm thick rigid FRLS PVC conduits in concealed conduit system using conduit accessories like junction boxes, collars, bends, elbows, binding wires, etc.</t>
  </si>
  <si>
    <t>19 mm dia conduit</t>
  </si>
  <si>
    <t xml:space="preserve">TOTAL AMOUNT </t>
  </si>
  <si>
    <t>TAX</t>
  </si>
  <si>
    <t>GRAND TOTAL - SUPPLY+INSTALLATION+TAXES</t>
  </si>
  <si>
    <t>Active Components (Network Switch,Servers &amp; it's Racks)</t>
  </si>
  <si>
    <t>Computing and storage equipment</t>
  </si>
  <si>
    <t>WIFI Equipment and software/HSIA</t>
  </si>
  <si>
    <t>Telephony Equipment and software</t>
  </si>
  <si>
    <t>Network Printing</t>
  </si>
  <si>
    <t>Desktop app and hardware</t>
  </si>
  <si>
    <t>Centralized digital display</t>
  </si>
  <si>
    <t>Property Management System</t>
  </si>
  <si>
    <t>Inventory Purchase/ACC(SAP)</t>
  </si>
  <si>
    <t>HR Time attend/Payroll</t>
  </si>
  <si>
    <t>Sales and catering management system</t>
  </si>
  <si>
    <t>Customer relation management system</t>
  </si>
  <si>
    <t>EPBAX</t>
  </si>
  <si>
    <t xml:space="preserve">AV related items </t>
  </si>
  <si>
    <t>Raceway, junction boxes etc</t>
  </si>
  <si>
    <t>MAKES :</t>
  </si>
  <si>
    <t>Commscope ,Systimax</t>
  </si>
  <si>
    <t>RACKS : Rittal ,Valrack,Netrack</t>
  </si>
  <si>
    <t>ESTIMATION FOR CCTV</t>
  </si>
  <si>
    <r>
      <t xml:space="preserve">UL approved, </t>
    </r>
    <r>
      <rPr>
        <b/>
        <sz val="12"/>
        <rFont val="Calibri"/>
        <family val="2"/>
        <scheme val="minor"/>
      </rPr>
      <t>Dome Indoor type 2MP</t>
    </r>
    <r>
      <rPr>
        <sz val="12"/>
        <rFont val="Calibri"/>
        <family val="2"/>
        <scheme val="minor"/>
      </rPr>
      <t xml:space="preserve">,Ceiling/Wall/Surface Mounted ,1920x1080@30fps resolution Dome type network Camera, 15m IR Distance 2.8 - 12 mm </t>
    </r>
    <r>
      <rPr>
        <b/>
        <sz val="12"/>
        <rFont val="Calibri"/>
        <family val="2"/>
        <scheme val="minor"/>
      </rPr>
      <t xml:space="preserve"> Verofocal Lens </t>
    </r>
    <r>
      <rPr>
        <sz val="12"/>
        <rFont val="Calibri"/>
        <family val="2"/>
        <scheme val="minor"/>
      </rPr>
      <t xml:space="preserve">@ F1.6 &amp; 120dB Wide Dynamic Range, H.264, H.265/MJPEG, WDR, 1/3”Progressive CMOS, Fixed-focal, (Field of View-90°),IR cut filter  12V DC &amp; PoE(802.3af), Day / Night ,on board storage facility.Standards: IP67, IK10, ONVIF, multiple streams, video motion detection, camera tamper alarm, ONVIF compliant,Network Disconnetced ,IP Adress Conflit,Illegal Login,HDD Full,HDD error . The Camera shall be  wall / ceiling mounted. The Rate shall include the cost of accessories required for mounting the cameras </t>
    </r>
  </si>
  <si>
    <r>
      <rPr>
        <b/>
        <sz val="12"/>
        <rFont val="Calibri"/>
        <family val="2"/>
        <scheme val="minor"/>
      </rPr>
      <t>UL approved, Out door type (IP 66) 2MP 30fps resolution IR Bullet type Network Camera,</t>
    </r>
    <r>
      <rPr>
        <sz val="12"/>
        <rFont val="Calibri"/>
        <family val="2"/>
        <scheme val="minor"/>
      </rPr>
      <t xml:space="preserve"> (Field of View-60°) 15m IR Distance 2.8 - 12 mm @ F1.4, motorized lens (-Z) &amp; 120dB Wide Dynamic Range, H.265, H.265+, 12V DC &amp; PoE(802.3af), Min. Illumination 0.005 lux @(F1.2, AGC ON), Shutter Speed 1/30 s ~ /100,000s, IR cut filter with auto switch, ONVIF Profile S, PSIA, CGI, 3D Digital noise reduction (video motion detection, camera tamper alarm, ONVIF compliant, and NEMA 4X-rated Housing).The Camera shall be  wall / ceiling mounted. The Rate shall include the cost of accessories required for mounting the cameras </t>
    </r>
  </si>
  <si>
    <t>Outdoor</t>
  </si>
  <si>
    <r>
      <t>Supply, installation, testing and Commissioning of</t>
    </r>
    <r>
      <rPr>
        <b/>
        <sz val="12"/>
        <rFont val="Calibri"/>
        <family val="2"/>
        <scheme val="minor"/>
      </rPr>
      <t xml:space="preserve"> 16 Channel NVR</t>
    </r>
    <r>
      <rPr>
        <sz val="12"/>
        <rFont val="Calibri"/>
        <family val="2"/>
        <scheme val="minor"/>
      </rPr>
      <t xml:space="preserve"> Ultra 4 K resolution and recording software with </t>
    </r>
    <r>
      <rPr>
        <b/>
        <sz val="12"/>
        <rFont val="Calibri"/>
        <family val="2"/>
        <scheme val="minor"/>
      </rPr>
      <t>Storage capacity of  90Days</t>
    </r>
    <r>
      <rPr>
        <sz val="12"/>
        <rFont val="Calibri"/>
        <family val="2"/>
        <scheme val="minor"/>
      </rPr>
      <t xml:space="preserve"> .Network Throughput : Input 320 Mbps out put 320 Mbps : Resolution : 1080p (1920x1080):Frame rate : 1-25/30 FPS;Supports multi Stream,Compression format,Play back : 16 chan at 1080P Simultanious Play back ;Recording Bit Rate : 320Mbps;Recording Mode : Schedule (Regular Continous,Motion etection,Alarm Stop);Recording interval : 1-120 min (default 60 min);Pre Event Recording Interval : 1-30 sec;Post Event Recording Interval : 10-300 sec;Video Detection : Motion Detection MD Zones Video Loss Camera Blank ,Trigger events : Recording; Tour; Alarm;Video Push; Email; FTP;Snapshot; Buzzer; Remote playback, remote backup, remote I/O control and remote desktop configuration;2 HDMI/1 VGA output, Video output up to 12MP resolution, 3 USB &amp; serial port interface, 4 SATA interfaces, Up to 8TB capacity for each HDD, 300 W Power Cosumption,2 Gigabit Ethernet network interfaces ;Storage  : Internal HDD 4 SATA Ports supports upto 32TB,External HDD 1 eSATA Port ,ANR technology  Vendor should submit the storage calculation &amp; the components considered in detail.</t>
    </r>
  </si>
  <si>
    <t>No</t>
  </si>
  <si>
    <r>
      <t>Supply, installation, testing and Commissioning of</t>
    </r>
    <r>
      <rPr>
        <b/>
        <sz val="12"/>
        <rFont val="Calibri"/>
        <family val="2"/>
        <scheme val="minor"/>
      </rPr>
      <t xml:space="preserve"> 8 Channel NVR</t>
    </r>
    <r>
      <rPr>
        <sz val="12"/>
        <rFont val="Calibri"/>
        <family val="2"/>
        <scheme val="minor"/>
      </rPr>
      <t xml:space="preserve"> Ultra 4 K resolution and recording software with </t>
    </r>
    <r>
      <rPr>
        <b/>
        <sz val="12"/>
        <rFont val="Calibri"/>
        <family val="2"/>
        <scheme val="minor"/>
      </rPr>
      <t>Storage capacity of  90Days</t>
    </r>
    <r>
      <rPr>
        <sz val="12"/>
        <rFont val="Calibri"/>
        <family val="2"/>
        <scheme val="minor"/>
      </rPr>
      <t xml:space="preserve"> .Network Throughput : Input 320 Mbps out put 320 Mbps : Resolution : 1080p (1920x1080):Frame rate : 1-25/30 FPS;Supports multi Stream,Compression format,Play back : 16 chan at 1080P Simultanious Play back ;Recording Bit Rate : 320Mbps;Recording Mode : Schedule (Regular Continous,Motion etection,Alarm Stop);Recording interval : 1-120 min (default 60 min);Pre Event Recording Interval : 1-30 sec;Post Event Recording Interval : 10-300 sec;Video Detection : Motion Detection MD Zones Video Loss Camera Blank ,Trigger events : Recording; Tour; Alarm;Video Push; Email; FTP;Snapshot; Buzzer; Remote playback, remote backup, remote I/O control and remote desktop configuration;2 HDMI/1 VGA output, Video output up to 12MP resolution, 3 USB &amp; serial port interface, 4 SATA interfaces, Up to 8TB capacity for each HDD, 300 W Power Cosumption,2 Gigabit Ethernet network interfaces ;Storage  : Internal HDD 4 SATA Ports supports upto 32TB,External HDD 1 eSATA Port ,ANR technology  Vendor should submit the storage calculation &amp; the components considered in detail.</t>
    </r>
  </si>
  <si>
    <t>CAT 6A PoE Cable, as per the survey done, Rate shall include required accessories, tools etc., complete as required.</t>
  </si>
  <si>
    <t>Mtr</t>
  </si>
  <si>
    <t>Cat 6A Sngle Information Outlets including faceplates and backbox accessories.(CCTV)</t>
  </si>
  <si>
    <t>Cat 6A PoE 24 Port Angled Discrete Jack panel - fully loaded (1U).The rate shall include the cost of Patch Panel, Information Outlets with all the required supporting accessories.(CCTV)</t>
  </si>
  <si>
    <t>Cat 6A  poE 12 Port Angled Discrete Jack panel - fully loaded (1U).The rate shall include the cost of Patch Panel, Information Outlets with all the required supporting accessories.(CCTV)</t>
  </si>
  <si>
    <t xml:space="preserve">Cat 6A, 7ft Gigabit Snagless Molded Patch Cable (RJ-45 Male) with factory crimping, these patch cords will suffice for connecting between Data Outlet &amp; CCTV  </t>
  </si>
  <si>
    <t>Cat 6A, 4ft Gigabit Snagless Molded Patch Cable (RJ-45 Male) with factory crimping, these patch cords will suffice for connecting between Data Outlet &amp; CCTV (100%)</t>
  </si>
  <si>
    <t xml:space="preserve">Supply, installation, testing and Commissioning of Client lisences to monitor from internal LAN and remote, </t>
  </si>
  <si>
    <t xml:space="preserve">Under Client Scope </t>
  </si>
  <si>
    <t>12</t>
  </si>
  <si>
    <t>Supply, installation, testing and Commissioning of Client PC with i5 Processor, 16GB RAM(Expandable up to 32GB), 1TB HDD, Keyboard, mouse, NVIDIA graphics card with dual monitor output  Genunine Windows 10/ latest windows operating system CPU</t>
  </si>
  <si>
    <t>13</t>
  </si>
  <si>
    <r>
      <t>42", Full HD 1920x1080 Monitor Multiple connectivity, with Base and wall mount kit, suitable for</t>
    </r>
    <r>
      <rPr>
        <b/>
        <sz val="12"/>
        <rFont val="Calibri"/>
        <family val="2"/>
        <scheme val="minor"/>
      </rPr>
      <t xml:space="preserve"> 24/7 operation</t>
    </r>
    <r>
      <rPr>
        <sz val="12"/>
        <rFont val="Calibri"/>
        <family val="2"/>
        <scheme val="minor"/>
      </rPr>
      <t>. Rate shall include required accessories, tools etc., complete as required.</t>
    </r>
  </si>
  <si>
    <t>14</t>
  </si>
  <si>
    <t>06 U wall mount rack with required mounting accessories, Rate shall include required accessories, tools etc., complete as required.</t>
  </si>
  <si>
    <t>16</t>
  </si>
  <si>
    <t xml:space="preserve">1.5 meter length, Powder coated MS 25 mm dia Conduit supports for CCTV cameras with required supporting /mounting accessories complete. </t>
  </si>
  <si>
    <t>17</t>
  </si>
  <si>
    <t xml:space="preserve">6.5 Mts height outdoor type CCTV Pole with required mounting accessories </t>
  </si>
  <si>
    <t>Supervision, Programming, Testing &amp; Commissioning, Documentation, Training.</t>
  </si>
  <si>
    <t>GRAND TOTAL - SUPPLY + INSTALLATION +TAXES</t>
  </si>
  <si>
    <t>Makes:</t>
  </si>
  <si>
    <t>CAMERAS &amp; SOFTWARE: Bosch Honeywell Axis</t>
  </si>
  <si>
    <t>NVR: Bosch Honeywell Axis</t>
  </si>
  <si>
    <t>CAT 6A Cables : Commscope,Systimax</t>
  </si>
  <si>
    <t>Exclusions:</t>
  </si>
  <si>
    <t xml:space="preserve">Active components, Network Switch &amp; servers ,Wifi Equipmnet </t>
  </si>
  <si>
    <t>All Devices shall be of Enterprize Class Only</t>
  </si>
  <si>
    <t>ESTIMATION FOR ACS</t>
  </si>
  <si>
    <t xml:space="preserve">Location: </t>
  </si>
  <si>
    <r>
      <t>Supply and installation of  UL, CE approved Access Controller - Smart card reader interfaces for</t>
    </r>
    <r>
      <rPr>
        <b/>
        <sz val="12"/>
        <rFont val="Arial"/>
        <family val="2"/>
      </rPr>
      <t xml:space="preserve"> 2 door controller 2 readers,</t>
    </r>
    <r>
      <rPr>
        <sz val="12"/>
        <rFont val="Arial"/>
        <family val="2"/>
      </rPr>
      <t xml:space="preserve"> Network connection to the host system and Compact Flash,  RS485, RS232 or Ethernet connectivity, 20,000 cardholders data &amp; up to 100,000 transaction detail storage</t>
    </r>
  </si>
  <si>
    <t xml:space="preserve">Supply and installation of  Access Door Controller housing shall be in accordance with UL guidelines and is used for securely mounting and housing the Access Controller, extensions and the power supplies, </t>
  </si>
  <si>
    <t>Centrallised</t>
  </si>
  <si>
    <t>Supply and installation of Power supply with battery charger for ACCESS DOOR CONTROLLER
Shall be with Selectable 12 VDC or 24 VDC voltage output
Overvoltage protection
Regulates battery charging voltage
The product is classified in accordance with the following standards:
• EN 55022 Class B
• EN 55024
• IEC / UL / EN 60950 &amp; CSA (product safety)
• CE
The Power supply can be mounted on rails and installed in the housing</t>
  </si>
  <si>
    <t>Supply and installation of Smart card readers based on RFID technology, along with Back Plate including all fixing accessories. Rate shall include required accessories, tools, etc., complete as required.</t>
  </si>
  <si>
    <t>Supply and installation of Smart card readers based on RFID technology  with Keypad, with Back Plate including all fixing accessories. Rate shall include required accessories, tools, etc., complete as required.</t>
  </si>
  <si>
    <t>Supply and installation of Biometric unit consisting of Biometric Scanner and Smart card readers based on RFID technology, along with Back Plate including all fixing accessories. Rate shall include required accessories, tools, etc., complete as required.</t>
  </si>
  <si>
    <t>Supply and installation of Biometric unit consisting of Biometric Scanner and Smart card readers based on RFID technology  with Keypad, with Back Plate including all fixing accessories. Rate shall include required accessories, tools, etc., complete as required.</t>
  </si>
  <si>
    <t>Supply and installation of Smart Access Card (16k bit with 2 application areas)  with print as per client requirement</t>
  </si>
  <si>
    <t>Supply and installation of Single Leaf 600 Lbs Magnetic Lock with required mounting accessories, Rate shall include required accessories, tools, etc., complete as required.</t>
  </si>
  <si>
    <t>Supply and installation of Double Leaf Magnetic Lock with required mounting accessories, Rate shall include required accessories, tools, etc., complete as required.</t>
  </si>
  <si>
    <t>Supply and installation of Break Glass Unit, Rate shall include required accessories,MS junction box, tools etc., complete as required.</t>
  </si>
  <si>
    <t>Supply and installation of Exit Push Button, Rate shall include required accessories, tools etc., complete as required.</t>
  </si>
  <si>
    <t xml:space="preserve">Supply and installation of Door Buzzer, Rate shall include required accessories, tools etc., complete as required. </t>
  </si>
  <si>
    <t>ACS software with lisences to manage 200 card holder data including database management software like SQL also integarate with life saftey equipments like fire system : The ACS shall be modular, networked access control system having centralized architecture, capable of handling large corporation with multiple remote sites. The system control at the central computer location shall be under a single software program control, shall provide full integration of all components, and shall be alterable at any time, depending upon the facility requirements. The system shall include 100+ door licence  and shall include 200 card holders. The ACS must provide a web server-based solution. Only Internet Explorer is required for a workstation to access the ACS login server. The system server shall be use latest edition of Windows Server 2012 R2 and Client shall support  Windows 10 shall include network capability with the TCP/IP data communications network protocol and hardware. GUI shall support location tree display structure to allow easy selection of locations and sub-locations. The location tree display structure should have no limits in the number of levels or sub-levels. Shall support the integration of the  Video Surveillance System interfacing shall be OPC compliant to provide direct import of existing video sub-system configuration. Audit trail for master record operations:
The access control management must provide an audit trail for changes on cardholder master records as well as changes on access permissions. The audit trail must log at least the following operations.</t>
  </si>
  <si>
    <t xml:space="preserve">Client to Confirm </t>
  </si>
  <si>
    <t xml:space="preserve">- create, delete a cardholder master record - change cardholder master record content, e.g. name, address
- change cardholder access rights
- create, delete an access permission
- change access permission content, e.g. time profile,  </t>
  </si>
  <si>
    <t>Hold up / Door hold up alarm: to provide the opening beyond set time to give pop indication and also CCTV to record the event</t>
  </si>
  <si>
    <t>15</t>
  </si>
  <si>
    <t>Visitor Management system</t>
  </si>
  <si>
    <t>Client PC with i5 Processor, 8GB RAM, 1TB HDD, Keyboard, mouse, NVIDIA graphics card with monitor , Windows 10 operating system CPU, with 19" Monitor alwong with webcam and printer</t>
  </si>
  <si>
    <t>Attendance management and integrating of HRMS and customise reporting</t>
  </si>
  <si>
    <t xml:space="preserve">Access Control Cabling - Control and Communication Cable </t>
  </si>
  <si>
    <t>18</t>
  </si>
  <si>
    <t>8 Core .75 sq MM Shielded unarmoured Cable, as per the survey done, Rate shall include required accessories, tools etc., complete as required.</t>
  </si>
  <si>
    <t>19</t>
  </si>
  <si>
    <t>4 Core .75 sq MM unarmoured Cable, as per the survey done, Rate shall include required accessories, tools  etc., complete as required.</t>
  </si>
  <si>
    <t>20</t>
  </si>
  <si>
    <t>2 Core .75 sq MM unarmoured Cable, as per the survey done, Rate shall include required accessories, tools etc., complete as required.</t>
  </si>
  <si>
    <t>21</t>
  </si>
  <si>
    <t>4C 1 sq mm shielded cable (for Controller )</t>
  </si>
  <si>
    <t>22</t>
  </si>
  <si>
    <t>4C 1 sq mm Unshielded cable</t>
  </si>
  <si>
    <t>23</t>
  </si>
  <si>
    <t>CAT6A Cable, Rate shall include required accessories, tools etc., complete as required.</t>
  </si>
  <si>
    <t>24</t>
  </si>
  <si>
    <t>6 core Multi mode optical fiber</t>
  </si>
  <si>
    <t>25</t>
  </si>
  <si>
    <t>25 MM PVC Conduit with required accessories, as per the survey done, Rate shall include required accessories, tools etc., complete as required.</t>
  </si>
  <si>
    <t>26</t>
  </si>
  <si>
    <t>20 MM PVC Conduit with required accessories, as per the survey done, Rate shall include required accessories, tools etc., complete as required.</t>
  </si>
  <si>
    <t>27</t>
  </si>
  <si>
    <t>Supply and installation of Panic push Bar with lock and leaver along integration with ACS and mini hooter / Buzzer</t>
  </si>
  <si>
    <t>28</t>
  </si>
  <si>
    <t>Supervision, Programming, Testing &amp; Commissioning, documentation, training.</t>
  </si>
  <si>
    <t>1. Active Components &amp; Servers, Switches, Rack</t>
  </si>
  <si>
    <t>2. Server: Dell PowerEdge R530</t>
  </si>
  <si>
    <t>3. Ceiling Raceway</t>
  </si>
  <si>
    <t>4. Intrusion system</t>
  </si>
  <si>
    <t>MAKES: BOSCH ,HONEYWELL,JCI</t>
  </si>
  <si>
    <t>CCTV</t>
  </si>
  <si>
    <t>ACS</t>
  </si>
  <si>
    <t>Fire Alarm, Extinguisher Fire Signage,Fire Sprinkler and PA System</t>
  </si>
  <si>
    <t xml:space="preserve">FIRE Alarm System Works </t>
  </si>
  <si>
    <r>
      <t xml:space="preserve">Supply, Installation, Testing &amp; Comissioning of </t>
    </r>
    <r>
      <rPr>
        <b/>
        <sz val="10"/>
        <rFont val="Calibri"/>
        <family val="2"/>
        <scheme val="minor"/>
      </rPr>
      <t>Analogue Addressable Multi Sensor detector</t>
    </r>
    <r>
      <rPr>
        <sz val="10"/>
        <rFont val="Calibri"/>
        <family val="2"/>
        <scheme val="minor"/>
      </rPr>
      <t>.  Shall be supplied with Detector  base, Junction box and other accessories as required and Detectors shall be UL Listed or EN Approved</t>
    </r>
  </si>
  <si>
    <t xml:space="preserve">Multi Sensor detector - True Ceiling </t>
  </si>
  <si>
    <t>Multi Sensor detector - Below False Ceiling</t>
  </si>
  <si>
    <t>1.2</t>
  </si>
  <si>
    <r>
      <t xml:space="preserve">Supply, Installation, Testing &amp; Comissioning of </t>
    </r>
    <r>
      <rPr>
        <b/>
        <sz val="10"/>
        <rFont val="Calibri"/>
        <family val="2"/>
        <scheme val="minor"/>
      </rPr>
      <t>Analogue Addressable Rate of Rise Heat sensor detector</t>
    </r>
    <r>
      <rPr>
        <sz val="10"/>
        <rFont val="Calibri"/>
        <family val="2"/>
        <scheme val="minor"/>
      </rPr>
      <t>. Shall be supplied with standard base and fixing accessories. Detectors shall be UL listed or EN Approved</t>
    </r>
  </si>
  <si>
    <t>1.3</t>
  </si>
  <si>
    <r>
      <t xml:space="preserve">Supply, Installation, Testing &amp; Comissioning of </t>
    </r>
    <r>
      <rPr>
        <b/>
        <sz val="10"/>
        <rFont val="Calibri"/>
        <family val="2"/>
        <scheme val="minor"/>
      </rPr>
      <t>Analogue Addressable Duct detector</t>
    </r>
    <r>
      <rPr>
        <sz val="10"/>
        <rFont val="Calibri"/>
        <family val="2"/>
        <scheme val="minor"/>
      </rPr>
      <t>. Shall be supplied with standard base and fixing accessories. Detectors shall be UL listed or EN Approved</t>
    </r>
  </si>
  <si>
    <t>1.4</t>
  </si>
  <si>
    <r>
      <t xml:space="preserve">Supply, Installation, Testing &amp; Comissioning of </t>
    </r>
    <r>
      <rPr>
        <b/>
        <sz val="10"/>
        <rFont val="Calibri"/>
        <family val="2"/>
        <scheme val="minor"/>
      </rPr>
      <t>Response indicator</t>
    </r>
    <r>
      <rPr>
        <sz val="10"/>
        <rFont val="Calibri"/>
        <family val="2"/>
        <scheme val="minor"/>
      </rPr>
      <t xml:space="preserve"> for all detectors located above false ceiling</t>
    </r>
  </si>
  <si>
    <t>1.5</t>
  </si>
  <si>
    <r>
      <t xml:space="preserve">Supply, installation, testing &amp; commissioning of </t>
    </r>
    <r>
      <rPr>
        <b/>
        <sz val="10"/>
        <rFont val="Calibri"/>
        <family val="2"/>
        <scheme val="minor"/>
      </rPr>
      <t xml:space="preserve">Hooter Cum Strobe Wall mounted type with back box </t>
    </r>
    <r>
      <rPr>
        <sz val="10"/>
        <rFont val="Calibri"/>
        <family val="2"/>
        <scheme val="minor"/>
      </rPr>
      <t>rated at 84 dBA @ 3m for Audible annunciation and 115cd flashintg at 1 Hz for visual indication. Hooter cum strobe with all necessary accesories complete, shall be UL  listed or EN Approved</t>
    </r>
  </si>
  <si>
    <t>1.6</t>
  </si>
  <si>
    <r>
      <t xml:space="preserve">Supply, installation, testing &amp; commissioning of Addressable </t>
    </r>
    <r>
      <rPr>
        <b/>
        <sz val="10"/>
        <rFont val="Calibri"/>
        <family val="2"/>
        <scheme val="minor"/>
      </rPr>
      <t>break glass type Manual Call Point with back box</t>
    </r>
    <r>
      <rPr>
        <sz val="10"/>
        <rFont val="Calibri"/>
        <family val="2"/>
        <scheme val="minor"/>
      </rPr>
      <t>. The device shall have an LED which shall blink in normal state &amp; get steady on activation to monitor the heath status of the device.</t>
    </r>
  </si>
  <si>
    <t>1.7</t>
  </si>
  <si>
    <r>
      <t xml:space="preserve">Supply, Installation, Testing &amp; Comissioning of Analogue Addressable </t>
    </r>
    <r>
      <rPr>
        <b/>
        <sz val="10"/>
        <rFont val="Calibri"/>
        <family val="2"/>
        <scheme val="minor"/>
      </rPr>
      <t>Control module</t>
    </r>
    <r>
      <rPr>
        <sz val="10"/>
        <rFont val="Calibri"/>
        <family val="2"/>
        <scheme val="minor"/>
      </rPr>
      <t xml:space="preserve"> shall be capable of providing DPDT contact rated at 24v DC, 2A. Shall be supplied with mounting plate/base from OEM with necessary accessories to complete the installation. Device shall be UL Listed or EN Approved </t>
    </r>
    <r>
      <rPr>
        <b/>
        <sz val="10"/>
        <rFont val="Calibri"/>
        <family val="2"/>
        <scheme val="minor"/>
      </rPr>
      <t>(for hooter cum strobe)</t>
    </r>
  </si>
  <si>
    <t>For Hooter cum Strobe</t>
  </si>
  <si>
    <t>1.8</t>
  </si>
  <si>
    <r>
      <t xml:space="preserve">Supplying, installing, testing and commissioning of </t>
    </r>
    <r>
      <rPr>
        <b/>
        <sz val="10"/>
        <rFont val="Calibri"/>
        <family val="2"/>
        <scheme val="minor"/>
      </rPr>
      <t>5 Amps External Power Supply Unit for Hooters</t>
    </r>
    <r>
      <rPr>
        <sz val="10"/>
        <rFont val="Calibri"/>
        <family val="2"/>
        <scheme val="minor"/>
      </rPr>
      <t xml:space="preserve"> (if required) along with other necessary accessories to be considered 
</t>
    </r>
  </si>
  <si>
    <t>1.9</t>
  </si>
  <si>
    <r>
      <t xml:space="preserve">Supply, Installation, Testing &amp; Comissioning of Analogue Addressable </t>
    </r>
    <r>
      <rPr>
        <b/>
        <sz val="10"/>
        <rFont val="Calibri"/>
        <family val="2"/>
        <scheme val="minor"/>
      </rPr>
      <t>Control Relay module</t>
    </r>
    <r>
      <rPr>
        <sz val="10"/>
        <rFont val="Calibri"/>
        <family val="2"/>
        <scheme val="minor"/>
      </rPr>
      <t xml:space="preserve"> shall be capable of providing DPDTcontact rated at 24v DC, 2A. Shall be supplied with mounting plate/base from OEM with necessary accessories to complete the installation. Device shall be UL Listed or EN Approved</t>
    </r>
  </si>
  <si>
    <t xml:space="preserve">3rd Party Integeration </t>
  </si>
  <si>
    <t>1.10</t>
  </si>
  <si>
    <r>
      <t xml:space="preserve">Supply, Installation, Testing &amp; Comissioning of Analogue Addressable </t>
    </r>
    <r>
      <rPr>
        <b/>
        <sz val="10"/>
        <rFont val="Calibri"/>
        <family val="2"/>
        <scheme val="minor"/>
      </rPr>
      <t>Monitor module</t>
    </r>
    <r>
      <rPr>
        <sz val="10"/>
        <rFont val="Calibri"/>
        <family val="2"/>
        <scheme val="minor"/>
      </rPr>
      <t xml:space="preserve"> for monitoring the potential free contacts, field devices &amp; shall be capable of providing DPDT contact rated at 24v DC, 2A.</t>
    </r>
    <r>
      <rPr>
        <b/>
        <sz val="10"/>
        <rFont val="Calibri"/>
        <family val="2"/>
        <scheme val="minor"/>
      </rPr>
      <t xml:space="preserve"> </t>
    </r>
    <r>
      <rPr>
        <sz val="10"/>
        <rFont val="Calibri"/>
        <family val="2"/>
        <scheme val="minor"/>
      </rPr>
      <t>Shall be supplied with mounting plate/base from OEM with necessary accessories to complete the installation. Device shall be UL Listed or EN Approved</t>
    </r>
  </si>
  <si>
    <t>1.11</t>
  </si>
  <si>
    <r>
      <t xml:space="preserve">Supply, Installation, Testing &amp; Comissioning of Analogue Addressable </t>
    </r>
    <r>
      <rPr>
        <b/>
        <sz val="10"/>
        <rFont val="Calibri"/>
        <family val="2"/>
        <scheme val="minor"/>
      </rPr>
      <t xml:space="preserve">Fault isolator module </t>
    </r>
    <r>
      <rPr>
        <sz val="10"/>
        <rFont val="Calibri"/>
        <family val="2"/>
        <scheme val="minor"/>
      </rPr>
      <t>with mounting plate / base from OEM, capable of monitoring shorted loop circuit and automatically restore communications when shorted conditions are corrected. Necessary accessories shall be considered complete for installation.  The device shall be UL Listed or EN Approved</t>
    </r>
  </si>
  <si>
    <t>1.12</t>
  </si>
  <si>
    <r>
      <t xml:space="preserve">Supply and laying of  PVC insulated, 2C x 1.5sq.mm shielded armored </t>
    </r>
    <r>
      <rPr>
        <b/>
        <sz val="10"/>
        <rFont val="Calibri"/>
        <family val="2"/>
        <scheme val="minor"/>
      </rPr>
      <t>FRLS copper cable (RED COLUR)</t>
    </r>
    <r>
      <rPr>
        <sz val="10"/>
        <rFont val="Calibri"/>
        <family val="2"/>
        <scheme val="minor"/>
      </rPr>
      <t xml:space="preserve"> including cable glands,clamps to be provided at maximum 1mtr intervals  and all fixing accessories where ever required complete with end terminations at both sides. </t>
    </r>
  </si>
  <si>
    <t>1.13</t>
  </si>
  <si>
    <r>
      <t xml:space="preserve">Supplying, installing, testing and commissioning approved make Microprocessor based Networkable </t>
    </r>
    <r>
      <rPr>
        <b/>
        <sz val="10"/>
        <rFont val="Calibri"/>
        <family val="2"/>
        <scheme val="minor"/>
      </rPr>
      <t xml:space="preserve">Addressable Fire Alarm Control Panel </t>
    </r>
    <r>
      <rPr>
        <sz val="10"/>
        <rFont val="Calibri"/>
        <family val="2"/>
        <scheme val="minor"/>
      </rPr>
      <t xml:space="preserve"> .Inbuilt USB 2.0 Port for upload and download the Configuration tools, Two inbuilt programmable inputs, Two inbuilt NAC's, and Three Programmable Relays, The panel should be equipped with sufficient numbers of loops considering 20% spare capacity. Each loop shall have 20% spare. Loops shall be decided by SI/OEM based on the make of panel.  240 volts AC power supply, automatic battery charger, 24 volts sealed lead acid batteries sufficient for 24 hours normal working and 30 mins in alarm condition with the charging capacity of 200AH.  Quoted rate shall include supply of hardware for progamming the panel with all necessary licence. Panel shall have option to mount Modbus over IP protocol for future integration with BMS.  Designed to meet UL Listed or EN Approval,  Lockable cabinet with vision panel and louvers shall be considered.</t>
    </r>
    <r>
      <rPr>
        <b/>
        <sz val="10"/>
        <rFont val="Calibri"/>
        <family val="2"/>
        <scheme val="minor"/>
      </rPr>
      <t xml:space="preserve">  </t>
    </r>
  </si>
  <si>
    <t>2 Loop Analogue addressable fire alarm panel as per the above specifications.</t>
  </si>
  <si>
    <t>4 Loop Analogue addressable fire alarm panel as per the above specifications.</t>
  </si>
  <si>
    <t>6 Loop Analogue addressable fire alarm panel as per the above specifications.</t>
  </si>
  <si>
    <t>1.14</t>
  </si>
  <si>
    <r>
      <t xml:space="preserve">Supply, Installation, Testing &amp; Comissioning of </t>
    </r>
    <r>
      <rPr>
        <b/>
        <sz val="10"/>
        <rFont val="Calibri"/>
        <family val="2"/>
        <scheme val="minor"/>
      </rPr>
      <t xml:space="preserve"> 2 Loop cards</t>
    </r>
    <r>
      <rPr>
        <sz val="10"/>
        <rFont val="Calibri"/>
        <family val="2"/>
        <scheme val="minor"/>
      </rPr>
      <t xml:space="preserve"> in to the panel  </t>
    </r>
  </si>
  <si>
    <t>1.15</t>
  </si>
  <si>
    <r>
      <t xml:space="preserve">Supply, Installation, Testing &amp; Comissioning of </t>
    </r>
    <r>
      <rPr>
        <b/>
        <sz val="10"/>
        <rFont val="Calibri"/>
        <family val="2"/>
        <scheme val="minor"/>
      </rPr>
      <t xml:space="preserve"> Network cards</t>
    </r>
    <r>
      <rPr>
        <sz val="10"/>
        <rFont val="Calibri"/>
        <family val="2"/>
        <scheme val="minor"/>
      </rPr>
      <t xml:space="preserve"> in to the panel  Network card 3X-NET</t>
    </r>
  </si>
  <si>
    <t>1.16</t>
  </si>
  <si>
    <r>
      <t xml:space="preserve">Active </t>
    </r>
    <r>
      <rPr>
        <b/>
        <sz val="10"/>
        <rFont val="Calibri"/>
        <family val="2"/>
        <scheme val="minor"/>
      </rPr>
      <t>Repeater Panel</t>
    </r>
    <r>
      <rPr>
        <sz val="10"/>
        <rFont val="Calibri"/>
        <family val="2"/>
        <scheme val="minor"/>
      </rPr>
      <t xml:space="preserve"> with minimum 256 character display for monitoring &amp; controlling other Panels on the network loop with Power supply. Peer To Peer Networked with  main panel, such that the status of the entire system shall be available on individual Annunciator.</t>
    </r>
  </si>
  <si>
    <t xml:space="preserve">Total Amount - Section-1 (FAS) </t>
  </si>
  <si>
    <r>
      <t xml:space="preserve">Supply, Installation &amp; Commissioining of </t>
    </r>
    <r>
      <rPr>
        <b/>
        <sz val="10"/>
        <rFont val="Calibri"/>
        <family val="2"/>
        <scheme val="minor"/>
      </rPr>
      <t>4.5Kgs CO2 type fire extinguisher</t>
    </r>
    <r>
      <rPr>
        <sz val="10"/>
        <rFont val="Calibri"/>
        <family val="2"/>
        <scheme val="minor"/>
      </rPr>
      <t xml:space="preserve"> Capacity, with initial CO2 gas charged/filled in brand new seamless cylinder with powder coated finish, 1mtr High pressure wire braided discharge hose pipe &amp; Horn, Wheel type valve, wall mounting bracket/floor stand, carrying/holding handle, etc. complete, confirming to latest IS:15683, IS 7285, IS 3224, CCOE &amp; PESO Approved,</t>
    </r>
    <r>
      <rPr>
        <b/>
        <sz val="10"/>
        <rFont val="Calibri"/>
        <family val="2"/>
        <scheme val="minor"/>
      </rPr>
      <t xml:space="preserve"> (Electrical room, AHU Room Battery room &amp; Ups room)</t>
    </r>
  </si>
  <si>
    <r>
      <t xml:space="preserve">Supply, Installation &amp; Commissioining of </t>
    </r>
    <r>
      <rPr>
        <b/>
        <sz val="10"/>
        <rFont val="Calibri"/>
        <family val="2"/>
        <scheme val="minor"/>
      </rPr>
      <t xml:space="preserve">4 Kgs ABC powder type fire extinguisher </t>
    </r>
    <r>
      <rPr>
        <sz val="10"/>
        <rFont val="Calibri"/>
        <family val="2"/>
        <scheme val="minor"/>
      </rPr>
      <t xml:space="preserve">Capacity, MAP 90%, with initial filling in brand new seamless cylinder with internally epoxy polyster &amp; externally pure poleyster powder coated, fitted with SS union, EPDM Flexible Discharge hose pipe, stored pressure type, Pressure gauge indicating the pressure inside cylinder, Squeeze grip type open/close lever, tamper proof seal, wall mounting bracket/Floor Stand Bracket  etc. complete, confirming to latest IS:15683 code, CCOE &amp; PESO Approved with ISI Mark. </t>
    </r>
  </si>
  <si>
    <r>
      <rPr>
        <sz val="10"/>
        <rFont val="Calibri"/>
        <family val="2"/>
        <scheme val="minor"/>
      </rPr>
      <t xml:space="preserve">Supply, Installation, Testing &amp; Commissioning of Stand Alone Automatic Ceiling Suspended </t>
    </r>
    <r>
      <rPr>
        <b/>
        <sz val="10"/>
        <rFont val="Calibri"/>
        <family val="2"/>
        <scheme val="minor"/>
      </rPr>
      <t xml:space="preserve">Clean agent (FE36/FM200) Stored Pressure Automatic Modular halon free fire extinguisher of 10 Kgs. </t>
    </r>
    <r>
      <rPr>
        <sz val="10"/>
        <rFont val="Calibri"/>
        <family val="2"/>
        <scheme val="minor"/>
      </rPr>
      <t xml:space="preserve">Capacity, with initial filling in brand new cylinder with powder coated finish, all accessories like </t>
    </r>
    <r>
      <rPr>
        <b/>
        <sz val="10"/>
        <rFont val="Calibri"/>
        <family val="2"/>
        <scheme val="minor"/>
      </rPr>
      <t>solenoid valve, 68Deg C sprinkler bulb type to discharge gas within 10-15seconds,</t>
    </r>
    <r>
      <rPr>
        <sz val="10"/>
        <rFont val="Calibri"/>
        <family val="2"/>
        <scheme val="minor"/>
      </rPr>
      <t xml:space="preserve"> ceiling mounting bracket, complete, (In UPS/Battery room)</t>
    </r>
  </si>
  <si>
    <r>
      <rPr>
        <sz val="10"/>
        <rFont val="Calibri"/>
        <family val="2"/>
        <scheme val="minor"/>
      </rPr>
      <t xml:space="preserve">Supply, Installation, Testing &amp; Commissioning of Stand Alone Automatic Ceiling Suspended </t>
    </r>
    <r>
      <rPr>
        <b/>
        <sz val="10"/>
        <rFont val="Calibri"/>
        <family val="2"/>
        <scheme val="minor"/>
      </rPr>
      <t xml:space="preserve">Clean agent (FE36/FM200) Stored Pressure Automatic Modular halon free fire extinguisher of 05 Kgs. </t>
    </r>
    <r>
      <rPr>
        <sz val="10"/>
        <rFont val="Calibri"/>
        <family val="2"/>
        <scheme val="minor"/>
      </rPr>
      <t xml:space="preserve">Capacity, with initial filling in brand new cylinder with powder coated finish, all accessories like </t>
    </r>
    <r>
      <rPr>
        <b/>
        <sz val="10"/>
        <rFont val="Calibri"/>
        <family val="2"/>
        <scheme val="minor"/>
      </rPr>
      <t>solenoid valve, 68Deg C sprinkler bulb type to discharge gas within 10-15seconds,</t>
    </r>
    <r>
      <rPr>
        <sz val="10"/>
        <rFont val="Calibri"/>
        <family val="2"/>
        <scheme val="minor"/>
      </rPr>
      <t xml:space="preserve"> ceiling mounting bracket, complete, (In Server Room)</t>
    </r>
  </si>
  <si>
    <t>SIGNAGES (FLOOR IDENTIFICATION &amp; FIRE ORDER BOARD ONLY)</t>
  </si>
  <si>
    <t>Extinguisher identification signage triangle type at each extinguisher, indicating the extinguisher symbol, board size shall be 6in. x 12 in. with contrasting colour from back ground. Shall be fixed at height as per site condition but not less that 1.2mtrs</t>
  </si>
  <si>
    <r>
      <t xml:space="preserve">Supply, installation of </t>
    </r>
    <r>
      <rPr>
        <b/>
        <sz val="10"/>
        <rFont val="Calibri"/>
        <family val="2"/>
        <scheme val="minor"/>
      </rPr>
      <t>EMERGENCY EVACUATION PLAN,</t>
    </r>
    <r>
      <rPr>
        <sz val="10"/>
        <rFont val="Calibri"/>
        <family val="2"/>
        <scheme val="minor"/>
      </rPr>
      <t xml:space="preserve"> color which needs to be displayed onto a GLASS frame which are Self Glow type. Size should be A2. (samples to be shown before execution) to be putup showed location in drawings</t>
    </r>
  </si>
  <si>
    <r>
      <t xml:space="preserve">Supply &amp; Installation of the sign boards with integral battery capacity of 3 hours &amp; bicoloured LED states indicator, </t>
    </r>
    <r>
      <rPr>
        <b/>
        <sz val="10"/>
        <rFont val="Calibri"/>
        <family val="2"/>
        <scheme val="minor"/>
      </rPr>
      <t>photoluminescent based glow-in-the-dark</t>
    </r>
    <r>
      <rPr>
        <sz val="10"/>
        <rFont val="Calibri"/>
        <family val="2"/>
        <scheme val="minor"/>
      </rPr>
      <t xml:space="preserve">, complete with necessary SS string, hooks &amp; rings for mounting at required height as necessary at site.
</t>
    </r>
    <r>
      <rPr>
        <b/>
        <sz val="10"/>
        <rFont val="Calibri"/>
        <family val="2"/>
        <scheme val="minor"/>
      </rPr>
      <t>SAMPLES SHALL BE SUBMITTED TO PMC/CLIENT/CONSULTANT AND APPROVAL SHALL BE SEEKED BEFORE PROCURING/INSTALLING THE SAME</t>
    </r>
    <r>
      <rPr>
        <sz val="10"/>
        <rFont val="Calibri"/>
        <family val="2"/>
        <scheme val="minor"/>
      </rPr>
      <t xml:space="preserve">
Following properties should be part of the signages:
1. Glow visible should be more than 24 hours in total darkness.
2. Fungistatic
3. Non-toxic
4. on-radioactive
5. Contains no lead or Phosphorus
6. No health or environmental problem
7. Suitable for indoor use only</t>
    </r>
  </si>
  <si>
    <t>c.1</t>
  </si>
  <si>
    <r>
      <t xml:space="preserve">Supply, Installation, Testing &amp; Commissioning of </t>
    </r>
    <r>
      <rPr>
        <b/>
        <sz val="10"/>
        <rFont val="Calibri"/>
        <family val="2"/>
        <scheme val="minor"/>
      </rPr>
      <t xml:space="preserve">Fire Exit Signage </t>
    </r>
    <r>
      <rPr>
        <sz val="10"/>
        <rFont val="Calibri"/>
        <family val="2"/>
        <scheme val="minor"/>
      </rPr>
      <t>visible from 20 mtrs (150x400mm) both sides, Available in Single Left, Single Right, Up, Down, Dual side arrow, Double arrow, Double side arrow with Exit or man symbol, etc.. With necessary 3mtr length Power cable and plug to get charged in electrical socket (180 Min Backup) (Make -Proloite /Equivalent)</t>
    </r>
  </si>
  <si>
    <t>c.2</t>
  </si>
  <si>
    <r>
      <t xml:space="preserve">Supply, Installation, Testing &amp; Commissioning of </t>
    </r>
    <r>
      <rPr>
        <b/>
        <sz val="10"/>
        <rFont val="Calibri"/>
        <family val="2"/>
        <scheme val="minor"/>
      </rPr>
      <t xml:space="preserve">Exit Signage </t>
    </r>
    <r>
      <rPr>
        <sz val="10"/>
        <rFont val="Calibri"/>
        <family val="2"/>
        <scheme val="minor"/>
      </rPr>
      <t>visible from 20 mtrs (150x400mm) both sides, With necessary 3mtr length Power cable and plug to get charged in electrical socket (180 Min Backup) (Make -Proloite /Equivalent)</t>
    </r>
  </si>
  <si>
    <t xml:space="preserve">Total Amount -Section-2 (FES) </t>
  </si>
  <si>
    <t>PA/MUSIC  SYSTEM</t>
  </si>
  <si>
    <r>
      <t xml:space="preserve">Supplying, installing, testing and commissioning of </t>
    </r>
    <r>
      <rPr>
        <b/>
        <sz val="10"/>
        <rFont val="Calibri"/>
        <family val="2"/>
        <scheme val="minor"/>
      </rPr>
      <t>Speakers</t>
    </r>
    <r>
      <rPr>
        <sz val="10"/>
        <rFont val="Calibri"/>
        <family val="2"/>
        <scheme val="minor"/>
      </rPr>
      <t xml:space="preserve"> with built in line matching transformer, grill flush mounting type.</t>
    </r>
  </si>
  <si>
    <t>6 Watts ceiling  recessed mounted type Speakers (Tap 6W,3W,1.5W)</t>
  </si>
  <si>
    <t>6 Watts Surface mounted type  Speakers  (Tap 6W,3W,1.5W)</t>
  </si>
  <si>
    <t>6 Watts Wall mounted type  Speakers  (Tap 6W,3W,1.5W)</t>
  </si>
  <si>
    <t>System Controller complete with Microprocessor based  following No of Zone Call Station, Stem Type Microphone, Dual Tone Control for Speech &amp; Music, tone generator for 5 pre-recorded message, priority modules, 2 mm thick CRCA Sheet Powder Coated  Rack (to Amplifiers, tone generators, Zone selectors, priority modules etc.,) The controller shall have in-built messages for fire alert and evacuation which shall be played based on the relay status.    In conjunction with an interconnected amplifier, the controller shall be able to provide BGM in some zones and Message in other zones simultaneously.  In case of alarm inputs, the alarm messages would take priority over the BGM.</t>
  </si>
  <si>
    <t>4 Zone Call Station</t>
  </si>
  <si>
    <t>6 Zone Call Station</t>
  </si>
  <si>
    <t>8 Zone Call Station</t>
  </si>
  <si>
    <t xml:space="preserve">SITC  of Booster Amplifiers with 230 VAC networkable with all interconnecting Cables with following outputs of Rack Mounted  Power Amplifier   </t>
  </si>
  <si>
    <t>120 W</t>
  </si>
  <si>
    <t>240 W</t>
  </si>
  <si>
    <t>480W</t>
  </si>
  <si>
    <r>
      <t xml:space="preserve">Supplying, installing, testing and commissioning of </t>
    </r>
    <r>
      <rPr>
        <b/>
        <sz val="10"/>
        <rFont val="Calibri"/>
        <family val="2"/>
        <scheme val="minor"/>
      </rPr>
      <t>15U high amplifier rack</t>
    </r>
    <r>
      <rPr>
        <sz val="10"/>
        <rFont val="Calibri"/>
        <family val="2"/>
        <scheme val="minor"/>
      </rPr>
      <t xml:space="preserve"> assembly made of aluminium channel equivalent to euro rack system, with side and rear panels made of 14 swg powder coated sheet steel front transparent persplexdoor and with rails, rollers &amp; bearings. Fans shall provided at the top for ventilation side panels will be ventilated type.The rack shall be powder coated  of approved color and spare 'U' shall be covered with blank panels.</t>
    </r>
  </si>
  <si>
    <r>
      <t xml:space="preserve">Supplying, installing, testing and commissioning of analogue double handheld wireless </t>
    </r>
    <r>
      <rPr>
        <b/>
        <sz val="10"/>
        <rFont val="Calibri"/>
        <family val="2"/>
        <scheme val="minor"/>
      </rPr>
      <t>microphone</t>
    </r>
    <r>
      <rPr>
        <sz val="10"/>
        <rFont val="Calibri"/>
        <family val="2"/>
        <scheme val="minor"/>
      </rPr>
      <t>. 
Location:  Reception</t>
    </r>
  </si>
  <si>
    <r>
      <t xml:space="preserve">Supply, installation, testing and commissioning of </t>
    </r>
    <r>
      <rPr>
        <b/>
        <sz val="10"/>
        <rFont val="Calibri"/>
        <family val="2"/>
        <scheme val="minor"/>
      </rPr>
      <t>Control Module</t>
    </r>
    <r>
      <rPr>
        <sz val="10"/>
        <rFont val="Calibri"/>
        <family val="2"/>
        <scheme val="minor"/>
      </rPr>
      <t xml:space="preserve"> for EVC(Emergency Voice call) zone wise speakers with necessary accessories like back box, installation supports, etc. complete</t>
    </r>
  </si>
  <si>
    <r>
      <t xml:space="preserve">Supplying, installing, testing and commissioning of </t>
    </r>
    <r>
      <rPr>
        <b/>
        <sz val="10"/>
        <rFont val="Calibri"/>
        <family val="2"/>
        <scheme val="minor"/>
      </rPr>
      <t xml:space="preserve">2 core x 1.5 sq. mm, shielded sheathed twisted pair armoured (FRLS) </t>
    </r>
    <r>
      <rPr>
        <sz val="10"/>
        <rFont val="Calibri"/>
        <family val="2"/>
        <scheme val="minor"/>
      </rPr>
      <t>confirming to IS standards and specifications, with necessary clamps to be provided at maximum 1mtr intervals, EOL resistors to be considered wherever required.  (Blue color) 
(For control modules to Amplifier, Mixer, Speakers - star network)</t>
    </r>
  </si>
  <si>
    <r>
      <t xml:space="preserve">Supplying, installing, testing and commissioning approved make. </t>
    </r>
    <r>
      <rPr>
        <b/>
        <sz val="10"/>
        <rFont val="Calibri"/>
        <family val="2"/>
        <scheme val="minor"/>
      </rPr>
      <t xml:space="preserve">PVC conduits </t>
    </r>
    <r>
      <rPr>
        <sz val="10"/>
        <rFont val="Calibri"/>
        <family val="2"/>
        <scheme val="minor"/>
      </rPr>
      <t>on ceiling / wall / floor / cable trays, etc. complete with accessories like, Junction boxes, Collars, Bends, binding wires, etc.</t>
    </r>
  </si>
  <si>
    <t>20 mm dia.</t>
  </si>
  <si>
    <t>25 mm dia.</t>
  </si>
  <si>
    <t>Total Amount Section-3 ( PA/Music System )</t>
  </si>
  <si>
    <t>FIRE SPRINKLER SYSTEM</t>
  </si>
  <si>
    <t>Supply, installation,  testing   and commissioning  of  G.I  Heavy grade piping as per IS: 1239/3589  GI Forged Threaded  GI forged socket welded  &amp;  65mm and above  Seamless schedule 40) with necessary fittings  such as tees, elbows,union,flanges, bends, rubber gaskets, reducers, GI nut bolt, washer etc. The pipes being suspended from ceilings by using  support with clamps, hangers using anchor fastners upto 65 mm &amp; above 80 mm pipe should be support with galvanized channel supports complete  
Rate quoted shall include painting with one coat of zinc cromet primer &amp; 2 coats of synthetic enamel PO red paint and for painting of pipe &amp; brackets and clamps as per IS-5 for above ground piping as per the  NBC / IS standards and local fire service department requirement complete including supply and  installation of G.I. Rods, clamps and , fasteners etc. 
All  supports shall be hot dip galvanized in the range of DFT of micron 80 to 90 micron with 7 tank process, hot dip galvanizing shall be confirming to IS:2629/2633/4759/6745. Anchor fastners to be used of chemical type only where pipe supports to be taken from brick/block work.</t>
  </si>
  <si>
    <t>150mm nominal dia</t>
  </si>
  <si>
    <t>100mm nominal dia</t>
  </si>
  <si>
    <t>80mm nominal dia</t>
  </si>
  <si>
    <t>65mm nominal dia</t>
  </si>
  <si>
    <t>50mm nominal dia</t>
  </si>
  <si>
    <t>40mm nominal dia</t>
  </si>
  <si>
    <t>32mm nominal dia</t>
  </si>
  <si>
    <t>25mm nominal dia</t>
  </si>
  <si>
    <t>Supplying, installing, testing and commissioning conventional Standard Response Sprinkler quartzoid bulb type with 15mm screwed end connection of 68 deg. C. temperature rating, K-Factor =5.6 GPM/psi½ (80.6 LPM/bar½) and orifice shall not be less than 6mm. Sprinklers shall be UL Listed / BIS approved with Chrome finished.</t>
  </si>
  <si>
    <t xml:space="preserve">Pendent Sprinkler </t>
  </si>
  <si>
    <t>Upright Sprinkler</t>
  </si>
  <si>
    <t>Concealed Sprinkler</t>
  </si>
  <si>
    <t>Stainless steel corrugated flexible pipe(hose) for dropping sprinklers below false ceiling, pipe shall be 16 bar pressure rating and 1500 mm long, 25 mm dia with union / reducer collar, clamps etc. as required.</t>
  </si>
  <si>
    <t xml:space="preserve">Sprinkler Pipe Line Modifications based on the Proposed Interior Fit Out Plan </t>
  </si>
  <si>
    <t>Total Amount Section-4 ( Fire Sprinkler System )</t>
  </si>
  <si>
    <t>GRAND  TOTAL - SECTION- 1+2+3+4  ( Excl GST) - [A]</t>
  </si>
  <si>
    <t>WLD System</t>
  </si>
  <si>
    <r>
      <t xml:space="preserve">Supply, installation, testing &amp; commissioning of </t>
    </r>
    <r>
      <rPr>
        <b/>
        <sz val="10"/>
        <rFont val="Calibri"/>
        <family val="2"/>
        <scheme val="minor"/>
      </rPr>
      <t>water leak detection control panel</t>
    </r>
    <r>
      <rPr>
        <sz val="10"/>
        <rFont val="Calibri"/>
        <family val="2"/>
        <scheme val="minor"/>
      </rPr>
      <t xml:space="preserve"> of as mentiioned below zone capacity along with LCD display, individual relay contact for each zone. It should  have LEDs indicating normal &amp; alarm condition for individual zone, acknowledge &amp; reset button. It should display water leakage with half meter accuracy. Panel shall have the provision on </t>
    </r>
    <r>
      <rPr>
        <b/>
        <sz val="10"/>
        <rFont val="Calibri"/>
        <family val="2"/>
        <scheme val="minor"/>
      </rPr>
      <t>RS-485 Modbus</t>
    </r>
    <r>
      <rPr>
        <sz val="10"/>
        <rFont val="Calibri"/>
        <family val="2"/>
        <scheme val="minor"/>
      </rPr>
      <t xml:space="preserve"> connectivity for integration with BMS system qouted rate shall be included with all ncessory accessories with panel mounting etc.The rate shall include the cost of Water Leak Module. </t>
    </r>
  </si>
  <si>
    <t>1 Zone</t>
  </si>
  <si>
    <t>2 Zone</t>
  </si>
  <si>
    <r>
      <t xml:space="preserve">Supply, installation, testing &amp; commissioning of </t>
    </r>
    <r>
      <rPr>
        <b/>
        <sz val="10"/>
        <rFont val="Calibri"/>
        <family val="2"/>
        <scheme val="minor"/>
      </rPr>
      <t>water leak detection cable of 4 wire sensing cable</t>
    </r>
    <r>
      <rPr>
        <sz val="10"/>
        <rFont val="Calibri"/>
        <family val="2"/>
        <scheme val="minor"/>
      </rPr>
      <t xml:space="preserve"> type using high quality polymer cable.</t>
    </r>
  </si>
  <si>
    <t>03mts length.</t>
  </si>
  <si>
    <t>06mts length.</t>
  </si>
  <si>
    <t>10mts length.</t>
  </si>
  <si>
    <t>15mts legnth</t>
  </si>
  <si>
    <r>
      <t xml:space="preserve">Supply, installation, testing &amp; commissioning of </t>
    </r>
    <r>
      <rPr>
        <b/>
        <sz val="10"/>
        <rFont val="Calibri"/>
        <family val="2"/>
        <scheme val="minor"/>
      </rPr>
      <t>Hooter cum strobe.</t>
    </r>
  </si>
  <si>
    <r>
      <t>Supply, installation, testing &amp; commissioning of</t>
    </r>
    <r>
      <rPr>
        <b/>
        <sz val="10"/>
        <rFont val="Calibri"/>
        <family val="2"/>
        <scheme val="minor"/>
      </rPr>
      <t xml:space="preserve"> Identification / mapping tags</t>
    </r>
    <r>
      <rPr>
        <sz val="10"/>
        <rFont val="Calibri"/>
        <family val="2"/>
        <scheme val="minor"/>
      </rPr>
      <t xml:space="preserve"> for sensor cable - Bag of 50</t>
    </r>
  </si>
  <si>
    <t>Bags</t>
  </si>
  <si>
    <r>
      <t xml:space="preserve">Supply, installation, testing &amp; commissioning of </t>
    </r>
    <r>
      <rPr>
        <b/>
        <sz val="10"/>
        <rFont val="Calibri"/>
        <family val="2"/>
        <scheme val="minor"/>
      </rPr>
      <t>fixing clips &amp; accessories</t>
    </r>
    <r>
      <rPr>
        <sz val="10"/>
        <rFont val="Calibri"/>
        <family val="2"/>
        <scheme val="minor"/>
      </rPr>
      <t>.</t>
    </r>
  </si>
  <si>
    <t>Packs</t>
  </si>
  <si>
    <r>
      <t xml:space="preserve">Supply, installation, testing &amp; commissioning of PVC </t>
    </r>
    <r>
      <rPr>
        <b/>
        <sz val="10"/>
        <rFont val="Calibri"/>
        <family val="2"/>
        <scheme val="minor"/>
      </rPr>
      <t>conduits</t>
    </r>
    <r>
      <rPr>
        <sz val="10"/>
        <rFont val="Calibri"/>
        <family val="2"/>
        <scheme val="minor"/>
      </rPr>
      <t xml:space="preserve"> on ceiling / wall / floor etc. complete with accessories like, junction boxes, collars, bends, saddles, clips / clamps for supports etc.                            </t>
    </r>
  </si>
  <si>
    <t>25 dia.</t>
  </si>
  <si>
    <t>Rmt.</t>
  </si>
  <si>
    <r>
      <t xml:space="preserve">Supply, Installation, testing &amp; commissioning of </t>
    </r>
    <r>
      <rPr>
        <b/>
        <sz val="10"/>
        <rFont val="Calibri"/>
        <family val="2"/>
        <scheme val="minor"/>
      </rPr>
      <t>2Cx1.5 sq.mm unarmoured</t>
    </r>
    <r>
      <rPr>
        <sz val="10"/>
        <rFont val="Calibri"/>
        <family val="2"/>
        <scheme val="minor"/>
      </rPr>
      <t xml:space="preserve"> Copper conductor cable. The rate shall include all necessary cable glands, lugs etc</t>
    </r>
  </si>
  <si>
    <r>
      <t xml:space="preserve">Supply, installation, testing &amp; commissioning of twisted pair </t>
    </r>
    <r>
      <rPr>
        <b/>
        <sz val="10"/>
        <rFont val="Calibri"/>
        <family val="2"/>
        <scheme val="minor"/>
      </rPr>
      <t>RS-485 serial communication wires</t>
    </r>
    <r>
      <rPr>
        <sz val="10"/>
        <rFont val="Calibri"/>
        <family val="2"/>
        <scheme val="minor"/>
      </rPr>
      <t xml:space="preserve"> for connection b/w WLD panel &amp; BMS system (for integration with BMS panel).</t>
    </r>
  </si>
  <si>
    <r>
      <t xml:space="preserve">Supply, Installation, testing &amp; commissioning of 2Cx1.0 sq.mm </t>
    </r>
    <r>
      <rPr>
        <b/>
        <sz val="10"/>
        <rFont val="Calibri"/>
        <family val="2"/>
        <scheme val="minor"/>
      </rPr>
      <t>armoured</t>
    </r>
    <r>
      <rPr>
        <sz val="10"/>
        <rFont val="Calibri"/>
        <family val="2"/>
        <scheme val="minor"/>
      </rPr>
      <t xml:space="preserve"> copper conductor </t>
    </r>
    <r>
      <rPr>
        <b/>
        <sz val="10"/>
        <rFont val="Calibri"/>
        <family val="2"/>
        <scheme val="minor"/>
      </rPr>
      <t xml:space="preserve"> jumper cable</t>
    </r>
    <r>
      <rPr>
        <sz val="10"/>
        <rFont val="Calibri"/>
        <family val="2"/>
        <scheme val="minor"/>
      </rPr>
      <t>. The rate shall include all necessary cable glands, lugs etc</t>
    </r>
  </si>
  <si>
    <r>
      <t xml:space="preserve">Supply, Installation, testing &amp; commissioning of 2Cx1.0 sq.mm </t>
    </r>
    <r>
      <rPr>
        <b/>
        <sz val="10"/>
        <rFont val="Calibri"/>
        <family val="2"/>
        <scheme val="minor"/>
      </rPr>
      <t>armoured</t>
    </r>
    <r>
      <rPr>
        <sz val="10"/>
        <rFont val="Calibri"/>
        <family val="2"/>
        <scheme val="minor"/>
      </rPr>
      <t xml:space="preserve"> copper conductor </t>
    </r>
    <r>
      <rPr>
        <b/>
        <sz val="10"/>
        <rFont val="Calibri"/>
        <family val="2"/>
        <scheme val="minor"/>
      </rPr>
      <t xml:space="preserve"> Leader cable</t>
    </r>
    <r>
      <rPr>
        <sz val="10"/>
        <rFont val="Calibri"/>
        <family val="2"/>
        <scheme val="minor"/>
      </rPr>
      <t>. The rate shall include all necessary cable glands, lugs etc</t>
    </r>
  </si>
  <si>
    <t>GRAND  TOTAL - WLD System  ( Excl GST) - [A]</t>
  </si>
  <si>
    <t>Rodent Repellent System</t>
  </si>
  <si>
    <t>RODENT REPELLENT  SYSTEM</t>
  </si>
  <si>
    <r>
      <t xml:space="preserve">Supply, installation, testing &amp; commissioning of </t>
    </r>
    <r>
      <rPr>
        <b/>
        <sz val="10.5"/>
        <rFont val="Arial"/>
        <family val="2"/>
      </rPr>
      <t>Rodent repellent system network controller</t>
    </r>
    <r>
      <rPr>
        <sz val="10.5"/>
        <rFont val="Arial"/>
        <family val="2"/>
      </rPr>
      <t xml:space="preserve"> capable of supporting 12 Transducers. Quoted rate shall include  a pair of stands, brackets, 3pin power supply cord (1.5 meters), etc. complete vide technical specifications. Quoted rate shall include necessary wall support required for installation. Panel shall have the provision on RS-485 Modbus connectivity for integration with BMS system.</t>
    </r>
  </si>
  <si>
    <r>
      <t>Supply, installation, testing &amp; commissioning of</t>
    </r>
    <r>
      <rPr>
        <b/>
        <sz val="10.5"/>
        <rFont val="Arial"/>
        <family val="2"/>
      </rPr>
      <t xml:space="preserve"> Transducers,</t>
    </r>
    <r>
      <rPr>
        <sz val="10.5"/>
        <rFont val="Arial"/>
        <family val="2"/>
      </rPr>
      <t xml:space="preserve"> circular ceiling mounted type, having power output of 800mW/transducer. Quoted rate shall include necessary mounting clips / clamps etc. vide technical specification.</t>
    </r>
  </si>
  <si>
    <r>
      <t xml:space="preserve">Supply, installation, testing &amp; commissioning of </t>
    </r>
    <r>
      <rPr>
        <b/>
        <sz val="10.5"/>
        <rFont val="Arial"/>
        <family val="2"/>
      </rPr>
      <t>Transducers,</t>
    </r>
    <r>
      <rPr>
        <sz val="10.5"/>
        <rFont val="Arial"/>
        <family val="2"/>
      </rPr>
      <t xml:space="preserve"> circular Floor mounted type, having power output of 800mW/transducer. Quoted rate shall include necessary mounting clips / clamps etc. vide technical specification.</t>
    </r>
  </si>
  <si>
    <t>Supply, installation, testing &amp; commissioning of standard 2 core, flexible (14/40) SWG multi-stranded CT wires  shall be used for connectivity between transducers &amp; master console.</t>
  </si>
  <si>
    <r>
      <t xml:space="preserve">Supply, installation, testing &amp; commissioning of </t>
    </r>
    <r>
      <rPr>
        <b/>
        <sz val="10.5"/>
        <rFont val="Arial"/>
        <family val="2"/>
      </rPr>
      <t>PVC conduits</t>
    </r>
    <r>
      <rPr>
        <sz val="10.5"/>
        <rFont val="Arial"/>
        <family val="2"/>
      </rPr>
      <t xml:space="preserve"> on ceiling / wall / floor etc. complete with accessories like, junction boxes, collars, bends, saddles, clips / clamps for supports etc.                                   </t>
    </r>
  </si>
  <si>
    <r>
      <t>Supply, installation of suitable size</t>
    </r>
    <r>
      <rPr>
        <b/>
        <sz val="10.5"/>
        <rFont val="Arial"/>
        <family val="2"/>
      </rPr>
      <t xml:space="preserve"> GI junction box</t>
    </r>
    <r>
      <rPr>
        <sz val="10.5"/>
        <rFont val="Arial"/>
        <family val="2"/>
      </rPr>
      <t xml:space="preserve"> made of 16SWG for Rodent Transducers  Quoted rate shall be included with suitable Glands, termination and screws with complete nccessory accessories.</t>
    </r>
  </si>
  <si>
    <t>GRAND  TOTAL - Rodent Repellent System ( Excl GST) - [A]</t>
  </si>
  <si>
    <t>FIRE &amp; SAFETY</t>
  </si>
  <si>
    <t>NETWORK</t>
  </si>
  <si>
    <t>150mm ThicK Block work</t>
  </si>
  <si>
    <t>Basic Rate -200/Sqft</t>
  </si>
  <si>
    <t>Light reflectance:  up to  0.90 ( 90% )</t>
  </si>
  <si>
    <t>Focus Room Column</t>
  </si>
  <si>
    <t>OSB board cladding - Grooved</t>
  </si>
  <si>
    <t xml:space="preserve">OSB board cladding </t>
  </si>
  <si>
    <t>6 Pax &amp; 4 Pax</t>
  </si>
  <si>
    <t xml:space="preserve">6 Pax </t>
  </si>
  <si>
    <t>Basic Rate - 150/Sqft</t>
  </si>
  <si>
    <t>Basic Rate - 50/Sqft</t>
  </si>
  <si>
    <t>PH Toilet</t>
  </si>
  <si>
    <t>FRP POT WITH PLANTS</t>
  </si>
  <si>
    <t>Basic Rate - 5000</t>
  </si>
  <si>
    <t xml:space="preserve">Fabricating and fixing partition frame work consisting of 50mm x 25mm x 1.2mm as per IS Standards of Jindal or equivalent make) thick extruded aluminum box section framework at spacing not exceeding 600mm both ways (horizontal and vertical). Framework formed using 50mm x 25mm x 1.2mm thick extruded aluminum box section connected using 50mm X 25mm X 1.2mm thick "L" angle support cleats fixed with 12mm galvanized metal screws. Partition framework to be secured to floor, structural support and nearest structural member using galvanized metal screws and wooden dowels. </t>
  </si>
  <si>
    <t>Movable &amp; foldable workstation (1650 x 600mm)</t>
  </si>
  <si>
    <t xml:space="preserve">ODC </t>
  </si>
  <si>
    <t>Basic Rate of Acrylic 750/Sqft</t>
  </si>
  <si>
    <t>GYPROC PLASTER</t>
  </si>
  <si>
    <t>Basic Rate -30/Sqft</t>
  </si>
  <si>
    <t>Providing &amp; applying in one coat 12mm thick gyproc plaster in proper line &amp; level  on internal surface of   RCC/Bricks/Blocks walls with gypsum punning. Rate shall be inclusive of scaffolding, grooves ,sills, band, curing, surface preparation before the application of plaster.</t>
  </si>
  <si>
    <t>QTY</t>
  </si>
  <si>
    <t>GRANITE RAMP</t>
  </si>
  <si>
    <t>Providing and Fixing , granit top of the Ramp to be finished with 18mm thk approved granite, edges chamfered. Complete as per detailed drawing and instructions of the Architect</t>
  </si>
  <si>
    <t>Granite Skirting</t>
  </si>
  <si>
    <t>Providing and Fixing , 100mm ht granit top of the Skirting to be finished with 18mm thk approved granite, edges chamfered. Complete as per detailed drawing and instructions of the Architect</t>
  </si>
  <si>
    <t>PEST CONTROL</t>
  </si>
  <si>
    <t>Kitchen Deduction</t>
  </si>
  <si>
    <t>Balcony</t>
  </si>
  <si>
    <t>Outdoor Seating</t>
  </si>
  <si>
    <t>Near Staircase</t>
  </si>
  <si>
    <t>Corner</t>
  </si>
  <si>
    <t>Infront of Stair</t>
  </si>
  <si>
    <t>Infront of Toilet</t>
  </si>
  <si>
    <t>Shaft</t>
  </si>
  <si>
    <t>Gents Toilet -2</t>
  </si>
  <si>
    <t>PH Toilet 02</t>
  </si>
  <si>
    <t>Ladies Toilet -2</t>
  </si>
  <si>
    <t>Dishwash Area</t>
  </si>
  <si>
    <t>Prep Kitchen</t>
  </si>
  <si>
    <t>CEMENT PLASTERING</t>
  </si>
  <si>
    <t>Gyproc Plaster</t>
  </si>
  <si>
    <t>Plate Drop</t>
  </si>
  <si>
    <t xml:space="preserve">Kitechen </t>
  </si>
  <si>
    <t xml:space="preserve">Server </t>
  </si>
  <si>
    <t>Battery</t>
  </si>
  <si>
    <t>Wall</t>
  </si>
  <si>
    <t>Serving Area</t>
  </si>
  <si>
    <t>CINDER FILLING</t>
  </si>
  <si>
    <t>Executive Dining</t>
  </si>
  <si>
    <t>Café Front Side Passage</t>
  </si>
  <si>
    <t>4 Pod Collab</t>
  </si>
  <si>
    <t>Bench Seating Area</t>
  </si>
  <si>
    <t>VP Room Passage</t>
  </si>
  <si>
    <t>Repro</t>
  </si>
  <si>
    <t>4 Pax Pod</t>
  </si>
  <si>
    <t>CFO Cabin</t>
  </si>
  <si>
    <t>8 Pax</t>
  </si>
  <si>
    <t>GFX FLOORING</t>
  </si>
  <si>
    <t>QRO</t>
  </si>
  <si>
    <t>VP Cabin 11</t>
  </si>
  <si>
    <t>33 Workstation Area</t>
  </si>
  <si>
    <t>VP Cabin 08</t>
  </si>
  <si>
    <t>VP Cabin 09</t>
  </si>
  <si>
    <t>Basic Rate -60/Sqft</t>
  </si>
  <si>
    <t>External Seating Area</t>
  </si>
  <si>
    <t>HAT Workstation Area</t>
  </si>
  <si>
    <t>4 Pax Room 04</t>
  </si>
  <si>
    <t>8 Pax Meeting Room</t>
  </si>
  <si>
    <t>VB Cabin 07</t>
  </si>
  <si>
    <t>VB Cabin 06</t>
  </si>
  <si>
    <t>VB Cabin 05</t>
  </si>
  <si>
    <t>Focus Room - 05</t>
  </si>
  <si>
    <t>Focus Room - 06</t>
  </si>
  <si>
    <t>VP Cabin 04</t>
  </si>
  <si>
    <t>VP Cabin 03</t>
  </si>
  <si>
    <t>4 Pax Meeting Room 03</t>
  </si>
  <si>
    <t>6 Pax Meeting Room 02</t>
  </si>
  <si>
    <t>Training Room</t>
  </si>
  <si>
    <t>BMS Room</t>
  </si>
  <si>
    <t>VR Room</t>
  </si>
  <si>
    <t>ODC Room 04</t>
  </si>
  <si>
    <t>ODC Room 03</t>
  </si>
  <si>
    <t>IT Store Room</t>
  </si>
  <si>
    <t>3 Pax Room 04</t>
  </si>
  <si>
    <t>2 Pax Pod</t>
  </si>
  <si>
    <t>Baggage Room</t>
  </si>
  <si>
    <t>3 Pax Room 01</t>
  </si>
  <si>
    <t>Experience Center</t>
  </si>
  <si>
    <t>6 Pax room 01</t>
  </si>
  <si>
    <t>VP Cabin 01</t>
  </si>
  <si>
    <t>VP Cabin 02</t>
  </si>
  <si>
    <t>Focus Area</t>
  </si>
  <si>
    <t xml:space="preserve">Acounts Workstation </t>
  </si>
  <si>
    <t>3 Pax Room 02</t>
  </si>
  <si>
    <t>Female Nap Room</t>
  </si>
  <si>
    <t>Male Nap room</t>
  </si>
  <si>
    <t>Focus Room 02</t>
  </si>
  <si>
    <t>Focus Room 01</t>
  </si>
  <si>
    <t>1 Pax Pd</t>
  </si>
  <si>
    <t>ODC Room 01</t>
  </si>
  <si>
    <t>Same as above Carpet Floorig</t>
  </si>
  <si>
    <t>Assistant Room</t>
  </si>
  <si>
    <t>CEO Cabin</t>
  </si>
  <si>
    <t>Founder Cabin</t>
  </si>
  <si>
    <t>Media Byte Room</t>
  </si>
  <si>
    <t>RUG FLOORING</t>
  </si>
  <si>
    <t xml:space="preserve">Supply and installation of approved Inset Rugs as per finishes schedule, laid over finished substrata with approved edging and protection as required. </t>
  </si>
  <si>
    <t>Basic Rate - 750/Sqft</t>
  </si>
  <si>
    <t>Rug</t>
  </si>
  <si>
    <t>Reception Area</t>
  </si>
  <si>
    <t>RUBBER FLOORING</t>
  </si>
  <si>
    <t>Rubber Flooring</t>
  </si>
  <si>
    <t>Gym</t>
  </si>
  <si>
    <t>Supply and installation of 10 mm thick recycled SBR rubber gym tiles with PU binder, loose-lay / glued (as approved), including primer, edge coving, testing, and finishing, as per manufacturer specification.  Rate to include all labor, material, wastage, testing, and finishing.</t>
  </si>
  <si>
    <t>AHU Room Passage</t>
  </si>
  <si>
    <t>Conference Room</t>
  </si>
  <si>
    <t>VPCabin 11</t>
  </si>
  <si>
    <t>VPCabin 10</t>
  </si>
  <si>
    <t>Outer</t>
  </si>
  <si>
    <t>VP cabin 08</t>
  </si>
  <si>
    <t>VP cabin 09</t>
  </si>
  <si>
    <t>4 pax meeting room 05</t>
  </si>
  <si>
    <t>6 Pax meeting room 03</t>
  </si>
  <si>
    <t>outer</t>
  </si>
  <si>
    <t>4 pax meeting room 04</t>
  </si>
  <si>
    <t>8 pax room 02</t>
  </si>
  <si>
    <t>VP Room 07</t>
  </si>
  <si>
    <t>VP Room 06</t>
  </si>
  <si>
    <t>VP Room 05</t>
  </si>
  <si>
    <t xml:space="preserve">Focus Room </t>
  </si>
  <si>
    <t>Focus Room outer</t>
  </si>
  <si>
    <t>CEO cabin</t>
  </si>
  <si>
    <t>Assistant works</t>
  </si>
  <si>
    <t>Founder cabin</t>
  </si>
  <si>
    <t>Media byte room</t>
  </si>
  <si>
    <t>Media byte room outer</t>
  </si>
  <si>
    <t>6 pax meeting room 02</t>
  </si>
  <si>
    <t>4 pax meeting room 03</t>
  </si>
  <si>
    <t>VP Room 04</t>
  </si>
  <si>
    <t>VP Room 03</t>
  </si>
  <si>
    <t>3 Pax Room</t>
  </si>
  <si>
    <t>4 Pax room 02</t>
  </si>
  <si>
    <t>IT Store Building</t>
  </si>
  <si>
    <t>Staircase Front</t>
  </si>
  <si>
    <t xml:space="preserve">3 Pax Room outer </t>
  </si>
  <si>
    <t>23 Pax</t>
  </si>
  <si>
    <t>Exective Dining</t>
  </si>
  <si>
    <t>6 Pax Meeting Room 1</t>
  </si>
  <si>
    <t>Focus Room 1</t>
  </si>
  <si>
    <t>Focus Room 2</t>
  </si>
  <si>
    <t>8 pax room 01</t>
  </si>
  <si>
    <t>Single Pod</t>
  </si>
  <si>
    <t>ODC Room 2</t>
  </si>
  <si>
    <t>War Room</t>
  </si>
  <si>
    <t>ODC Room 1</t>
  </si>
  <si>
    <t>Otdoor Seating</t>
  </si>
  <si>
    <t>Workstation area</t>
  </si>
  <si>
    <t>VP Cabn</t>
  </si>
  <si>
    <t>8 Pax Room</t>
  </si>
  <si>
    <t>VP Cabin 07</t>
  </si>
  <si>
    <t>VP Cabin 06</t>
  </si>
  <si>
    <t>VP Cabin 05</t>
  </si>
  <si>
    <t>4 Pax Room 05</t>
  </si>
  <si>
    <t>6 Pax Room 03</t>
  </si>
  <si>
    <t>4 Assistant Room</t>
  </si>
  <si>
    <t>6 Pax Room 02</t>
  </si>
  <si>
    <t>4 Pax Room 03</t>
  </si>
  <si>
    <t>16 Workstation Area</t>
  </si>
  <si>
    <t>VP Cabin</t>
  </si>
  <si>
    <t>Training Romm</t>
  </si>
  <si>
    <t>4 Pax Meeting Room 02</t>
  </si>
  <si>
    <t>IT Store room</t>
  </si>
  <si>
    <t>Reception waiting Area</t>
  </si>
  <si>
    <t>NAP Room</t>
  </si>
  <si>
    <t>6 Pax Room 01</t>
  </si>
  <si>
    <t>VP Room 02</t>
  </si>
  <si>
    <t>Focus Work Station</t>
  </si>
  <si>
    <t>4 Pax Room 01</t>
  </si>
  <si>
    <t>Janitor</t>
  </si>
  <si>
    <t>Executive Café</t>
  </si>
  <si>
    <t>Out door</t>
  </si>
  <si>
    <t>RAISED PLATFORM</t>
  </si>
  <si>
    <t>Providing and constructing 150 mm high raised flooring using solid cement blocks/bricks with screed topping, complete with materials, labour, leveling, curing, finishing and ready to receive final floor finish.</t>
  </si>
  <si>
    <t>Raised Platform</t>
  </si>
  <si>
    <t>Surface Preparation : Grinding the surface using M75 metal grit
Primer Application: Providing and applying primer in one coat while simultaneously broadcasting quartz sand.
GFX - Seamless Concrete Installation:  Providing and installing the GFX - Seamless concrete floor, which is a blend of imported engineered cements from Ardex and polymer additives.
Final Polishing: Sanding/grinding of the floor after a minimum interval of 24 hours.
Sealer Application: Providing and installing of multiple coats of Green heart sealers
Total thickness after self levelling: 5mm
Base price : 330/- sft</t>
  </si>
  <si>
    <t>Basic Rate - 200/Sqft</t>
  </si>
  <si>
    <t>Vertical</t>
  </si>
  <si>
    <t>VP Cabin 10</t>
  </si>
  <si>
    <t>4 Pax Room 02</t>
  </si>
  <si>
    <t>IT Store</t>
  </si>
  <si>
    <t>MODULAR GRID CEILING-GR-1 -600x600MM -0.7NRC</t>
  </si>
  <si>
    <t>NRC:     0.7</t>
  </si>
  <si>
    <t>Executive Pantry</t>
  </si>
  <si>
    <t>Open Cell Ceiling 100 x100mm</t>
  </si>
  <si>
    <t>ODC 4 &amp; 3</t>
  </si>
  <si>
    <t>Open Cell Ceiling (200 x 200mm)</t>
  </si>
  <si>
    <t>Providing and Fixing Perforated Metal Grid False Ceiling tiles of 0.4mm thick GI sheets with 600mmx600mm size manufactured out of galvanised iron, and size of the tile can be customized as per the architect/designer requirement with a finish powder coated   finish are formed in the  grid to complete the job , the grid would be 15mm shilouted grid made of 0.4mm gi sheet ,and the grid would be hung to the true ceiling by using M6 Hook type anchor fastener , GI wire complete as per the Drawing and instructions of the Architect</t>
  </si>
  <si>
    <t>Perforated Metal Ceiling</t>
  </si>
  <si>
    <t>PERFORATED METAL CEILING</t>
  </si>
  <si>
    <t>Dry Pantry</t>
  </si>
  <si>
    <t>Exective Pantry</t>
  </si>
  <si>
    <t>Providing &amp; fabricating Acoustic ceiling formed to shape using GI frame work &amp; vertical support system formed out of  M.S Treaded Rod supports provided at 600mm C/C suspended from the true ceiling. The frame work shall be clad with 12mm thick MDF finished with Grooved acoustic Panel  as per the detailed dwg or the instructions of the Architects. Rate to include, cut-outs for light fixtures, spot lights, smoke detectors, Pelmets, Vertical risers as shown in dwg. and all services cut outs as required. complete as directed by Project manager / Architect.</t>
  </si>
  <si>
    <t>GYM</t>
  </si>
  <si>
    <t>Cladding</t>
  </si>
  <si>
    <t>VP Cabin -11</t>
  </si>
  <si>
    <t>VP Cabin -10</t>
  </si>
  <si>
    <t>Above Glass Partition</t>
  </si>
  <si>
    <t>4 Pax Room 4</t>
  </si>
  <si>
    <t>6 Pax Meeting Room -1</t>
  </si>
  <si>
    <t>Assistant Work</t>
  </si>
  <si>
    <t>Focus Room 3</t>
  </si>
  <si>
    <t>6 Pax Meeting Room -2</t>
  </si>
  <si>
    <t>4 Pax Room 3</t>
  </si>
  <si>
    <t>Phone Booth Area</t>
  </si>
  <si>
    <t>3 Pax Meeting Room</t>
  </si>
  <si>
    <t>Reception Back drop</t>
  </si>
  <si>
    <t>23 Pax Room</t>
  </si>
  <si>
    <t>4 Pax Meeting Room 01</t>
  </si>
  <si>
    <t>1 Pax Pod</t>
  </si>
  <si>
    <t>ODC Room</t>
  </si>
  <si>
    <t>Supply and installation   of Curved Partition made with 50 x 25mm Aluminum box section filled with rockwool insulation with tissue paper wraping all sides cladded with 12mm flexi ply on both sides with necessary tools and tackles and as per the selections or instructions given by the Engineer in charge as per the drawings.</t>
  </si>
  <si>
    <t>Curve Partitin</t>
  </si>
  <si>
    <t>Pod</t>
  </si>
  <si>
    <t>Entranc3</t>
  </si>
  <si>
    <t>CURVED GI PARTITION</t>
  </si>
  <si>
    <t>Supply and installation   of Curved Partition made with 50mm GI Stud section filled with rockwool insulation with tissue paper wraping all sides cladded with 12mm flexi ply on both sides with necessary tools and tackles and as per the selections or instructions given by the Engineer in charge as per the drawings.</t>
  </si>
  <si>
    <t>CURVED ALUMIUN PARTITION</t>
  </si>
  <si>
    <t>Supply and installation   of Curved Partition made with 50mm GI Stud section filled with rockwool insulation with tissue paper wraping all sides cladded with 12mm flexi ply on one sides with necessary tools and tackles and as per the selections or instructions given by the Engineer in charge as per the drawings.</t>
  </si>
  <si>
    <t>PLANK CEILING</t>
  </si>
  <si>
    <t>Providing &amp;Installating Commercial type suspended modular ceiling consisting of</t>
  </si>
  <si>
    <t>General requisites :</t>
  </si>
  <si>
    <t>Tile Specification :</t>
  </si>
  <si>
    <t>300 x 1200 x 19mm thickness, Micro-Perforated Mineral Fibre Tile.</t>
  </si>
  <si>
    <t>Class B1 as per DIN 4102 part 1</t>
  </si>
  <si>
    <t>Proprietary supplied ceiling suspension system to consist of 2mm or 3mm GI suspension rod/wire with adjustable adjustable threaded "J" bolt of 3mm dia securely affixed to structural ceiling using soffit angle fixing bracket and 10mm dia hook type anchor fastener. Ceiling suspension system to be fixed at interval (grid) of 1200mm .</t>
  </si>
  <si>
    <t>Proprietary supplied Grid System to consist of Main Runners @300mm and joined by Cross Tees @ 300mm to form overall grid opening of 300mm x 1200mm. Additional cross tees are to be placed where appropriate for light fixtures, AC diffusers.</t>
  </si>
  <si>
    <t>Rate quoted to include all cut-outs required for light fixtures, smoke detectors and other services cut-outs complete as directed by Architect.</t>
  </si>
  <si>
    <t>GRIDS : The Main runners &amp; 'C' Channels</t>
  </si>
  <si>
    <t>Tile Type : Lay - in ceiling type</t>
  </si>
  <si>
    <t>Edge detail : GNSK</t>
  </si>
  <si>
    <t>Light Relectance  : Upto 90%</t>
  </si>
  <si>
    <t>Humidity Relectance  : Upto 95%</t>
  </si>
  <si>
    <t>Colour : White similar to RAL 9010</t>
  </si>
  <si>
    <t>Surface Burning characteristics : Class 0 BS 476: part7:1987</t>
  </si>
  <si>
    <t>thermal Conductivity :0.052 - 0.057 W/mK</t>
  </si>
  <si>
    <t>NRC : 0.90</t>
  </si>
  <si>
    <t>thickness / Weight : 5.7Kg/sqm</t>
  </si>
  <si>
    <t>Smoke Developed = 0 &amp; Flame Spread = 5.</t>
  </si>
  <si>
    <t>Tile Texture : Sand Textured</t>
  </si>
  <si>
    <t>Main runners         : 15mm X 38mm X 0.45mm</t>
  </si>
  <si>
    <t>Cross tees            :  15mm X 38mm X 0.45mm</t>
  </si>
  <si>
    <t>Perimeter section  : 19mm X 19mm X 0.45mm</t>
  </si>
  <si>
    <t>Grid Ceiling (4 x1)</t>
  </si>
  <si>
    <t>Seating Area</t>
  </si>
  <si>
    <t>GI</t>
  </si>
  <si>
    <t>Sound Membarine</t>
  </si>
  <si>
    <t>SOUND MEMBARINE</t>
  </si>
  <si>
    <t>Supply &amp; fix of mass-loaded vinyl sound / deadening membraneMLV, 3 mm thick, density 1800-2000 kg/m³, STC min 30 dB, fixed with adhesive / mechanical fixing, all joints sealed with acoustic sealant, as per manufacturer’s datasheet &amp; site-tested.</t>
  </si>
  <si>
    <t>8 Pax meeting Room</t>
  </si>
  <si>
    <t>Trainin Room</t>
  </si>
  <si>
    <t>12.5mm THICK FIRE RATED GYPSUM SKINNING.</t>
  </si>
  <si>
    <t>Fire rated Cladding</t>
  </si>
  <si>
    <t>Providing &amp; fixing 12.5mm thick taper edge fire rated gypsum skinning on existing aluminum frame work using propriety supplied screws at every 300mm center to center. The gypsum skinning is finished using proprietary supplied jointing tape &amp; jointing compound as per manufacturer's specification.</t>
  </si>
  <si>
    <t>3D Acoutic</t>
  </si>
  <si>
    <t>Media byte Room</t>
  </si>
  <si>
    <t>Fluted Panel Cladding</t>
  </si>
  <si>
    <t>FLUTED PANELLING</t>
  </si>
  <si>
    <t>Supply and Installation of Wooden Slats in melamine finish of blade size 40mm Width x Depth 18mm x Groove spacing at 10 mm. Blades are supported using perpendicular wooden slats connected to 'J' Profile which inturn connected to the framework installed in wall or ceiling . Design and finish as per approved by architect and sample</t>
  </si>
  <si>
    <t>OSB Cladding</t>
  </si>
  <si>
    <t>Pantry Counter</t>
  </si>
  <si>
    <t>Sliding Folding Partition</t>
  </si>
  <si>
    <t>MIRROR CLADDING</t>
  </si>
  <si>
    <t>Size : - 750 x 2400mm</t>
  </si>
  <si>
    <t>BENCH SEATING</t>
  </si>
  <si>
    <t>Bench Seating</t>
  </si>
  <si>
    <t xml:space="preserve">Providing and fixing of continuous seat as per given detail. Finish - Completely upholstered as per detail drawing, back height of 900mm as per detail of seat 450 mm ht and depth 600mm . Seat and back to be in 3-4" high density foam with fabric  finish on top as selected. Base level fabric, work to be done. Complete understructure on springs required for Foam seating.   </t>
  </si>
  <si>
    <t xml:space="preserve">Providing and fixing of Curve seat as per given detail. Finish - Completely upholstered as per detail drawing, back height of 900mm as per detail of seat 450 mm ht and depth 600mm . Seat and back to be in 3-4" high density foam with fabric  finish on top as selected. Base level fabric, work to be done. Complete understructure on springs required for Foam seating.   </t>
  </si>
  <si>
    <t>SIGNAGES</t>
  </si>
  <si>
    <t>PLANTER BOX- LAMINATE</t>
  </si>
  <si>
    <t>8 Pax Table (3000 x 1200mm)</t>
  </si>
  <si>
    <t>15 Pax Table (5620 x 1600mm)</t>
  </si>
  <si>
    <t>1200mm Dia Café Table</t>
  </si>
  <si>
    <t>Single seater lounge Sofa</t>
  </si>
  <si>
    <t>Single seater sofa</t>
  </si>
  <si>
    <t>2 Seater Sofa</t>
  </si>
  <si>
    <t>Booth Table</t>
  </si>
  <si>
    <t>Project:   Indegene_3F</t>
  </si>
  <si>
    <t>Date : 11.11.2025</t>
  </si>
  <si>
    <t>G</t>
  </si>
  <si>
    <t>LMS System</t>
  </si>
  <si>
    <t>Project:  Indegene_3F</t>
  </si>
  <si>
    <r>
      <t xml:space="preserve">Installation, testing and commissioning of Low voltage  switchgear's,  free standing, Cubical type, dead front, </t>
    </r>
    <r>
      <rPr>
        <b/>
        <sz val="11"/>
        <rFont val="Calibri"/>
        <family val="2"/>
        <scheme val="minor"/>
      </rPr>
      <t>Frame and Doors:2mm, Internal Partations:1.6mm thick, Gland Plates:3mm Thick</t>
    </r>
    <r>
      <rPr>
        <sz val="11"/>
        <rFont val="Calibri"/>
        <family val="2"/>
        <scheme val="minor"/>
      </rPr>
      <t xml:space="preserve">, powder coated (Paint Shade: RAL 7032/7035), indoor type with vermin proof hinged lockable doors for each compartment, bus bar interconnections for incoming and outgoing including feeders earthing and painting and as per specifications comprising of ACB,MCCB and MCB horizontal and vertical aluminum bus bar, earth bus bar as per SLD. All meters shall be digital with LED display, whereever mentioned and shall have RS 485 Modbus RTU half duplex communication interface for provision of BMS connectivity and wired accordingly. Provide  required  NO/NC  potential free contacts  wires and terminal blocks in the cable alley for BMS operation (Optional).The swtichboards are  to be tested as per IS 8623 -1977 specifications. The busbars are of high conductivity Al. alloy E91E IS 5082 specification and cable entries will be from either top or bottom depending on location. LT Switchgear shall be as per technical specification and single line diagram                           </t>
    </r>
  </si>
  <si>
    <t>As Confirmed by client Existing panels are retained and reused.Please quote for Removing and Reinstallation.</t>
  </si>
  <si>
    <t xml:space="preserve">Supply and installation of MCB ISOLATORS  </t>
  </si>
  <si>
    <t>80+80 KVA UPS , 2 Nos  (I/O)</t>
  </si>
  <si>
    <t>DX ODU&amp;VRF ODU</t>
  </si>
  <si>
    <t>i1</t>
  </si>
  <si>
    <t>20A 4P MCB  in metallic enclosure -IP 42</t>
  </si>
  <si>
    <t>j2</t>
  </si>
  <si>
    <t>20A 4P MCB  in metallic enclosure -IP 65 (Isolator Type)</t>
  </si>
  <si>
    <t xml:space="preserve">For 3TR DX Unit islolation Purpose </t>
  </si>
  <si>
    <t xml:space="preserve">DX ODU,F&amp;E Units </t>
  </si>
  <si>
    <t>s</t>
  </si>
  <si>
    <t>t</t>
  </si>
  <si>
    <t>1.8.1</t>
  </si>
  <si>
    <r>
      <rPr>
        <b/>
        <sz val="11"/>
        <rFont val="Calibri"/>
        <family val="2"/>
        <scheme val="minor"/>
      </rPr>
      <t>PLUG IN TAPOFF BOX : 4</t>
    </r>
    <r>
      <rPr>
        <sz val="11"/>
        <rFont val="Calibri"/>
        <family val="2"/>
        <scheme val="minor"/>
      </rPr>
      <t>00A,25kA, 4P Microprocessor based  MCCB with OC/SC/EF release with Dual Source Energy Meter along with required CT's and other related accessories in metallic enclosure - IP 42.Plugin Box to be fixed in the existing builder panel</t>
    </r>
  </si>
  <si>
    <t xml:space="preserve">Builder to Confirm </t>
  </si>
  <si>
    <r>
      <t>Supply and Installation of</t>
    </r>
    <r>
      <rPr>
        <b/>
        <sz val="11"/>
        <rFont val="Calibri"/>
        <family val="2"/>
        <scheme val="minor"/>
      </rPr>
      <t xml:space="preserve"> 1.1 kW </t>
    </r>
    <r>
      <rPr>
        <sz val="11"/>
        <rFont val="Calibri"/>
        <family val="2"/>
        <scheme val="minor"/>
      </rPr>
      <t xml:space="preserve">Similar to Motor KW of fan slelected by OEM of unit as per approved TDS  </t>
    </r>
    <r>
      <rPr>
        <b/>
        <sz val="11"/>
        <rFont val="Calibri"/>
        <family val="2"/>
        <scheme val="minor"/>
      </rPr>
      <t xml:space="preserve">VFD-DOL/STAR DELTA starter </t>
    </r>
    <r>
      <rPr>
        <sz val="11"/>
        <rFont val="Calibri"/>
        <family val="2"/>
        <scheme val="minor"/>
      </rPr>
      <t>with contactor, MPCB, overload relay, ON-OFF push buttons, Auto/Manual, ON/OFF/Trip indicating  lamps, NO/NC Contacts and potential free contacts with required accessories and provied universal sockets as shown in SLD, refere Single line diagram and technical specifications.</t>
    </r>
  </si>
  <si>
    <t>Toilet Exhasut</t>
  </si>
  <si>
    <r>
      <t>Supply and Installation of</t>
    </r>
    <r>
      <rPr>
        <b/>
        <sz val="11"/>
        <rFont val="Calibri"/>
        <family val="2"/>
        <scheme val="minor"/>
      </rPr>
      <t xml:space="preserve"> 3.0kW </t>
    </r>
    <r>
      <rPr>
        <sz val="11"/>
        <rFont val="Calibri"/>
        <family val="2"/>
        <scheme val="minor"/>
      </rPr>
      <t xml:space="preserve">Similar to Motor KW of fan slelected by OEM of unit as per approved TDS </t>
    </r>
    <r>
      <rPr>
        <b/>
        <sz val="11"/>
        <rFont val="Calibri"/>
        <family val="2"/>
        <scheme val="minor"/>
      </rPr>
      <t>DOL/STAR DELTA starter</t>
    </r>
    <r>
      <rPr>
        <sz val="11"/>
        <rFont val="Calibri"/>
        <family val="2"/>
        <scheme val="minor"/>
      </rPr>
      <t xml:space="preserve"> with contactor, MPCB, overload relay, ON-OFF push buttons, Auto/Manual, ON/OFF/Trip indicating  lamps, NO/NC Contacts and potential free contacts with required accessories and provied universal sockets as shown in SLD, refere Single line diagram and technical specifications.</t>
    </r>
  </si>
  <si>
    <t>g1</t>
  </si>
  <si>
    <t xml:space="preserve">6 Way  MCB Distribution Board - UDB </t>
  </si>
  <si>
    <r>
      <t xml:space="preserve">Type of DB - 6 way  MCB DB </t>
    </r>
    <r>
      <rPr>
        <b/>
        <sz val="11"/>
        <rFont val="Calibri"/>
        <family val="2"/>
        <scheme val="minor"/>
      </rPr>
      <t>(Double Door) - 7 SEGMENT</t>
    </r>
  </si>
  <si>
    <t>g2</t>
  </si>
  <si>
    <t xml:space="preserve">4 Way  MCB Distribution Board - UDB </t>
  </si>
  <si>
    <r>
      <t xml:space="preserve">Type of DB - 4 way  MCB DB </t>
    </r>
    <r>
      <rPr>
        <b/>
        <sz val="11"/>
        <rFont val="Calibri"/>
        <family val="2"/>
        <scheme val="minor"/>
      </rPr>
      <t>(Double Door) - 7 SEGMENT</t>
    </r>
  </si>
  <si>
    <t>32A TPN MCB - 1 No. as incomer</t>
  </si>
  <si>
    <t xml:space="preserve">25A DP RCCB, 30mA, 2 Module - 3 Nos. as Sub incomer per phase , Si type </t>
  </si>
  <si>
    <t xml:space="preserve">63A DP MCB , 2 Module - 1 No. as incomer </t>
  </si>
  <si>
    <t>6A/10A SP MCB, 10 kA - 10 Nos. as outgoings : MCB are of 'C' Curve</t>
  </si>
  <si>
    <t>3.5CX 150Sqmm Alu.arm  Cable</t>
  </si>
  <si>
    <t>LDB,PDB,DX unist Input</t>
  </si>
  <si>
    <t>Isolator to isolation TRf an Iso Trf to O/P isoltor</t>
  </si>
  <si>
    <r>
      <t>Supply, installation, testing and Commissioning of</t>
    </r>
    <r>
      <rPr>
        <b/>
        <sz val="11"/>
        <rFont val="Calibri"/>
        <family val="2"/>
        <scheme val="minor"/>
      </rPr>
      <t xml:space="preserve">  6/16A,, universal socket controlled with 1 x 16A Switch </t>
    </r>
    <r>
      <rPr>
        <sz val="11"/>
        <rFont val="Calibri"/>
        <family val="2"/>
        <scheme val="minor"/>
      </rPr>
      <t>including interconnection etc., complete.The sockets shall be with face plate and accessories.(HAT Workstation)</t>
    </r>
  </si>
  <si>
    <r>
      <t>Supply and installation of</t>
    </r>
    <r>
      <rPr>
        <b/>
        <sz val="10"/>
        <rFont val="Calibri"/>
        <family val="2"/>
        <scheme val="minor"/>
      </rPr>
      <t xml:space="preserve">  Occupancy Sensors ,</t>
    </r>
    <r>
      <rPr>
        <sz val="10"/>
        <rFont val="Calibri"/>
        <family val="2"/>
        <scheme val="minor"/>
      </rPr>
      <t>automatically controls a light source by detecting movement 
in its supervision zone. Movement detector with 360° detection angleDetection methods: infra-red (PIR) and ultrasound (US)
Mounting: ceiling</t>
    </r>
  </si>
  <si>
    <t xml:space="preserve">Optional for Earthing cable from Site level to 3th Floor as per site condition </t>
  </si>
  <si>
    <r>
      <t xml:space="preserve">Supply, fabrication, installation, testing and commissioning of following type </t>
    </r>
    <r>
      <rPr>
        <b/>
        <sz val="11"/>
        <rFont val="Calibri"/>
        <family val="2"/>
        <scheme val="minor"/>
      </rPr>
      <t xml:space="preserve">Pre-galvanised ( 120GSM) </t>
    </r>
    <r>
      <rPr>
        <sz val="11"/>
        <rFont val="Calibri"/>
        <family val="2"/>
        <scheme val="minor"/>
      </rPr>
      <t>cable trays from specified thickness GI sheets continuously connected including with clamps, couplers, nuts, bolts, horizontal &amp; vertical bends, GI fasteners and other accessories complete &amp; as required and duly suspended from the ceiling with min 12mm Dia vertical GI threaded rods supported by 40mm x 40mm x 5 mm Slotted frame etc. (or installed on wall supported on suitable brackets as required) complete as per specifications, as required.The rate shall include all  accessories like bends, elbows, tees, coupler plates, etc., which will be measured as linear measurement and fixing accessories.The Rate shall include the cost of supports/Threadrods/MS angles required along with required accessories.(Above 450mm Tray MS Supports to be provided)</t>
    </r>
  </si>
  <si>
    <t>for open area Lighting café and workstation</t>
  </si>
  <si>
    <r>
      <t xml:space="preserve">Supply, Installation, Testing and Commissioning on </t>
    </r>
    <r>
      <rPr>
        <b/>
        <sz val="11"/>
        <rFont val="Calibri"/>
        <family val="2"/>
        <scheme val="minor"/>
      </rPr>
      <t xml:space="preserve">Maintenance free Chemical Earth Electrodes </t>
    </r>
    <r>
      <rPr>
        <sz val="11"/>
        <rFont val="Calibri"/>
        <family val="2"/>
        <scheme val="minor"/>
      </rPr>
      <t>complying with
the latest version of IS 3043 / IEC / IEEE Specifications. The Earth Electrode shall be with 3 M long, 20 mm. dia high tensile strength, copper bonded Steel Rods coated with minimum 250 micron pure eletrolytic Copper. Soil enrichment compound in quantities not less than 10 Kgs shall be used and the Earth Pit shall be back-filled with good quality soil without any Stones /Granules / Sand etc. The Earth Station shall be provided with
suitable requisite Copper / GI terminals, 450 x 450 mm brick.Rate Shall include the labelling of the earth pits Inside the Chamber and on top of the chamber as per project manager's instructions.</t>
    </r>
  </si>
  <si>
    <t xml:space="preserve">In Perforated Tray </t>
  </si>
  <si>
    <t>Site to Isolation Traf(60+20)</t>
  </si>
  <si>
    <t>Site to Shaft</t>
  </si>
  <si>
    <t>Site to Isolation Traf (20)</t>
  </si>
  <si>
    <t xml:space="preserve">GRAND TOTAL </t>
  </si>
  <si>
    <t>11.11.2025</t>
  </si>
  <si>
    <t>3F Qty</t>
  </si>
  <si>
    <t>4-pair, Cat 6 UTP FRLS Cable</t>
  </si>
  <si>
    <t>Actual Based on Heat map</t>
  </si>
  <si>
    <t>Indegene_3rd Floor</t>
  </si>
  <si>
    <t>Version</t>
  </si>
  <si>
    <t>: R0</t>
  </si>
  <si>
    <t>Date: 09.11.2025</t>
  </si>
  <si>
    <t xml:space="preserve">Project       </t>
  </si>
  <si>
    <t>: INDIGENE 3RD FLOOR, MANYATA</t>
  </si>
  <si>
    <t>Subject</t>
  </si>
  <si>
    <t>: SUMMARY - HVAC LOW SIDE, VAV &amp; VRF WORKS</t>
  </si>
  <si>
    <t>Amount (INR)</t>
  </si>
  <si>
    <t>HVAC Lowside Works - Part A</t>
  </si>
  <si>
    <t>VAV Supply &amp; Installation Works - Part-C</t>
  </si>
  <si>
    <t>Total Amount ( Excl GST) - [A]</t>
  </si>
  <si>
    <t>Total Amount ( Incl GST) - [B]</t>
  </si>
  <si>
    <t>Total built up area</t>
  </si>
  <si>
    <t>Cost Per Sq.Ft</t>
  </si>
  <si>
    <t>Indegene -3rd Floor- Manyata</t>
  </si>
  <si>
    <t>HVAC Low side works</t>
  </si>
  <si>
    <t>09.11.2025</t>
  </si>
  <si>
    <t xml:space="preserve">  Qty</t>
  </si>
  <si>
    <t>MECHANICAL SYSTEM</t>
  </si>
  <si>
    <t>AIR CONDITIONING WORKS</t>
  </si>
  <si>
    <t>Supply, Installation, Testing &amp; Commissioning &amp; Handing over of the following:</t>
  </si>
  <si>
    <t>PREAMBLE TO BOQ:</t>
  </si>
  <si>
    <t>Tendered Rates all Inclusive:</t>
  </si>
  <si>
    <t>Unless otherwise provided in the Bill of Quantities, the rates tendered by the Contractor for all items of the work shall be all inclusive and shall apply to all heights, lifts, leads and depths, in all positions of the building.</t>
  </si>
  <si>
    <t>PART A-LOW SIDE WORKS</t>
  </si>
  <si>
    <t>AHU ROOM WORKS -DOUBLE SKIN PLENUM FOR AIR HANDLING UNIT</t>
  </si>
  <si>
    <t>Plenum box to be with 25mm thick puf insulation. The panels shall be fabricated out of 0.8 mm thick outer sheet duly powder coated and the inner sheet shall be perforated having a thickness of 0.63 mm thick having minimum 30% perforations shall be used to perform the acoustic functions. The panels shall be powder coated and finished to the shade as that of the air handling unit. Plenums shall be shop / factory fabricated panel type and assembled at site.  Fixing of galvanized angle flanges on duct pieces shall be with rivers heads inside i.e. towards GS sheet and riveting shall be done from outside.</t>
  </si>
  <si>
    <t xml:space="preserve">AHU ROOM NO.1 </t>
  </si>
  <si>
    <t>Supply of Plenum as per technical specification</t>
  </si>
  <si>
    <t>Installation,testing &amp; Commissioning of all items listed above</t>
  </si>
  <si>
    <t>AHU ROOM NO.2</t>
  </si>
  <si>
    <t>AHU ROOM NO.3</t>
  </si>
  <si>
    <t xml:space="preserve">NEW MERV -7 &amp; MERV -13  FILTERS FOR EXSISTING AHU’S </t>
  </si>
  <si>
    <t xml:space="preserve">Sets </t>
  </si>
  <si>
    <t>Sub Total-1</t>
  </si>
  <si>
    <t xml:space="preserve">LOW NOISE MIXED FLOW EXHAUST AIR FANS DUCTED TYPE </t>
  </si>
  <si>
    <t>PROPELLOR FANS- EXHUAST  AIR FANS</t>
  </si>
  <si>
    <t>WALL MOUNTED TYPE PROPELLER FAN</t>
  </si>
  <si>
    <t>The supply &amp; installation of wall mountable propeller type inline fan with all accessories like fan, motor, mounting frame, duct sleeve, protection guards,etc.,. The motor should be of IP21, class 'B' insulation suitable for operating at 3 phase, 230V, 50hz power supply</t>
  </si>
  <si>
    <t>RECTANGULAR INLINE FANS- DUCTABLE TYPE</t>
  </si>
  <si>
    <t xml:space="preserve">KITCHEN EXHAUST CABINET FAN - DIRECT DRIVEN CENTRIFUGAL FAN WITH MOTOR &amp; DRIVE OUTSIDE AIR STREAM </t>
  </si>
  <si>
    <t>Kitchen Exhaust Fans meeting or exceeding the following specifications shall be furnished and installed at locations shown in the plans or described in the schedules.</t>
  </si>
  <si>
    <t>The details of the TEFU are given in the following order:</t>
  </si>
  <si>
    <t>The Fan shall be selected for the lowest operating noise power levels.  Capacity ratings, power consumption, with operating points to be clearly indicated.</t>
  </si>
  <si>
    <t>Housing shall be constructed with minimum 1.6mm thick steel sheet with reinforced structure &amp; powder coated to protect against rust and corrosion.  It shall have a hinged door for cell access, located one side of the unit.  The door shall be gasketed to prevent air leakage.  There shall be a safety interlock switch to cut off primary supply when the access door is opened.The external finish shall be a durable industrial grade semi-gloss epoxy-polyester coating suitable for outdoor installations.</t>
  </si>
  <si>
    <t>Ionizing-Collecting cell(s) shall be of one-piece construction 13.38” (340mm) deep in direction of airflow.  The dimension of the collection cell shall be 18.89” (480mm) H x 19.76” (502mm)W Max. All support framing, end plates and ionizer ground electrodes shall be 0.080 inch (2mm) thick aluminum.  Both repelling and collector plates shall be 0.032 inch (0.8mm) thick aluminum alloy material rigidly retained in place with tubular spacers and tie rods. Each plate shall be corrugated, perpendicular to airflow direction.  Spacing between plates shall be no less than 0.318 inch (8mm).  Each cell shall weigh at least 17 kg with at least 8 stainless steel spiked blade ionizers. Tungsten wire ionizers will not be accepted</t>
  </si>
  <si>
    <t>Ionizing spiked blade shall be made of Stainless steel 304 material, rigidly supported both vertically and laterally.  Spiked ionizer to ground electrode spacing shall be 1.0" (25mm). High voltage support insulators shall be of Teflon material for dielectric strength.</t>
  </si>
  <si>
    <t>Equipment should be selected on the basis of required Air handling capacity so as to achieve 90-95% particulate matter removal efficiency according to DOP Test or EN779 European standard (Equivalent to ASHRAE 52.1). Vendor should submit the Test report from the Lab having Test facility according to ASHRAE 52.2 or EN779. In the absence of Test report Vendor should demonstrate the efficiency claim at their manufacturing facility at their expenses.</t>
  </si>
  <si>
    <t>Power supplies shall be 100% solid state, operate on 230 VAC, 50 Hz, 1 Phase input and provide a dual high voltage output of 12-13 KVDC for the ionizer and  6.0-6.5 KVDC for the collector in normal operation conditions. Current output at the high tension shall be 12mA. A maximum power output for the solid state power supply shall be 120 watts to maintain the specified collection efficiency.  Integrally mounted Electrical interlocks shall be provided to prevent access to the high voltage components without first interrupting the primary input power.  The power supply shall operate over a temperature range of -32 degrees F to 140 degrees F, be overloaded self-protecting and accommodate an LED lights indicating the performance status of the ionizing/collecting cell. High voltage output components in the power supply shall be sealed with epoxy for moisture resistance.</t>
  </si>
  <si>
    <t>The power pack shall incorporate a short circuit arc protection with automatic power restoration system to prevent overload.</t>
  </si>
  <si>
    <t>There shall be 2 LED lights (Green &amp; Red) installed on the access door of the unit to indicate the status of the air cleaning system</t>
  </si>
  <si>
    <t xml:space="preserve">BMS (Building Management System) interface: The power supply (pack) shall have a 2 wire dry contacts (NO/NC) for remote link to Building Management System. This is for performance indication of the air cleaning system
</t>
  </si>
  <si>
    <t>Supply , Installation , Testing &amp; Commissioning of Electro-static Dry Scrubber unit complete with all sections as listed above &amp; detailed in tender drawings</t>
  </si>
  <si>
    <t>FACTORY FABRICATED FIRE RETARDANT CANVAS CONNECTION</t>
  </si>
  <si>
    <t>Sub Total-2</t>
  </si>
  <si>
    <t>GSS DUCT WORKS</t>
  </si>
  <si>
    <t>FACTORY FABRICATED DUCTING - TDF /TDC FLANGES - RECTANGULAR DUCTWORKS</t>
  </si>
  <si>
    <t xml:space="preserve">Supply, Installation Testing &amp; Commissioning of factory fabricated GSS Ducting with TDF /TDC flange  as per SMACNA Standards with GI bolt &amp; nuts (the cleat into the flange Used for C  and G together with Bolt) and necessary supporting arrangement using GI full threaded rods and slotted rail- Unistrut channel supports of size 41mm x 41mm for rectangular ducts as detailed in the Tech spec sheets </t>
  </si>
  <si>
    <t xml:space="preserve">The entire ducts should be fabricated at factory and delivered to site in assembled condition. The contractors should include the transportation charges and necessary handling charges. The contractor should use only Hitec supports and full threaded rods to support the ducts as per the specification. After erection of the duct the entire duct should be tested for Duct leakage pressure test. All ducts will be painted as per architect colour specification.Painting to be considered as one coat primer and two coats of paints (Spray paint/ roller finishing) Painting of ductworks shall be under C&amp; I Scope. Ducts shall be provided with Internal insulation  thermal 9mm and acoustic 10mm for ducts highlighted as per HVAC Drawings  rest floor duct shall be done with thermal ibsulation. Duct insulation works specification &amp; quantities  is been  quantified seperately and should not be included in duct cost </t>
  </si>
  <si>
    <t>Quoted price shall be inclusive of necessary scaffolding charges towards installation of supply/exhaust air ducts outside or within building wherever required. Quoted price should also include necessary charges towards duct supports including MS angle/channel arrangement as required for ducts being installed outside or within building wherever required.</t>
  </si>
  <si>
    <t xml:space="preserve">24 G-GSS-0.63MM ( 1MM TO 250MM) - C &amp; SS </t>
  </si>
  <si>
    <t>24 G-GSS-0.63MM ( 251MM TO 1000MM) - TDF Flanges</t>
  </si>
  <si>
    <t>22 G-GSS-0.80MM ( 1001MM TO 1200MM) - TDF Flanges, Guide Vanes &amp; Stiffeners Rods</t>
  </si>
  <si>
    <t>20 G-GSS-1.00MM ( 1201MM TO 1300MM) - TDF Flanges, Guide Vanes &amp; Stiffeners Rods</t>
  </si>
  <si>
    <t>18 G-GSS-1.25MM ( 1301MM TO Above) - TDF Flanges, Guide Vanes &amp; Stiffeners Rods</t>
  </si>
  <si>
    <t>FACTORY FABRICATED DUCTING - TDF /TDC FLANGES -FLAT OVAL DUCTWORKS PROVIDED WITH INTERNAL THERMAL &amp; ACOUSTIC INSULATION ( AS PER APPROVED GFC/SHOP DRAWINGS)</t>
  </si>
  <si>
    <t>Spacing between duct supports should not exceed 2m i.e Wire Rope Hanger support . In case of Wire Rope Hanger support for duct sizes above 1800mm, MS angles duly painted with black enamel paint should be used along with neoprene pad in between the duct &amp; MS angle. All duct support to be provided with check nuts (lock nuts).</t>
  </si>
  <si>
    <t xml:space="preserve">While selecting the duct supports vendor shall ensure vibration free installation. Quoted price shall be inclusive of light testing with complete arragement &amp; accessories for leakages. Quoted price shall be inclusive of necessary scaffolding charges towards installation of supply/exhaust air ducts outside or within building wherever required. Quoted price should also include necessary charges towards duct supports including MS angle/channel arrangement as required for ducts being installed outside or within building wherever required. </t>
  </si>
  <si>
    <t>Insulation sheets should have factory applied self-adhesive backing for faster installation and better quality. The adhesive used in self-adhesive backing should be Fire Retardant, LEED compliant and zero VOC.</t>
  </si>
  <si>
    <t>All ducts needs to properly supported with necessary supporting arrangement using Wire rope supports/Ring clamp/ Universal clamps and shall be hang through the cleats or wire rope threaded studs can be screwed into the anchor fasteners as per technical specification. The cost shall be inclusive of threaded rods &amp; anchor fasterners.</t>
  </si>
  <si>
    <t>All ducts needs to be externally painted &amp; proper sealant to be applied at each duct joint. ( the colour of the sealant to be matched with duct colour.)</t>
  </si>
  <si>
    <t xml:space="preserve">The scope shall inclue the Cost for covering ducts with Polythene when ducts are brought from factory, tarp covered  during transport and  storage, and after erection when waiting for installation  the ends to be covered with polythne till connection of continuing piece is completed. This  Includes  covering Cut-outs for tap offs using polythene. Cost shall be accounted as per duct qunatity .Air Balancing of supply air ducts to be included in testing &amp; commissioning scope of ductworks </t>
  </si>
  <si>
    <t>Sub Total-3</t>
  </si>
  <si>
    <t>DUCT INSULATION MATERIALS</t>
  </si>
  <si>
    <t>THERMAL INSULATION FOR DUCTWORKS</t>
  </si>
  <si>
    <t>Insulation sheets should have self-adhesive backing for faster installation and better quality. The adhesive used in self-adhesive backing should be Fire Retardant, LEED compliant and zero VOC.</t>
  </si>
  <si>
    <t>Insulation material shall be bonded with the ducts using metal screw and washers to facilitate grip to the GI sheet.Insulation materials brought on site should be installed following the manufacturer recommended methodology and using the appropriately suitable manufacturer recommended cutting, measuring, pasting tools &amp; tackles. It is advised to use the manufacturer’s tool box for installation of insulation materials on site.</t>
  </si>
  <si>
    <t>6mm thick- for Spill air box- Internal Insulation</t>
  </si>
  <si>
    <t>9mm thick- AC Rectangular ducts in office area</t>
  </si>
  <si>
    <t xml:space="preserve">13mm thick- AC Rectangular ducts in office area </t>
  </si>
  <si>
    <t>16mm thick- for  FA &amp; EA duct in office area</t>
  </si>
  <si>
    <t xml:space="preserve">25mm thick- External Ducts - FA </t>
  </si>
  <si>
    <t>ACOUSTIC INSULATION FOR DUCTWORKS</t>
  </si>
  <si>
    <t>10 mm thick lining-Inside main air ducts for 1st 5 m and main plenum</t>
  </si>
  <si>
    <t>25mm thick- Sealing the Wall crossings for Noise DB Level Reduction</t>
  </si>
  <si>
    <t>FIBRE GLASS ACOUSTIC INSULATION</t>
  </si>
  <si>
    <t>ACOUSTIC INSULATION FOR NOISE REDUCTION</t>
  </si>
  <si>
    <t xml:space="preserve">Adhesive to adhere insulation to the walls &amp; ceilings shall be from the Insulation manufacturer only.
</t>
  </si>
  <si>
    <t>Sub Total-4</t>
  </si>
  <si>
    <t xml:space="preserve">AIR DISTRIBUTION DEVICES </t>
  </si>
  <si>
    <t>BUTTERFLY DAMPERS</t>
  </si>
  <si>
    <t>Supply, Installation Testing &amp; Commissioning of Butterfly Dampers single/double Flap with round flange on one side and 10mm grove on other side for fixing of flexible duct with the help of band,  20 Gauge Frame 250mm dia &amp; above,  22 Gauge Frame upto 200mm dia &amp; 22 Gauge Blade.</t>
  </si>
  <si>
    <t>150 mm dia</t>
  </si>
  <si>
    <t>200 mm dia</t>
  </si>
  <si>
    <t>250 mm dia</t>
  </si>
  <si>
    <t>300 mm dia</t>
  </si>
  <si>
    <t>350 mm dia</t>
  </si>
  <si>
    <t>INSULATED FLEXIBLE DUCTING</t>
  </si>
  <si>
    <t>300mm dia</t>
  </si>
  <si>
    <t>350mm dia</t>
  </si>
  <si>
    <t>UN-INSULATED FLEXIBLE DUCTING</t>
  </si>
  <si>
    <t>Supply , Installation, Testing &amp; Commissioning of below mentioned sizes</t>
  </si>
  <si>
    <t>SPILL AIR BOXES</t>
  </si>
  <si>
    <t>Supply, Installation Testing &amp; Commissioning of Zero spangle Spill air boxes fabricated using  spot clinching, acoustically lined with 10mm thick Open cell insulation as per specifications. Price to include acoustic insulation cost.</t>
  </si>
  <si>
    <t>MANUAL VOLUME CONTROL DAMPERS</t>
  </si>
  <si>
    <t>BUTTERFLY TYPE VOLUME CONTROL DAMPERS</t>
  </si>
  <si>
    <t>MOTORISED VOLUME CONTROL DAMPERS</t>
  </si>
  <si>
    <t>Supply Installation Testing &amp; Commissioning of Actuators for above dampers with control panel</t>
  </si>
  <si>
    <t>ROUND DAMPERS</t>
  </si>
  <si>
    <t>ALUMINIUM COLLAR DAMPERS</t>
  </si>
  <si>
    <t>ACOUSTICALLY TREATED CROSS TALK ATTENUETORS</t>
  </si>
  <si>
    <t/>
  </si>
  <si>
    <t>NON RETURN DAMPERS</t>
  </si>
  <si>
    <t>BACK DRAFT DAMPERS</t>
  </si>
  <si>
    <t>POWDER COATED ALUMINIUM LOUVERS WITH DAMPERS &amp; BIRD MESH</t>
  </si>
  <si>
    <t>POWDER COATED ALUMINIUM LOUVERS WITHOUT DAMPERS &amp; BIRD MESH</t>
  </si>
  <si>
    <t>BIRD SCREENS WITH GI WIRE MESH</t>
  </si>
  <si>
    <t xml:space="preserve">Sqm </t>
  </si>
  <si>
    <t>DUCT COWL PIECE WITH BIRD SCREEN &amp; GI WIRE MESH</t>
  </si>
  <si>
    <t>Sub Total-5</t>
  </si>
  <si>
    <t>AIR TERMINAL DEVICES</t>
  </si>
  <si>
    <t>4 WAY SUPPLY AIR DIFFUSERS- SQUARE TYPE</t>
  </si>
  <si>
    <t xml:space="preserve">Supply, Installation , Testing &amp; Commissioning of Powder coated, extruded aluminium, removable center core type, supply  air diffusers with Collar Dampers or neck damper of the following neck sizes.  </t>
  </si>
  <si>
    <t>(All are of 595 x 595 MM Outer to Outer Size)</t>
  </si>
  <si>
    <t xml:space="preserve">225 x 225 MM  (Neck Size) </t>
  </si>
  <si>
    <t>300 x 300 MM  (Neck Size)</t>
  </si>
  <si>
    <t>375 x 375 MM  (Neck Size)</t>
  </si>
  <si>
    <t>450 x 450 MM  (Neck Size)</t>
  </si>
  <si>
    <t>525 x 525 MM  (Neck Size)</t>
  </si>
  <si>
    <t>4 WAY RETURN AIR DIFFUSERS- SQUARE TYPE</t>
  </si>
  <si>
    <t>375x 375 MM  (Neck Size)</t>
  </si>
  <si>
    <t>ROUND DIFFUSERS WITH NECK CONTROL DAMPERS</t>
  </si>
  <si>
    <t>195 mm dia (Neck Size) 315 mm dia ( Outer Size)</t>
  </si>
  <si>
    <t>250 mm dia (Neck Size) 390 mm dia ( Outer Size)</t>
  </si>
  <si>
    <t>295 mm dia (Neck Size) 400 mm dia (Outer Size)</t>
  </si>
  <si>
    <t>PLAQUE TYPE SUPPLY &amp; RETURN AIR DIFFUSERS</t>
  </si>
  <si>
    <t xml:space="preserve">525 x 525 MM  (Neck Size) </t>
  </si>
  <si>
    <t xml:space="preserve">450 x 450 MM  (Neck Size) </t>
  </si>
  <si>
    <t>300 x 300 mm ( Neck Size)</t>
  </si>
  <si>
    <t>225 x 225 mm ( Neck Size)</t>
  </si>
  <si>
    <t>CONTINUOUS LINEAR GRILLE</t>
  </si>
  <si>
    <t>100mm wide</t>
  </si>
  <si>
    <t>150mm wide</t>
  </si>
  <si>
    <t>200mm wide</t>
  </si>
  <si>
    <t>POWDER COATED ALUMINIUM GRILLES- FOR EXHAUST AIR APPLICATION</t>
  </si>
  <si>
    <t xml:space="preserve">150mm x 150 mm </t>
  </si>
  <si>
    <t xml:space="preserve">200mm x 200 mm </t>
  </si>
  <si>
    <t xml:space="preserve">500mm x 150 mm </t>
  </si>
  <si>
    <t>POWDER COATED ALUMINIUM GRILLES FOR RETURN AIR SUCTION</t>
  </si>
  <si>
    <t>POWDER COATED STANDARD SIZE ALUMINIUM GRILLES- FOR SUPPLY &amp; RETURN AIR APPLICATION</t>
  </si>
  <si>
    <t xml:space="preserve">300mm x 100mm </t>
  </si>
  <si>
    <t xml:space="preserve">300mm x 150mm </t>
  </si>
  <si>
    <t xml:space="preserve">300mm x 200mm </t>
  </si>
  <si>
    <t xml:space="preserve">650mm x 300 mm </t>
  </si>
  <si>
    <t xml:space="preserve">750mm x 400 mm </t>
  </si>
  <si>
    <t xml:space="preserve">850mm x 350 mm </t>
  </si>
  <si>
    <t xml:space="preserve">1000mm x 350 mm </t>
  </si>
  <si>
    <t xml:space="preserve">1250mm x 350 mm </t>
  </si>
  <si>
    <t xml:space="preserve">2500mm x 250 mm </t>
  </si>
  <si>
    <t xml:space="preserve">2500mm x 500 mm </t>
  </si>
  <si>
    <t>POWDER COATED EXTRUDED ALUMINIUM CURVED DUCT GRILLES- FOR SUPPLY  AIR DISTRIBUTION</t>
  </si>
  <si>
    <t xml:space="preserve">300mm x 150 mm </t>
  </si>
  <si>
    <t>DISC VALVE</t>
  </si>
  <si>
    <t>200mm dia outer size (160 mm dia neck size)</t>
  </si>
  <si>
    <t>DOUBLE DEFLECTION GRILLES</t>
  </si>
  <si>
    <t xml:space="preserve">600mm x 150 mm </t>
  </si>
  <si>
    <t xml:space="preserve">750mm x 150 mm </t>
  </si>
  <si>
    <t>PATCH GRILLES FOR CROSS TALK ATTENUATOR</t>
  </si>
  <si>
    <t xml:space="preserve">300mm x 300 mm </t>
  </si>
  <si>
    <t xml:space="preserve">350mm x 350mm </t>
  </si>
  <si>
    <t>LINEAR SLOT DIFFUSERS</t>
  </si>
  <si>
    <t>3- Slot  Diffuser (25 mm wide Slot)- Supply Air</t>
  </si>
  <si>
    <t>Slot Diffuser as per specification but without plenum box &amp; End Flanges</t>
  </si>
  <si>
    <t>3- Slot  Diffuser (25 mm wide Slot)- Return Air</t>
  </si>
  <si>
    <t xml:space="preserve">Slot Diffuser as per specification but without plenum box </t>
  </si>
  <si>
    <t>4- Slot  Diffuser (25 mm wide Slot)- Supply Air</t>
  </si>
  <si>
    <t>4- Slot  Diffuser (25 mm wide Slot)- Return Air</t>
  </si>
  <si>
    <t>End Flanges suitable for above size</t>
  </si>
  <si>
    <t>Hit &amp; Miss Damper for above size</t>
  </si>
  <si>
    <t>NON VISION TYPE DOOR GRILLE ( AIR TRANSFER GRILLE)</t>
  </si>
  <si>
    <t xml:space="preserve">400 mm x 400mm </t>
  </si>
  <si>
    <t xml:space="preserve">800 mm x500 mm </t>
  </si>
  <si>
    <t xml:space="preserve">500 mm x 300 mm </t>
  </si>
  <si>
    <t>CEILING TILE MOUNTED EGG CRATE GRILLES FOR SUPPLY AIR &amp; RETURN AIR</t>
  </si>
  <si>
    <t>300mm x 300mm Neck Size( Outer Size: 595mm x 595mm)</t>
  </si>
  <si>
    <t>525mm x 525mm Neck Size( Outer Size: 595mm x 595mm)</t>
  </si>
  <si>
    <t>Sub Total-6</t>
  </si>
  <si>
    <t>SOUND ATTENUATORS FOR SUPPLY AIR DUCT</t>
  </si>
  <si>
    <t>Air Duct  leaving AHU Rooms  (Used for Supply and Return air duct )</t>
  </si>
  <si>
    <t>COMPUTER SELECTION SHOULD BE ATTACHED</t>
  </si>
  <si>
    <t>Supply, Installation, Testing &amp; Commissioning of Sound Attenuators of Dissipative type to be provided on the supply air duct entering the AHU Room.</t>
  </si>
  <si>
    <t xml:space="preserve">Sound Attenuators shall consist of outer casing, sound absorbing material and internal baffles, splitters and supports as expalined in the technical specifications.The sound attenuators shall be suitable for minimum 18dB reduction at 250Hz octave band. </t>
  </si>
  <si>
    <t xml:space="preserve">Casing shall be of galavanised steel of not less than 20G in thickness. Casings shall be tested to 150mmwg and shall show no leakage or distortion in this condition. </t>
  </si>
  <si>
    <t>Sound absorbing material shall be high density fibre glass held in place with at least 5% compression to prevent voids due to settling.  Absorption material density shall be minimum 48 kg/cum.  Fibreglass faced with minimum 26 g perforated galvanised sheet metal of minimum 40% open area. Pressure drop shall not exceed 8mmwg. Combustion ratings shall be as expalined in the tender specifications</t>
  </si>
  <si>
    <t>Supply, Installation, Testing &amp; Commissioning of Sound Attenuators of Dissipative type</t>
  </si>
  <si>
    <t>FIRE DAMPERS WITH ACTUATOR -WITH CBRI CERTIFICATION</t>
  </si>
  <si>
    <t>AHU room - Fire damper control panel with Modbus over RS485 output for BMS compatibility. Each panel shall be located in AHU room and shall control 4 to 5 fire dampers.  It should take one fire input and from the FD panel, output to be provided to trip the dampers &amp; AHU. (If the fire damper panel is off then AHU should not turn ON).  - This shall be BMS compatible with Modbus over RS485 output</t>
  </si>
  <si>
    <t>Server room - Fire damper control panel with Modbus over RS485 output for BMS compatibility. Each panel shall be located in UPS room and shall control 2 or 3 fire dampers.  It should take one fire input and from the FD panel, output need to provided to trip the dampers &amp; AC units - This shall be BMS compatible with Modbus over RS485 output</t>
  </si>
  <si>
    <t>UPS &amp; Battery room - Fire damper control panel with Modbus over RS485 output for BMS compatibility. Each panel shall be located in SERVER room and shall control 2 or 3 fire dampers.  It should take one fire input and from the FD panel, output need to provided to trip the dampers &amp; AC units - This shall be BMS compatible with Modbus over RS485 output</t>
  </si>
  <si>
    <t>Supply Installation Testing &amp; Commissioning of Fire Damper Control Panel to Fire Damper Actuator Cabling. Size - 6C x 1.0 Sqmm Copper Flexible Cable laid in 20mm dia GI Conduit with suitable clamps and accessories.</t>
  </si>
  <si>
    <t>FUSIBLE LINK FIRE DAMPERS</t>
  </si>
  <si>
    <t xml:space="preserve">Please Note : For any other Fusible link Fire dampers sizes to be refered as per GFC drawings/ approved Shop drawing </t>
  </si>
  <si>
    <t>Sub Total-7</t>
  </si>
  <si>
    <t>MS SHEET AS SLEEVE</t>
  </si>
  <si>
    <t>Kg</t>
  </si>
  <si>
    <t>SAND CEMENT MORTER</t>
  </si>
  <si>
    <t xml:space="preserve">DUCT PRESSURE TESTING </t>
  </si>
  <si>
    <t xml:space="preserve">AIR QUALITY CHECK </t>
  </si>
  <si>
    <t xml:space="preserve">Carrying out detailed outside Indoor air test (as per IAQ standard) for the occupied spaces. The following parameters (but not limited to) shall be tested - Temperature, Relative Humidity, Total Bacterial Count, Total Fungal Count, Respirable suspended particulate matter PM10, Respirable suspended particulate matter PM2.5, Carbon Dioxide, Carbon Monoxide, Total volatile organic compounds, Formaldehyde, Ozone, Sulphur Dioxide, Nitrogen Dioxide, Ammonia, Hydrogen Sulfide.
Vendor to furnish a quality report showing results/concentration of all paramters. Results noted needs to be compared with IAQ Standard limits. IAQ parameters should not exceed the standards after ruuning the purifier Equipments. </t>
  </si>
  <si>
    <t>1 Sample to be taken for Outdoor Air. Indoor air samples to be taken on locations as specified by LEED Consultant/Clients/PMCs. All spaces to be considered for Indoor Samples.1 Lot to be considered for 1 Sample.</t>
  </si>
  <si>
    <t>Vendor should look into the following before quoting :
i. The Indoor Air quality test should be as per IAQ standard.
ii. The test should be carried out by qualified technicians and calibrated equipment’s, the Necessary Safety and other compliances should be followed.
iii. Test to be carried out at one particular location and conducted on a weekday preferably Monday/ Friday.
iv.Test Equipment Filters to be changed for every reading.</t>
  </si>
  <si>
    <t>Air quality check as per  ASHREA / NBC</t>
  </si>
  <si>
    <t>AIR BALANCING &amp; COMMISIONING</t>
  </si>
  <si>
    <t>Entire Air Quantity to be Balanced as per the approved shop drawing using valid calibrated instruments.  Few minimum instruments ACMV Vendor to consider in his scope in this package which he need to organize for testing and commissioning would be Air Flow HOOD which has capability to measure volumetric flow rate with digital manometer, multi point averaging air flow sensor, airflow measurement station ( 2Nos AHU's)</t>
  </si>
  <si>
    <t xml:space="preserve">PAINTING WORKS </t>
  </si>
  <si>
    <t xml:space="preserve">Supply &amp; applying of painting for Exposed Ductworks, Cable Trays , Pipes , Supports , MS Supports, Raceways with primer &amp; enamle paint . The colour of paints shall be finalised by architects based on approved RAL Codes. </t>
  </si>
  <si>
    <t>Sub Total-8</t>
  </si>
  <si>
    <t>ACMV RELATED ELECTRICAL WORKS</t>
  </si>
  <si>
    <t>Electrical starter panel complete with Variable frequency drives , By pass Starter, Metering, all accessories, controls, harmonic filters for  AHU drive motors including enclosure &amp; necessary a/m switches and auxiliary contacts for BMS Operation of the following AHU Capacities.The final rating of the equipment kW shall be as per the approved MAR. Cost is inclusive of DC Choke Filters in VFD for Hormonics reduction. Incoming Power supply to the Starter panel is under Electrical scope</t>
  </si>
  <si>
    <t>Note : VFD shall be able to connect with BMS of any make, shall take ON/OFF command from remote controller, shall be able to do the following :- 1) scheduling from remote controller. 2) Accept signal from temeprature/ pressure transmitter 3) Read V, A, Kwh, frequency &amp; RPM &amp; send to remote controller. Multiple VFD's to be considered based on the no of Plug Fans as required</t>
  </si>
  <si>
    <t>Cost is inclusive of cabling &amp; Cable tray of required size ( XLPE Insulated Armoured Cable) from VFD stater panel to AHU, Cable termination on both ends .</t>
  </si>
  <si>
    <t xml:space="preserve">11 KW VFD By pass Stardelta Starter Panel </t>
  </si>
  <si>
    <t xml:space="preserve">Set </t>
  </si>
  <si>
    <t xml:space="preserve">9.3 KW VFD By pass Stardelta Starter Panel </t>
  </si>
  <si>
    <t>Sub Total-9</t>
  </si>
  <si>
    <t>GRAND  TOTAL - PART- A LOW SIDE WORKS  ( Excl GST) - [A]</t>
  </si>
  <si>
    <t>TAXES SHALL BE EXTRA AS APPLICABLE</t>
  </si>
  <si>
    <t>SUPPLY OF ALL HVAC RELATED ELECTRICAL FEEDERS, PANELS,POWER CABLING, CABLE TRAYS , EARTHING ETC  SHALL BE IN ELECTRICAL SCOPE &amp; IT IS NOT CONSIDERED IN HVAC BOQ.</t>
  </si>
  <si>
    <t xml:space="preserve">ANY CIVIL WORKS &amp; PLASTERING WORKS RELATED TO HVAC ARE BEEN EXCLUDED FROM HVAC SCOPE OF WORKS. </t>
  </si>
  <si>
    <t>PAINTING OF EXPOSED DUCTWORKS IS BEEN EXCLUDED FROM HVAC SCOPE OF WORKS . IT SHALL BE UNDER C&amp;I SCOPE</t>
  </si>
  <si>
    <t>Project:</t>
  </si>
  <si>
    <t xml:space="preserve"> Qty</t>
  </si>
  <si>
    <t>I</t>
  </si>
  <si>
    <t>VAV Supply &amp; Installation Boq</t>
  </si>
  <si>
    <t>PART C-VAV BOXES &amp; CONTROLLERS</t>
  </si>
  <si>
    <t xml:space="preserve">VARIABLE AIR VOLUME BOXES </t>
  </si>
  <si>
    <t>VARIABLE AIR VOLUME BOXES - RECTANGULAR VAV BOX (DAMPER ACTUATOR TYPE)</t>
  </si>
  <si>
    <t>Make:- Trane / Trox / Johnson / KMC/ Vedha /Siemens/Honeywell/Tristar</t>
  </si>
  <si>
    <r>
      <rPr>
        <b/>
        <sz val="10"/>
        <rFont val="Trebuchet MS"/>
        <family val="2"/>
      </rPr>
      <t>Supply of  Pressure Independent Variable Air Volume terminals Boxes with  Damper Actuator, Multi Point pick-up inlet Air Flow Velocity Sensor, Differential Pressure Transmitter,  WALL MOUNTED DIGITAL Thermostat &amp; Step-down Transformer, Unit casing shall be of G.S.S. 22G with internal lining 15mm thk density 140 kg / m³ opencell insulation, Programable Controller with Bacnet protocol or BACnet MS/TP /  factory calibrated to operate 30 to 100%.</t>
    </r>
    <r>
      <rPr>
        <sz val="10"/>
        <rFont val="Trebuchet MS"/>
        <family val="2"/>
      </rPr>
      <t xml:space="preserve"> (Each VAV box is to be tested and the volume  V min and V Max flow rates set in the Factory, Minimum and maximum volume flow rate settings are to be also  adjustable on site during commissioning &amp; commissioning to be done by the Manufacturer Authorized Engineer and warranty certificate to be issued by the Manufacturer)/ velocity sensor to be covered  at factory with GI Flexible sleeves before dispatch - No color other than GI shall be allowed on the VAV box -CONTROLLER SHOULD BE PROGRAMMEABLE.</t>
    </r>
  </si>
  <si>
    <t>Rectangular pressure independent VAV terminal of different capacities with Aluminium Aerofoil prole blade damper capable of delivering variable air volume by action of opposed blade volume control damper with gasket lining integrated aerofoil blades for leak proofing. VAV box casing shall be made with single sheet of 22SWG Galvanized sheet steel construction completely sealed at all joints and with TDF anges (Same sheet folded) similar to Duct ange for seamless, easy and leak proof connectivity with Inlet &amp; Outlet ducts, and casing with internal Insulation Lining.</t>
  </si>
  <si>
    <t>VAV box shall have Air Flow Sensor having total pressure collected from multiple pickup points covering full Inlet area of ow measurement grid and routed through centre averaging chamber to controller, static pressure collected from points placed in perpendicular to the total pressure pickup points for better sample collection and high accuracy. Flow measurement signal transmitted via high quality PU tubes routed inside from Casing to Controller enclosure without being exposed to prevent accidental damages to signal tubes. Pneumatic connectors shall be used for connecting signal tubes to controller. The VAV shall be suitable to operate on 230 V, single phase electrical supply and shall have built-in transformer suitable to the controller operating voltage. VAV shall be electronically controlled networkable controller type complete with low leakage damper, actuator, Microprocessor unit, and wall/ ceiling mounted thermostat with ON/OFF Switch, control transformer, unit hanger brackets etc.</t>
  </si>
  <si>
    <t xml:space="preserve">Maximum allowable static pressure to the boxes for its satisfactory operation shall not exceed 0.20” WG </t>
  </si>
  <si>
    <t>Boxes shall be able to reset any air flow between zero and the maximum air quantity that the boxes can handle without changing orifices or other parts.  Air quantity limiters will not be accepted.</t>
  </si>
  <si>
    <t>A suitable device shall be provided for the field adjustment of minimum air flow.Under shut-off conditions, all boxes shall not have air leakage more than 20% of the maximum air quantity.
Pressure Independent VAV Boxes with thermostat and controller. The controller shall be fitted within the VAV box. VAV should be capable of operating through thermostat and should have capability of automatically or via thermostat assign device instance numbers to BACnet MS/TP controllers (Which means manual assigning or dip switch at the VAV controller shall not be acceptable).
The VAV should transmit via BACnet value objects the following, 
1. Need for higher static pressure
2. Need for cooler supply air
3. Need AHU start
The above diagnostic indicators or alarms shall be monitored by other BACnet devices / 3rd party building automation system.</t>
  </si>
  <si>
    <t xml:space="preserve">VAV Unit shall be ceiling suspended with hanger brackets &amp; vibration isolators.  </t>
  </si>
  <si>
    <t xml:space="preserve">For Office Areas &amp; Closed Rooms Digital type thermostats suitable for Wall / Ceiling mount shall be included </t>
  </si>
  <si>
    <t xml:space="preserve">VAV communication cabling till VAV boxes  will be in  HVAC vendor scope. VAV Cabling termination to VAV boxes and commissioning to be included in HVAC vendor scope. </t>
  </si>
  <si>
    <t>Price shall be inclusive of FRLS copper power cabling form VAV to socket &amp; Plug Top and copper control wiring from thermostat as required in GI Conduit.
VAV should be integrated with in the ducts i.e. VAV Size should be same as of Duct it would be installed in.</t>
  </si>
  <si>
    <t>1.1.1</t>
  </si>
  <si>
    <t>Supply, Installation, testing &amp; Commisioning of VAV boxes  of the following sizes :</t>
  </si>
  <si>
    <t>Up to 250 cfm-  Dimensions to match the duct size &amp; CFM requirements</t>
  </si>
  <si>
    <t>Supply, Installation, testing &amp; Commisioning</t>
  </si>
  <si>
    <t>Up to 500 cfm-  Dimensions to match the duct size &amp; CFM requirements</t>
  </si>
  <si>
    <t>Up to 750 cfm-  Dimensions to match the duct size &amp; CFM requirements</t>
  </si>
  <si>
    <t>Up to 1000 cfm-  Dimensions to match the duct size &amp; CFM requirements</t>
  </si>
  <si>
    <t>Up to 1250 cfm-  Dimensions to match the duct size &amp; CFM requirements</t>
  </si>
  <si>
    <t>Up to 1500 cfm-  Dimensions to match the duct size &amp; CFM requirements</t>
  </si>
  <si>
    <t>Up to 1750cfm-  Dimensions to match the duct size &amp; CFM requirements</t>
  </si>
  <si>
    <t>Up to 2000 cfm-  Dimensions to match the duct size &amp; CFM requirements</t>
  </si>
  <si>
    <t>Up to 2250 cfm-  Dimensions to match the duct size &amp; CFM requirements</t>
  </si>
  <si>
    <t>Up to 2500 cfm-  Dimensions to match the duct size &amp; CFM requirements</t>
  </si>
  <si>
    <t>Up to 2750 cfm-  Dimensions to match the duct size &amp; CFM requirements</t>
  </si>
  <si>
    <t>Up to 3000 cfm-  Dimensions to match the duct size &amp; CFM requirements</t>
  </si>
  <si>
    <t>Up to 3250 cfm-  Dimensions to match the duct size &amp; CFM requirements</t>
  </si>
  <si>
    <t>Up to 3500 cfm-  Dimensions to match the duct size &amp; CFM requirements</t>
  </si>
  <si>
    <t>VARIABLE AIR VOLUME BOXES - FLAT OVAL VAV BOX (DAMPER ACTUATOR TYPE)</t>
  </si>
  <si>
    <r>
      <rPr>
        <b/>
        <sz val="10"/>
        <rFont val="Trebuchet MS"/>
        <family val="2"/>
      </rPr>
      <t>Supply of  Pressure Independent Flat Oval type Variable Air Volume terminals Boxes with  Damper Actuator, Multi Point pick-up inlet Air Flow Velocity Sensor, Differential Pressure Transmitter,  WALL MOUNTED DIGITAL Thermostat &amp; Step-down Transformer, Unit casing shall be of G.S.S. 22G with internal lining 15mm thk density 140 kg / m³ opencell insulation, Programable Controller with Bacnet protocol or BACnet MS/TP /  factory calibrated to operate 30 to 100%.</t>
    </r>
    <r>
      <rPr>
        <sz val="10"/>
        <rFont val="Trebuchet MS"/>
        <family val="2"/>
      </rPr>
      <t xml:space="preserve"> (Each VAV box is to be tested and the volume  V min and V Max flow rates set in the Factory, Minimum and maximum volume flow rate settings are to be also  adjustable on site during commissioning &amp; commissioning to be done by the Manufacturer Authorized Engineer and warranty certificate to be issued by the Manufacturer)/ velocity sensor to be covered  at factory with GI Flexible sleeves before dispatch - No color other than GI shall be allowed on the VAV box -CONTROLLER SHOULD BE PROGRAMMEABLE.</t>
    </r>
  </si>
  <si>
    <r>
      <t xml:space="preserve">Flat Oval pressure independent VAV terminal of different capacities with Concealed type Control Panel and Aluminium Aerofoil profile blade damper capable of delivering variable air volume by action of opposed blade volume control damper with gasket lining integrated aerofoil blades for leak proofing. Inlet transition cone piece integrated inside VAV box casing with external Insulation treatment and connected to Damper Sleeve. </t>
    </r>
    <r>
      <rPr>
        <b/>
        <sz val="10"/>
        <rFont val="Trebuchet MS"/>
        <family val="2"/>
      </rPr>
      <t>VAV box casing shall be made with Spiral Flat Oval Duct fabricated of 22SWG Galvanized sheet steel construction completely sealed at all joints and with matching coupling joints (of 18 SWG) similar to Flat Oval Duct Joint for seamless, easy and leak proof connectivity with Inlet &amp; Outlet Flat Oval ducts, and Casing with internal Insulation.</t>
    </r>
  </si>
  <si>
    <t>VAV casing duct height shall be proportionally maintained w.r.to Air Flow Delivery Volume viz. 1.150 mm up to 450 cfm. 2. 200 mm for 451-1200 cfm. 3. 250 mm for 1201-2300 cfm. 4. 300 mm for 2301-3100 cfm. 5. 350 mm for 3101-4200 cfm.</t>
  </si>
  <si>
    <t>VAV box shall have leak-proof partition arrangement concealed under the Casing for accommodating Inlet air transmission chamber, controller enclosure and damper arrangement. Access to Control Panel shall be with Hinge mounted Door made of GSS with Spiral seam joints to look alike the VAV Casing duct. VAV box shall have Air Flow Sensor having total pressure collected from multiple pickup points covering full Inlet area and routed through centre averaging chamber to controller, static pressure collected from points placed in perpendicular to the total pressure pickup point for better sample collection and high accuracy. Flow measurement signal transmitted via high quality PU tubes routed inside from Casing to Controller enclosure. Pneumatic connectors shall be used for connecting signal tubes to controller. The VAV shall be suitable to operate on 230 V, single phase electrical supply and shall have built-in transformer suitable to the controller operating voltage. VAV shall be electronically controlled networkable controller type complete with low leakage damper, actuator, Microprocessor unit, and wall/ ceiling mounted thermostat with ON/OFF Switch, control transformer, unit hanger brackets etc</t>
  </si>
  <si>
    <t>1.2.1</t>
  </si>
  <si>
    <t>Up to 3750 cfm-  Dimensions to match the duct size &amp; CFM requirements</t>
  </si>
  <si>
    <t>Up to 4000 cfm-  Dimensions to match the duct size &amp; CFM requirements</t>
  </si>
  <si>
    <t>Up to 4250 cfm-  Dimensions to match the duct size &amp; CFM requirements</t>
  </si>
  <si>
    <t xml:space="preserve">TEMPERATURE SENSOR- DIGITAL THERMOSTAT FOR VAV BOXES </t>
  </si>
  <si>
    <r>
      <t xml:space="preserve">Supply, installation, testing and commissioning of Temperature sensor- </t>
    </r>
    <r>
      <rPr>
        <b/>
        <sz val="10"/>
        <color theme="1"/>
        <rFont val="Trebuchet MS"/>
        <family val="2"/>
      </rPr>
      <t xml:space="preserve">Digital thermostat for monitoring the Room temperature inside closed Cabins and shall be connected to the VAV </t>
    </r>
  </si>
  <si>
    <t xml:space="preserve">TEMPERATURE SENSOR- ANALOGUE THERMOSTAT FOR VAV BOXES </t>
  </si>
  <si>
    <r>
      <t xml:space="preserve">Supply, installation, testing and commissioning of Temperature sensor- </t>
    </r>
    <r>
      <rPr>
        <b/>
        <sz val="10"/>
        <color theme="1"/>
        <rFont val="Trebuchet MS"/>
        <family val="2"/>
      </rPr>
      <t xml:space="preserve">Analogue type thermostat for monitoring the zone temperature in work station and office common areas and shall be connected to the VAV </t>
    </r>
  </si>
  <si>
    <t xml:space="preserve">VAV TO THERMOSTAT CABLING </t>
  </si>
  <si>
    <t>Supply, installation, testing and commissioning of Thermostat cable (VAV to Thermostat) CAT 6 cable with 20 MM PVC Conduit .</t>
  </si>
  <si>
    <t xml:space="preserve">VAV TO VAV COMMUNICATION CABLING </t>
  </si>
  <si>
    <t>Supply, installation, testing and commissioning of Communication cable (VAV to VAV)  2 core 1.5 Sqmm un armoured screened cable with 25 MM PVC Conduit .</t>
  </si>
  <si>
    <t xml:space="preserve">DUCT STATIC PRESSURE SENSOR  </t>
  </si>
  <si>
    <r>
      <rPr>
        <b/>
        <sz val="10"/>
        <rFont val="Trebuchet MS"/>
        <family val="2"/>
      </rPr>
      <t xml:space="preserve">Supply, installation, testing and commissioning of Differntial Pressure transmitter </t>
    </r>
    <r>
      <rPr>
        <sz val="10"/>
        <rFont val="Trebuchet MS"/>
        <family val="2"/>
      </rPr>
      <t>for AHU VFD modulation</t>
    </r>
  </si>
  <si>
    <t>DUCT STATIC PRESSURE SENSOR  TO AHU VFD CABLING</t>
  </si>
  <si>
    <t>Supply, installation, testing and commissioning of Communication cable 2 core 1 Sqmm un armoured screened cable with 25 MM PVC Conduit .</t>
  </si>
  <si>
    <t xml:space="preserve">BACNET MS/TP to BACNET /IP ROUTER FOR VAV BOXES </t>
  </si>
  <si>
    <r>
      <rPr>
        <b/>
        <sz val="10"/>
        <rFont val="Trebuchet MS"/>
        <family val="2"/>
      </rPr>
      <t>Supply, installation, testing and commissioning of Bacnet MS/TP to Bacnet/IP router for VAV</t>
    </r>
    <r>
      <rPr>
        <sz val="10"/>
        <rFont val="Trebuchet MS"/>
        <family val="2"/>
      </rPr>
      <t xml:space="preserve">
BACnet MS/TP to IP Router, Interface to connect the proposed floor VAV's with the BMS system via Native BACnet / IP. Router - Shall automatic rout BACnet messages between BACnet IP and sub-lan networks. It shall conformance to ANSI/ASHRAE standard 135-2008 for designated “router” functions. The router shall support foreign device registration with BACnet Broadcast Management Devices (BBMD). The Network controller or Router shall be housed in a suitable metal enclosure with proper power protection. 
Note: Each router shall be designed and capable of handling maximum of 50 VAV's only</t>
    </r>
  </si>
  <si>
    <t>CENTRALISED DISPLAY (7 INCH HMI TOUCH PANEL)</t>
  </si>
  <si>
    <r>
      <rPr>
        <b/>
        <sz val="10"/>
        <rFont val="Trebuchet MS"/>
        <family val="2"/>
      </rPr>
      <t>Supply, installation, testing and commissioning of centralised display ( 7 Inch HMI touch panel )</t>
    </r>
    <r>
      <rPr>
        <sz val="10"/>
        <rFont val="Trebuchet MS"/>
        <family val="2"/>
      </rPr>
      <t xml:space="preserve">. All the VAVs to be interlinked and one centralised display should be provided to monitor all the VAV status , temperature status &amp; % of opening. The vendor should load the software for the proper integration. Scope includes complete software and necessary routers.Scope also includes integration of all VAVs in integrator. Maximum 60 No VAV should be connected for one integrator  .Centralised display - 7 Inch HMI touch panel Display should be enclosed in an enclosure box with door and suitable locking accessories.he panel should include function and operation of VAV's but not limited for temperature set point, CFM adjustments, Pressure adjustments , Damper position, VAV offline status ,VAV damper Open &amp; Close condition, VAV Power On /Off Condition. </t>
    </r>
  </si>
  <si>
    <t>GRAND  TOTAL - PART C  VAV SUPPLY &amp; INSTALLATION  ( Excl GST) - [A]</t>
  </si>
  <si>
    <t>SUPPLY OF ALL HVAC RELATED ELECTRICAL FEEDERS &amp; POWER CABLING WITH REQUIRED FEEDERS SHALL BE IN ELECTRICAL SCOPE &amp; IT IS NOT CONSIDERED IN HVAC BOQ.</t>
  </si>
  <si>
    <t>UPS POWER SUPPLY FOR VAV BOXES SHALL BE IN ELECTRICAL SCOPE OF WORKS</t>
  </si>
  <si>
    <t>Summary</t>
  </si>
  <si>
    <t>: PHE WORKS</t>
  </si>
  <si>
    <t>Sanitary &amp; CP Fittings</t>
  </si>
  <si>
    <t>PHE Internal Works</t>
  </si>
  <si>
    <t>Item No</t>
  </si>
  <si>
    <t>Description of Work</t>
  </si>
  <si>
    <t>Suply Rate</t>
  </si>
  <si>
    <t>INTERNAL SANITARY FIXTURES AND CP FITTINGS</t>
  </si>
  <si>
    <t>Sanitaryware &amp; CP Fittings</t>
  </si>
  <si>
    <t>Make</t>
  </si>
  <si>
    <t>Model - Cat. No</t>
  </si>
  <si>
    <t xml:space="preserve">EWC - Wall Mounted  </t>
  </si>
  <si>
    <t>K-18131IN-S-0, K-6299-0, 20093, 92559,</t>
  </si>
  <si>
    <t>No's</t>
  </si>
  <si>
    <t xml:space="preserve">Final decision on make &amp; model nos to be provided by architects /client </t>
  </si>
  <si>
    <t>BUTTON PANEL SET</t>
  </si>
  <si>
    <t>Concealo Neo</t>
  </si>
  <si>
    <t>Concealed Cistern Tank</t>
  </si>
  <si>
    <t>handicap grab bars</t>
  </si>
  <si>
    <t>Jaquar</t>
  </si>
  <si>
    <t>AKP-35701PS</t>
  </si>
  <si>
    <t>Urinal</t>
  </si>
  <si>
    <t xml:space="preserve"> K- 26475IN-ER-0, K-26474IN-ER-0, 60021 , 90613</t>
  </si>
  <si>
    <t>Sensor</t>
  </si>
  <si>
    <t>K-24199IN-C03-CP</t>
  </si>
  <si>
    <t xml:space="preserve"> CP Fitting</t>
  </si>
  <si>
    <t>Health faucet  W/SD Spray Metal Hose</t>
  </si>
  <si>
    <t>12925IN-CP, F160001</t>
  </si>
  <si>
    <t>Final decision on make &amp; model nos to be provided by architects /client</t>
  </si>
  <si>
    <t>Angular Stop Cock with wall flange</t>
  </si>
  <si>
    <t>11568IN-7-CP, F850077</t>
  </si>
  <si>
    <t>Sanitaryware</t>
  </si>
  <si>
    <t>Model - Cat.No</t>
  </si>
  <si>
    <t>Under Counter Basin</t>
  </si>
  <si>
    <t xml:space="preserve"> K-2211IN-0, 10051</t>
  </si>
  <si>
    <t xml:space="preserve">Waste Coupling - full threaded </t>
  </si>
  <si>
    <t>45432IN-CP, F860010</t>
  </si>
  <si>
    <t>Bottle trap</t>
  </si>
  <si>
    <t>7314IN-CP, F850072</t>
  </si>
  <si>
    <t>Basin Tap with Braided Flexible pipe</t>
  </si>
  <si>
    <t>Jaquar, Chilly</t>
  </si>
  <si>
    <t>K-2883-0, 10065</t>
  </si>
  <si>
    <t>Sink with drain board(L440 x W440 x L175)</t>
  </si>
  <si>
    <t>Nirali</t>
  </si>
  <si>
    <t>omni BG</t>
  </si>
  <si>
    <t>Sink Mixer with Braided Flexible pipe</t>
  </si>
  <si>
    <t>Sink Cock with Braided Flexible pipe</t>
  </si>
  <si>
    <t>Sink without drain board(L860 x W500 x H200)</t>
  </si>
  <si>
    <t>Eureka delux big BG</t>
  </si>
  <si>
    <t>CP Fitting</t>
  </si>
  <si>
    <t>Shower Trim</t>
  </si>
  <si>
    <t xml:space="preserve">24582T-E-CP
24582T-AE, F16007S
</t>
  </si>
  <si>
    <t>Shower Valve</t>
  </si>
  <si>
    <t>Shower Seat</t>
  </si>
  <si>
    <t xml:space="preserve">Over head shower </t>
  </si>
  <si>
    <t>Model - Catalague No</t>
  </si>
  <si>
    <t>Toilet Tissue Holder</t>
  </si>
  <si>
    <t> K-24759-CP, F450027</t>
  </si>
  <si>
    <t>Doubli Robe Hook</t>
  </si>
  <si>
    <t>  5635IN-CP, F870007</t>
  </si>
  <si>
    <t xml:space="preserve">Soap Dispenser </t>
  </si>
  <si>
    <t> K-1895-C-BN, F860060</t>
  </si>
  <si>
    <t xml:space="preserve">Kohler </t>
  </si>
  <si>
    <t>Hand Drier Steel Jet hand dryer</t>
  </si>
  <si>
    <t>Towel Dispenser</t>
  </si>
  <si>
    <t>Euronics</t>
  </si>
  <si>
    <t>EP07</t>
  </si>
  <si>
    <t>Angular Stop Cock with wall Flange</t>
  </si>
  <si>
    <t>K-37317IN-4A-CP</t>
  </si>
  <si>
    <t>Notes</t>
  </si>
  <si>
    <t>All Sanitary Fixtures &amp; CP Fittings Make, Model/Code As approved by Interior/Architectural  &amp; Client Schedule list</t>
  </si>
  <si>
    <t>WATER SUPPLY (INTERNAL)</t>
  </si>
  <si>
    <t>COLD WATER SUPPLY:</t>
  </si>
  <si>
    <t>a) 20 mm</t>
  </si>
  <si>
    <t>b) 25 mm</t>
  </si>
  <si>
    <t>c) 32 mm</t>
  </si>
  <si>
    <t>d) 40 mm</t>
  </si>
  <si>
    <t>FLUSH WATER SUPPLY:</t>
  </si>
  <si>
    <t>HOT WATER SUPPLY:</t>
  </si>
  <si>
    <t xml:space="preserve">a) 15 mm </t>
  </si>
  <si>
    <t xml:space="preserve">b) 20 mm </t>
  </si>
  <si>
    <t>RO WATER SUPPLY:</t>
  </si>
  <si>
    <t xml:space="preserve">c) 25 mm </t>
  </si>
  <si>
    <t>Make : kflex / Vidoflex</t>
  </si>
  <si>
    <t>a) 15mm dia</t>
  </si>
  <si>
    <t>b) 20mm dia</t>
  </si>
  <si>
    <t>a) 20 mm dia (Screwed ends)</t>
  </si>
  <si>
    <t>b) 25 mm dia (Screwed ends)</t>
  </si>
  <si>
    <t>c) 32 mm dia (Screwed ends)</t>
  </si>
  <si>
    <t>d) 40 mm dia (Screwed ends)</t>
  </si>
  <si>
    <t>Electromagnetic Water Meter</t>
  </si>
  <si>
    <t>20mm DIA Water Meter</t>
  </si>
  <si>
    <t>Ecomag + IFC050 / DN20</t>
  </si>
  <si>
    <t>25mm DIA Water Meter</t>
  </si>
  <si>
    <t>Ecomag + IFC050 / DN25</t>
  </si>
  <si>
    <t>32mm DIA Water Meter</t>
  </si>
  <si>
    <t>Ecomag + IFC050 / DN32</t>
  </si>
  <si>
    <t>40mm DIA Water Meter</t>
  </si>
  <si>
    <t>Water Heater</t>
  </si>
  <si>
    <t>Venus,A O Smith</t>
  </si>
  <si>
    <t xml:space="preserve">Angular Stop Cock with wall flange </t>
  </si>
  <si>
    <t>Kohler</t>
  </si>
  <si>
    <t>11568IN-7-CP</t>
  </si>
  <si>
    <t>a) 50mm dia</t>
  </si>
  <si>
    <t>b) 40mm dia</t>
  </si>
  <si>
    <t>c) 32mm dia</t>
  </si>
  <si>
    <t>d) 25mm dia</t>
  </si>
  <si>
    <t>e) 20mm dia</t>
  </si>
  <si>
    <t>f) 15mm dia</t>
  </si>
  <si>
    <t>Supply and fixing of Type - B  SWR PVC pipe confirming to IS 13592 &amp; fittings confirming to IS 14735, soil &amp; waste pipes jointed with solvent cement of good quality lubricant inclusive of all necessary specials like bends, tees, offsets, junctions, pan connector etc., laid under floor / under ceiling / on walls with suitable clamps , hanger bolts  complete.</t>
  </si>
  <si>
    <t>a) 75 mm OD</t>
  </si>
  <si>
    <t>a) 110 mm OD</t>
  </si>
  <si>
    <t>a) 40 mm OD</t>
  </si>
  <si>
    <t>b) 50 mm OD</t>
  </si>
  <si>
    <t>a) 110 x 110  mm</t>
  </si>
  <si>
    <t>SLABS</t>
  </si>
  <si>
    <t>Note :  Quantity may vary as per actuals existing corecut for bore packing in floors &amp; cutout in beam RCC wall will be as per site condition.</t>
  </si>
  <si>
    <t>Supply, Installation, Testing &amp; commissioning of  inline  Waste Water Discahrge Pumps (Lifting station) with following  accessories / connectors like, Cable with plug,Horizontal or vertical fastening possibility of discharge hose connector with several adaptors for pipes with Ø22-40mm in size,Integrated non return valve,Dry and high performance motor unit incl. thermal protection, level switch and controller,Flexible connectors for inlet (adjustable in height) of pipes Ø36 or 40,Uplift fixation clips, outlet provisions,ball valve,etc complete.</t>
  </si>
  <si>
    <t>(1 working + 1 standby = 1 set)</t>
  </si>
  <si>
    <t>Supply, installing, testing and commissioning of approved make UPVC Pipes as per ASTM Schedule 80 with schedule 80 specials (Solvent joint) conforming to IS : 554. The fittings and specials such as tees, elbows, couplers, bends, enlargers etc., with UPVC brass threaded combination / transition specials such as male adapters brass threaded female adapters, brass FPT Tee, elbows, bends etc., The specials &amp; fittings for Sch 80 pipe such as couplers, elbows, tees, unions, hex adaptor, end plug &amp; caps, pipe clip &amp; bend 90 etc., where connection with metal is to be made including necessary drilling holes, chasing walls and making the same good in cement mortar 1 : 1 restore the same original condition neatly as directed by the Engineer in - charge. Including hanger supports, grip bolts &amp; Clamps etc. (waste water PRM)</t>
  </si>
  <si>
    <t>50mm</t>
  </si>
  <si>
    <t>SET</t>
  </si>
  <si>
    <t xml:space="preserve">Exclusions </t>
  </si>
  <si>
    <t>EXTERNAL FURNITURE</t>
  </si>
  <si>
    <t>Café Sofa</t>
  </si>
  <si>
    <t>Outdoor Café Table (1200mm x 800mm)</t>
  </si>
  <si>
    <t>Café Chair</t>
  </si>
  <si>
    <t>FRP Pot with Plants</t>
  </si>
  <si>
    <t>CANOPY SERVICE WORK</t>
  </si>
  <si>
    <t>CAFÉ UMPERLLA</t>
  </si>
  <si>
    <t>Training Room Chairs</t>
  </si>
  <si>
    <t>Basic Rate  - 330/- sft</t>
  </si>
  <si>
    <t>rmt</t>
  </si>
  <si>
    <t>ARTIFICIAL PLANTS</t>
  </si>
  <si>
    <t>Providing Pest control and Anti-termite treatment by appointing a specialised agency as per the specifications mentioned by the Bureau of Indian Standards and Agencies specifications</t>
  </si>
  <si>
    <t>Providing professional deep cleaning support for the entire site inclusive of dedicated labour and supervisory personnel as and when instructed by project manager in writing. Cost to include all equipments (including wet &amp; dry industrial vacuum cleaners whenever required), consumables, protective and safety measures, at site.</t>
  </si>
  <si>
    <t>PC Toilet</t>
  </si>
  <si>
    <t>Janitor Room</t>
  </si>
  <si>
    <t>SAME AS ABOVE TILE CLADDING</t>
  </si>
  <si>
    <t>Size : - 600 x 2400mm</t>
  </si>
  <si>
    <t>100/ Sqft</t>
  </si>
  <si>
    <t>Café Passage</t>
  </si>
  <si>
    <t>CEO Cabin Passage</t>
  </si>
  <si>
    <t>Work Station Passage</t>
  </si>
  <si>
    <t>GYPSUM FALSE CEILING  COVE - SAME AS ABOVE SPEC</t>
  </si>
  <si>
    <t>Board Room</t>
  </si>
  <si>
    <t>Studio Room</t>
  </si>
  <si>
    <t>Acoustic Baffle Ceiling</t>
  </si>
  <si>
    <t>VP Room</t>
  </si>
  <si>
    <t>Stretch Ceiling</t>
  </si>
  <si>
    <t>VITRIFIED TILE FLOORING</t>
  </si>
  <si>
    <t>100mm THICK SOLID BLOCK WALL</t>
  </si>
  <si>
    <t>100mm ThicK Block work</t>
  </si>
  <si>
    <t xml:space="preserve">Door </t>
  </si>
  <si>
    <t>Dishwash area</t>
  </si>
  <si>
    <t>Focus Room Collab</t>
  </si>
  <si>
    <t>Flexi Collab</t>
  </si>
  <si>
    <t>Focus Room - 04</t>
  </si>
  <si>
    <t>Focus Room 07 &amp; 08</t>
  </si>
  <si>
    <t>ODC Room 05</t>
  </si>
  <si>
    <t>Focus Area flexi</t>
  </si>
  <si>
    <t>Foucus Room 03</t>
  </si>
  <si>
    <t>Podium</t>
  </si>
  <si>
    <t>Novac Room</t>
  </si>
  <si>
    <t>Focus Room 1 to 3</t>
  </si>
  <si>
    <t>Focus Room 4 to 6</t>
  </si>
  <si>
    <t>Focus Room 7 &amp; 8</t>
  </si>
  <si>
    <t>GRANITE TOP COUNTER</t>
  </si>
  <si>
    <t>Providing and fixing storage unit with 600mm wide 18 mm thk Granite counter top of approved shade corian to be fixed over on storage made of 18mm thk BWR Ply board. Storage inner surface to be finished with white laminate and shutters to be in laminate finish with finger groove profile handle as per detailed drawing. Cost inclusive of 150mm high Backspalsh band above storage unit to mount powet / data sockets as per detail dwg . Make of Ply - Greenply,  Archidply . Make of Laminate - Merino, Greenlam, Century .</t>
  </si>
  <si>
    <t>Basic Rate of Granite 150/Sqft</t>
  </si>
  <si>
    <t>Triangle Shape Planter Box</t>
  </si>
  <si>
    <t>PLANTER BOX- DIFFERENT SHAPE</t>
  </si>
  <si>
    <t>Planter Box : 1050mm ht Providing and fabricating in position the planter box formed out of 19mm thk Marine ply and finished with 1mm thk approved laminate on all sides. Cut outs shall be provided for the FRP pots and natural plants, with plants liner, plants shall be @ every  250mm c/c of 1 ' height.
Legs/Supports : 50x50mm Metal leg rest of approved black colour to be provided and fixed to the 2 legs/supports and finished without any joints/stains</t>
  </si>
  <si>
    <t>Planter Box : 1050mm ht Providing and fabricating in position the planter box formed out of 19mm thk Marine ply and finished with 1mm thk approved laminate on all sides. Cut outs shall be provided for the FRP pots and natural plants, with plants liner, plants shall be @ every  250mm c/c of 1 ' height.</t>
  </si>
  <si>
    <t xml:space="preserve">SAME AS BOVE but Size is (2200 x 600 x 1050 mm) </t>
  </si>
  <si>
    <t>RECEPTION TABLE (3250 x 750 x 1100mm)</t>
  </si>
  <si>
    <t>Founter Cabin</t>
  </si>
  <si>
    <t>Assistance Repro</t>
  </si>
  <si>
    <t>CURVED BENCH SEATING WITH PLANTER</t>
  </si>
  <si>
    <t>Linear workstation  with Shelves (1350 x 750mm)</t>
  </si>
  <si>
    <t>3 Pax circular Table (900mm)</t>
  </si>
  <si>
    <t>Linear Table (1200 x 600mm)</t>
  </si>
  <si>
    <t>Cconference</t>
  </si>
  <si>
    <t>Phone Booth - Single Seater</t>
  </si>
  <si>
    <t>Pouf</t>
  </si>
  <si>
    <t>High Bar Chair</t>
  </si>
  <si>
    <t>Movable TV Screen</t>
  </si>
  <si>
    <t>ODC Passage</t>
  </si>
  <si>
    <t>Focus Room Passage</t>
  </si>
  <si>
    <t>Gypsum Cove</t>
  </si>
  <si>
    <t>Serving counter</t>
  </si>
  <si>
    <t>Epoxy injection grouting</t>
  </si>
  <si>
    <t>Cum</t>
  </si>
  <si>
    <t>PCC</t>
  </si>
  <si>
    <t>PLATE DROP OPENING</t>
  </si>
  <si>
    <t>Providing and Fixing Granite door jam , The thickness of the wall ( 150mm ) all round the Door opening to be finished with  18mm thk approved granite, edges chamfered. Complete as per detailed drawing and instructions of the Architect</t>
  </si>
  <si>
    <t>Granite Door Jam</t>
  </si>
  <si>
    <t>Dish Wash Area</t>
  </si>
  <si>
    <t>Store Room -1</t>
  </si>
  <si>
    <t>Store Room -2</t>
  </si>
  <si>
    <t>Store Room -3</t>
  </si>
  <si>
    <t>VP Room 08 Passage</t>
  </si>
  <si>
    <t>VP 05 Passage</t>
  </si>
  <si>
    <t>6 Pax 02 Passage</t>
  </si>
  <si>
    <t>Repro Passage</t>
  </si>
  <si>
    <t>VP Cabin 03 Passage</t>
  </si>
  <si>
    <t>VR Room Passage</t>
  </si>
  <si>
    <t>Store Room Pasage</t>
  </si>
  <si>
    <t>Quad Pod Passage</t>
  </si>
  <si>
    <t>FAS provision</t>
  </si>
  <si>
    <t>6 Pax 01 Passage</t>
  </si>
  <si>
    <t>8 Pax Passage</t>
  </si>
  <si>
    <t>ODC Room 07</t>
  </si>
  <si>
    <t>ODC Room 08</t>
  </si>
  <si>
    <t>GYPSUM FALSE CEILING  U SHAPE  - SAME AS ABOVE SPEC</t>
  </si>
  <si>
    <t>Balcony Passage</t>
  </si>
  <si>
    <t>2 Pax room</t>
  </si>
  <si>
    <t>ODC 06 &amp; 07</t>
  </si>
  <si>
    <t>ODC 04</t>
  </si>
  <si>
    <t>Handwash Area</t>
  </si>
  <si>
    <t>L  Shape work station (1500 x 1200mm)</t>
  </si>
  <si>
    <t>Café Table (1800 x 750mm)</t>
  </si>
  <si>
    <t xml:space="preserve">Center Table - 600mm Dia </t>
  </si>
  <si>
    <t xml:space="preserve">Center Table - 670mm Dia </t>
  </si>
  <si>
    <t xml:space="preserve">Center Table - 800mm Dia </t>
  </si>
  <si>
    <t>Café Sofa - 2 Seater</t>
  </si>
  <si>
    <t>Experience Center Sofa</t>
  </si>
  <si>
    <t>SUSPENDED PLANTER BOX _CEILING</t>
  </si>
  <si>
    <t>Suspended planter Box</t>
  </si>
  <si>
    <t>Providing &amp; fixing 50mm thick Rock wool insulation having a density of 48Kg/m3 for opaque partitions as per detail dwg. Cost to include Plastic cover wrapping .</t>
  </si>
  <si>
    <t>Providing and fixing the artworks of approved artworks and frame work shall be of 30x30mm beechwood frame melamine polished etc complete as per the details shwon in the drawing and architects approval.</t>
  </si>
  <si>
    <t>BRICK BATTEN TILE CLADDING</t>
  </si>
  <si>
    <t>Repro Cladding</t>
  </si>
  <si>
    <t xml:space="preserve">Cladding </t>
  </si>
  <si>
    <t>6 Pax meeting room 02</t>
  </si>
  <si>
    <t>ODC Room 06</t>
  </si>
  <si>
    <t>ODC room 05</t>
  </si>
  <si>
    <t>Both Seating</t>
  </si>
  <si>
    <t>Main Entrance</t>
  </si>
  <si>
    <t>2 Pax</t>
  </si>
  <si>
    <t>Experience Centre</t>
  </si>
  <si>
    <t>Display Shelf</t>
  </si>
  <si>
    <t>1 Pax</t>
  </si>
  <si>
    <t>4 Pax meeting Room 01</t>
  </si>
  <si>
    <t>1 Pax focus Room</t>
  </si>
  <si>
    <t>ODC 05</t>
  </si>
  <si>
    <t>VP Cabin  04</t>
  </si>
  <si>
    <t>VP Cabin  03</t>
  </si>
  <si>
    <t>Sound Block Board</t>
  </si>
  <si>
    <t>Media Byte</t>
  </si>
  <si>
    <t>4 Pax Meeting room 3</t>
  </si>
  <si>
    <t xml:space="preserve">8 Pax Meeting </t>
  </si>
  <si>
    <t>8 Pax Meeting 02</t>
  </si>
  <si>
    <t xml:space="preserve">1 Pax </t>
  </si>
  <si>
    <t>Display Shelves</t>
  </si>
  <si>
    <t>Storage Column</t>
  </si>
  <si>
    <t>Entrance Column</t>
  </si>
  <si>
    <t>Battery Room Cladding</t>
  </si>
  <si>
    <t>Rockwool</t>
  </si>
  <si>
    <t>Aluminium</t>
  </si>
  <si>
    <t>Column Cladding</t>
  </si>
  <si>
    <t>Column Cladding - Café</t>
  </si>
  <si>
    <t>IT Store Column</t>
  </si>
  <si>
    <t>Store Room Column</t>
  </si>
  <si>
    <t xml:space="preserve">MS FRAME </t>
  </si>
  <si>
    <t>Providing and fixing MS (Mild Steel) frame for partitions made from MS hollow sections comprising vertical studs of 50×50×1.6 mm and horizontal members of 50×25×1.6 mm, spaced at 600 mm c/c, including cutting, welding, grinding, and securely fixing the frame to floor, ceiling, and walls with approved anchor fasteners or rawl bolts, complete with fully welded joints, smooth finish, capped ends, one coat of red oxide zinc chromate primer and two coats of synthetic enamel paint, ensuring the frame is true to line, level, and plumb, and including all materials, labour, tools, scaffolding, fasteners, wastage, and incidental works, measured in square metres of partition area, complete as per drawings and specifications.</t>
  </si>
  <si>
    <t>6 Pax Meeting Room 03</t>
  </si>
  <si>
    <t>8 Pax Meeting Room 1</t>
  </si>
  <si>
    <t>Focus Room 03</t>
  </si>
  <si>
    <t>HAT Section Side</t>
  </si>
  <si>
    <t>Team D Work Station Area</t>
  </si>
  <si>
    <t xml:space="preserve">VP Cabin 08 </t>
  </si>
  <si>
    <t>4 Pax Room</t>
  </si>
  <si>
    <t>Focus Room Ceiling</t>
  </si>
  <si>
    <t>Trophy Shelves</t>
  </si>
  <si>
    <t>8 Pax Room 2</t>
  </si>
  <si>
    <t>4 Pax Room 2</t>
  </si>
  <si>
    <t>6 Pax Meeting Room 01</t>
  </si>
  <si>
    <t>Focus Area Work Station</t>
  </si>
  <si>
    <t>Female NAP Room</t>
  </si>
  <si>
    <t>8 Pax Room 1</t>
  </si>
  <si>
    <t>ODC Room 02</t>
  </si>
  <si>
    <t>Repro Counter</t>
  </si>
  <si>
    <t>Half Height Storage</t>
  </si>
  <si>
    <t>Workstation Passage</t>
  </si>
  <si>
    <t xml:space="preserve">VP Cabin  08 </t>
  </si>
  <si>
    <t>4 Pax Cabin</t>
  </si>
  <si>
    <t>ODC Side Work station Area</t>
  </si>
  <si>
    <t>MR GRID CEILING</t>
  </si>
  <si>
    <t xml:space="preserve">Providing and fixing Suspended False Ceiling which includes Moisture Resistance Gypsum Plaster board 12mm thk., False Ceiling on 24 gauge G.I. frame work which includes Providing. &amp; fixing G.I. perimeter channels 0.55 mm thk 20mmx30mm,web size 27mm along perimeter of ceiling, screw fixed to brick wall/partition with nylon sleeves &amp; screws @ approx 2'0" c/c. Suspending G.I. intermediate channels size 45 mm,0.9 mm thk, flanges of size15mm each from the soffit 1220mm c/c with ceiling angle 25 x10mm x 0.55mm thk fixed to soffit G.I. cleat &amp; steel expansion fasteners. </t>
  </si>
  <si>
    <t>Moisture Resistance Ceiling</t>
  </si>
  <si>
    <t xml:space="preserve">Size : 450mm wide x300mm ht </t>
  </si>
  <si>
    <t>METAL MESH BAFFLE CEILING</t>
  </si>
  <si>
    <t>Baffle with Meash Ceiling</t>
  </si>
  <si>
    <t>OPEN CELL CEILING (500 x 500mm)</t>
  </si>
  <si>
    <t>Raised Floor Area</t>
  </si>
  <si>
    <t>METAL BAFFELE CEILING</t>
  </si>
  <si>
    <t>Providing and fixing baffle ceiling system using 25 mm × 100 mm baffles, installed at 100 mm c/c spacing, complete with approved suspension system, carriers, hangers, fixing clips, fasteners, and all necessary accessories.
The baffles shall be uniformly aligned, levelled, and securely fixed, including edge trims, cut-outs for services, coordination with MEP works, and all incidental items required for a complete installation, as per approved drawings and specifications.</t>
  </si>
  <si>
    <t>Flexi Work Collab</t>
  </si>
  <si>
    <t>MESH CEILING</t>
  </si>
  <si>
    <t>Providing and fixing Expandable Metal Mesh Ceiling, made of approved Aluminium expandable mesh, including suspension system with hangers, carriers, perimeter trims, fixing accessories, and all necessary fittings.
The ceiling shall be properly aligned, levelled, and securely installed, including cut-outs for light fixtures, HVAC diffusers, sprinklers, and coordination with services, complete as per approved drawings and specifications.</t>
  </si>
  <si>
    <t>Mesh Ceiling</t>
  </si>
  <si>
    <t>Exectivie Dining</t>
  </si>
  <si>
    <t>WOODEN CEILING</t>
  </si>
  <si>
    <t>Providing &amp; fabricating ceiling formed to shape using 50mm X 25mm Aluminium frame work &amp; vertical support system formed out of  M.S Treaded Rod supports provided at 600mm C/C suspended from the true ceiling. The frame work shall be clad with 12mm thick MDF finished duco paint as per the detailed dwg or the instructions of the Architects. Rate to include, cut-outs for light fixtures, spot lights, smoke detectors, Pelmets, Vertical risers as shown in dwg. and all services cut outs as required. complete as directed by Project manager / Architect.</t>
  </si>
  <si>
    <t>Pel met</t>
  </si>
  <si>
    <t>Kitche</t>
  </si>
  <si>
    <t>Providing and Fixing Window opening of size 1600 x 450mm , The thickness of the wall ( 150mm ) all round the window to be finished with  18mm thk approved granite, edges chamfered. Complete as per detailed drawing and instructions of the Architect</t>
  </si>
  <si>
    <t>Ophone Booth</t>
  </si>
  <si>
    <t>STEPS</t>
  </si>
  <si>
    <t>Providing and fixing  steps with 300mm tread &amp; 150mm riser made of 25 x 25mm MS Frame Work fixed on to the ground , The top to be covered with a layer of 19mm thk Fire Proof Plywood to be finished with 1mm thk Antistatic Laminate to match with the False Flooring Tile ,  complete as the detail dwg and the Architects instructions</t>
  </si>
  <si>
    <t>Steps</t>
  </si>
  <si>
    <t>2 Pax Room</t>
  </si>
  <si>
    <t>CCTV Room</t>
  </si>
  <si>
    <t>Flexi Work</t>
  </si>
  <si>
    <t>1 Pod</t>
  </si>
  <si>
    <t>2 Pod</t>
  </si>
  <si>
    <t>FAS Provision</t>
  </si>
  <si>
    <t>ODC 06</t>
  </si>
  <si>
    <t>ODC 07</t>
  </si>
  <si>
    <t>Double Glazed Partition</t>
  </si>
  <si>
    <t>DOUBLE GLAZED PARTITION</t>
  </si>
  <si>
    <t xml:space="preserve">Supply &amp; Installation of  Full Height Glass Partition System of 10mm toughened glass+6mm Clear Gap +10mm thick toughened Glass with proprietary wideline partition systems of size as per Manufacturers specification as verticals and horizontals at top and bottom with  option for installing glass  &amp;  glass to glass joint with other required accessories from FFL to 2400mm as per the  drawing.and instructions of the Architects.Contractor to polish / chamfer the edges of the glass &amp; seal the joints between glass with clear silicon sealant. Complete as per the design of the Architect's.
</t>
  </si>
  <si>
    <t>Work station Area</t>
  </si>
  <si>
    <t>Team D Work Station</t>
  </si>
  <si>
    <t>Team B Work Station</t>
  </si>
  <si>
    <t>High Bar Table</t>
  </si>
  <si>
    <t>Team A Work Station</t>
  </si>
  <si>
    <t>Providing and fixing the Tile of concrete texture bricks with base coat mixed with durabond followed by masking tapes and applying top coat as per colour , Fixed to the wall using adhesive or Roff cement as the manufacture specifications, grouting of joints to match the color of the stone etc complete as per the details shown in the drawing and architects instruction.The Rate Inclusive of Ply Backing</t>
  </si>
  <si>
    <t>Glass Door (1000 x 2400mm)</t>
  </si>
  <si>
    <t>Glass Door (750 x 2400mm)</t>
  </si>
  <si>
    <t>Focus Room 04</t>
  </si>
  <si>
    <t>Focus Room 05</t>
  </si>
  <si>
    <t>Focus Room 06</t>
  </si>
  <si>
    <t>Focus Room 07</t>
  </si>
  <si>
    <t>Focus Room 08</t>
  </si>
  <si>
    <t>2 Pax 01</t>
  </si>
  <si>
    <t>2 Pax 02</t>
  </si>
  <si>
    <t>Double Leaf</t>
  </si>
  <si>
    <t>Fire Rated Door</t>
  </si>
  <si>
    <t>Novac</t>
  </si>
  <si>
    <t>Store Room 2</t>
  </si>
  <si>
    <t>Store Room 1</t>
  </si>
  <si>
    <t>Female Nap</t>
  </si>
  <si>
    <t>Male Nap</t>
  </si>
  <si>
    <t>Store Room 3</t>
  </si>
  <si>
    <t>CEO Cabin Table with Side Storage (2100 x 2100mm)</t>
  </si>
  <si>
    <t>Work Station Chairs :
Back Height - Medium Back 
Back Finish - HNI Standard Response Mesh with adjustable lumbar support 
Back Frame - Black Color 
Seat Finish - HNI Standard Fabric 
Seat Height Adjustment - Pneumatic 
Mechanism - Weight activated with Seat depth Back Tilt Lock - Mutipoint Lock (3 point Lock) 
Back Tilt Tension - Adjustable 
Armrests Type - 3D Adjustable arms 
Armpads Type - Polyurethane 
Base Type - 5-Star in black nylon base 
Greenguard Certified Product BIFMA Certified : (ANSI/BIFMA-X5.1-2017) LCA &amp; EPD Certifications WARRANTY: 10 Years from the date of invoice</t>
  </si>
  <si>
    <t>VP Cabin Chairs: 
Back Height - High Back (with Headrest) 
Back Finish - HNI Standard Response Mesh with adjustable lumbar support 
Back Frame - Black Color 
Seat Finish - HNI Standard Fabric 
Seat Height Adjustment - Pneumatic 
Mechanism - Weight activated with Seat depth 
Back Tilt Lock - Mutipoint Lock (3 point Lock) 
Back Tilt Tension - Adjustable 
Armrests Type - 3D Adjustable arms 
Armpads Type - Polyurethane 
Base Type - 5-Star in black nylon base 
Greenguard Certified Product BIFMA Certified : (ANSI/BIFMA-X5.1-2017) LCA &amp; EPD Certifications WARRANTY: 10 Years from the date of invoice</t>
  </si>
  <si>
    <t>Meeting Room Chairs (Equivalent to Helix) : Specification: Back Height - High Back (with Headrest) Back Finish - HNI Standard Response Mesh with adjustable lumbar support Back Frame - Black Color Seat Finish - HNI Standard Fabric Seat Height Adjustment - Pneumatic Mechanism - Weight activated with Seat depth Back Tilt Lock - Mutipoint Lock (3 point Lock) Back Tilt Tension - Adjustable Armrests Type - 4D Adjustable arms Armpads Type - Polyurethane Base Type - 5-Star in black nylon base Greenguard Certified Product BIFMA Certified : (ANSI/BIFMA-X5.1-2017) LCA &amp; EPD Certifications WARRANTY: 10 Years from the date of invoice</t>
  </si>
  <si>
    <t>MODULAR GRID CEILING-GR-1 -600x600MM -0.9NRC</t>
  </si>
  <si>
    <t>NRC:     0.9</t>
  </si>
  <si>
    <t>GRANITE STEPS</t>
  </si>
  <si>
    <t>Providing and Fixing Granite Steps , The steps are bulid by solid block a solid block with 150mm riser &amp; 300mm tread to be finished with  18mm thk approved granite, edges chamfered. Complete as per detailed drawing and instructions of the Architect</t>
  </si>
  <si>
    <t>Granite Steps</t>
  </si>
  <si>
    <t>3M MATT</t>
  </si>
  <si>
    <t>Providing &amp; fixing of rest room matt</t>
  </si>
  <si>
    <t>3M Matt</t>
  </si>
  <si>
    <t>ARTIFICAIL TURF</t>
  </si>
  <si>
    <t xml:space="preserve">Supplying and fixing interior artificial turf of approved make, manufactured from high-quality, non-toxic and UV-stabilized polyethylene/polypropylene fibers, with pile height of 20–30 mm, high stitch density, uniform green color, and durable latex or PU backing, suitable for indoor use without loose infill, laid over prepared floor surface (cement/tile/wood) using approved adhesive or fixing method, including surface cleaning, alignment, jointing, edge trimming, and finishing complete in all respects as per drawings, interior designer/engineer’s instructions, and to the satisfaction of the client, </t>
  </si>
  <si>
    <t>GRID Ceiling</t>
  </si>
  <si>
    <t>AXIOM TRIM</t>
  </si>
  <si>
    <t>Supplying and fixing Axiom trim of approved make and profile, manufactured from high-quality aluminium (as specified), suitable for use with gypsum boards/false ceiling and wall junctions, including cutting to required length, proper alignment, fixing with recommended fasteners or adhesive, ensuring straight edges, clean finishes, and smooth junctions, complete in all respects as per drawings, manufacturer’s guidelines, and instructions of the architect/interior designer, measured and paid per running meter.</t>
  </si>
  <si>
    <t>Axiom Trim</t>
  </si>
  <si>
    <t>6 Pax Room</t>
  </si>
  <si>
    <t>STRETCH FABRIC CEILING</t>
  </si>
  <si>
    <t>upplying and installing stretch fabric ceiling system of approved make, consisting of high-quality polyester fabric with PU coating, fire-retardant and anti-fungal properties, stretched and fixed to perimeter aluminium/PVC tracks securely anchored to walls or ceiling, including framework (if required), heating/stretching process, cut-outs for light fixtures, AC diffusers and services, edge finishing, jointing, cleaning, and making good all complete as per drawings, manufacturer’s specifications, and instructions of the architect/interior designer, measured and paid per square meter.</t>
  </si>
  <si>
    <t>GYPSUM CLADDING</t>
  </si>
  <si>
    <t>Gypsum</t>
  </si>
  <si>
    <t>ODC 7</t>
  </si>
  <si>
    <t>HAT Section</t>
  </si>
  <si>
    <t>Laq</t>
  </si>
  <si>
    <t>Staircase Side Column</t>
  </si>
  <si>
    <t>Curve Column</t>
  </si>
  <si>
    <t>Focus Room 8</t>
  </si>
  <si>
    <t>HAT</t>
  </si>
  <si>
    <t>18mm THICK BWR PLY SKINNING</t>
  </si>
  <si>
    <t>Providing &amp; fixing 18mm thick BWR ply skinning on existing frame / Wall work using 19mm screws at every 300mm centre to centre. The Mply skinning is finished using approved metal putty &amp; primer as per detail dwg.</t>
  </si>
  <si>
    <t>Café Coulmn</t>
  </si>
  <si>
    <t>PLY &amp; MDF WITH LAMINATE FINISH</t>
  </si>
  <si>
    <t xml:space="preserve">Providing &amp; fabricating Laminate panelling formed using 4mm thick MDF &amp; 1 mm Laminate fixed on  12mm thk Ply backing ,complete as per the detailed dwg or the instructions of the Architects. </t>
  </si>
  <si>
    <t>Lamiante Panelling</t>
  </si>
  <si>
    <t>ACRYLIC CLADDING</t>
  </si>
  <si>
    <t>Basic Rate - 650/Sqft</t>
  </si>
  <si>
    <t xml:space="preserve">Providing &amp; fabricating Laminate panelling formed using 6mm thick Acrylic fixed on  12mm thk Ply backing ,complete as per the detailed dwg or the instructions of the Architects. </t>
  </si>
  <si>
    <t>Corian Cladding</t>
  </si>
  <si>
    <t>GREEN WALL CLADDING</t>
  </si>
  <si>
    <t xml:space="preserve">Providing &amp; fixing of Artificial Green wall panelling fixed on  12mm thk Ply backing ,complete as per the detailed dwg or the instructions of the Architects. </t>
  </si>
  <si>
    <t>Basic Rate - 350/Sqft</t>
  </si>
  <si>
    <t>Green Wall</t>
  </si>
  <si>
    <t>External</t>
  </si>
  <si>
    <t>Solid Acrylic Counter</t>
  </si>
  <si>
    <t>Plate Pick up Area</t>
  </si>
  <si>
    <t>Ticket Counte</t>
  </si>
  <si>
    <t>Cofee Counter</t>
  </si>
  <si>
    <t>VP Cabin 08 Repro</t>
  </si>
  <si>
    <t>VP Cabin 09 Repro</t>
  </si>
  <si>
    <t>Work Station Side Repro</t>
  </si>
  <si>
    <t>ODC 4 Repro</t>
  </si>
  <si>
    <t>Focus Are</t>
  </si>
  <si>
    <t>Curve Bench</t>
  </si>
  <si>
    <t>DISPLAY SHELVES</t>
  </si>
  <si>
    <t xml:space="preserve">Supplying, fabricating, and installing display shelves made from approved grade MDF/plywood of specified thickness, including necessary framing, supports, edging, and hardware, finished with high-quality Duco paint in approved shade and sheen, applied over proper surface preparation with primer, putty, sanding, and multiple coats to achieve a smooth, uniform, and glossy/matte finish, including all cutting, fixing, alignment, touch-ups, and making good complete in all respects as per drawings, design details, and instructions of the architect/interior designer, measured and paid per unit or per square meter as specified. </t>
  </si>
  <si>
    <t>Trphy Shelves</t>
  </si>
  <si>
    <t xml:space="preserve">HIGH BAR TABLE </t>
  </si>
  <si>
    <t>Supplying, fabricating, and installing high bar table of approved design and dimensions, comprising MS (mild steel) structural support framework made from duly primed and painted sections, securely fixed to floor as required, with tabletop made of plywood of specified thickness finished with high-pressure laminate of approved make, color, and texture, including edge banding and smooth finishing; bottom facia finished with fluted cladding made from MDF/PU-ready board, completed with high-quality Duco paint finish in approved shade and sheen, applied over proper surface preparation with primer, putty, sanding, and multiple coats, including all materials, fabrication, welding, grinding, hardware, fixing, alignment, finishing, and making good complete in all respects as per drawings and instructions of the architect/interior designer, measured and paid per unit.</t>
  </si>
  <si>
    <t>Flex</t>
  </si>
  <si>
    <t>AHU ROOm</t>
  </si>
  <si>
    <t>IT Stor</t>
  </si>
  <si>
    <t>External Area</t>
  </si>
  <si>
    <t>AHU Room Side</t>
  </si>
  <si>
    <t>Trainig Room</t>
  </si>
  <si>
    <t>HAT Work Station</t>
  </si>
  <si>
    <t>Serever Room</t>
  </si>
  <si>
    <t>AHU Passage</t>
  </si>
  <si>
    <t>Gym outer</t>
  </si>
  <si>
    <t>Outer VP 08</t>
  </si>
  <si>
    <t>6 Pax outer</t>
  </si>
  <si>
    <t>Assiciate Cabin</t>
  </si>
  <si>
    <t>Media byte</t>
  </si>
  <si>
    <t>Colum</t>
  </si>
  <si>
    <t>8 Pax outer</t>
  </si>
  <si>
    <t>Training Room Outer</t>
  </si>
  <si>
    <t>Nap Room</t>
  </si>
  <si>
    <t>Basic Rate -225/Sqft</t>
  </si>
  <si>
    <t>ACRYLIC TOP WINDOW SILL</t>
  </si>
  <si>
    <t xml:space="preserve">Providing and fixing window made of 6mm Acrylic along windows and glazed area and with  necessary wood support, The edges on the glazing side has to finished with enamel paint / Edge banding . </t>
  </si>
  <si>
    <t>SAME AS ABOVE MOTORIZED BLINDS</t>
  </si>
  <si>
    <t>SUN PROTECTION FILM</t>
  </si>
  <si>
    <t>Providing &amp; fixing Sun film of 3M make  as per design &amp; installed over the glass partition as per manufacturer's specification &amp; installation guidelines. Vendor shall include wastage while quoting. Vendor shall provide 10 year warranty as per manufacturer's guidelines.</t>
  </si>
  <si>
    <t>Sun film</t>
  </si>
  <si>
    <t>Kitchen</t>
  </si>
  <si>
    <t>Motorized Blinds</t>
  </si>
  <si>
    <t>BLINDS MOTOR</t>
  </si>
  <si>
    <t>Supply &amp; Installation of Somfy Motor 4 /28 RTS for Blinds</t>
  </si>
  <si>
    <t>BLINDS REMOTE</t>
  </si>
  <si>
    <t>Supply &amp; Installation of Somfy 16 Channel Remote for Blinds</t>
  </si>
  <si>
    <t xml:space="preserve">MS TUBE </t>
  </si>
  <si>
    <t xml:space="preserve">Supply &amp; Installation MS Rectangluar tube with necessary hardwares </t>
  </si>
  <si>
    <t>MS Tube</t>
  </si>
  <si>
    <t>Acoutic</t>
  </si>
  <si>
    <t>3D GRAPHICS</t>
  </si>
  <si>
    <t>Basic Rate -350/Sqft</t>
  </si>
  <si>
    <t>Kitchen Equipment</t>
  </si>
  <si>
    <t>GROUTING ON EXISTING TOILET TILE</t>
  </si>
  <si>
    <t>Providing and  laying approved Epoxy grout of approved shade as per manufacturers specifications.</t>
  </si>
  <si>
    <t>Grouting</t>
  </si>
  <si>
    <t>LOCKER UNIT</t>
  </si>
  <si>
    <t>BOQ for Kitchen Equipmet</t>
  </si>
  <si>
    <t>Reference Images</t>
  </si>
  <si>
    <t>SS SINK COUNTER - Size (2100 x 1200)</t>
  </si>
  <si>
    <t>SS STORAGE UNIT</t>
  </si>
  <si>
    <t>Plate Rack</t>
  </si>
  <si>
    <t>Basic Rate - 65/Sqft</t>
  </si>
  <si>
    <t>Basic Rate -150/Sqft</t>
  </si>
  <si>
    <t>Providing &amp; fixing 50mm ht. anodised approved extruded aluminium skirting  fixed over masonry wall /opaque partition to proper line &amp; level. The installed skirting shall be provided with approved matchig colour PVC capping, Complete as per manufacturer's specification, installation guidlines &amp; instructions of the Architect.</t>
  </si>
  <si>
    <t>Providing &amp; cutting and fixing of Vitrified tile skirting 50 mm high  as per pattern shown on relevant drawing including machine cutting of Tile as per required size and 45 degree cut at junctions etc.,. Tile to be bedded in average 12 mm thk cement paste.
The work includes paper joint filling with approved material as directed by Engineer In charge of matching color, curing etc complete. The entire work shall be carried out to the satisfaction of the Engineer - in - charge. The rate shall include cleaning of skirting disposal of debris and handing over to the Engineer - in - charge.</t>
  </si>
  <si>
    <t>Providing and fixing the suspended ceiling made of MS Tube &amp; mesh as per detail drawing</t>
  </si>
  <si>
    <t>Supply &amp; instllation of Square Make 500x500mm Open Cell Ceiling system of 0.5mmGI  thickness &amp; 40mm ht,  U bend with U size 25mmx 100 x100mm in powder coated finish of approved shade( The long channel and short channel would be at the same level interlocked in each cell . The size of the total cell would be 500x500mm with end clips /mounting clips . The tile would be hung through GI WIRE , M6 Hook type anchor fastner , butterfly clip . The ceiling and the accessories would be provided with powder coated finish of thickness 70-80 microns. Powder Coating Color:- Black Colour.</t>
  </si>
  <si>
    <t>Date :  27.01.2026</t>
  </si>
  <si>
    <t>Rev No : R1</t>
  </si>
  <si>
    <t>MDB -3F(S-1)</t>
  </si>
  <si>
    <r>
      <rPr>
        <b/>
        <sz val="11"/>
        <rFont val="Calibri"/>
        <family val="2"/>
        <scheme val="minor"/>
      </rPr>
      <t>MDB -3F</t>
    </r>
    <r>
      <rPr>
        <sz val="11"/>
        <rFont val="Calibri"/>
        <family val="2"/>
        <scheme val="minor"/>
      </rPr>
      <t xml:space="preserve"> (S-1) - Existing Panle modifications as per the Single line diagram and technical specifications.</t>
    </r>
    <r>
      <rPr>
        <b/>
        <sz val="11"/>
        <rFont val="Calibri"/>
        <family val="2"/>
        <scheme val="minor"/>
      </rPr>
      <t>(Indoor -IP 42)</t>
    </r>
  </si>
  <si>
    <t>MDB -3F(S-2)</t>
  </si>
  <si>
    <r>
      <rPr>
        <b/>
        <sz val="11"/>
        <rFont val="Calibri"/>
        <family val="2"/>
        <scheme val="minor"/>
      </rPr>
      <t>MDB -3F</t>
    </r>
    <r>
      <rPr>
        <sz val="11"/>
        <rFont val="Calibri"/>
        <family val="2"/>
        <scheme val="minor"/>
      </rPr>
      <t xml:space="preserve"> (S-2) - Existing Panle modifications as per the Single line diagram and technical specifications.</t>
    </r>
    <r>
      <rPr>
        <b/>
        <sz val="11"/>
        <rFont val="Calibri"/>
        <family val="2"/>
        <scheme val="minor"/>
      </rPr>
      <t>(Indoor -IP 42)</t>
    </r>
  </si>
  <si>
    <t xml:space="preserve">UPS I/P PANEL-1 </t>
  </si>
  <si>
    <r>
      <rPr>
        <b/>
        <sz val="11"/>
        <rFont val="Calibri"/>
        <family val="2"/>
        <scheme val="minor"/>
      </rPr>
      <t xml:space="preserve">UPS I/P PANEL-1 - </t>
    </r>
    <r>
      <rPr>
        <sz val="11"/>
        <rFont val="Calibri"/>
        <family val="2"/>
        <scheme val="minor"/>
      </rPr>
      <t>Existing Panle modifications as per the Single line diagram and technical specifications.(Indoor -IP 42)</t>
    </r>
  </si>
  <si>
    <t xml:space="preserve">UPS I/P PANEL-2 </t>
  </si>
  <si>
    <r>
      <rPr>
        <b/>
        <sz val="11"/>
        <rFont val="Calibri"/>
        <family val="2"/>
        <scheme val="minor"/>
      </rPr>
      <t xml:space="preserve">UPS I/P PANEL-2 - </t>
    </r>
    <r>
      <rPr>
        <sz val="11"/>
        <rFont val="Calibri"/>
        <family val="2"/>
        <scheme val="minor"/>
      </rPr>
      <t>Existing Panle modifications as per the Single line diagram and technical specifications.(Indoor -IP 42)</t>
    </r>
  </si>
  <si>
    <t>UPS O/P PANEL-1</t>
  </si>
  <si>
    <r>
      <rPr>
        <b/>
        <sz val="11"/>
        <rFont val="Calibri"/>
        <family val="2"/>
        <scheme val="minor"/>
      </rPr>
      <t>UPS O/P PANEL -1</t>
    </r>
    <r>
      <rPr>
        <sz val="11"/>
        <rFont val="Calibri"/>
        <family val="2"/>
        <scheme val="minor"/>
      </rPr>
      <t xml:space="preserve"> </t>
    </r>
    <r>
      <rPr>
        <b/>
        <sz val="11"/>
        <rFont val="Calibri"/>
        <family val="2"/>
        <scheme val="minor"/>
      </rPr>
      <t xml:space="preserve"> </t>
    </r>
    <r>
      <rPr>
        <sz val="11"/>
        <rFont val="Calibri"/>
        <family val="2"/>
        <scheme val="minor"/>
      </rPr>
      <t>Existing Panle modifications as per the Single line diagram and technical specifications.(Indoor -IP 42)</t>
    </r>
  </si>
  <si>
    <t>UPS O/P PANEL-2</t>
  </si>
  <si>
    <r>
      <rPr>
        <b/>
        <sz val="11"/>
        <rFont val="Calibri"/>
        <family val="2"/>
        <scheme val="minor"/>
      </rPr>
      <t>UPS O/P PANEL -2</t>
    </r>
    <r>
      <rPr>
        <sz val="11"/>
        <rFont val="Calibri"/>
        <family val="2"/>
        <scheme val="minor"/>
      </rPr>
      <t xml:space="preserve"> </t>
    </r>
    <r>
      <rPr>
        <b/>
        <sz val="11"/>
        <rFont val="Calibri"/>
        <family val="2"/>
        <scheme val="minor"/>
      </rPr>
      <t xml:space="preserve"> </t>
    </r>
    <r>
      <rPr>
        <sz val="11"/>
        <rFont val="Calibri"/>
        <family val="2"/>
        <scheme val="minor"/>
      </rPr>
      <t>Existing Panle modifications as per the Single line diagram and technical specifications.(Indoor -IP 42)</t>
    </r>
  </si>
  <si>
    <t>UPS O/P PANEL-3</t>
  </si>
  <si>
    <r>
      <rPr>
        <b/>
        <sz val="11"/>
        <rFont val="Calibri"/>
        <family val="2"/>
        <scheme val="minor"/>
      </rPr>
      <t xml:space="preserve">UPS O/P PANEL -3 </t>
    </r>
    <r>
      <rPr>
        <sz val="11"/>
        <rFont val="Calibri"/>
        <family val="2"/>
        <scheme val="minor"/>
      </rPr>
      <t>Existing Panle modifications as per the Single line diagram and technical specifications.(Indoor -IP 42)</t>
    </r>
  </si>
  <si>
    <t>VRF AC Panel (Proposed)</t>
  </si>
  <si>
    <r>
      <rPr>
        <b/>
        <sz val="11"/>
        <rFont val="Calibri"/>
        <family val="2"/>
        <scheme val="minor"/>
      </rPr>
      <t xml:space="preserve">VRF AC Panel </t>
    </r>
    <r>
      <rPr>
        <sz val="11"/>
        <rFont val="Calibri"/>
        <family val="2"/>
        <scheme val="minor"/>
      </rPr>
      <t xml:space="preserve"> </t>
    </r>
    <r>
      <rPr>
        <b/>
        <sz val="11"/>
        <rFont val="Calibri"/>
        <family val="2"/>
        <scheme val="minor"/>
      </rPr>
      <t xml:space="preserve"> </t>
    </r>
    <r>
      <rPr>
        <sz val="11"/>
        <rFont val="Calibri"/>
        <family val="2"/>
        <scheme val="minor"/>
      </rPr>
      <t>shall be as per Single line diagram and technical specifications.</t>
    </r>
    <r>
      <rPr>
        <b/>
        <sz val="11"/>
        <rFont val="Calibri"/>
        <family val="2"/>
        <scheme val="minor"/>
      </rPr>
      <t>(Indoor -IP 42)</t>
    </r>
  </si>
  <si>
    <t>Kitchen (Proposed)</t>
  </si>
  <si>
    <r>
      <rPr>
        <b/>
        <sz val="11"/>
        <rFont val="Calibri"/>
        <family val="2"/>
        <scheme val="minor"/>
      </rPr>
      <t xml:space="preserve">Kitchen Panel </t>
    </r>
    <r>
      <rPr>
        <sz val="11"/>
        <rFont val="Calibri"/>
        <family val="2"/>
        <scheme val="minor"/>
      </rPr>
      <t xml:space="preserve"> </t>
    </r>
    <r>
      <rPr>
        <b/>
        <sz val="11"/>
        <rFont val="Calibri"/>
        <family val="2"/>
        <scheme val="minor"/>
      </rPr>
      <t xml:space="preserve"> </t>
    </r>
    <r>
      <rPr>
        <sz val="11"/>
        <rFont val="Calibri"/>
        <family val="2"/>
        <scheme val="minor"/>
      </rPr>
      <t>shall be as per Single line diagram and technical specifications.</t>
    </r>
    <r>
      <rPr>
        <b/>
        <sz val="11"/>
        <rFont val="Calibri"/>
        <family val="2"/>
        <scheme val="minor"/>
      </rPr>
      <t>(Indoor -IP 42)</t>
    </r>
  </si>
  <si>
    <t>80A 4P MCCB  in metallic enclosure -IP 42 (Without Release)</t>
  </si>
  <si>
    <t>40+40 KVA UPS , 2 Nos  (I/O)</t>
  </si>
  <si>
    <t>40A 4P MCB  in metallic enclosure -IP 65  (Suitable to terminate 16/25 sqmm Cables)</t>
  </si>
  <si>
    <t>1.8.2</t>
  </si>
  <si>
    <r>
      <rPr>
        <b/>
        <sz val="11"/>
        <rFont val="Calibri"/>
        <family val="2"/>
        <scheme val="minor"/>
      </rPr>
      <t>PLUG IN TAPOFF BOX : 250</t>
    </r>
    <r>
      <rPr>
        <sz val="11"/>
        <rFont val="Calibri"/>
        <family val="2"/>
        <scheme val="minor"/>
      </rPr>
      <t>,25kA, 4P Microprocessor based  MCCB with OC/SC/EF release with Dual Source Energy Meter along with required CT's and other related accessories in metallic enclosure - IP 42.Plugin Box to be fixed in the existing builder panel</t>
    </r>
  </si>
  <si>
    <t>1.8.3</t>
  </si>
  <si>
    <r>
      <rPr>
        <b/>
        <sz val="11"/>
        <rFont val="Calibri"/>
        <family val="2"/>
        <scheme val="minor"/>
      </rPr>
      <t>PLUG IN TAPOFF BOX : 160</t>
    </r>
    <r>
      <rPr>
        <sz val="11"/>
        <rFont val="Calibri"/>
        <family val="2"/>
        <scheme val="minor"/>
      </rPr>
      <t>,25kA, 4P Microprocessor based  MCCB with OC/SC/EF release with Dual Source Energy Meter along with required CT's and other related accessories in metallic enclosure - IP 42.Plugin Box to be fixed in the existing builder panel</t>
    </r>
  </si>
  <si>
    <t>1.8.4</t>
  </si>
  <si>
    <r>
      <rPr>
        <b/>
        <sz val="11"/>
        <rFont val="Calibri"/>
        <family val="2"/>
        <scheme val="minor"/>
      </rPr>
      <t>ATS : 160</t>
    </r>
    <r>
      <rPr>
        <sz val="11"/>
        <rFont val="Calibri"/>
        <family val="2"/>
        <scheme val="minor"/>
      </rPr>
      <t>,25kA, 4P Microprocessor based  MCCB with OC/SC/EF release with Dual Source Energy Meter along with required CT's and other related accessories in metallic enclosure - IP 42.</t>
    </r>
  </si>
  <si>
    <t>6-10A SP MCB, 10 kA - 36 Nos. as outgoings : MCB are of 'C' Curve</t>
  </si>
  <si>
    <t>16A SP MCB, 10 kA - 36 Nos. as outgoings : MCB are of 'C' Curve</t>
  </si>
  <si>
    <t>16A SP MCB, 10 kA - 36 Nos. as outgoings : MCB are of 'D' Curve</t>
  </si>
  <si>
    <t>12 Way SPN MCB Distribution Board  (Emg Intrim DB)</t>
  </si>
  <si>
    <t>Type of DB - 12 way SPN MCB DB</t>
  </si>
  <si>
    <t>25A DP MCB, 10 kA - 3 Nos. as outgoings : MCB are of 'C' Curve - Outgoing</t>
  </si>
  <si>
    <t xml:space="preserve">25A DP MCB + 25A ,DP 30MA RCBO, 2 Module - 1 No. each as incomer </t>
  </si>
  <si>
    <t>80KVA Input</t>
  </si>
  <si>
    <t>Kitchen Panel,40kVA</t>
  </si>
  <si>
    <t xml:space="preserve">VRF AC Panel </t>
  </si>
  <si>
    <t>3.5CX 185Sqmm Alu.arm  Cable</t>
  </si>
  <si>
    <t xml:space="preserve">Incommer, AC panel </t>
  </si>
  <si>
    <t>3.5CX 240Sqmm Alu.arm  Cable</t>
  </si>
  <si>
    <t>J</t>
  </si>
  <si>
    <t>4.9.1</t>
  </si>
  <si>
    <r>
      <t>Supply, installation, testing and Commissioning of</t>
    </r>
    <r>
      <rPr>
        <b/>
        <sz val="11"/>
        <rFont val="Calibri"/>
        <family val="2"/>
        <scheme val="minor"/>
      </rPr>
      <t xml:space="preserve"> 2 x 6A, universal socket controlled with 2 x 6A Switch floor mounted pop up box - IP65 (MK Floor BOX)  </t>
    </r>
    <r>
      <rPr>
        <sz val="11"/>
        <rFont val="Calibri"/>
        <family val="2"/>
        <scheme val="minor"/>
      </rPr>
      <t>including interconnection etc., complete.The sockets shall be with face plate, GI BOX with accessories.Rate shall include the cost for fixing of back box with plastering and rough finish (Make: Legrand or Equivalent) (The Floor Box Suitable to ccomadate 2 nos Data Only Provision)</t>
    </r>
  </si>
  <si>
    <t>4.9.2</t>
  </si>
  <si>
    <r>
      <t>Supply, installation, testing and Commissioning of</t>
    </r>
    <r>
      <rPr>
        <b/>
        <sz val="11"/>
        <rFont val="Calibri"/>
        <family val="2"/>
        <scheme val="minor"/>
      </rPr>
      <t xml:space="preserve"> 2 x 6A, universal socket controlled with 2 x 6A Switch floor mounted pop up box - IP65 (MK Floor BOX)  </t>
    </r>
    <r>
      <rPr>
        <sz val="11"/>
        <rFont val="Calibri"/>
        <family val="2"/>
        <scheme val="minor"/>
      </rPr>
      <t xml:space="preserve">including interconnection etc., complete.The sockets shall be with face plate, GI BOX with accessories.Rate shall include the cost for fixing of back box with plastering and rough finish (Make: Legrand or Equivalent)  </t>
    </r>
  </si>
  <si>
    <t>4.21.1</t>
  </si>
  <si>
    <t>Supply, installation, testing and Commissioning of 2 x 6/16A,, universal socket controlled with 2 x 16A Switch including interconnection etc., complete.The sockets shall be with face plate GI Back Box and its accessories.Rate shall include the cost for fixing of back box with plastering and rough finish  (IP-65)</t>
  </si>
  <si>
    <t>Supply, installation, testing and Commissioning of 16/20A, 1 phase Industrial Plug &amp; Socket controlled with 16/20A DP MCB in a enclosure with all accessories.  - IP 65</t>
  </si>
  <si>
    <t>Supply, installation, testing and Commissioning of 25A, 1 phase Industrial Plug &amp; Socket controlled with 25A DP MCB in a  enclosure with all accessories.  - IP 65</t>
  </si>
  <si>
    <t>Supply, installation, testing and Commissioning of 25A, 3 phase Industrial Plug &amp; Socket controlled with 25A 4P MCB in a  enclosure with all accessories.  - IP 65</t>
  </si>
  <si>
    <t>Supply, installation, testing and Commissioning of 40A, 3 phase Industrial Plug &amp; Socket controlled with 40A 4P MCB in a  enclosure with all accessories.  - IP 65</t>
  </si>
  <si>
    <t>Supply, installation, testing and Commissioning of 63A, 3 phase Industrial Plug &amp; Socket controlled with 63A 4P MCB in a  enclosure with all accessories. - IP 65</t>
  </si>
  <si>
    <r>
      <t>Installation , testing and Re Commissioning of</t>
    </r>
    <r>
      <rPr>
        <b/>
        <sz val="10.5"/>
        <rFont val="Calibri"/>
        <family val="2"/>
        <scheme val="minor"/>
      </rPr>
      <t xml:space="preserve"> </t>
    </r>
    <r>
      <rPr>
        <sz val="10.5"/>
        <rFont val="Calibri"/>
        <family val="2"/>
        <scheme val="minor"/>
      </rPr>
      <t xml:space="preserve"> </t>
    </r>
    <r>
      <rPr>
        <b/>
        <sz val="10.5"/>
        <rFont val="Calibri"/>
        <family val="2"/>
        <scheme val="minor"/>
      </rPr>
      <t xml:space="preserve">EXISTING 10 kVA UPS(Conventional) , 3Ø IN / 1Ø </t>
    </r>
    <r>
      <rPr>
        <sz val="10.5"/>
        <rFont val="Calibri"/>
        <family val="2"/>
        <scheme val="minor"/>
      </rPr>
      <t xml:space="preserve">OUT ALONG with Batteries ,Battery rack, connecting cables from UPS &amp; batteries etc. </t>
    </r>
  </si>
  <si>
    <t xml:space="preserve">LMS Works </t>
  </si>
  <si>
    <t>SI NO</t>
  </si>
  <si>
    <t>IMAGE</t>
  </si>
  <si>
    <t>RATE</t>
  </si>
  <si>
    <t>AMOUNT</t>
  </si>
  <si>
    <t>SUPPLY</t>
  </si>
  <si>
    <t>INSTALLATION</t>
  </si>
  <si>
    <r>
      <rPr>
        <sz val="12"/>
        <rFont val="Arial"/>
        <family val="2"/>
      </rPr>
      <t xml:space="preserve">SITC of POWPAK DALI DIMMING module with  32 fixtures fixtures , radio frequency (RF) control electronic ballasts.. Communication utilizing Lutron Clear Connect RF technology  with Occ sensor/DL sensor/Keypads etc </t>
    </r>
    <r>
      <rPr>
        <b/>
        <sz val="12"/>
        <rFont val="Arial"/>
        <family val="2"/>
      </rPr>
      <t>RMNS-DAL-32-SZ</t>
    </r>
  </si>
  <si>
    <r>
      <rPr>
        <sz val="12"/>
        <rFont val="Arial"/>
        <family val="2"/>
      </rPr>
      <t xml:space="preserve">SITC of POWPAK DALI DIMMING module with 4  fixtures fixtures , radio frequency (RF) control electronic ballasts.. Communication utilizing Lutron Clear Connect RF technology  with Occ sensor/DL sensor/Keypads etc </t>
    </r>
    <r>
      <rPr>
        <b/>
        <sz val="12"/>
        <rFont val="Arial"/>
        <family val="2"/>
      </rPr>
      <t>RMNS-DAL-4-SZ</t>
    </r>
  </si>
  <si>
    <r>
      <rPr>
        <sz val="12"/>
        <rFont val="Arial"/>
        <family val="2"/>
      </rPr>
      <t xml:space="preserve">SITC of  Wireless Ceiling mounted Occupancy Sensor with radio frequency and connect with single channel DALI  module / relay module  wirelessly. The sensors should not interfere with any other wireless devices. The device should be with battery life 8-10 years and dedicated frequency less than 1 GHz. Similar to Lutron </t>
    </r>
    <r>
      <rPr>
        <b/>
        <sz val="12"/>
        <rFont val="Arial"/>
        <family val="2"/>
      </rPr>
      <t>LRF5 OCR2B WH</t>
    </r>
    <r>
      <rPr>
        <sz val="12"/>
        <rFont val="Arial"/>
        <family val="2"/>
      </rPr>
      <t xml:space="preserve"> / Equivalent</t>
    </r>
  </si>
  <si>
    <r>
      <rPr>
        <sz val="12"/>
        <rFont val="Arial"/>
        <family val="2"/>
      </rPr>
      <t xml:space="preserve">SITC of Wireless personlised control Keypad with a WPC approved frequency of 865 Mhz, 3 Button with raise and lower for bigger  rooms, with faceplate,mounts on glass surfaces also,  with guranteed 10 year battery life along with necessary fixing arrangements and programming at site etc, complete as required similar to Lutron  </t>
    </r>
    <r>
      <rPr>
        <b/>
        <sz val="12"/>
        <rFont val="Arial"/>
        <family val="2"/>
      </rPr>
      <t>PN2 3BRL TAW +LPFP S1 TAW</t>
    </r>
  </si>
  <si>
    <r>
      <rPr>
        <sz val="12"/>
        <rFont val="Arial"/>
        <family val="2"/>
      </rPr>
      <t xml:space="preserve">SITC of Wireless personalized control Keypad with a WPC approved frequency of 865 MHz, 6 Button with raise and lower for bigger  rooms, with face plate, mounts on glass surfaces also,  with guaranteed 10 year battery life along with necessary fixing arrangements and programming at site etc, complete as required similar to Lutron  </t>
    </r>
    <r>
      <rPr>
        <b/>
        <sz val="12"/>
        <rFont val="Arial"/>
        <family val="2"/>
      </rPr>
      <t>PN2 4B TAW +PN2 2BRL TAW +LPFP S2 TAW</t>
    </r>
  </si>
  <si>
    <t>Complete commissioning of the system</t>
  </si>
  <si>
    <t>GST extra</t>
  </si>
  <si>
    <t>R1</t>
  </si>
  <si>
    <t>27.01.2026</t>
  </si>
  <si>
    <t>Supplying, Installing, testing and commissioning CI butterfly valves as per BS 5155 ( PN 16) slim seal standared lever operated type with required flanges, nuts, bolts etc. complete.</t>
  </si>
  <si>
    <t>150mm dia</t>
  </si>
  <si>
    <t>100mm dia</t>
  </si>
  <si>
    <t>Supplying, Installing, testing and commissioning flow switch installed on the sprinkler main distribution line connected to the Fire Alarm panel.</t>
  </si>
  <si>
    <t>4.7</t>
  </si>
  <si>
    <t xml:space="preserve">Removing, Relocating of existing srinklers , Spinkler Pipes , and all accessories complete set   </t>
  </si>
  <si>
    <t xml:space="preserve">Testing and Commissioning of  New Sprinkler Line </t>
  </si>
  <si>
    <t>26.01.2026</t>
  </si>
  <si>
    <r>
      <rPr>
        <b/>
        <sz val="10"/>
        <rFont val="Leelawadee"/>
        <family val="2"/>
        <charset val="222"/>
      </rPr>
      <t xml:space="preserve">Supply, Installation Testing &amp; Commissioning of  Sheet metal cabinet type double skin air plenum section </t>
    </r>
    <r>
      <rPr>
        <sz val="10"/>
        <rFont val="Leelawadee"/>
        <family val="2"/>
        <charset val="222"/>
      </rPr>
      <t>of following sizes for air handling units supplied by Developer. All sheet metal connection, partitions and plenums, required to confine the flow of air to and through the filters and fans, shall be constructed of 18 gauge GSS / 16 Gauge aluminum, thoroughly stiffened with 25 mm x 25 mm x 3mm galvanized steel angle braces and fitted with all necessary inspection doors as required, to give access to all parts of the apparatus.  Access doors shall be not less than 45 cm x 45 cm in size. Air plenums shall be modular in construction with powder coated aluminum frame work.</t>
    </r>
  </si>
  <si>
    <t>3000MM(l)x1500MM(w)x750 MM(h)  as per technical specifications</t>
  </si>
  <si>
    <r>
      <rPr>
        <b/>
        <sz val="10"/>
        <rFont val="Leelawadee"/>
        <family val="2"/>
        <charset val="222"/>
      </rPr>
      <t>Supply , Installation, Testing &amp; Commissioning of Pre Filters for Air handling Units at 1st Floor   with Rating (Grade) as per ASHRAE 52.2-MERV -8 &amp; Rating (Grade) as per EN 779- G4 Efficiency grade 90% down to 10 microns Preferably Box type design (Pleated construction) in design.  All Filters shall be covered with polyethylene cover and packed in good quality cartons box for safe handling and storage</t>
    </r>
    <r>
      <rPr>
        <sz val="10"/>
        <rFont val="Leelawadee"/>
        <family val="2"/>
        <charset val="222"/>
      </rPr>
      <t xml:space="preserve">.The cost shall include the cost of removal of existing MERV-8 Filters and replacement with new MERV-8 Filters . Contractor to check the space avaialble in existing AHU and select the Filter depths accordingly. Initial &amp; final pressure drops should not exceed 50 pa &amp;  120 Pa.The Scope shall include the cost of removal of existing MERV-8 &amp; replacement with new filters </t>
    </r>
  </si>
  <si>
    <r>
      <rPr>
        <b/>
        <sz val="10"/>
        <rFont val="Leelawadee"/>
        <family val="2"/>
        <charset val="222"/>
      </rPr>
      <t>Supply , Installation, Testing &amp; Commissioning of Fine Filters for Air handling Units at 1st Floor   with Rating (Grade) as per ASHRAE 52.2-MERV -13 &amp; Rating (Grade) as per EN 779- F7 Efficiency grade 95% down to 5 microns Preferably Box type design (Pleated construction) in design.  All Filters shall be covered with polyethylene cover and packed in good quality cartons box for safe handling and storage.</t>
    </r>
    <r>
      <rPr>
        <sz val="10"/>
        <rFont val="Leelawadee"/>
        <family val="2"/>
        <charset val="222"/>
      </rPr>
      <t xml:space="preserve">The cost shall include the cost of removal of existing MERV-13 Filters and replacement with new MERV-13 Filters . Contractor to check the space avaialble in existing AHU and select the Filter depths accordingly. Initial &amp; final pressure drops should not exceed 160 Pa &amp;  450 Pa.The Scope shall include the cost of removal of existing MERV-13 Filters &amp; replacement with new filters </t>
    </r>
  </si>
  <si>
    <t xml:space="preserve">INLINE CENTRIFUGAL CABINET TYPE EXHAUST AIR FANS </t>
  </si>
  <si>
    <r>
      <rPr>
        <b/>
        <sz val="10"/>
        <rFont val="Leelawadee"/>
        <family val="2"/>
        <charset val="222"/>
      </rPr>
      <t>Supply, Installation, Testing &amp; Commissioning of Double Skin Inline Centrifugal Cabinet type exhaust air fan comprising of fan section of following capacity suitable for exhaust air system.</t>
    </r>
    <r>
      <rPr>
        <sz val="10"/>
        <rFont val="Leelawadee"/>
        <family val="2"/>
        <charset val="222"/>
      </rPr>
      <t xml:space="preserve"> Inner skin shall be constructed out of 24 gauge plain GS sheet &amp; outer skin in 24 gauge pre-plasticized GS sheet  sandwitched between 25mm thick injected PU foam insulation of density  not less than 40 Kg /CuM  and complete with  inspection doors  and marine light, limit switch including control wiring as required. Duct Flanges to be provided along with fan for inlet and outlet connections. Fan shall be ba curved DIDW type centrifugal fans , Motor- IP-55, IE-3 TEFC squirrel cage induction motor suitable  to  operate on 415+10%V, 50Hz, 3 phase AC power supply and  belt drive  package and spring type vibration isolators. Select the fans for lowest DB level ( &lt;45 DB) as per the manufacturers selection.</t>
    </r>
  </si>
  <si>
    <r>
      <t xml:space="preserve">Fan intake velocity shall not be more than 1500 FPM. All fans should be AMCA certified. Fans shall be provided with Suction &amp; Discharge openings with flanges as per approved shop drawing. </t>
    </r>
    <r>
      <rPr>
        <b/>
        <sz val="10"/>
        <rFont val="Leelawadee"/>
        <family val="2"/>
        <charset val="222"/>
      </rPr>
      <t>Fan section should be provided with 25mm thick Armasound acoustic insulation covered with perforated sheet.In addition to the above fans shall be  provided with adequate vibration isolation pads and fire retardent flexible canvass connections made out of canvass sleeve for inlet &amp; discharge side of fans</t>
    </r>
  </si>
  <si>
    <t>Exhuast air Fan capacity : 2600 CFM @ 35 mmwg of external static pressure, Motor rating 1.5 KW-  For Gents + Ladies Toilet Block-1</t>
  </si>
  <si>
    <t>Exhuast air Fan capacity : 950CFM @ 30 mmwg of external static pressure, Motor rating 0.55 KW-  For Gents Toilet Block-2</t>
  </si>
  <si>
    <t>Exhuast air Fan capacity : 850CFM @ 30 mmwg of external static pressure, Motor rating 0.55 KW-  For Ladies Toilet Block-2</t>
  </si>
  <si>
    <r>
      <rPr>
        <b/>
        <sz val="10"/>
        <rFont val="Leelawadee"/>
        <family val="2"/>
        <charset val="222"/>
      </rPr>
      <t>Supply, Installation, Testing and Commissioning of silent/ Low  Noise Mixed flow type Exhuast air fan</t>
    </r>
    <r>
      <rPr>
        <sz val="10"/>
        <rFont val="Leelawadee"/>
        <family val="2"/>
        <charset val="222"/>
      </rPr>
      <t xml:space="preserve"> - duct type complete with suitable motor, fire resistive flexible connection with nut bolts at outlet, vibration isolators, inlet dampers etc. </t>
    </r>
    <r>
      <rPr>
        <b/>
        <sz val="10"/>
        <rFont val="Leelawadee"/>
        <family val="2"/>
        <charset val="222"/>
      </rPr>
      <t xml:space="preserve">Fan capacity : 300 CFM  @ 25- 30mmwg of external static pressure. </t>
    </r>
    <r>
      <rPr>
        <sz val="10"/>
        <rFont val="Leelawadee"/>
        <family val="2"/>
        <charset val="222"/>
      </rPr>
      <t>Fan  shall be suitable for operation on 220 ± 6 % volts, 50 Hz,1 phase AC  power   supply. Flanges to be provided on both sides to facilitate duct connections.</t>
    </r>
    <r>
      <rPr>
        <b/>
        <sz val="10"/>
        <rFont val="Leelawadee"/>
        <family val="2"/>
        <charset val="222"/>
      </rPr>
      <t xml:space="preserve"> Fans shall be  provided with adequate vibration isolation pads/ Neoprene Rubber pads and fire retardent flexible canvass connections made out of canvass sleeve for inlet &amp; discharge side of fans. </t>
    </r>
    <r>
      <rPr>
        <sz val="10"/>
        <rFont val="Leelawadee"/>
        <family val="2"/>
        <charset val="222"/>
      </rPr>
      <t xml:space="preserve">  Select the fans for lowest DB level ( &lt;47 DB) as per the manufacturers selection</t>
    </r>
    <r>
      <rPr>
        <b/>
        <sz val="10"/>
        <rFont val="Leelawadee"/>
        <family val="2"/>
        <charset val="222"/>
      </rPr>
      <t>- For Executive Dining Pantry exhuast</t>
    </r>
  </si>
  <si>
    <r>
      <rPr>
        <b/>
        <sz val="10"/>
        <rFont val="Leelawadee"/>
        <family val="2"/>
        <charset val="222"/>
      </rPr>
      <t>Supply, Installation, Testing and Commissioning of silent/ Low  Noise Mixed flow type Exhuast air fan</t>
    </r>
    <r>
      <rPr>
        <sz val="10"/>
        <rFont val="Leelawadee"/>
        <family val="2"/>
        <charset val="222"/>
      </rPr>
      <t xml:space="preserve"> - duct type complete with suitable motor, fire resistive flexible connection with nut bolts at outlet, vibration isolators, inlet dampers etc. </t>
    </r>
    <r>
      <rPr>
        <b/>
        <sz val="10"/>
        <rFont val="Leelawadee"/>
        <family val="2"/>
        <charset val="222"/>
      </rPr>
      <t xml:space="preserve">Fan capacity : 500 CFM  @ 25-30mmwg of external static pressure. </t>
    </r>
    <r>
      <rPr>
        <sz val="10"/>
        <rFont val="Leelawadee"/>
        <family val="2"/>
        <charset val="222"/>
      </rPr>
      <t>Fan  shall be suitable for operation on 220 ± 6 % volts, 50 Hz,1 phase AC  power   supply. Flanges to be provided on both sides to facilitate duct connections.</t>
    </r>
    <r>
      <rPr>
        <b/>
        <sz val="10"/>
        <rFont val="Leelawadee"/>
        <family val="2"/>
        <charset val="222"/>
      </rPr>
      <t xml:space="preserve"> Fans shall be  provided with adequate vibration isolation pads/ Neoprene Rubber pads and fire retardent flexible canvass connections made out of canvass sleeve for inlet &amp; discharge side of fans. </t>
    </r>
    <r>
      <rPr>
        <sz val="10"/>
        <rFont val="Leelawadee"/>
        <family val="2"/>
        <charset val="222"/>
      </rPr>
      <t xml:space="preserve">  Select the fans for lowest DB level ( &lt;47 DB) as per the manufacturers selection</t>
    </r>
    <r>
      <rPr>
        <b/>
        <sz val="10"/>
        <rFont val="Leelawadee"/>
        <family val="2"/>
        <charset val="222"/>
      </rPr>
      <t>- For Electrical Room- 02 Exhaust</t>
    </r>
  </si>
  <si>
    <r>
      <t>500 CFM - Free Static</t>
    </r>
    <r>
      <rPr>
        <b/>
        <sz val="10"/>
        <rFont val="Leelawadee"/>
        <family val="2"/>
        <charset val="222"/>
      </rPr>
      <t>-For Electrical Room- 01 Exhaust</t>
    </r>
  </si>
  <si>
    <t>600 CFM - Free Static</t>
  </si>
  <si>
    <t>100 CFM - Free Static</t>
  </si>
  <si>
    <r>
      <t xml:space="preserve">Supply, Installation Testing &amp; Commissioning of Silent Rectangular inline fan - duct type complete with suitable motor, fire resistive flexible connection with nut bolts at outlet, vibration isolators, inlet dampers etc. Fan capacity : 300CFM  @ 25 mmwg of external static pressure.Fan  shall be suitable for operation on 220 ± 6 % volts, 50 Hz,1 phase AC  power supply. </t>
    </r>
    <r>
      <rPr>
        <sz val="10"/>
        <rFont val="Leelawadee"/>
        <family val="2"/>
        <charset val="222"/>
      </rPr>
      <t>Flanges to be provided on both sides to facilitate duct connections.</t>
    </r>
    <r>
      <rPr>
        <b/>
        <sz val="10"/>
        <rFont val="Leelawadee"/>
        <family val="2"/>
        <charset val="222"/>
      </rPr>
      <t xml:space="preserve">.  Fans shall be  provided with adequate vibration isolation pads/ Neoprene Rubber pads and fire retardent flexible canvass connections made out of canvass sleeve for inlet &amp; discharge side of fans. </t>
    </r>
    <r>
      <rPr>
        <sz val="10"/>
        <rFont val="Leelawadee"/>
        <family val="2"/>
        <charset val="222"/>
      </rPr>
      <t>All Fans Should be complete with Plug Top &amp; necessary FRLS power cable.  Select the fans for lowest DB level ( &lt;55 DB) as per the manufacturers selection-</t>
    </r>
    <r>
      <rPr>
        <b/>
        <sz val="10"/>
        <rFont val="Leelawadee"/>
        <family val="2"/>
        <charset val="222"/>
      </rPr>
      <t xml:space="preserve"> For Battery Room Exhaust</t>
    </r>
  </si>
  <si>
    <r>
      <t>Casing:</t>
    </r>
    <r>
      <rPr>
        <sz val="10"/>
        <rFont val="Leelawadee"/>
        <family val="2"/>
        <charset val="222"/>
      </rPr>
      <t xml:space="preserve"> Casing shall be made of double skin type with universal discharge type (left/right/top). Outer skin should be pre-painted galvanized sheet, these panels should be insulated with 25mm thick PUF. Panels shall be open able for easy cleaning and maintenance. Fan section and motor section should be made compartment wise making motor isolated from the air flow path. Motor section should have fixed acoustic louvers on both sides</t>
    </r>
  </si>
  <si>
    <r>
      <t xml:space="preserve">Fan: </t>
    </r>
    <r>
      <rPr>
        <sz val="10"/>
        <rFont val="Leelawadee"/>
        <family val="2"/>
        <charset val="222"/>
      </rPr>
      <t>Fan should be AMCA certified Aerofoil curved plug fans, these fans should be epoxy painted. Fan should statically and dynamically balanced. Fan selected should low noise type.Complete assembly module with highest system efficiency, specifically developed and optimized for use without a spiral casing. Newly developed high-performance impeller with optimized shape and highest efficiency, comprising six backward curved hollow section true aerofoil blades with real turbulence profile and rounded, inclined blade leading edges from impeller shroud to back plate, for optimal impact over the entire width of the blade. Co-rotating radial diffuser with optimized exit curving on the cover disc to enhance efficiency. Impeller made of high tensile sheet steel in an automated manufacturing process, robotic welding, degreased, iron phosphated and coated with a high quality epoxy-polyester mixed powder, fastened with a clamping bush to the shaft of the foot motor, balanced statically and dynamically according to DIN ISO 21940-11, specification G 2,5, based on the maximum speed. Fan can only be used with a horizontal axis! Performance data (w/o drive) according to tolerance class 1 to DIN 24 166. AMCA Licensed for Air Performance and Efficiency.</t>
    </r>
  </si>
  <si>
    <r>
      <t xml:space="preserve">Motor: </t>
    </r>
    <r>
      <rPr>
        <sz val="10"/>
        <rFont val="Leelawadee"/>
        <family val="2"/>
        <charset val="222"/>
      </rPr>
      <t>Motor should be TEFC energy efficient IE2/IE3 VFD Compatibility, Power supply - 415 Volts, 3 Phase, 50 Hz.</t>
    </r>
  </si>
  <si>
    <r>
      <t xml:space="preserve">Drive: </t>
    </r>
    <r>
      <rPr>
        <sz val="10"/>
        <rFont val="Leelawadee"/>
        <family val="2"/>
        <charset val="222"/>
      </rPr>
      <t>Direct driven type</t>
    </r>
  </si>
  <si>
    <r>
      <t>Supply , installation Testing &amp; Commissioning of Low noise Universal discharge type double skin  fan section (Inner and outer thickness of casing should be 0.6 mm thick GSS and insulated with 25 mm thick PUF) .</t>
    </r>
    <r>
      <rPr>
        <sz val="10"/>
        <rFont val="Leelawadee"/>
        <family val="2"/>
        <charset val="222"/>
      </rPr>
      <t xml:space="preserve"> Fan and motor should be in separate compartment making motor outside the air stream.  Fan should be energy efficient direct driven AMCA certified Aerofoil Plug fan. Motor should be IE-2/IE3/IE4/PM(BLDC) TEFC Sq. Cage  suitable for 415Â±10 V, 3-Ph, 50 Hz. Power supply with VFD compatibility and VFD drive. Unit should be suitable for mounting in the ceiling level . The fan unit shall be supplied along with necessary spring vibration isolation arrangement or equivalent/better, Limit switches, Marine lamp, Inspection door, fire retardant non - canvas type flexible connection between fan outlet &amp; inlet flange and duct and all necessary accessories.  It shall be ceiling mounted with M S channel frame supports.  Noise level should not exceed 55DB at 1.5 Meter. </t>
    </r>
  </si>
  <si>
    <r>
      <t>The motor should be selected for VFD Compatible type.</t>
    </r>
    <r>
      <rPr>
        <sz val="10"/>
        <rFont val="Leelawadee"/>
        <family val="2"/>
        <charset val="222"/>
      </rPr>
      <t xml:space="preserve"> Supply , Installation, testing and commisisoning of VFD shall be included HVAC vendor scope. Compartment provisions in statrter panel will be provided by others for install the VFD</t>
    </r>
  </si>
  <si>
    <t>Supply Installation , Testing &amp; commissioning  of Double Skin -DIDW, 5100 CFM, 75 mmwg- Total Static , 3.0 KW &amp; 1450 RPM - Motor to be outside Air Stream</t>
  </si>
  <si>
    <r>
      <rPr>
        <b/>
        <sz val="10"/>
        <rFont val="Leelawadee"/>
        <family val="2"/>
        <charset val="222"/>
      </rPr>
      <t xml:space="preserve">Supply, Installation , testing &amp; Commissioning of Variable frequency drive (VFD) - for 3.0 KW Motor </t>
    </r>
    <r>
      <rPr>
        <sz val="10"/>
        <rFont val="Leelawadee"/>
        <family val="2"/>
        <charset val="222"/>
      </rPr>
      <t xml:space="preserve">which shall be housed in Exhaust fan Startel Panel. Starter panel shall be part of Electrical contactor scope.  VFD shall be supplied with IP 21 Protection.  The construction of the fan motor shall be of IP 42.  The VFD shall be capable of regulating the speed of the Exhuast air fan from 120 % to 20% of rated Exhaust  fan speed at the specifed rated flow &amp; static.  The Communication card to transfer the entire data available on VFD to the BMS System. he VFD shall be capable of hooking to the BMS system .VFD should be supplied with Communication Card to transfer the necessary information from VFD to BMS System.  All Hardware &amp; Software required for integration should be part of scope. VFD should have capacity to read cumulative KWH of energy consumption and not instantaneous value. </t>
    </r>
  </si>
  <si>
    <r>
      <t xml:space="preserve">Supply &amp; Installation  of Limit switch wiring ,lighting &amp; motor interlock to be provided with 3 core 2.5sqmm cable in 19mm dia </t>
    </r>
    <r>
      <rPr>
        <b/>
        <sz val="10"/>
        <color theme="1"/>
        <rFont val="Leelawadee"/>
        <family val="2"/>
        <charset val="222"/>
      </rPr>
      <t>GI conduit</t>
    </r>
  </si>
  <si>
    <t>ELECTROSTATIC DRY SCRUBBER FOR KITCHEN EXHAUST OF 5100 CFM.</t>
  </si>
  <si>
    <r>
      <rPr>
        <b/>
        <sz val="10"/>
        <color indexed="8"/>
        <rFont val="Leelawadee"/>
        <family val="2"/>
        <charset val="222"/>
      </rPr>
      <t xml:space="preserve">Supply, installation, testing &amp; Commissioning of </t>
    </r>
    <r>
      <rPr>
        <b/>
        <sz val="10"/>
        <color theme="3" tint="-0.249977111117893"/>
        <rFont val="Leelawadee"/>
        <family val="2"/>
        <charset val="222"/>
      </rPr>
      <t>Electro- Static Dry scrubber</t>
    </r>
    <r>
      <rPr>
        <b/>
        <sz val="10"/>
        <color indexed="8"/>
        <rFont val="Leelawadee"/>
        <family val="2"/>
        <charset val="222"/>
      </rPr>
      <t xml:space="preserve"> for the above exhaust rating of 5100 CFM. The vendor shall include the Pressure drop to be 20mm Wg,</t>
    </r>
    <r>
      <rPr>
        <sz val="10"/>
        <color indexed="8"/>
        <rFont val="Leelawadee"/>
        <family val="2"/>
        <charset val="222"/>
      </rPr>
      <t xml:space="preserve"> works with necessary valve arrangement. The scope of supply should include complete system for Electrostatic Dry scrubber operation. It shall also include the carbon filters for residual carbon content removal.The Electrostatic Air Cleaners shall be supplied as a one-piece factory joined assembly of individual section(s) selected to treat oil mist, smoke, fume, grease &amp; dust/ powder problems.  
</t>
    </r>
  </si>
  <si>
    <t>CABINET TYPE  FRESH AIR FANS</t>
  </si>
  <si>
    <t>Supply , installation, Testing &amp; Commissioning of Low noise Universal discharge type Double skin Horizontal ceiling mounted cabinet type fresh air fan with 25mm  thick PUF sandwiched insulated panel (density 38kg/cum), (Inner and outer thickness of casing should be 0.6 mm thick GSS and insulated with 25 mm thick PUF) , Fan should be energy efficient direct driven AMCA certified Aerofoil Plug fan. Motor should be IE-2/IE3  TEFC Sq. Cage  suitable for 415Â±10 V, 3-Ph, 50 Hz. Power supply with VFD compatibility and VFD drive, IP54 class F insulation,PUF insulation, The fan Unit shall be supplied along with necessary spring vibration isolation arrangement or equivalent/better, MERV - 8 Filter, Limit switches, Marine lamp, Inspection door, fire retardant non - canvas type flexible connection between fan outlet &amp; inlet flange and duct and all necessary accessories.It shall be ceiling mounted with M S channel frame supports and ladder to be provided for access the unit for routine maintenance. Noise level should not exceed 55DB at 1.5 Meter.</t>
  </si>
  <si>
    <t>Total airflow rate -4550 CFM, Total Static pressure – 40mm wg, fan motor - 3.0KW &amp; fan motor speed - 1450RPM</t>
  </si>
  <si>
    <t>Supply , Installation , Testing &amp; Commissioning of Cabinet type fresh air fan complete with all sections as listed above &amp; detailed in tender drawings</t>
  </si>
  <si>
    <r>
      <rPr>
        <b/>
        <sz val="10"/>
        <rFont val="Leelawadee"/>
        <family val="2"/>
        <charset val="222"/>
      </rPr>
      <t xml:space="preserve">Supply, Installation , testing &amp; Commissioning of Variable frequency drive (VFD) - for 2.2 KW Motor </t>
    </r>
    <r>
      <rPr>
        <sz val="10"/>
        <rFont val="Leelawadee"/>
        <family val="2"/>
        <charset val="222"/>
      </rPr>
      <t>which shall be housed in Exhaust fan Startel Panel. Starter panel shall be part of Electrical contactor scope.  VFD shall be supplied with IP 21 Protection.  The construction of the fan motor shall be of IP 42.  The VFD shall be capable of regulating the speed of the Exhuast air fan from 120 % to 20% of rated Exhaust  fan speed at the specifed rated flow &amp; static.  The Communication card to transfer the entire data available on VFD to the BMS System. he VFD shall be capable of hooking to the BMS system .VFD should be supplied with Communication Card to transfer the necessary information from VFD to BMS System.  All Hardware &amp; Software required for integration should be part of scope. VFD should have capacity to read cumulative KWH of energy consumption and not instantaneous value. VFD shall be Danfoss  / ABB /Emersion - HVAC drives</t>
    </r>
  </si>
  <si>
    <r>
      <rPr>
        <b/>
        <sz val="10"/>
        <rFont val="Leelawadee"/>
        <family val="2"/>
        <charset val="222"/>
      </rPr>
      <t xml:space="preserve">Supply and installation of Factory fabricated fire retardant flexible/canvas connection </t>
    </r>
    <r>
      <rPr>
        <sz val="10"/>
        <rFont val="Leelawadee"/>
        <family val="2"/>
        <charset val="222"/>
      </rPr>
      <t xml:space="preserve"> made of high quality self extinguishing, moisture resistant flexible fabric  with matching angle flanges between Exhaust fan suction &amp; discharge side </t>
    </r>
  </si>
  <si>
    <r>
      <t xml:space="preserve">Ducting shall include guide vanes etc., Ducting shall be designed for 500pa ESP as per the  specifications, GSS Ducting:- </t>
    </r>
    <r>
      <rPr>
        <b/>
        <sz val="10"/>
        <rFont val="Leelawadee"/>
        <family val="2"/>
        <charset val="222"/>
      </rPr>
      <t>Galvanized steel sheet shall be of Class VIII – light coating of zinc, nominal 120 gm /sqm as per IS-277</t>
    </r>
    <r>
      <rPr>
        <sz val="10"/>
        <rFont val="Leelawadee"/>
        <family val="2"/>
        <charset val="222"/>
      </rPr>
      <t>.All ducts 900 mm to 1100mm shall have Stiffener bracket made of GI 1.25mm thick sheet and 1101mm above  shall have Stiffener bracket made of GI 1.6mm thick sheet with special profile for strength and rigidity fixed throughout the duct perimeter Intermediate between flanges with Fastener screws 2 nos for every interval of 150mm. Spacing between duct supports should not exceed 2m i.e GI rods with GI "C" channels. In case of duct sizes above 1800mm, MS angles duly painted with black enamel paint should be used along with neoprene pad in between the duct &amp; MS angle. All duct support to be provided with check nuts (lock nuts).</t>
    </r>
  </si>
  <si>
    <r>
      <rPr>
        <b/>
        <sz val="10"/>
        <rFont val="Leelawadee"/>
        <family val="2"/>
        <charset val="222"/>
      </rPr>
      <t>Supply, installation, testing &amp; Commissioning of Factory fabricated flat oval GSS ducting with Hitech Supports and with   with TDF /TDC flange  with GI bolt &amp; nuts ( the cleat into the flange Used for C  and G together with Bolt).</t>
    </r>
    <r>
      <rPr>
        <sz val="10"/>
        <rFont val="Leelawadee"/>
        <family val="2"/>
        <charset val="222"/>
      </rPr>
      <t>Necessary bends  should be made as per the drawing, two support &amp; connecting rings should be considered for the same, costing for the same to be included in the ducting price.All ducts should be supported with wire rope supports and shall be hang through the cleats or wire rope threaded studs can be screwed into the anchor fasteners. Ducting to be painted at site as per architect approved colour.</t>
    </r>
  </si>
  <si>
    <r>
      <t xml:space="preserve">Ducting shall include guide vanes etc., Ducting shall be designed for 500pa ESP as per the  specifications, GSS Ducting:- </t>
    </r>
    <r>
      <rPr>
        <b/>
        <sz val="10"/>
        <rFont val="Leelawadee"/>
        <family val="2"/>
        <charset val="222"/>
      </rPr>
      <t>Galvanized steel sheet shall be of Class VIII – light coating of zinc, nominal 120 gm /sqm as per IS-277</t>
    </r>
    <r>
      <rPr>
        <sz val="10"/>
        <rFont val="Leelawadee"/>
        <family val="2"/>
        <charset val="222"/>
      </rPr>
      <t>.All ducts 900 mm to 1100mm shall have Stiffener bracket made of GI 1.25mm thick sheet and 1101mm above  shall have Stiffener bracket made of GI 1.6mm thick sheet with special profile for strength and rigidity fixed throughout the duct perimeter Intermediate between flanges with Fastener screws 2 nos for every interval of 150mm. (CTS ducting qty will be included in this item). Ducting to brought at site in box form.</t>
    </r>
  </si>
  <si>
    <r>
      <rPr>
        <b/>
        <sz val="10"/>
        <rFont val="Leelawadee"/>
        <family val="2"/>
        <charset val="222"/>
      </rPr>
      <t xml:space="preserve">Flat Oval ducts to be provided with internal thermal insulation with 9mm thick closed cell elastromeric nitrile rubber insulation manafactured as per ASTM E 84 test with density between 40-60 kg / m³(External and internal) for spiral duct, Material shall be FM GLOBAL approved, food grade material with antimicrobial properties, Class 'O'. </t>
    </r>
    <r>
      <rPr>
        <sz val="10"/>
        <rFont val="Leelawadee"/>
        <family val="2"/>
        <charset val="222"/>
      </rPr>
      <t>Insulation material should meet NFPA 90A supplementary materials for air distribution system which should not absorbs less 0.2% water by volume (ASTM c 209), should not support microbial growth (ASTM C1071, G21, G22) and should emit objectionable odors (ASTM C 665) and should have thermal conductivity of 0.27 ( R - 2.78 in 3.4" thickness) and water vapor permeance of 0.10. The quantity of thermal insulation for the spiral ductworks  shall be as per approved GFC/ Shop drawings. The costing of thermal insulation to be included along with cost of supply of flat oval duct works</t>
    </r>
  </si>
  <si>
    <r>
      <t xml:space="preserve">For the Flat Oval ducts requiring acoustic insulation as per approved GFC/Shop drawings to be provided with open cell 10mm thick Elastromeric nitrile rubber insulation manafactured as per ASTM E 84 test with density140- 180 kg / m³, Material shall be FM rated as per the approved shop drawings / specifications. </t>
    </r>
    <r>
      <rPr>
        <sz val="10"/>
        <rFont val="Leelawadee"/>
        <family val="2"/>
        <charset val="222"/>
      </rPr>
      <t>Insulation material should  meet NFPA 90A supplementary materials for air distribution system  which should not absorbs less 0.2% water by volume (ASTM c 209), should not support microbial growth (ASTM C1071, G21, G22) and should emit objectionable odors (ASTM C 665) and should have thermal conductivity of 0.27 ( R - 2.78 in 3.4" thickness) and water vapor permeance of 0.10.  - Class "1" Material.The quantity of acoustic insulation for the spiral ductworks  shall be as per approved GFC/ Shop drawings. The costing of acoustic insulation to be included along with cost of supply of flat oval duct works</t>
    </r>
    <r>
      <rPr>
        <b/>
        <sz val="10"/>
        <rFont val="Leelawadee"/>
        <family val="2"/>
        <charset val="222"/>
      </rPr>
      <t>- First 5 Meters from outlet of AC unit to be considered with acoustic insulation</t>
    </r>
  </si>
  <si>
    <r>
      <rPr>
        <b/>
        <sz val="10"/>
        <rFont val="Leelawadee"/>
        <family val="2"/>
        <charset val="222"/>
      </rPr>
      <t xml:space="preserve">26 G- 0.53mm- </t>
    </r>
    <r>
      <rPr>
        <sz val="10"/>
        <rFont val="Leelawadee"/>
        <family val="2"/>
        <charset val="222"/>
      </rPr>
      <t>Wire rope supports, Ring clamps, threaded studs, cleats,anchor fasteners, with internal thermal inslulation of  9mm thick closed cell elastromeric nitrile rubber insulation</t>
    </r>
  </si>
  <si>
    <r>
      <rPr>
        <b/>
        <sz val="10"/>
        <rFont val="Leelawadee"/>
        <family val="2"/>
        <charset val="222"/>
      </rPr>
      <t>26 G- 0.53mm</t>
    </r>
    <r>
      <rPr>
        <sz val="10"/>
        <rFont val="Leelawadee"/>
        <family val="2"/>
        <charset val="222"/>
      </rPr>
      <t xml:space="preserve">-Wire rope supports, Ring clamps, threaded studs, cleats, anchor fasteners, with internal acoustic insulation of 10mm thick open cell Elastromeric nitrile rubber insulation </t>
    </r>
  </si>
  <si>
    <r>
      <rPr>
        <b/>
        <sz val="10"/>
        <rFont val="Leelawadee"/>
        <family val="2"/>
        <charset val="222"/>
      </rPr>
      <t>24 G- 0.63mm-</t>
    </r>
    <r>
      <rPr>
        <sz val="10"/>
        <rFont val="Leelawadee"/>
        <family val="2"/>
        <charset val="222"/>
      </rPr>
      <t>Wire rope supports, Ring clamps, threaded studs, cleats, anchor fasteners, with with internal thermal inslulation of  9mm thick closed cell elastromeric nitrile rubber insulation</t>
    </r>
  </si>
  <si>
    <r>
      <rPr>
        <b/>
        <sz val="10"/>
        <rFont val="Leelawadee"/>
        <family val="2"/>
        <charset val="222"/>
      </rPr>
      <t>24 G- 0.63mm-</t>
    </r>
    <r>
      <rPr>
        <sz val="10"/>
        <rFont val="Leelawadee"/>
        <family val="2"/>
        <charset val="222"/>
      </rPr>
      <t xml:space="preserve">Wire rope supports, Ring clamps, threaded studs, cleats, anchor fasteners, with internal acoustic insulation of 10mm thick open cell Elastromeric nitrile rubber insulation </t>
    </r>
  </si>
  <si>
    <r>
      <rPr>
        <b/>
        <sz val="10"/>
        <rFont val="Leelawadee"/>
        <family val="2"/>
        <charset val="222"/>
      </rPr>
      <t>22 G- 0.80mm</t>
    </r>
    <r>
      <rPr>
        <sz val="10"/>
        <rFont val="Leelawadee"/>
        <family val="2"/>
        <charset val="222"/>
      </rPr>
      <t>-Wire rope supports, Ring clamps, threaded studs, cleats, anchor fasteners, with with internal thermal inslulation of  9mm thick closed cell elastromeric nitrile rubber insulation</t>
    </r>
  </si>
  <si>
    <r>
      <rPr>
        <b/>
        <sz val="10"/>
        <rFont val="Leelawadee"/>
        <family val="2"/>
        <charset val="222"/>
      </rPr>
      <t>22 G- 0.80mm</t>
    </r>
    <r>
      <rPr>
        <sz val="10"/>
        <rFont val="Leelawadee"/>
        <family val="2"/>
        <charset val="222"/>
      </rPr>
      <t xml:space="preserve">-Wire rope supports, Ring clamps, threaded studs, cleats, anchor fasteners, with internal acoustic insulation of 10mm thick open cell Elastromeric nitrile rubber insulation </t>
    </r>
  </si>
  <si>
    <r>
      <rPr>
        <b/>
        <sz val="10"/>
        <rFont val="Leelawadee"/>
        <family val="2"/>
        <charset val="222"/>
      </rPr>
      <t xml:space="preserve">Supply, Installation Testing &amp; Commissioning of thermal insulation of closed cell elastromeric nitrile rubber insulation manafactured as per ASTM E 84 test with density between 40-60 kg / m³(External and internal) for spiral duct, Material shall be FM GLOBAL approved, food grade material with antimicrobial properties, Class 'O'. </t>
    </r>
    <r>
      <rPr>
        <sz val="10"/>
        <rFont val="Leelawadee"/>
        <family val="2"/>
        <charset val="222"/>
      </rPr>
      <t xml:space="preserve">Insulation material should meet NFPA 90A supplementary materials for air distribution system which should not absorbs less 0.2% water by volume (ASTM c 209), should not support microbial growth (ASTM C1071, G21, G22) and should emit objectionable odors (ASTM C 665) and should have thermal conductivity of 0.27 ( R - 2.78 in 3.4" thickness) and water vapor permeance of 0.10. Scope shall include the cost for aluminium foil which to be laid over the thermal insulation. Aluminium foil shall provide protection against scratches. </t>
    </r>
  </si>
  <si>
    <r>
      <t>Supply, Installation Testing &amp; Commissioning of internal acoustic lining within air ducts plenum with open cell 10mm thick Elastromeric nitrile rubber insulation manafactured as per ASTM E 84 test with density140- 180 kg / m³, Material shall be FM rated as per the approved shop drawings / specifications.</t>
    </r>
    <r>
      <rPr>
        <sz val="10"/>
        <rFont val="Leelawadee"/>
        <family val="2"/>
        <charset val="222"/>
      </rPr>
      <t xml:space="preserve"> Insulation material should  meet NFPA 90A supplementary materials for air distribution system  which should not absorbs less 0.2% water by volume (ASTM c 209), should not support microbial growth (ASTM C1071, G21, G22) and should emit objectionable odors (ASTM C 665) and should have thermal conductivity of 0.27 ( R - 2.78 in 3.4" thickness) and water vapor permeance of 0.10.  - Class "1" Material.</t>
    </r>
  </si>
  <si>
    <t>WALL ACOUSTIC FOR AHU ROOM . THIS ITEM TO BE OPERATED ONLY FOR REPAIR WORK IN 3 AHU ROOMS</t>
  </si>
  <si>
    <r>
      <rPr>
        <b/>
        <sz val="10"/>
        <rFont val="Leelawadee"/>
        <family val="2"/>
        <charset val="222"/>
      </rPr>
      <t xml:space="preserve">Supply &amp; Installation of Acoustic insulation for AHU Room Walls using resin bonded glass fibre insulation 50MM thick , Density 32Kg/ Cu.M, friction fixed in 610 MM X 610 MM frame work made of 25MM X50MM X50MM X50MM X25MM made out of 0.6 mm thick G.I. Sheet u shaped channel and covered with reinforced fibre glass RP tissue and finished with 0.80mm perforated aluminum perforated sheet </t>
    </r>
    <r>
      <rPr>
        <sz val="10"/>
        <rFont val="Leelawadee"/>
        <family val="2"/>
        <charset val="222"/>
      </rPr>
      <t xml:space="preserve">as detailed in the specifications complete with GI beading (vertical &amp; horizontal) on the 600 by 600 grid.The panel should be fixed to GI Grid work  using 50mm thickness leaving a gap of 50 mm behind the panel.- VOC of adhesive shall be less than 50g/l.Quoted price shall be inclusive of GSS channel, metal screws, washers etc. as required for complete installation.  </t>
    </r>
  </si>
  <si>
    <r>
      <t xml:space="preserve">Supply and installation above False ceiling fiber glass Acoustic insulation of 600 x 600 mm (or size suiting site conditions)covered with black perforated plastic bag.  </t>
    </r>
    <r>
      <rPr>
        <sz val="10"/>
        <rFont val="Leelawadee"/>
        <family val="2"/>
        <charset val="222"/>
      </rPr>
      <t xml:space="preserve">The density of the material should be not less than 32 kg/cum. The same  should be used below the duct in the Meeting Rooms/training rooms/closed cabins which are close to AHU room and where AC duct are running to reduce the sound level.Material inside the bag can be of Rockwool or Mineral wool </t>
    </r>
  </si>
  <si>
    <r>
      <rPr>
        <b/>
        <sz val="10"/>
        <color theme="1"/>
        <rFont val="Leelawadee"/>
        <family val="2"/>
        <charset val="222"/>
      </rPr>
      <t>Supply, Installation Testing &amp; Commissioning of wall Acoustic insulation by using two layers, 1st layer consists of  3 mm  Vinly Sound Barrier Mat made up of ThermoPlastic Polymer Compound Acoustic Insulation material shall be Flexible, mass-loaded sheet that reduces airborne sound transmission for a quieter environment.</t>
    </r>
    <r>
      <rPr>
        <sz val="10"/>
        <color theme="1"/>
        <rFont val="Leelawadee"/>
        <family val="2"/>
        <charset val="222"/>
      </rPr>
      <t xml:space="preserve">
Sound Barrier insulation material shall have fire performance such that it passes Class 1 as per BS476 Part 7 for surface spread of flame and should pass the Flamabillity test as per FMVSS 302B meets Density of  2000 Kg/m3 ±7.5% as tested as per EN822. Second Layer to be used  open cell Nitrile Rubber  with 25 mm thick Class 1 rating with density of 140 to 180 kg /m³. Insulation shall have built-in Anti-Microbial protection and should pass Fungi Resistance as per EN ISO 846 Method A and Bacterial Resistance as per EN ISO 846 Method C. Insulation shall have noise absorption properties as per ISO 354, ISO 11654 &amp; ASTM C 423. The material should conform to Class 1 rating for surface spread of flame in accordance to BS 476 Part 7 &amp; HB, V0 rating as per UL 94. Prefered color shall be Black - For acoustic insulation around DX/VRV CSU AC Units  - for Noise DB Level Reduction</t>
    </r>
  </si>
  <si>
    <r>
      <rPr>
        <b/>
        <sz val="10"/>
        <rFont val="Leelawadee"/>
        <family val="2"/>
        <charset val="222"/>
      </rPr>
      <t>Supply, Installation Testing &amp; Commissioning of factory Fabricated Insulated Flexible made out aluminium for connecting from main duct to diffuser bo</t>
    </r>
    <r>
      <rPr>
        <sz val="10"/>
        <rFont val="Leelawadee"/>
        <family val="2"/>
        <charset val="222"/>
      </rPr>
      <t>x ( Note: Universal clamp should be provided to fix the flexible duct in the spigots and covered with tape. Circular clip with chain/GI threaded rod to be provided  to support the flexible duct).The length of the flexible duct shall be around 1.0 to 1.5 mtr 
Inner as well as outer skin shall be constructed out of aluminium &amp; fibre glass insulation 25mm thick of minimum 24 kg/cu.m density insulation sandwitched in between. Duct should confirm  to fire rating standards BS-476 part 5, 6 &amp; 7..</t>
    </r>
  </si>
  <si>
    <r>
      <rPr>
        <b/>
        <sz val="10"/>
        <rFont val="Leelawadee"/>
        <family val="2"/>
        <charset val="222"/>
      </rPr>
      <t xml:space="preserve">Supply, Installation Testing &amp; Commissioning of factory Fabricated Un-Insulated Flexible made out aluminium for connecting from main duct to diffuser box </t>
    </r>
    <r>
      <rPr>
        <sz val="10"/>
        <rFont val="Leelawadee"/>
        <family val="2"/>
        <charset val="222"/>
      </rPr>
      <t xml:space="preserve">( Note: Universal clamp should be provided to fix the flexible duct in the spigots and covered with tape. Circular clip with chain/GI threaded rod to be provided  to support the flexible duct).The length of the flexible duct shall be around 1.0 to 1.2 mtr </t>
    </r>
  </si>
  <si>
    <r>
      <t>Sheet Metal Spill air boxes made out of 26 GI sheet for connecting the supply diffuser outlet, spigot &amp; flexible connection from the main duct c/w internal lining using 10MM Open Cell as per spec -</t>
    </r>
    <r>
      <rPr>
        <b/>
        <sz val="10"/>
        <rFont val="Leelawadee"/>
        <family val="2"/>
        <charset val="222"/>
      </rPr>
      <t xml:space="preserve"> Sizes to be followed as per drawings  450x450x450H for 375x375 mm neck size; 525x 525x 450H for 450x 450 mm neck size for Square Diffusers &amp; Size : 1000MM(L) x 350MM(H) X 200MM(D) for 3 Slot Diffusers</t>
    </r>
  </si>
  <si>
    <r>
      <rPr>
        <b/>
        <sz val="10"/>
        <rFont val="Leelawadee"/>
        <family val="2"/>
        <charset val="222"/>
      </rPr>
      <t>Supply, Installation Testing &amp; Commissioning of Volume Control Dampers</t>
    </r>
    <r>
      <rPr>
        <sz val="10"/>
        <rFont val="Leelawadee"/>
        <family val="2"/>
        <charset val="222"/>
      </rPr>
      <t xml:space="preserve"> made out of 100 x 40 x 1.55 mm thick galavanised steel frame and blades of 1.55 mm galavanised sheet steel.</t>
    </r>
  </si>
  <si>
    <r>
      <t xml:space="preserve">Supply, Installation Testing &amp; Commissioning of Volume Control Dampers - Butter fly type for Flat oval ducts </t>
    </r>
    <r>
      <rPr>
        <sz val="10"/>
        <rFont val="Leelawadee"/>
        <family val="2"/>
        <charset val="222"/>
      </rPr>
      <t>made out of 100 x 40 x 1.55 mm thick galavanised steel frame and blades of 1.55 mm galavanised sheet steel</t>
    </r>
  </si>
  <si>
    <r>
      <rPr>
        <b/>
        <sz val="10"/>
        <rFont val="Leelawadee"/>
        <family val="2"/>
        <charset val="222"/>
      </rPr>
      <t>Supply, Installation, Testing &amp; Commissioning of Motorised Volume control on / off damper for fresh air ducts</t>
    </r>
    <r>
      <rPr>
        <sz val="10"/>
        <rFont val="Leelawadee"/>
        <family val="2"/>
        <charset val="222"/>
      </rPr>
      <t xml:space="preserve"> made out of 100 x 40 x 1.55 mm thick galavanised steel frame and blades of 1.55 mm galavanised sheet steel.Supply, installation &amp; testing of Motorized Volume Control Dampers with Galvanized Steel Frame thickness/Blade thickness of 1.5mm, Axle bearing shall be synthetic with steel linkage, Open close indicator (OCI) shall determine the position blade. Damper air performance data shall be developed in accordance with the latest edition of AMCA Standard 500-D.  Actuators of 230VAC built with Auxiliary switch provides feedback for BMS systems, Equivalent to VCD 20.Actuators of 4 Nm, 9 Nm &amp; 20 NM</t>
    </r>
  </si>
  <si>
    <r>
      <t xml:space="preserve">Supply Installation Testing &amp; Commissioning of 6A 3-Pin Socket with plug mounted on PVC Box </t>
    </r>
    <r>
      <rPr>
        <sz val="10"/>
        <rFont val="Leelawadee"/>
        <family val="2"/>
        <charset val="222"/>
      </rPr>
      <t>which has to be fixed to near the Damper  for Actuator termination.  Socket should be of modular type</t>
    </r>
  </si>
  <si>
    <r>
      <t xml:space="preserve">Supply Installation Testing &amp; Commissioning of 3 runs of 2.5 sq.mm </t>
    </r>
    <r>
      <rPr>
        <sz val="10"/>
        <rFont val="Leelawadee"/>
        <family val="2"/>
        <charset val="222"/>
      </rPr>
      <t xml:space="preserve"> HFLS Cu Wire in 19 mm dia GI Conduit  for VFD panel to </t>
    </r>
    <r>
      <rPr>
        <b/>
        <sz val="10"/>
        <rFont val="Leelawadee"/>
        <family val="2"/>
        <charset val="222"/>
      </rPr>
      <t xml:space="preserve">damper </t>
    </r>
  </si>
  <si>
    <r>
      <t>Supply Installation Testing &amp; Commissioning of 4 way TPN MCB DB with 40 A 4 pole</t>
    </r>
    <r>
      <rPr>
        <sz val="10"/>
        <rFont val="Leelawadee"/>
        <family val="2"/>
        <charset val="222"/>
      </rPr>
      <t xml:space="preserve"> RCCB as incomer and 4 nos 10 A SP MCBs as outgoings in sheet enclosure for  </t>
    </r>
    <r>
      <rPr>
        <b/>
        <sz val="10"/>
        <rFont val="Leelawadee"/>
        <family val="2"/>
        <charset val="222"/>
      </rPr>
      <t xml:space="preserve">Motorised Volume control Dampers </t>
    </r>
  </si>
  <si>
    <r>
      <t xml:space="preserve">Supply, installation and adjusting of GSS made Round damper, </t>
    </r>
    <r>
      <rPr>
        <sz val="10"/>
        <rFont val="Leelawadee"/>
        <family val="2"/>
        <charset val="222"/>
      </rPr>
      <t xml:space="preserve">frame shall be made of 20G and blades shall be made of 20G </t>
    </r>
  </si>
  <si>
    <r>
      <t xml:space="preserve">Supply, installation and adjusting of Collar Dampers or neck damper </t>
    </r>
    <r>
      <rPr>
        <sz val="10"/>
        <rFont val="Leelawadee"/>
        <family val="2"/>
        <charset val="222"/>
      </rPr>
      <t xml:space="preserve">of opposed blade type made out of Aluminium alloy extrusion with anodised matt black finish (AL.blade thickness 1.0mm, Border  thickness-1.3 MM).  Qty is for Supply air diffusers &amp;  grilles </t>
    </r>
  </si>
  <si>
    <r>
      <rPr>
        <b/>
        <sz val="10"/>
        <rFont val="Leelawadee"/>
        <family val="2"/>
        <charset val="222"/>
      </rPr>
      <t xml:space="preserve">Supply &amp; Installation of acoustically treated cross talk attenuators </t>
    </r>
    <r>
      <rPr>
        <sz val="10"/>
        <rFont val="Leelawadee"/>
        <family val="2"/>
        <charset val="222"/>
      </rPr>
      <t>for return air path from the closed cabins to avoid any noise transfer/air cutting noise transfer to office areas. Cross talk attenuators to be provided with acoustic lining within ducts using 25mm /48kg/cum / finished with RP tissue and 24G aluminium Perforated sheet, Duct guage shall be 22 Guage. Material shall be FM rated.Quoted price shall be inclusive of GSS channel, metal screws, washers etc. as required for complete installation.</t>
    </r>
  </si>
  <si>
    <r>
      <t>Supply, Installation , Testing &amp; Commissioning of Non Return Dampers</t>
    </r>
    <r>
      <rPr>
        <sz val="10"/>
        <rFont val="Leelawadee"/>
        <family val="2"/>
        <charset val="222"/>
      </rPr>
      <t xml:space="preserve"> frame shall be made of 18G and blades shall be made of 20G. Gasket shall be provided on the bottom of the blades edges to avoid noise while on operation . Sample of NRDs to be got approved from consultants and Clients prior to procurement.</t>
    </r>
  </si>
  <si>
    <r>
      <t>Supply, Installation , Testing &amp; Commissioning of back draft Dampers</t>
    </r>
    <r>
      <rPr>
        <sz val="10"/>
        <rFont val="Leelawadee"/>
        <family val="2"/>
        <charset val="222"/>
      </rPr>
      <t xml:space="preserve"> frame shall be made of 18G and blades shall be made of 20G. Gasket shall be provided on the bottom of the blades edges to avoid noise while on operation . Sample of BDD's to be got approved from consultants and Clients prior to procurement.</t>
    </r>
  </si>
  <si>
    <r>
      <t>Supply, Installation , Testing &amp; Commissioning of Aluminium Profile 1.2mm thickness powder coated louver with dampers &amp;  bird Mesh for avoiding insect ingress for with min. 60 % free area,</t>
    </r>
    <r>
      <rPr>
        <sz val="10"/>
        <rFont val="Leelawadee"/>
        <family val="2"/>
        <charset val="222"/>
      </rPr>
      <t xml:space="preserve"> as per specification with angle frame work &amp; fixing accessories, to be fixed on external wall to ambient .Louvers need to be suitable in order avoid rain water entry in to floor @ 15 degree deflection</t>
    </r>
  </si>
  <si>
    <r>
      <t>Supply, Installation , Testing &amp; Commissioning of Aluminium Profile 1.2mm thickness powder coated louver without dampers &amp;  bird Mesh for avoiding insect ingress for with min. 60 % free area,</t>
    </r>
    <r>
      <rPr>
        <sz val="10"/>
        <rFont val="Leelawadee"/>
        <family val="2"/>
        <charset val="222"/>
      </rPr>
      <t xml:space="preserve"> as per specification with angle frame work &amp; fixing accessories, to be fixed on external wal to ambient. Louvers need to be suitable in order avoid rain water entry in to floor @ 15 degree deflection</t>
    </r>
  </si>
  <si>
    <r>
      <t xml:space="preserve">Supply &amp; installation of Bird Screens with GI wire mesh to be installed at the suction of fresh air/discharge of Exhaust air as per the specifications and shop drawings. </t>
    </r>
    <r>
      <rPr>
        <sz val="10"/>
        <rFont val="Leelawadee"/>
        <family val="2"/>
        <charset val="222"/>
      </rPr>
      <t>Sample of bird screen to be got approved from consultants and Clients prior to procurement</t>
    </r>
  </si>
  <si>
    <r>
      <t xml:space="preserve">Supply, installation of Duct Cowl piece with Bird Screens &amp; GI wire mesh </t>
    </r>
    <r>
      <rPr>
        <sz val="10"/>
        <rFont val="Leelawadee"/>
        <family val="2"/>
        <charset val="222"/>
      </rPr>
      <t>to be installed at the suction of discharge of VRV ODU/ Kitchen exhaust fan Hot air as per the specifications  and shop drawings. Sample of bird screen to be got approved from consultants and Clients prior to procuremen</t>
    </r>
    <r>
      <rPr>
        <b/>
        <sz val="10"/>
        <rFont val="Leelawadee"/>
        <family val="2"/>
        <charset val="222"/>
      </rPr>
      <t>t</t>
    </r>
  </si>
  <si>
    <r>
      <rPr>
        <b/>
        <sz val="10"/>
        <rFont val="Leelawadee"/>
        <family val="2"/>
        <charset val="222"/>
      </rPr>
      <t xml:space="preserve">Supply, Installation,Testing &amp; Commissioning of Powder coated, extruded aluminium, removable center core type, return air square diffusers without Collar Dampers or neck damper </t>
    </r>
    <r>
      <rPr>
        <sz val="10"/>
        <rFont val="Leelawadee"/>
        <family val="2"/>
        <charset val="222"/>
      </rPr>
      <t xml:space="preserve">of the following neck sizes.  </t>
    </r>
  </si>
  <si>
    <r>
      <rPr>
        <b/>
        <sz val="10"/>
        <rFont val="Leelawadee"/>
        <family val="2"/>
        <charset val="222"/>
      </rPr>
      <t xml:space="preserve">Supply, Installation,Testing &amp; Commissioning of </t>
    </r>
    <r>
      <rPr>
        <sz val="10"/>
        <rFont val="Leelawadee"/>
        <family val="2"/>
        <charset val="222"/>
      </rPr>
      <t xml:space="preserve">Powder coated, extruded aluminium, removable center core type, </t>
    </r>
    <r>
      <rPr>
        <b/>
        <sz val="10"/>
        <rFont val="Leelawadee"/>
        <family val="2"/>
        <charset val="222"/>
      </rPr>
      <t>supply  air round diffusers</t>
    </r>
    <r>
      <rPr>
        <sz val="10"/>
        <rFont val="Leelawadee"/>
        <family val="2"/>
        <charset val="222"/>
      </rPr>
      <t xml:space="preserve"> </t>
    </r>
    <r>
      <rPr>
        <b/>
        <sz val="10"/>
        <rFont val="Leelawadee"/>
        <family val="2"/>
        <charset val="222"/>
      </rPr>
      <t>with with Collar Dampers or neck control dampers</t>
    </r>
    <r>
      <rPr>
        <sz val="10"/>
        <rFont val="Leelawadee"/>
        <family val="2"/>
        <charset val="222"/>
      </rPr>
      <t xml:space="preserve"> of  the following neck sizes.  </t>
    </r>
  </si>
  <si>
    <r>
      <rPr>
        <b/>
        <sz val="10"/>
        <rFont val="Leelawadee"/>
        <family val="2"/>
        <charset val="222"/>
      </rPr>
      <t xml:space="preserve">Supply, Installation,Testing &amp; Commissioning of Powder coated, extruded aluminium, removable centre core type, supply / return air distribution. </t>
    </r>
    <r>
      <rPr>
        <sz val="10"/>
        <rFont val="Leelawadee"/>
        <family val="2"/>
        <charset val="222"/>
      </rPr>
      <t xml:space="preserve">Plaque Type diffusers without volume control dampers of aluminium construction of the following neck sizes.(AL.Frame thickness 1.1mm, Louvers thickness-1.0mm) </t>
    </r>
  </si>
  <si>
    <t>PLAQUE TYPE SUPPLY &amp; RETURN AIR DIFFUSERS- LINEAR TYPE SA &amp; RA</t>
  </si>
  <si>
    <t>(All are of 1200 MM X 300M Size)</t>
  </si>
  <si>
    <t xml:space="preserve">1200 x 300 MM  (Neck Size) </t>
  </si>
  <si>
    <r>
      <t>Supply, Installation , Testing &amp; Commissioning of Extruded Al. powder coated continuous, discrete grilles for supply &amp; return air distribution of 100 to 600  mm wide  with 0 / 15 / 30 / 45 deg (AL.frame thickness 1.2MM, Louver  thickness-3 MM). Deflection as specified In the approved shop drawings. Grilles complete with integral flanges on both sides &amp; ends as required complete with corner pieces.</t>
    </r>
    <r>
      <rPr>
        <sz val="10"/>
        <rFont val="Leelawadee"/>
        <family val="2"/>
        <charset val="222"/>
      </rPr>
      <t>( colour for the grill to be conifremed by Arch/ PMC team before placing the  order)</t>
    </r>
  </si>
  <si>
    <r>
      <t>Supply, Installation , Testing &amp; Commissioning of Extruded Al. powder coated grilles for exhuast air application with 0 degree deflection. AL.frame thickness 1.2MM, Louver  thickness-1MM/ 3 MM</t>
    </r>
    <r>
      <rPr>
        <sz val="10"/>
        <rFont val="Leelawadee"/>
        <family val="2"/>
        <charset val="222"/>
      </rPr>
      <t xml:space="preserve"> ( colour for the grill to be conifimed by Arch/ PMC team before placing the  order). The sizes of the grilles shall be as mentioned below</t>
    </r>
  </si>
  <si>
    <r>
      <t xml:space="preserve">Supply, Installation , Testing &amp; Commissioning of Extruded Al. powder coated grilles for return air suction from corridor areas with 0 degree deflection. AL.frame thickness 1.2MM, Louver  thickness-1MM/ 3 MM ( colour for the grill to be conifimed by Arch/ PMC team before placing the  order). </t>
    </r>
    <r>
      <rPr>
        <sz val="10"/>
        <rFont val="Leelawadee"/>
        <family val="2"/>
        <charset val="222"/>
      </rPr>
      <t>Sizes of patch grille to be as per HVAC drawings</t>
    </r>
  </si>
  <si>
    <r>
      <t xml:space="preserve">Supply, Installation , Testing &amp; Commissioning of Extruded Al. powder coated continuous framed, discrete grilles of standard sizes  with 0 / 15 / 30 / 45 deg (AL.frame thickness 1.2MM, Louver  thickness-3 MM). Single Deflection grilles to be used as specified In the approved shop drawings. </t>
    </r>
    <r>
      <rPr>
        <sz val="10"/>
        <rFont val="Leelawadee"/>
        <family val="2"/>
        <charset val="222"/>
      </rPr>
      <t>Grilles to be complete with integral flanges on both sides &amp; ends as required complete with corner pieces.</t>
    </r>
  </si>
  <si>
    <r>
      <t>Supply, Installation , Testing &amp; Commissioning of Extruded Al. powder coated double deflection curved duct grilles with collar dampers</t>
    </r>
    <r>
      <rPr>
        <sz val="10"/>
        <rFont val="Leelawadee"/>
        <family val="2"/>
        <charset val="222"/>
      </rPr>
      <t xml:space="preserve"> 27mm and 16mm rolled form flange to match required duct radius, Rigid, heavy gauge extruded frame with reinforced mitered corners, Extruded blades on 20mm centers. Blades positively to hold deflection setting under all conditions of velocity and pressure. The grille should selected with 22.5/30 deg (AL.frame thickness 1.2MM, Louver  thickness-3 MM). Double Deflection grilles to be used as specified In the approved shop drawings. Grilles to be complete with integral flanges on both sides &amp; ends as required complete with corner pieces.</t>
    </r>
  </si>
  <si>
    <r>
      <rPr>
        <b/>
        <sz val="10"/>
        <rFont val="Leelawadee"/>
        <family val="2"/>
        <charset val="222"/>
      </rPr>
      <t>Supply, Installation, Testing &amp; Commissioning of Disc valve</t>
    </r>
    <r>
      <rPr>
        <sz val="10"/>
        <rFont val="Leelawadee"/>
        <family val="2"/>
        <charset val="222"/>
      </rPr>
      <t xml:space="preserve"> for toilet exhaust </t>
    </r>
    <r>
      <rPr>
        <sz val="10"/>
        <color indexed="8"/>
        <rFont val="Leelawadee"/>
        <family val="2"/>
        <charset val="222"/>
      </rPr>
      <t>suitable to exhaust 100 to 150 cfm</t>
    </r>
  </si>
  <si>
    <r>
      <t>Supply, installation, testing &amp; Commissioning of Extruded Al. powder coated continuous framed, discrete grilles of standard sizes- FRONT HORIZONTAL BACK VERTICAL grilles with 0/15 deg (AL.frame thickness 1.2MM, Louver  thickness-1 MM).  Double deflection Grilles to be used as specified In the approved shop drawings.</t>
    </r>
    <r>
      <rPr>
        <sz val="10"/>
        <rFont val="Leelawadee"/>
        <family val="2"/>
        <charset val="222"/>
      </rPr>
      <t xml:space="preserve"> Grilles to be complete with integral flanges on both sides &amp; ends as required complete with corner pieces.</t>
    </r>
  </si>
  <si>
    <r>
      <t xml:space="preserve">Supply, installation, testing &amp; Commissioning of Extruded Al. powder coated patch grilles for cross talk attenuators with 0 degree deflection. AL.frame thickness 1.2MM, Louver  thickness-1MM/ 3 MM </t>
    </r>
    <r>
      <rPr>
        <sz val="10"/>
        <rFont val="Leelawadee"/>
        <family val="2"/>
        <charset val="222"/>
      </rPr>
      <t>( colour for the grill to be conifimed by Arch/ PMC team before placing the  order). The sizes of the grilles shall be as mentioned below</t>
    </r>
  </si>
  <si>
    <r>
      <rPr>
        <b/>
        <sz val="10"/>
        <rFont val="Leelawadee"/>
        <family val="2"/>
        <charset val="222"/>
      </rPr>
      <t xml:space="preserve">Supply, Installation, Testing &amp; Commissioning of Adjustable Linear slot diffuser with aesthetically shaped face section, suitable for installation in false ceiling system comprising face section  with 1-5 slots, either with integral or additional slide on flanges, end caps (plates or angles) and with inset air control blades which can be used to provide any direction of air discharge.  These blades are factory set but can be site adjusted by others to alter air discharge direction to meet local requirements.  Complete with rear mounted plenum box fitted with side entry spigot and four suspension brackets to hang complete assembly from the ceiling. </t>
    </r>
    <r>
      <rPr>
        <sz val="10"/>
        <rFont val="Leelawadee"/>
        <family val="2"/>
        <charset val="222"/>
      </rPr>
      <t xml:space="preserve"> The slot diffuser has a variable neck length and depending on construction, the diffuser face section can be factory fitted to the plenum box or supplied superately for second fix on site. </t>
    </r>
  </si>
  <si>
    <r>
      <rPr>
        <b/>
        <sz val="10"/>
        <rFont val="Leelawadee"/>
        <family val="2"/>
        <charset val="222"/>
      </rPr>
      <t>Supply, Installation, Testing &amp; Commissioning of Non Vision type door grille</t>
    </r>
    <r>
      <rPr>
        <sz val="10"/>
        <rFont val="Leelawadee"/>
        <family val="2"/>
        <charset val="222"/>
      </rPr>
      <t xml:space="preserve"> for intake of fresh air for toilets area</t>
    </r>
  </si>
  <si>
    <r>
      <t xml:space="preserve">Supply, Installation, Testing &amp; Commissioning of Ceiling tight mounted Egg crate Grille (Size 600x600mm Outer Size / Suitable to Ceiling tile size), </t>
    </r>
    <r>
      <rPr>
        <sz val="10"/>
        <rFont val="Leelawadee"/>
        <family val="2"/>
        <charset val="222"/>
      </rPr>
      <t>made out of powder coated extruded Aluminium. The egg crate grille to be supplied along with Opposed blade damper or Neck Dampers for air flow modulation. (The color of the grille will be confirmed by architect)</t>
    </r>
  </si>
  <si>
    <r>
      <t xml:space="preserve">Fire &amp; smoke dampers - UL listed &amp; certified </t>
    </r>
    <r>
      <rPr>
        <sz val="10"/>
        <rFont val="Leelawadee"/>
        <family val="2"/>
        <charset val="222"/>
      </rPr>
      <t>for AHU supply &amp; return air ducts.16 Guage -GI frame &amp; 16 Guage GI Blade to be considered. Fire dampers shall be spring return type and shall be provided with extended sleeve</t>
    </r>
  </si>
  <si>
    <r>
      <t xml:space="preserve">Actuators </t>
    </r>
    <r>
      <rPr>
        <sz val="10"/>
        <rFont val="Leelawadee"/>
        <family val="2"/>
        <charset val="222"/>
      </rPr>
      <t xml:space="preserve">for above fire dampers- </t>
    </r>
    <r>
      <rPr>
        <b/>
        <sz val="10"/>
        <rFont val="Leelawadee"/>
        <family val="2"/>
        <charset val="222"/>
      </rPr>
      <t>HIGH TORQUE TYPE-10 NM.</t>
    </r>
  </si>
  <si>
    <r>
      <t xml:space="preserve">Actuators </t>
    </r>
    <r>
      <rPr>
        <sz val="10"/>
        <rFont val="Leelawadee"/>
        <family val="2"/>
        <charset val="222"/>
      </rPr>
      <t xml:space="preserve">for critical room fire dampers- </t>
    </r>
    <r>
      <rPr>
        <b/>
        <sz val="10"/>
        <rFont val="Leelawadee"/>
        <family val="2"/>
        <charset val="222"/>
      </rPr>
      <t>MEDIUM TORQUE TYPE 5 NM.</t>
    </r>
  </si>
  <si>
    <r>
      <rPr>
        <b/>
        <sz val="10"/>
        <rFont val="Leelawadee"/>
        <family val="2"/>
        <charset val="222"/>
      </rPr>
      <t xml:space="preserve">Supply, Installation, Testing &amp; Commissioning of Fusible link type fire damper. Should be UL (555) listed &amp; CBRI approved. </t>
    </r>
    <r>
      <rPr>
        <sz val="10"/>
        <rFont val="Leelawadee"/>
        <family val="2"/>
        <charset val="222"/>
      </rPr>
      <t>With one or 2 side flanges as per the site condition. Fire rating should be 1 1/2 hrs as per the UL 555. Blades shall be held in position through fusible link of temp. of 74 deg. c.  Gauge of blades &amp; frame should be 16 G. Should supply with GI made Transition piece(22Gauge) &amp; Back draft(Gravity) damper.</t>
    </r>
  </si>
  <si>
    <r>
      <t>Supply &amp; installation of 8mm thick MS Sheet as Sleeve.T</t>
    </r>
    <r>
      <rPr>
        <sz val="10"/>
        <rFont val="Leelawadee"/>
        <family val="2"/>
        <charset val="222"/>
      </rPr>
      <t>he vendor has to first place the sleeve on the wall and close the wall completely after proper leveling of the same,then Duct can be ereceted with proper supports.</t>
    </r>
  </si>
  <si>
    <r>
      <t>Supply  &amp; Installation of Sand Cement Morter</t>
    </r>
    <r>
      <rPr>
        <sz val="10"/>
        <rFont val="Leelawadee"/>
        <family val="2"/>
        <charset val="222"/>
      </rPr>
      <t xml:space="preserve"> around the duct Sleeves and further enclosed/pateched with POP material</t>
    </r>
  </si>
  <si>
    <r>
      <t xml:space="preserve">Conducting Duct pressure testing for all supply from AHU to tail end and providing report showing the results </t>
    </r>
    <r>
      <rPr>
        <b/>
        <sz val="10"/>
        <rFont val="Leelawadee"/>
        <family val="2"/>
        <charset val="222"/>
      </rPr>
      <t>(3 nos of AHU's )</t>
    </r>
  </si>
  <si>
    <r>
      <rPr>
        <b/>
        <sz val="10"/>
        <color theme="1"/>
        <rFont val="Leelawadee"/>
        <family val="2"/>
        <charset val="222"/>
      </rPr>
      <t xml:space="preserve">Supply, assembling, installation, testing &amp; commissioning of following LT panels. </t>
    </r>
    <r>
      <rPr>
        <sz val="10"/>
        <color theme="1"/>
        <rFont val="Leelawadee"/>
        <family val="2"/>
        <charset val="222"/>
      </rPr>
      <t>Quoted rate shall include necessary Frame, C channels for fixing on wall. Constrcution of panel complies to IEC60439/Relevant IS standards.</t>
    </r>
  </si>
  <si>
    <t xml:space="preserve">INDIGENE 3RD FLOOR </t>
  </si>
  <si>
    <t>Subject :</t>
  </si>
  <si>
    <t>Sanitary Fixtures &amp; CP Fittings BOQ</t>
  </si>
  <si>
    <r>
      <t xml:space="preserve">Supply and fixing of approved make white colour </t>
    </r>
    <r>
      <rPr>
        <b/>
        <sz val="10"/>
        <rFont val="Calibri"/>
        <family val="2"/>
        <scheme val="minor"/>
      </rPr>
      <t>European water closet wall mounted with Concealed</t>
    </r>
    <r>
      <rPr>
        <sz val="10"/>
        <rFont val="Calibri"/>
        <family val="2"/>
        <scheme val="minor"/>
      </rPr>
      <t xml:space="preserve"> </t>
    </r>
    <r>
      <rPr>
        <b/>
        <sz val="10"/>
        <rFont val="Calibri"/>
        <family val="2"/>
        <scheme val="minor"/>
      </rPr>
      <t>Cistern</t>
    </r>
    <r>
      <rPr>
        <sz val="10"/>
        <rFont val="Calibri"/>
        <family val="2"/>
        <scheme val="minor"/>
      </rPr>
      <t xml:space="preserve"> </t>
    </r>
    <r>
      <rPr>
        <b/>
        <sz val="10"/>
        <rFont val="Calibri"/>
        <family val="2"/>
        <scheme val="minor"/>
      </rPr>
      <t>&amp; button panel set</t>
    </r>
    <r>
      <rPr>
        <sz val="10"/>
        <rFont val="Calibri"/>
        <family val="2"/>
        <scheme val="minor"/>
      </rPr>
      <t xml:space="preserve"> of dual flush 3/6 lit, with back inlet" S or P" trap by using coversion bend. The closet is mounted with Chair bracket &amp; SS rag bolts suitable colour solid duroplast or scratch resistant seat and cover with special hinges to suit wall mounted water closet for soft closing, complete etc., all of approved make.</t>
    </r>
    <r>
      <rPr>
        <b/>
        <sz val="10"/>
        <rFont val="Calibri"/>
        <family val="2"/>
        <scheme val="minor"/>
      </rPr>
      <t>(MALE &amp; FEMALE TOILETS)</t>
    </r>
  </si>
  <si>
    <t>kohler,Jaquar</t>
  </si>
  <si>
    <t>set</t>
  </si>
  <si>
    <r>
      <t xml:space="preserve">Supply and fixing of approved make white colour </t>
    </r>
    <r>
      <rPr>
        <b/>
        <sz val="10"/>
        <rFont val="Calibri"/>
        <family val="2"/>
        <scheme val="minor"/>
      </rPr>
      <t>European water closet wall mounted with Concealed Cistern &amp; button panel set</t>
    </r>
    <r>
      <rPr>
        <sz val="10"/>
        <rFont val="Calibri"/>
        <family val="2"/>
        <scheme val="minor"/>
      </rPr>
      <t xml:space="preserve"> of dual flush 3/4.5 lit, with back inlet" S or P" trap by using coversion bend. The closet is mounted with Chair bracket &amp; SS rag bolts suitable colour solid duroplast or scratch resistant seat and cover with special hinges to suit wall mounted water closet for soft closing, complete with handicap grab bars etc., all of approved make.</t>
    </r>
    <r>
      <rPr>
        <b/>
        <sz val="10"/>
        <rFont val="Calibri"/>
        <family val="2"/>
        <scheme val="minor"/>
      </rPr>
      <t>(HANDICAPPED TOILETS)</t>
    </r>
  </si>
  <si>
    <r>
      <t>Supply &amp; Installing, Testing and Commissioning of white glazed flat back large</t>
    </r>
    <r>
      <rPr>
        <b/>
        <sz val="10"/>
        <color indexed="8"/>
        <rFont val="Calibri"/>
        <family val="2"/>
        <scheme val="minor"/>
      </rPr>
      <t xml:space="preserve"> Wall Mounted Urinal (Sensor Type)</t>
    </r>
    <r>
      <rPr>
        <sz val="10"/>
        <color indexed="8"/>
        <rFont val="Calibri"/>
        <family val="2"/>
        <scheme val="minor"/>
      </rPr>
      <t xml:space="preserve"> with 50mm dia CP waste coupling with dome type grating, 40mm dia CP bottle trap / inbuilt bottle trap type with extension pipe,SS bolts and nuts to fix the urinal with all hangers and brackets  etc complete</t>
    </r>
    <r>
      <rPr>
        <b/>
        <sz val="10"/>
        <color indexed="8"/>
        <rFont val="Calibri"/>
        <family val="2"/>
        <scheme val="minor"/>
      </rPr>
      <t>.(MALE TOILETS)</t>
    </r>
  </si>
  <si>
    <r>
      <t xml:space="preserve">Supply,installation,testing and commissioning  of </t>
    </r>
    <r>
      <rPr>
        <b/>
        <sz val="10"/>
        <rFont val="Calibri"/>
        <family val="2"/>
        <scheme val="minor"/>
      </rPr>
      <t xml:space="preserve">CP brass health Faucet </t>
    </r>
    <r>
      <rPr>
        <sz val="10"/>
        <rFont val="Calibri"/>
        <family val="2"/>
        <scheme val="minor"/>
      </rPr>
      <t xml:space="preserve">with 1.0 mtr long flexible tube, hook, spray nozzle and 1 No. </t>
    </r>
    <r>
      <rPr>
        <b/>
        <sz val="10"/>
        <rFont val="Calibri"/>
        <family val="2"/>
        <scheme val="minor"/>
      </rPr>
      <t>15 mm CP brass angular stop cock</t>
    </r>
    <r>
      <rPr>
        <sz val="10"/>
        <rFont val="Calibri"/>
        <family val="2"/>
        <scheme val="minor"/>
      </rPr>
      <t xml:space="preserve"> with wall flange etc. complete.</t>
    </r>
  </si>
  <si>
    <r>
      <t xml:space="preserve">Supply,installation,testing and commissioning of  </t>
    </r>
    <r>
      <rPr>
        <b/>
        <sz val="10"/>
        <rFont val="Calibri"/>
        <family val="2"/>
        <scheme val="minor"/>
      </rPr>
      <t>Under counter wash basin</t>
    </r>
    <r>
      <rPr>
        <sz val="10"/>
        <rFont val="Calibri"/>
        <family val="2"/>
        <scheme val="minor"/>
      </rPr>
      <t xml:space="preserve">. having an size L591 x W410 x D200 The basin is mounted over granite / counter with the following fittings like 32 mm CP brass full thread waste coupling, 32 mm CP brass  Bottle trap with extension pipe, Basin Tap , 450 mm long  PVC inlet connecting  pipes and brass/ SS nuts, 1 Nos 15 mm CP brass angular stop cock with wall flanges &amp; necessary fittings etc., complete. </t>
    </r>
    <r>
      <rPr>
        <b/>
        <sz val="10"/>
        <rFont val="Calibri"/>
        <family val="2"/>
        <scheme val="minor"/>
      </rPr>
      <t>(MALE &amp; FEMALE TOILETS  &amp; HAND WASH AREA)</t>
    </r>
  </si>
  <si>
    <r>
      <t xml:space="preserve">Supply,installation,testing and commissioning of  </t>
    </r>
    <r>
      <rPr>
        <b/>
        <sz val="10"/>
        <rFont val="Calibri"/>
        <family val="2"/>
        <scheme val="minor"/>
      </rPr>
      <t>Under counter circler type wash basin</t>
    </r>
    <r>
      <rPr>
        <sz val="10"/>
        <rFont val="Calibri"/>
        <family val="2"/>
        <scheme val="minor"/>
      </rPr>
      <t xml:space="preserve">. having an size dia is 415mm. The basin is mounted over granite / counter with the following fittings like 32 mm CP brass full thread waste coupling, 32 mm CP brass  Bottle trap with extension pipe, Basin Tap , 450 mm long  PVC inlet connecting  pipes and brass/ SS nuts, 1 Nos 15 mm CP brass angular stop cock with wall flanges &amp; necessary fittings etc., complete. </t>
    </r>
    <r>
      <rPr>
        <b/>
        <sz val="10"/>
        <rFont val="Calibri"/>
        <family val="2"/>
        <scheme val="minor"/>
      </rPr>
      <t>(Hand wash)</t>
    </r>
  </si>
  <si>
    <r>
      <t xml:space="preserve">Supply and fixing of approved make </t>
    </r>
    <r>
      <rPr>
        <b/>
        <sz val="10"/>
        <rFont val="Calibri"/>
        <family val="2"/>
        <scheme val="minor"/>
      </rPr>
      <t>Under mount Single Bowl</t>
    </r>
    <r>
      <rPr>
        <sz val="10"/>
        <rFont val="Calibri"/>
        <family val="2"/>
        <scheme val="minor"/>
      </rPr>
      <t xml:space="preserve"> </t>
    </r>
    <r>
      <rPr>
        <b/>
        <sz val="10"/>
        <rFont val="Calibri"/>
        <family val="2"/>
        <scheme val="minor"/>
      </rPr>
      <t>stainless steel sink with drain board</t>
    </r>
    <r>
      <rPr>
        <sz val="10"/>
        <rFont val="Calibri"/>
        <family val="2"/>
        <scheme val="minor"/>
      </rPr>
      <t xml:space="preserve"> having an Bowl size L440 x W440 x L175 mm manufactured from 1mm thick 18/8 high grade chrome nickel steel type 304 and polished in an immaculate easy to clean finish, 40 mm waste coupling with PVC waste pipe taken upto floor trap, MS bracket for mounting the sink and painting the bracket with two coats of enamel paint of approved colour over a coat of primer etc.complete.For (PANTRY AND KITCHEN)</t>
    </r>
  </si>
  <si>
    <r>
      <t xml:space="preserve">Supply and fixing of approved make </t>
    </r>
    <r>
      <rPr>
        <b/>
        <sz val="10"/>
        <rFont val="Calibri"/>
        <family val="2"/>
        <scheme val="minor"/>
      </rPr>
      <t>Janitor sink</t>
    </r>
    <r>
      <rPr>
        <sz val="10"/>
        <rFont val="Calibri"/>
        <family val="2"/>
        <scheme val="minor"/>
      </rPr>
      <t xml:space="preserve"> -</t>
    </r>
    <r>
      <rPr>
        <b/>
        <sz val="10"/>
        <rFont val="Calibri"/>
        <family val="2"/>
        <scheme val="minor"/>
      </rPr>
      <t>Single Bowl stainless steel sink without drain board</t>
    </r>
    <r>
      <rPr>
        <sz val="10"/>
        <rFont val="Calibri"/>
        <family val="2"/>
        <scheme val="minor"/>
      </rPr>
      <t xml:space="preserve"> having an overall size of 1000 x 510 mm (Bowl size L860 x W500 x H200 mm deep) manufactured from 1mm thick 18/8 high grade chrome nickel steel type 304 and polished in an immaculate easy to clean finish, 40 mm waste coupling with PVC waste pipe taken upto floor trap, MS bracket for mounting the sink and painting the bracket with two coats of enamel paint of approved colour over a coat of primer etc.complete.For </t>
    </r>
    <r>
      <rPr>
        <b/>
        <sz val="10"/>
        <rFont val="Calibri"/>
        <family val="2"/>
        <scheme val="minor"/>
      </rPr>
      <t>(Janitor Room &amp; Hand Wash)</t>
    </r>
  </si>
  <si>
    <r>
      <t>Supply and fixing of shower unit consisting of</t>
    </r>
    <r>
      <rPr>
        <b/>
        <sz val="10"/>
        <rFont val="Calibri"/>
        <family val="2"/>
        <scheme val="minor"/>
      </rPr>
      <t xml:space="preserve"> RAIN DUET SHOWER COLUMN WITH DIVERTER (Diversion Between Handshower &amp; Showerhead In Polished Chrome) </t>
    </r>
    <r>
      <rPr>
        <sz val="10"/>
        <rFont val="Calibri"/>
        <family val="2"/>
        <scheme val="minor"/>
      </rPr>
      <t xml:space="preserve">with overhead shower and wall flange, shower with revolving joint  etc., complete all of approved make.  </t>
    </r>
    <r>
      <rPr>
        <b/>
        <sz val="10"/>
        <rFont val="Calibri"/>
        <family val="2"/>
        <scheme val="minor"/>
      </rPr>
      <t>(MALE &amp; FEMALE TOILETS )</t>
    </r>
  </si>
  <si>
    <t>WELLNESS ROOM</t>
  </si>
  <si>
    <t xml:space="preserve">kohler, Jaquar
</t>
  </si>
  <si>
    <t>Supply,installation,testing and commissioning of  Toilet Tissue Holder with flap etc complete.(For All EWC cubical Incluiding handicapped toilet)</t>
  </si>
  <si>
    <r>
      <t xml:space="preserve">Supply,installation,testing and commissioning of  </t>
    </r>
    <r>
      <rPr>
        <b/>
        <sz val="11"/>
        <color rgb="FF000000"/>
        <rFont val="Arial"/>
        <family val="2"/>
      </rPr>
      <t>Single</t>
    </r>
    <r>
      <rPr>
        <b/>
        <sz val="11"/>
        <color rgb="FF000000"/>
        <rFont val="Calibri"/>
        <family val="2"/>
      </rPr>
      <t xml:space="preserve"> Robe hook</t>
    </r>
    <r>
      <rPr>
        <sz val="11"/>
        <color rgb="FF000000"/>
        <rFont val="Calibri"/>
        <family val="2"/>
      </rPr>
      <t xml:space="preserve"> with  ss screws etc complete.</t>
    </r>
  </si>
  <si>
    <r>
      <t xml:space="preserve">Supply,installation,testing and commissioning of </t>
    </r>
    <r>
      <rPr>
        <b/>
        <sz val="11"/>
        <color rgb="FF000000"/>
        <rFont val="Calibri"/>
        <family val="2"/>
      </rPr>
      <t>Soap dispenser</t>
    </r>
    <r>
      <rPr>
        <sz val="11"/>
        <color rgb="FF000000"/>
        <rFont val="Calibri"/>
        <family val="2"/>
      </rPr>
      <t xml:space="preserve"> with  ss screws of  approved make or as specifed by interior architect including all accessories complete in all respect etc complete. </t>
    </r>
    <r>
      <rPr>
        <b/>
        <sz val="11"/>
        <color rgb="FF000000"/>
        <rFont val="Calibri"/>
        <family val="2"/>
      </rPr>
      <t>(Male &amp; Female TOILET)</t>
    </r>
  </si>
  <si>
    <t>Supply,installation,testing and commissioning of  Hand dryer with  ss screws etc complete.(Male &amp; Female &amp; handicapped toilet)</t>
  </si>
  <si>
    <t> K-5486T-2-SH</t>
  </si>
  <si>
    <r>
      <t xml:space="preserve">Supply,installation,testing and commissioning of </t>
    </r>
    <r>
      <rPr>
        <b/>
        <sz val="11"/>
        <color rgb="FF000000"/>
        <rFont val="Arial"/>
        <family val="2"/>
      </rPr>
      <t>Tissue Paper Dispenser</t>
    </r>
    <r>
      <rPr>
        <sz val="11"/>
        <color rgb="FF000000"/>
        <rFont val="Calibri"/>
        <family val="2"/>
      </rPr>
      <t xml:space="preserve"> with  ss screws etc complete.(WASH BASIN)</t>
    </r>
  </si>
  <si>
    <t xml:space="preserve">Supply and fixing C.P. brass angle valve of approved quality conforming to IS:8931 15 mm nominal bore for (Water Filter) </t>
  </si>
  <si>
    <t>Supply,Installation,Testing and Commisioning of approved make of Electric Storage type Vertical/Horizontal Water Heater of approved make and colour having an inner tank manufactured from 99% pure copper which is suitable for both hard and soft water with all other internal fittings, internal insulation, inside non-return valve at inlet pipe all as per IS-2082 with 3 core heavy duty copper cable with 3 pin plug CP brass screwed inlet pipe, automatic pressure release valve, adjustable thermostat assembly, fusible plug for ultimate safety, 2 No. 15 mm Dia CP  Angular Stop Cock with wall flange for the cold water supply line and 2 Nos. 15 mm x 600 mm long PVC inlet connecting pipe with end nuts for the hot and cold water supply  connections etc., complete. (KITCHEN)</t>
  </si>
  <si>
    <t>Water - Heater Horizontal - 50 liter (capacity)</t>
  </si>
  <si>
    <r>
      <t xml:space="preserve">Providing and fixing 5'x 5' Square frame with </t>
    </r>
    <r>
      <rPr>
        <b/>
        <sz val="10"/>
        <rFont val="Calibri"/>
        <family val="2"/>
        <scheme val="minor"/>
      </rPr>
      <t>SS cockroach trap</t>
    </r>
    <r>
      <rPr>
        <sz val="10"/>
        <rFont val="Calibri"/>
        <family val="2"/>
        <scheme val="minor"/>
      </rPr>
      <t xml:space="preserve">  for hand wash area</t>
    </r>
  </si>
  <si>
    <t>Make : Noway / Chilly</t>
  </si>
  <si>
    <r>
      <t xml:space="preserve">Providing and fixing 125mm x 125mm Square frame with </t>
    </r>
    <r>
      <rPr>
        <b/>
        <sz val="10"/>
        <rFont val="Calibri"/>
        <family val="2"/>
        <scheme val="minor"/>
      </rPr>
      <t>SS cockroach trap</t>
    </r>
    <r>
      <rPr>
        <sz val="10"/>
        <rFont val="Calibri"/>
        <family val="2"/>
        <scheme val="minor"/>
      </rPr>
      <t xml:space="preserve"> inside </t>
    </r>
    <r>
      <rPr>
        <b/>
        <sz val="10"/>
        <rFont val="Calibri"/>
        <family val="2"/>
        <scheme val="minor"/>
      </rPr>
      <t>Toilet.</t>
    </r>
  </si>
  <si>
    <r>
      <t xml:space="preserve">Make </t>
    </r>
    <r>
      <rPr>
        <b/>
        <sz val="10"/>
        <rFont val="Calibri"/>
        <family val="2"/>
        <scheme val="minor"/>
      </rPr>
      <t>:</t>
    </r>
    <r>
      <rPr>
        <sz val="10"/>
        <rFont val="Calibri"/>
        <family val="2"/>
        <scheme val="minor"/>
      </rPr>
      <t xml:space="preserve"> </t>
    </r>
    <r>
      <rPr>
        <b/>
        <sz val="10"/>
        <rFont val="Calibri"/>
        <family val="2"/>
        <scheme val="minor"/>
      </rPr>
      <t>Noway / Chilly</t>
    </r>
  </si>
  <si>
    <t xml:space="preserve">Supplying and fixing of 5" x 5" Square frame with SS pop up grating (urinal traps). </t>
  </si>
  <si>
    <t>Supply, Fixing &amp; testing of curved shaped urinal partition with frosted glass including providing &amp; fixing concealed CI bracket, cutting and making good.</t>
  </si>
  <si>
    <r>
      <t xml:space="preserve">Supply and fixing of approved make </t>
    </r>
    <r>
      <rPr>
        <b/>
        <sz val="10"/>
        <rFont val="Calibri"/>
        <family val="2"/>
        <scheme val="minor"/>
      </rPr>
      <t>Doble Bowl</t>
    </r>
    <r>
      <rPr>
        <sz val="10"/>
        <rFont val="Calibri"/>
        <family val="2"/>
        <scheme val="minor"/>
      </rPr>
      <t xml:space="preserve"> </t>
    </r>
    <r>
      <rPr>
        <b/>
        <sz val="10"/>
        <rFont val="Calibri"/>
        <family val="2"/>
        <scheme val="minor"/>
      </rPr>
      <t>stainless steel sink with drain board</t>
    </r>
    <r>
      <rPr>
        <sz val="10"/>
        <rFont val="Calibri"/>
        <family val="2"/>
        <scheme val="minor"/>
      </rPr>
      <t xml:space="preserve"> having an Bowl size L840 x W440 x L175 mm manufactured from 1mm thick 18/8 high grade chrome nickel steel type 304 and polished in an immaculate easy to clean finish, 40 mm waste coupling with PVC waste pipe taken upto floor trap, MS bracket for mounting the sink and painting the bracket with two coats of enamel paint of approved colour over a coat of primer etc.complete.For (</t>
    </r>
    <r>
      <rPr>
        <b/>
        <sz val="10"/>
        <rFont val="Calibri"/>
        <family val="2"/>
        <scheme val="minor"/>
      </rPr>
      <t>kitchen</t>
    </r>
    <r>
      <rPr>
        <sz val="10"/>
        <rFont val="Calibri"/>
        <family val="2"/>
        <scheme val="minor"/>
      </rPr>
      <t>)</t>
    </r>
  </si>
  <si>
    <t>Sink with drain board(L840 x W440 x L175)</t>
  </si>
  <si>
    <t>Supply, Fixing &amp; testing of CP long body bib cock for Pot wash area</t>
  </si>
  <si>
    <t>Make : Jaquar</t>
  </si>
  <si>
    <t>PHE Internal Works BOQ</t>
  </si>
  <si>
    <t>3RD Floor  Qty</t>
  </si>
  <si>
    <r>
      <t xml:space="preserve">Supply and Fixing of approved make </t>
    </r>
    <r>
      <rPr>
        <b/>
        <sz val="10"/>
        <rFont val="Calibri"/>
        <family val="2"/>
        <scheme val="minor"/>
      </rPr>
      <t xml:space="preserve">Chlorinated Polyvinyl Chloride pipes (CPVC) of SDR 11 </t>
    </r>
    <r>
      <rPr>
        <sz val="10"/>
        <rFont val="Calibri"/>
        <family val="2"/>
        <scheme val="minor"/>
      </rPr>
      <t>confirming</t>
    </r>
    <r>
      <rPr>
        <b/>
        <sz val="10"/>
        <rFont val="Calibri"/>
        <family val="2"/>
        <scheme val="minor"/>
      </rPr>
      <t xml:space="preserve"> IS 15778 </t>
    </r>
    <r>
      <rPr>
        <sz val="10"/>
        <rFont val="Calibri"/>
        <family val="2"/>
        <scheme val="minor"/>
      </rPr>
      <t>with all CPVC fittings and specials such as tees, elbows, couplers etc with CPVC brass threaded  combination/ transition specials such as male adopters brass threaded, female adopters brass threaded, FABT tee, FABT elbow conforming to ASTM -  D 2846,up to 50 mm dia  etc where connection with metal is to be made including cutting holes and chases in walls and floors and refilling it by cement mortar of 1:3 mix (1 Portland Cement : 3 hard settling  cement compound) and making good the walls etc as directed by the Engineer in charge. Joints to be made with CPVC solvent as per ASTM F 493 complete.</t>
    </r>
  </si>
  <si>
    <r>
      <t xml:space="preserve">Make </t>
    </r>
    <r>
      <rPr>
        <b/>
        <sz val="10"/>
        <rFont val="Calibri"/>
        <family val="2"/>
        <scheme val="minor"/>
      </rPr>
      <t>:</t>
    </r>
    <r>
      <rPr>
        <sz val="10"/>
        <rFont val="Calibri"/>
        <family val="2"/>
        <scheme val="minor"/>
      </rPr>
      <t xml:space="preserve"> </t>
    </r>
    <r>
      <rPr>
        <b/>
        <sz val="10"/>
        <rFont val="Calibri"/>
        <family val="2"/>
        <scheme val="minor"/>
      </rPr>
      <t xml:space="preserve">  Astral / Ashirvad/Supreme</t>
    </r>
  </si>
  <si>
    <r>
      <t xml:space="preserve">Supply and fixing </t>
    </r>
    <r>
      <rPr>
        <b/>
        <sz val="10"/>
        <rFont val="Calibri"/>
        <family val="2"/>
        <scheme val="minor"/>
      </rPr>
      <t xml:space="preserve">thermal insulation over hot water pipes </t>
    </r>
    <r>
      <rPr>
        <sz val="10"/>
        <rFont val="Calibri"/>
        <family val="2"/>
        <scheme val="minor"/>
      </rPr>
      <t>exposed with 6 mm thick up to 50mm and above 9mm thick approved make thermal insulation tubing, a elastomeric flexible material having hermetic blister closed cell structure of expanded synthetic rubber having density of 60-90 Kg/m3 over pipes of following sizes including all required accessories complete as per manufacture's specifications. Joints of insulation should be applied with self adhesive tapes of rayon materials and polished protective coating with sun radiating protective cloth cladding complete</t>
    </r>
    <r>
      <rPr>
        <b/>
        <sz val="10"/>
        <rFont val="Calibri"/>
        <family val="2"/>
        <scheme val="minor"/>
      </rPr>
      <t>. (Only for Hot water supply)</t>
    </r>
  </si>
  <si>
    <r>
      <t xml:space="preserve">Supply and fixing of lever operated </t>
    </r>
    <r>
      <rPr>
        <b/>
        <sz val="10"/>
        <rFont val="Calibri"/>
        <family val="2"/>
        <scheme val="minor"/>
      </rPr>
      <t>Forged brass ball valve</t>
    </r>
    <r>
      <rPr>
        <sz val="10"/>
        <rFont val="Calibri"/>
        <family val="2"/>
        <scheme val="minor"/>
      </rPr>
      <t xml:space="preserve"> of approved make and provided with forged brass ball (</t>
    </r>
    <r>
      <rPr>
        <b/>
        <sz val="10"/>
        <rFont val="Calibri"/>
        <family val="2"/>
        <scheme val="minor"/>
      </rPr>
      <t>AISI 304</t>
    </r>
    <r>
      <rPr>
        <sz val="10"/>
        <rFont val="Calibri"/>
        <family val="2"/>
        <scheme val="minor"/>
      </rPr>
      <t>) and spindle (</t>
    </r>
    <r>
      <rPr>
        <b/>
        <sz val="10"/>
        <rFont val="Calibri"/>
        <family val="2"/>
        <scheme val="minor"/>
      </rPr>
      <t>AISI 410)</t>
    </r>
    <r>
      <rPr>
        <sz val="10"/>
        <rFont val="Calibri"/>
        <family val="2"/>
        <scheme val="minor"/>
      </rPr>
      <t>, glass filled Teflon seating and gland packing etc., complete.  The valve shall be fixed after the union of PVC.  The quoted rate shall also include the cost of the union, nipples,male /  Female adopter brass threaded,  etc., complete.</t>
    </r>
  </si>
  <si>
    <r>
      <t>Make :</t>
    </r>
    <r>
      <rPr>
        <b/>
        <sz val="10"/>
        <rFont val="Calibri"/>
        <family val="2"/>
        <scheme val="minor"/>
      </rPr>
      <t xml:space="preserve"> Zoloto,Leader</t>
    </r>
  </si>
  <si>
    <r>
      <t xml:space="preserve">Supplying, installing, testing and commissioning of KROHNE MARSHALL make </t>
    </r>
    <r>
      <rPr>
        <b/>
        <sz val="10"/>
        <rFont val="Calibri"/>
        <family val="2"/>
        <scheme val="minor"/>
      </rPr>
      <t>Electromagnetic Water Meter</t>
    </r>
    <r>
      <rPr>
        <sz val="10"/>
        <rFont val="Calibri"/>
        <family val="2"/>
        <scheme val="minor"/>
      </rPr>
      <t xml:space="preserve"> Sandwich / Flanged ends (Ecomag / Optiflux 4000+ IFC 050 with flanges and necessary bolt &amp; nuts with complete Wiring and Cabling work</t>
    </r>
  </si>
  <si>
    <r>
      <t xml:space="preserve">Supplying, installing, testing and commissioning of approved make Ductile Iron diaphragm actuated spring loaded . The pilot shall be self-cleaning and self-flushing. pressure reducing station </t>
    </r>
    <r>
      <rPr>
        <b/>
        <sz val="10"/>
        <rFont val="Calibri"/>
        <family val="2"/>
        <scheme val="minor"/>
      </rPr>
      <t xml:space="preserve">(PRV's) </t>
    </r>
    <r>
      <rPr>
        <sz val="10"/>
        <rFont val="Calibri"/>
        <family val="2"/>
        <scheme val="minor"/>
      </rPr>
      <t xml:space="preserve">of approved makes with 4 nos control valve, 2nos PRV's and 2 nos pressure guages &amp; 2 no's 'Y' strainer conforming to ASTM standards with union. The body should be DI  etc., complete.fittings. </t>
    </r>
  </si>
  <si>
    <r>
      <t xml:space="preserve">Supplying, Installation testing and commissioning of </t>
    </r>
    <r>
      <rPr>
        <b/>
        <sz val="10"/>
        <rFont val="Calibri"/>
        <family val="2"/>
        <scheme val="minor"/>
      </rPr>
      <t>water purifier (RO+UV+UF+TDS )-100Ltr/Hour</t>
    </r>
    <r>
      <rPr>
        <sz val="10"/>
        <rFont val="Calibri"/>
        <family val="2"/>
        <scheme val="minor"/>
      </rPr>
      <t>, 500 Litre/Day . With water level  sensors ,suitable instrumentatiion and control cabling</t>
    </r>
  </si>
  <si>
    <t>INTERNAL DRAINAGE SYSTEM</t>
  </si>
  <si>
    <r>
      <t xml:space="preserve">Make </t>
    </r>
    <r>
      <rPr>
        <b/>
        <sz val="10"/>
        <rFont val="Calibri"/>
        <family val="2"/>
        <scheme val="minor"/>
      </rPr>
      <t xml:space="preserve">: Astral /  Ashirvad </t>
    </r>
  </si>
  <si>
    <r>
      <t xml:space="preserve">Supply and fixing of </t>
    </r>
    <r>
      <rPr>
        <b/>
        <sz val="10"/>
        <rFont val="Calibri"/>
        <family val="2"/>
        <scheme val="minor"/>
      </rPr>
      <t>class III (6 kg/cm2) Rigid PVC pipes</t>
    </r>
    <r>
      <rPr>
        <sz val="10"/>
        <rFont val="Calibri"/>
        <family val="2"/>
        <scheme val="minor"/>
      </rPr>
      <t xml:space="preserve"> ( as per IS - 4985 ) laid as waste line under floor / under ceiling / on walls with necessary bores in foundation, walls, ceiling etc., and rendering the bores in CM 1:4 etc., complete.</t>
    </r>
    <r>
      <rPr>
        <b/>
        <sz val="10"/>
        <rFont val="Calibri"/>
        <family val="2"/>
        <scheme val="minor"/>
      </rPr>
      <t>(For wash basin,Micro Kitchen sink &amp; urinal Outlet )</t>
    </r>
  </si>
  <si>
    <r>
      <t xml:space="preserve">Make : </t>
    </r>
    <r>
      <rPr>
        <b/>
        <sz val="10"/>
        <rFont val="Calibri"/>
        <family val="2"/>
        <scheme val="minor"/>
      </rPr>
      <t xml:space="preserve">Astral / Ashirvad </t>
    </r>
  </si>
  <si>
    <r>
      <t xml:space="preserve">Providing,   fixing,  jointing,  testing   and commissioning  spun/centri </t>
    </r>
    <r>
      <rPr>
        <b/>
        <sz val="10"/>
        <rFont val="Calibri"/>
        <family val="2"/>
        <scheme val="minor"/>
      </rPr>
      <t>C.I.  pipe</t>
    </r>
    <r>
      <rPr>
        <sz val="10"/>
        <rFont val="Calibri"/>
        <family val="2"/>
        <scheme val="minor"/>
      </rPr>
      <t>   for Kitchen  waste drain  pipes installation  conforming to IS:3989  cut  to  required  lengths including  all   necessary  fittings and specials such as Bends, junctions, offsets, access pieces (plain or door) &amp; vent cowl. Fixing at wall/ceiling level supported by  galvanized steel clamps   &amp;  hangers  etc. duly epoxy coated. Making    proper  connection with drip seal joint or Acqua Bond joint of required depth as per manufacturer. Cutting, chases/holes in floors / walls / slab.
(All pipe diameters mentioned should be considered as internal diameters (ID))</t>
    </r>
  </si>
  <si>
    <r>
      <t xml:space="preserve">Make </t>
    </r>
    <r>
      <rPr>
        <b/>
        <sz val="10"/>
        <rFont val="Calibri"/>
        <family val="2"/>
        <scheme val="minor"/>
      </rPr>
      <t>: NECO/ACO</t>
    </r>
  </si>
  <si>
    <t>50MM</t>
  </si>
  <si>
    <t xml:space="preserve">75mm </t>
  </si>
  <si>
    <t>100MM</t>
  </si>
  <si>
    <t>150MM</t>
  </si>
  <si>
    <r>
      <t>Supplying, installing, testing and commissioning of</t>
    </r>
    <r>
      <rPr>
        <b/>
        <sz val="10"/>
        <rFont val="Calibri"/>
        <family val="2"/>
        <scheme val="minor"/>
      </rPr>
      <t xml:space="preserve"> 125mm</t>
    </r>
    <r>
      <rPr>
        <sz val="10"/>
        <rFont val="Calibri"/>
        <family val="2"/>
        <scheme val="minor"/>
      </rPr>
      <t xml:space="preserve"> </t>
    </r>
    <r>
      <rPr>
        <b/>
        <sz val="10"/>
        <rFont val="Calibri"/>
        <family val="2"/>
        <scheme val="minor"/>
      </rPr>
      <t>height</t>
    </r>
    <r>
      <rPr>
        <sz val="10"/>
        <rFont val="Calibri"/>
        <family val="2"/>
        <scheme val="minor"/>
      </rPr>
      <t xml:space="preserve"> </t>
    </r>
    <r>
      <rPr>
        <b/>
        <sz val="10"/>
        <rFont val="Calibri"/>
        <family val="2"/>
        <scheme val="minor"/>
      </rPr>
      <t>Pvc Multifloor trap</t>
    </r>
    <r>
      <rPr>
        <sz val="10"/>
        <rFont val="Calibri"/>
        <family val="2"/>
        <scheme val="minor"/>
      </rPr>
      <t xml:space="preserve"> </t>
    </r>
    <r>
      <rPr>
        <b/>
        <sz val="10"/>
        <rFont val="Calibri"/>
        <family val="2"/>
        <scheme val="minor"/>
      </rPr>
      <t xml:space="preserve">75 mm </t>
    </r>
    <r>
      <rPr>
        <sz val="10"/>
        <rFont val="Calibri"/>
        <family val="2"/>
        <scheme val="minor"/>
      </rPr>
      <t>dia outlet with necessary accessories/Adapters clamps/brackets etc complete</t>
    </r>
  </si>
  <si>
    <r>
      <t>Make :</t>
    </r>
    <r>
      <rPr>
        <b/>
        <sz val="10"/>
        <rFont val="Calibri"/>
        <family val="2"/>
        <scheme val="minor"/>
      </rPr>
      <t>Astral / Ashirwad</t>
    </r>
  </si>
  <si>
    <r>
      <t xml:space="preserve">Supplying, installing, testing and commissioning approved make </t>
    </r>
    <r>
      <rPr>
        <b/>
        <sz val="10"/>
        <rFont val="Calibri"/>
        <family val="2"/>
        <scheme val="minor"/>
      </rPr>
      <t>PVC  P trap</t>
    </r>
    <r>
      <rPr>
        <sz val="10"/>
        <rFont val="Calibri"/>
        <family val="2"/>
        <scheme val="minor"/>
      </rPr>
      <t xml:space="preserve"> dia with PVC adaptor </t>
    </r>
    <r>
      <rPr>
        <b/>
        <sz val="10"/>
        <rFont val="Calibri"/>
        <family val="2"/>
        <scheme val="minor"/>
      </rPr>
      <t>110 dia</t>
    </r>
    <r>
      <rPr>
        <sz val="10"/>
        <rFont val="Calibri"/>
        <family val="2"/>
        <scheme val="minor"/>
      </rPr>
      <t xml:space="preserve">  confirming to</t>
    </r>
    <r>
      <rPr>
        <b/>
        <sz val="10"/>
        <rFont val="Calibri"/>
        <family val="2"/>
        <scheme val="minor"/>
      </rPr>
      <t xml:space="preserve"> IS 7834</t>
    </r>
    <r>
      <rPr>
        <sz val="10"/>
        <rFont val="Calibri"/>
        <family val="2"/>
        <scheme val="minor"/>
      </rPr>
      <t xml:space="preserve"> with suitable clamps/brackets etc complete</t>
    </r>
  </si>
  <si>
    <r>
      <t xml:space="preserve">Providing &amp; Fixing in position </t>
    </r>
    <r>
      <rPr>
        <b/>
        <sz val="10"/>
        <rFont val="Calibri"/>
        <family val="2"/>
        <scheme val="minor"/>
      </rPr>
      <t>CI full bore P / S trap</t>
    </r>
    <r>
      <rPr>
        <sz val="10"/>
        <rFont val="Calibri"/>
        <family val="2"/>
        <scheme val="minor"/>
      </rPr>
      <t xml:space="preserve"> (IS: 3989 / IS:1729) of the following sizes including providing necessary galvanized steel support and as per Specification. Making proper connection with  drip seal joints, cutting chase / hole  in floors / slabs and bringing  the  same in  proper  condition and  shape  after  placing  the   trap in right  position  complete  as  required. All traps shall have minimum 50 mm deep water seal. (for Kitchen)</t>
    </r>
  </si>
  <si>
    <t>100 mm inlet and 100 mm outlet.</t>
  </si>
  <si>
    <t>100 mm inlet and 80 mm outlet.</t>
  </si>
  <si>
    <r>
      <t xml:space="preserve">Providing &amp; Fixing in position </t>
    </r>
    <r>
      <rPr>
        <b/>
        <sz val="10"/>
        <rFont val="Calibri"/>
        <family val="2"/>
        <scheme val="minor"/>
      </rPr>
      <t xml:space="preserve">CI Multi nahani trap </t>
    </r>
    <r>
      <rPr>
        <sz val="10"/>
        <rFont val="Calibri"/>
        <family val="2"/>
        <scheme val="minor"/>
      </rPr>
      <t>(IS: 3989 / IS:1729) of the following sizes including providing necessary galvanized steel support and as per Specification. Making proper connection with  drip seal joints, cutting chase / hole  in floors / slabs and bringing  the  same in  proper  condition and  shape  after  placing  the   trap in right  position  complete  as  required. All traps shall have minimum 50 mm deep water seal. (for Kitchen)</t>
    </r>
  </si>
  <si>
    <r>
      <t xml:space="preserve">Supply, fixing and testing of </t>
    </r>
    <r>
      <rPr>
        <b/>
        <sz val="10"/>
        <rFont val="Calibri"/>
        <family val="2"/>
        <scheme val="minor"/>
      </rPr>
      <t xml:space="preserve"> uPVC Floor cleanout (150x150mm)</t>
    </r>
    <r>
      <rPr>
        <sz val="10"/>
        <rFont val="Calibri"/>
        <family val="2"/>
        <scheme val="minor"/>
      </rPr>
      <t xml:space="preserve"> . For removing Clogging, etc., complete.(The frame and grating shall be approved by Architects) The floor cleanout shall be erected on the sunken slab . The rate shall be for all items complete.The floor cleanout shall be placed firmly on the sunken slab and hall be held in place wth 1:2:4 cement mortar, using 20 to 25mm graded stone aggregate. The top surface of the trap shall be installed level with the expected tiled floor level to fix the floor grating. The waste pipe outlet shall be laid on the sunken slab, with necessary 1:50 to 1:100 slope. </t>
    </r>
  </si>
  <si>
    <r>
      <t xml:space="preserve">Supply, fixing and testing of </t>
    </r>
    <r>
      <rPr>
        <b/>
        <sz val="10"/>
        <rFont val="Calibri"/>
        <family val="2"/>
        <scheme val="minor"/>
      </rPr>
      <t>Garbodrain G-1000 (Food waste crusher)</t>
    </r>
    <r>
      <rPr>
        <sz val="10"/>
        <rFont val="Calibri"/>
        <family val="2"/>
        <scheme val="minor"/>
      </rPr>
      <t>, including all fittings, should be anti-jam impellers made of SS 304 for efficient grinding &amp; corrosion free, run with AC power supply with calling bell switch for dry run protection</t>
    </r>
  </si>
  <si>
    <r>
      <t xml:space="preserve">Supply, fixing and testing of  </t>
    </r>
    <r>
      <rPr>
        <b/>
        <sz val="10"/>
        <rFont val="Calibri"/>
        <family val="2"/>
        <scheme val="minor"/>
      </rPr>
      <t>Food crusher (Garbodrain G-2000)</t>
    </r>
    <r>
      <rPr>
        <sz val="10"/>
        <rFont val="Calibri"/>
        <family val="2"/>
        <scheme val="minor"/>
      </rPr>
      <t xml:space="preserve">, Overall size:530x260x380mm, Weight-65kg, Inlet (Dia) 125mm or 4" PVC pipe, Outlet-2" nipple, Motor-3HP, Disposal capacity(kg)-0-250, Motor-415V / 50hz / 2800 RPM &amp; Low noise level of &lt;75 decibels etc,  including all fittings, should be anti-jam impellers made of SS 304 for efficient grinding &amp; corrosion free, run with AC power supply with calling bell switch for dry run protection. </t>
    </r>
  </si>
  <si>
    <r>
      <t xml:space="preserve">Supply of </t>
    </r>
    <r>
      <rPr>
        <b/>
        <sz val="10"/>
        <rFont val="Calibri"/>
        <family val="2"/>
        <scheme val="minor"/>
      </rPr>
      <t>Box  Channel S</t>
    </r>
    <r>
      <rPr>
        <sz val="10"/>
        <rFont val="Calibri"/>
        <family val="2"/>
        <scheme val="minor"/>
      </rPr>
      <t xml:space="preserve">ystems of </t>
    </r>
    <r>
      <rPr>
        <b/>
        <sz val="10"/>
        <rFont val="Calibri"/>
        <family val="2"/>
        <scheme val="minor"/>
      </rPr>
      <t>SS 304,Tested and certified according to EN 1253</t>
    </r>
    <r>
      <rPr>
        <sz val="10"/>
        <rFont val="Calibri"/>
        <family val="2"/>
        <scheme val="minor"/>
      </rPr>
      <t>, material thickness 1.5 mm with sloping invert and dimensions as per design. Channels will be with SS 304 grade with HD Mesh grating (5mm outer frame and 3mm loading bars) , with slip resitant finish, Surface-electropolished, designed as per EN 1253  for load class L15, with perforated tray slotted type and with silt basket., Channels and grating Fully pickled and passivated.</t>
    </r>
  </si>
  <si>
    <t>300x300x100</t>
  </si>
  <si>
    <t>900x300x100</t>
  </si>
  <si>
    <t>1350x300x100</t>
  </si>
  <si>
    <r>
      <rPr>
        <b/>
        <sz val="10"/>
        <rFont val="Calibri"/>
        <family val="2"/>
        <scheme val="minor"/>
      </rPr>
      <t>Drilling with</t>
    </r>
    <r>
      <rPr>
        <sz val="10"/>
        <rFont val="Calibri"/>
        <family val="2"/>
        <scheme val="minor"/>
      </rPr>
      <t xml:space="preserve"> </t>
    </r>
    <r>
      <rPr>
        <b/>
        <sz val="10"/>
        <rFont val="Calibri"/>
        <family val="2"/>
        <scheme val="minor"/>
      </rPr>
      <t>Core cutting</t>
    </r>
    <r>
      <rPr>
        <sz val="10"/>
        <rFont val="Calibri"/>
        <family val="2"/>
        <scheme val="minor"/>
      </rPr>
      <t xml:space="preserve"> machine in RCC beams, slabs etc., for laying pipes and rendering the same in  RCC 1:2:4, finishing the same to the satisfaction of the owner or his authorized representatives etc., The quoted rate shall also include for providing sealing the joints around the pipes etc with proper alignment, water profing for the same will be as per civil contractor only etc.. complete.</t>
    </r>
  </si>
  <si>
    <t xml:space="preserve">125mm </t>
  </si>
  <si>
    <r>
      <rPr>
        <b/>
        <sz val="10"/>
        <rFont val="Calibri"/>
        <family val="2"/>
        <scheme val="minor"/>
      </rPr>
      <t>Bore Packing for the Existing Core cuts</t>
    </r>
    <r>
      <rPr>
        <sz val="10"/>
        <rFont val="Calibri"/>
        <family val="2"/>
        <scheme val="minor"/>
      </rPr>
      <t xml:space="preserve"> in RCC beams, slabs etc., for rendering the same in  RCC 1:2:4, finishing the same to the satisfaction of the owner or his authorized representatives etc., The quoted rate shall also include for providing sealing the joints around the pipes etc with proper borepacking and providing sealent, water profing for the same will be as per civil contractor only etc.. complete.</t>
    </r>
  </si>
  <si>
    <t>75mm</t>
  </si>
  <si>
    <t>WALLS</t>
  </si>
  <si>
    <t>Duty : - 16CUM/HR each pump at 15m head</t>
  </si>
  <si>
    <t>Make : SFA/KESSEL</t>
  </si>
  <si>
    <t>MAKE: ASTRAL/ASHIRVAD</t>
  </si>
  <si>
    <t xml:space="preserve">Modification works, for modifying SWR and PVC/CPVC water pipelines with minimum alteration works  20 rmt </t>
  </si>
  <si>
    <t>Supply and fixing of UPVC BALL VALVE</t>
  </si>
  <si>
    <t>Tapping for Internal works considered from  shaft to Toilets, KITCHEN</t>
  </si>
  <si>
    <t>KITCHEN EQUIPMENTS</t>
  </si>
  <si>
    <t>BUBBLE TOP DISPENCER</t>
  </si>
  <si>
    <t>80/ Sqft</t>
  </si>
  <si>
    <t>ACRYLIC BAND</t>
  </si>
  <si>
    <t>Acrylic Band</t>
  </si>
  <si>
    <t>LOCATION</t>
  </si>
  <si>
    <t>Board Room, CEO &amp; Founder Cabin</t>
  </si>
  <si>
    <t>2 Pax meeting Room</t>
  </si>
  <si>
    <t>Café Chairs with Arm rest</t>
  </si>
  <si>
    <t>Café Chairs without Arm rest</t>
  </si>
  <si>
    <t>Executive Dining Chairs</t>
  </si>
  <si>
    <t>Collab Near CEO</t>
  </si>
  <si>
    <t xml:space="preserve">Center Table - 900mm Dia </t>
  </si>
  <si>
    <t>Wellness Room, Media byte Room &amp; VR Room</t>
  </si>
  <si>
    <t>Center Table - 600mm Dia x 750mm Height</t>
  </si>
  <si>
    <t>War Room  ; 2 Pax</t>
  </si>
  <si>
    <t>Laptop Table  - Height Adjustable</t>
  </si>
  <si>
    <t xml:space="preserve">Curve Sofa - 3 Seater </t>
  </si>
  <si>
    <t xml:space="preserve">Curve Sofa - 2 Seater </t>
  </si>
  <si>
    <t>Center Table - 600mm Dia</t>
  </si>
  <si>
    <t>Center Table - 600mm Dia - Double Table</t>
  </si>
  <si>
    <t>3 Seater Sofa</t>
  </si>
  <si>
    <t>Founder Cabin ; CEO Cabin</t>
  </si>
  <si>
    <t>Pouf - Different Shape</t>
  </si>
  <si>
    <t>NAP Room Sofa</t>
  </si>
  <si>
    <t>CURVED ALUMUM CLADDING WITH FLEXI PLY</t>
  </si>
  <si>
    <t>Providing &amp; fixing 50mm thk Wall lining with C-stud partition which  is placed adjacent to RCC wall. 48x0.5mm  C-stud placed at 610mm c/c in 50x0.5mm floor.  Floor &amp; Ceiling channel is anchored to the floor &amp; True ceiling using Rawl plug Ø8x45mm/Hilti Nail anchor fasteners at 600mm c/c in centerline manner. 50x32x32x0.5mm Floor channel to be cut &amp; bend &amp; bracing at every 1200mm c/c vertically. Floor channel is fixed to brick wall with Sleeve Anchor (Ø6x40mm)/ Impact anchor or to RCC with Rawl Plug. Ensure studs are firmly fixed and no undulations before boarding. Finally square and tapered edges of the boards are to be jointed and finished so as to have a flush look which includes filling and finishing with Pro-Fill Jointing compound Air Dry (Conforms to ASTM C475), Joint Paper tape.  All other detailing and specifications to be followed as per approved drawing.one layer of Boards to be Screw fixed with Drywall Screw of 25mm &amp; 50mm at spacing of 600mm &amp; 300mm respectively.  Extra reinforcement to be provided at openings (doors, windows, skirting etc.,) all the steel studs used shall have high quality galvanising and must be fully knurled. Ensure studs are firmly fixed and no undulations before boarding. This Inclusive of Painting</t>
  </si>
  <si>
    <t>L Shape Table</t>
  </si>
  <si>
    <t>Board Room Sofa</t>
  </si>
  <si>
    <t>Supply &amp; Installation of Automatic Trash Bin</t>
  </si>
  <si>
    <t>Eye Wash Station</t>
  </si>
  <si>
    <r>
      <t xml:space="preserve">Providing &amp; fabricating Glass panelling formed using 6mm thick </t>
    </r>
    <r>
      <rPr>
        <b/>
        <sz val="11"/>
        <rFont val="Calibri Light"/>
        <family val="2"/>
        <scheme val="major"/>
      </rPr>
      <t xml:space="preserve"> Lacqured </t>
    </r>
    <r>
      <rPr>
        <sz val="11"/>
        <rFont val="Calibri Light"/>
        <family val="2"/>
        <scheme val="major"/>
      </rPr>
      <t xml:space="preserve">glass with existing  Frame work &amp;  inclusive of 12mm thk MDF backing ,complete as per the detailed dwg or the instructions of the Architects. </t>
    </r>
  </si>
  <si>
    <t>LIGHT FIXTURES</t>
  </si>
  <si>
    <t>Under client scope</t>
  </si>
  <si>
    <t>Providing and laying PCC  screed up to 30 mm avg Ht. of cement concrete ratio 1:3:6 (1unit cement, 3units- sand, 6units- course aggregate) in necessary level &amp; slope, finished smoothly with 6-8mm thick. Layer  of cement mortar of 1:1 mix (1unit- cement, 1unit- Fine screened sand)  in power float finish with proper curing by logging water or sprinkling water or by laying wet gunny bags etc complete as directed. The cost includes  Scaffolding all ancillary works as per base builders guidelines and  as per site condition .</t>
  </si>
  <si>
    <t>Providing &amp; laying 3mm thick  vinyl flooring over existing floor surface to proper level, line including joint treatment, complete as per detail drawing &amp; Architect's instruction. 
Cost to include provididng and laying Self levelling screed 3-5 mm thk under the vinyl flooring.</t>
  </si>
  <si>
    <t>ANTI STATIC FLOORING</t>
  </si>
  <si>
    <r>
      <t xml:space="preserve"> Providing and laying 2mm thk Anti Static Vinyl flooring of  Approved make for areas as indicated. Joints to be perfect machine like straight cut without jagged edges, welded at joints. The Surface to be smooth and in level without any bubbles or creases. </t>
    </r>
    <r>
      <rPr>
        <b/>
        <sz val="11"/>
        <rFont val="Calibri Light"/>
        <family val="2"/>
        <scheme val="major"/>
      </rPr>
      <t xml:space="preserve">Rate to be inclusive of self levelling 3-5 mm thickness. </t>
    </r>
  </si>
  <si>
    <t>Basic Rate - 90/Sqft</t>
  </si>
  <si>
    <t>Basic Rate -130/Sqft</t>
  </si>
  <si>
    <t>Basic Rate - 110/Sqft</t>
  </si>
  <si>
    <t>Providing and fixing Baffle with Expandable Al/GI Mesh Ceiling system, consisting of 50 mm x 75 mm baffles, installed with spacing of 700 mm c/c vertically and 1300 mm c/c horizontally, complete with expandable metal mesh infill, including supporting framework, suspension system, hangers, brackets, fasteners, and all accessories as required.
The system shall be properly aligned, leveled, securely fixed, and finished as per approved drawings and specifications.
Includes cut-outs, edge trims, coordination with services, and all incidental works required for complete installation.</t>
  </si>
  <si>
    <t>13mm FIRE BLOCK BOARD  GYPSUM SKINNING.</t>
  </si>
  <si>
    <t>Providing &amp; fixing 12.5mm thick taper edge fire block gypsum skinning on existing aluminum frame work using propriety supplied screws at every 300mm center to center. The gypsum skinning is finished using proprietary supplied jointing tape &amp; jointing compound as per manufacturer's specification.</t>
  </si>
  <si>
    <t>STUDIO ACOUSTIC CLADDING</t>
  </si>
  <si>
    <t xml:space="preserve">Supply &amp; fixing of 12mm thick Studio acoustic  panel  for reducing  and controlling reverberated noise for wall application with an NRC of 0.40 (direct fix) , NRC - 0.75 ( 50'mm air gap). Our products Composition is of 100 %PET( 60% recycled ), dimensions - 2400mm*1200 mm , Weight -7.2kg/panel . Panels are biodegradable, voc free , non formaldehyde, recyclable , free of harmful substances and USGBC, SGBC and  IGBC, LEED certified products. VOC emissions - ASTM D5116 ( ,0.5mg/m2/h) , fire test- ASTM E84, Class 1 Or A &amp; smoke index-288. Panel is fixed over existing MDF with adhesive or velcro as per manufacturer guidelines. </t>
  </si>
  <si>
    <t>Acoustic cladding Plain</t>
  </si>
  <si>
    <t>PRINTED/CNC ACOUSTIC PANEL</t>
  </si>
  <si>
    <t xml:space="preserve">Supply &amp; fixing of 9mm thick acoustic  panel  for reducing  and controlling reverberated noise for wall application with an NRC of 0.40 (direct fix) , NRC - 0.75 ( 50'mm air gap). Our products Composition is of 100 %PET( 60% recycled ), dimensions - 2400mm*1200 mm , Weight -7.2kg/panel . Panels are biodegradable, voc free , non formaldehyde, recyclable , free of harmful substances and USGBC, SGBC and  IGBC, LEED certified products. VOC emissions - ASTM D5116 ( ,0.5mg/m2/h) , fire test- ASTM E84, Class 1 Or A &amp; smoke index-288. Panel is fixed over existing MDF with adhesive or velcro as per manufacturer guidelines. </t>
  </si>
  <si>
    <t>Basic Rate - 4000</t>
  </si>
  <si>
    <t>Size : - 1200 x 2400mm</t>
  </si>
  <si>
    <t>Glass Door (1200 x 2400mm)</t>
  </si>
  <si>
    <t xml:space="preserve">CEO Cabin </t>
  </si>
  <si>
    <t>SOLID ACOUSTIC DOOR</t>
  </si>
  <si>
    <t>Frame  work consists of wooden sections of size  125mm X 75mm ( Nominal Finished Frame Section of 118mm X65mm) with self adhesive type Perimeter Seals on the perimeters of the Frame and the shutter edges (Note : Shutter is Double edged)  . Fixing arrangements shall be by means  of 4 nos. of G.I. hold fast 200mmX20mmX4mm with split end on either side of the  wall  including 8 nos. of stainless steel ball bearing hinges of SS 304 quality of size 102mmX102mmX3mm thick to capable of taking load up to 120 Kg of the shutter with SS pin, lock strike plate, shock absorbers as specified. 
60mm thick, of size as mentioned below made out of perimeter railing of Seasoned Red Marenti hard wood (Moisture contain limited to 18%) of size 100mmX30mm and  2 nos. of 6 mm thick Promina – 60 board lined with Sound deadener MAD 4 mm thick sandwiched between 2 boards on each side of the shutter framework  using suitable fasteners and  duly HOT PRESSED with 3mm Commercial / Marin Ply to get the require surface for Laminate.
Cavity is filled with 96density x 50mm thick rock wool.
Stainless Steel brush finished hardware, Flush door hinges, Lever Handle, Mortise Lock, Cylinder 60mm, Conceiled door closer, door stopper &amp; drop down seal etc  Hardware Make - Dorma/Geze</t>
  </si>
  <si>
    <t>LAPTOP RACK</t>
  </si>
  <si>
    <t>Supply, installation, and commissioning of metal locker for laptop storage, fabricated from high-quality mild steel sheet with rigid frame construction, suitable for safe and organized storage of laptops; the locker shall be floor-standing, powder-coated with anti-corrosive finish, and provided with multiple compartments/shelves as required, each compartment sized to accommodate standard laptops; locker to be complete with lockable doors (cam lock or equivalent), adequate ventilation slots/perforations for heat dissipation, smooth rounded edges for safety, and rubber padding or anti-scratch surface inside; overall dimensions, number of compartments, color, and locking system to be as per project requirement, inclusive of all accessories, fittings, delivery, handling, and installation at site, complete in all respects.</t>
  </si>
  <si>
    <t>SS STORAGE UNIT with Shuter</t>
  </si>
  <si>
    <t>RMT</t>
  </si>
  <si>
    <t>WATER PROOFING WITH WALL PROTECTION</t>
  </si>
  <si>
    <t xml:space="preserve">SS TACTILE TILE </t>
  </si>
  <si>
    <t>Supply &amp; Installation of SS Tactile tile</t>
  </si>
  <si>
    <r>
      <t>Installation , testing and ReCommissioning of</t>
    </r>
    <r>
      <rPr>
        <b/>
        <sz val="10.5"/>
        <rFont val="Calibri"/>
        <family val="2"/>
        <scheme val="minor"/>
      </rPr>
      <t xml:space="preserve">  EXISTING 80 kVA UPS(Conventional) , 3Ø IN / 3Ø OUT ALONG WITH EXTERNAL ISOLATION TRANSFORMER ,Batteries ,B</t>
    </r>
    <r>
      <rPr>
        <sz val="10.5"/>
        <rFont val="Calibri"/>
        <family val="2"/>
        <scheme val="minor"/>
      </rPr>
      <t>attery rack, connecting cables from UPS &amp; batteries etc. This Cost Inclusive of Cabling, Breaker etc.,</t>
    </r>
  </si>
  <si>
    <r>
      <t>Installation , testing and Re Commissioning of</t>
    </r>
    <r>
      <rPr>
        <b/>
        <sz val="10.5"/>
        <rFont val="Calibri"/>
        <family val="2"/>
        <scheme val="minor"/>
      </rPr>
      <t xml:space="preserve">  EXISTING 40 kVA UPS(Conventional) , 3Ø IN / 3Ø OUT ALONG WITH EXTERNAL ISOLATION TRANSFORMER ,Batteries ,B</t>
    </r>
    <r>
      <rPr>
        <sz val="10.5"/>
        <rFont val="Calibri"/>
        <family val="2"/>
        <scheme val="minor"/>
      </rPr>
      <t>attery rack, connecting cables from UPS &amp; batteries etc. This Cost Inclusive of Cabling, Breaker etc.,</t>
    </r>
  </si>
  <si>
    <r>
      <t>Installation , testing and Re Commissioning of</t>
    </r>
    <r>
      <rPr>
        <b/>
        <sz val="10.5"/>
        <rFont val="Calibri"/>
        <family val="2"/>
        <scheme val="minor"/>
      </rPr>
      <t xml:space="preserve"> </t>
    </r>
    <r>
      <rPr>
        <sz val="10.5"/>
        <rFont val="Calibri"/>
        <family val="2"/>
        <scheme val="minor"/>
      </rPr>
      <t xml:space="preserve"> </t>
    </r>
    <r>
      <rPr>
        <b/>
        <sz val="10.5"/>
        <rFont val="Calibri"/>
        <family val="2"/>
        <scheme val="minor"/>
      </rPr>
      <t xml:space="preserve">EXISTING 5 / 3 kVA UPS(Conventional) , 1Ø IN / 1Ø </t>
    </r>
    <r>
      <rPr>
        <sz val="10.5"/>
        <rFont val="Calibri"/>
        <family val="2"/>
        <scheme val="minor"/>
      </rPr>
      <t>OUT ALONG with Batteries ,Battery rack, connecting cables from UPS &amp; batteries etc. This Cost Inclusive of Cabling, Breaker etc.,</t>
    </r>
  </si>
  <si>
    <t>WATER LEAK DETECTION SYSTEM - SERVER ROOM</t>
  </si>
  <si>
    <t>FIRE EXTINGUISHERS</t>
  </si>
  <si>
    <t>UPS O/P PANEL-4</t>
  </si>
  <si>
    <t>War Room Sofa</t>
  </si>
  <si>
    <t>4-pair, Cat 6 UTP Cable, roll of 305m, Grey</t>
  </si>
  <si>
    <t>Cat 6 UTP Information Outlet for Workstation end</t>
  </si>
  <si>
    <t>Cat6 RJ45-RJ45 UTP Patch Cords, color matched, Yellow - Field end, 7 ft</t>
  </si>
  <si>
    <r>
      <rPr>
        <b/>
        <sz val="11"/>
        <rFont val="Calibri"/>
        <family val="2"/>
        <scheme val="minor"/>
      </rPr>
      <t xml:space="preserve">UPS O/P PANEL -4 </t>
    </r>
    <r>
      <rPr>
        <sz val="11"/>
        <rFont val="Calibri"/>
        <family val="2"/>
        <scheme val="minor"/>
      </rPr>
      <t>Existing Panle modifications as per the Single line diagram and technical specifications.(Indoor -IP 42)</t>
    </r>
  </si>
  <si>
    <t>4000MM(l)x2000MM(w)x600 MM(h)  as per technical specifications</t>
  </si>
  <si>
    <t xml:space="preserve">750mm x 300 mm </t>
  </si>
  <si>
    <t xml:space="preserve">750mm x 350 mm </t>
  </si>
  <si>
    <t xml:space="preserve">750mm x 550 mm </t>
  </si>
  <si>
    <t xml:space="preserve">1250mm x 400 mm </t>
  </si>
  <si>
    <t xml:space="preserve">1200mm x 550 mm </t>
  </si>
  <si>
    <t xml:space="preserve">1500mm x 500 mm </t>
  </si>
  <si>
    <t xml:space="preserve">1500mm x 550 mm </t>
  </si>
  <si>
    <t xml:space="preserve">2000mm x 500 mm </t>
  </si>
  <si>
    <t xml:space="preserve">2000mm x 550 mm </t>
  </si>
  <si>
    <t>Waste Chute with Dustbin</t>
  </si>
  <si>
    <r>
      <t>Supplying, installing, testing and commissioning of</t>
    </r>
    <r>
      <rPr>
        <b/>
        <sz val="10"/>
        <rFont val="Calibri"/>
        <family val="2"/>
        <scheme val="minor"/>
      </rPr>
      <t xml:space="preserve"> 125mm</t>
    </r>
    <r>
      <rPr>
        <sz val="10"/>
        <rFont val="Calibri"/>
        <family val="2"/>
        <scheme val="minor"/>
      </rPr>
      <t xml:space="preserve"> </t>
    </r>
    <r>
      <rPr>
        <b/>
        <sz val="10"/>
        <rFont val="Calibri"/>
        <family val="2"/>
        <scheme val="minor"/>
      </rPr>
      <t>height</t>
    </r>
    <r>
      <rPr>
        <sz val="10"/>
        <rFont val="Calibri"/>
        <family val="2"/>
        <scheme val="minor"/>
      </rPr>
      <t xml:space="preserve"> </t>
    </r>
    <r>
      <rPr>
        <b/>
        <sz val="10"/>
        <rFont val="Calibri"/>
        <family val="2"/>
        <scheme val="minor"/>
      </rPr>
      <t>Pvc Multifloor trap</t>
    </r>
    <r>
      <rPr>
        <sz val="10"/>
        <rFont val="Calibri"/>
        <family val="2"/>
        <scheme val="minor"/>
      </rPr>
      <t xml:space="preserve"> 110</t>
    </r>
    <r>
      <rPr>
        <b/>
        <sz val="10"/>
        <rFont val="Calibri"/>
        <family val="2"/>
        <scheme val="minor"/>
      </rPr>
      <t xml:space="preserve"> mm </t>
    </r>
    <r>
      <rPr>
        <sz val="10"/>
        <rFont val="Calibri"/>
        <family val="2"/>
        <scheme val="minor"/>
      </rPr>
      <t>dia outlet with necessary accessories/Adapters clamps/brackets etc complete</t>
    </r>
  </si>
  <si>
    <t>TOTAL SUPPLY &amp; INSTALLATION</t>
  </si>
  <si>
    <t>GRAND TOTAL - SUPPLY + INSTALLATION</t>
  </si>
  <si>
    <t>ACOUSTIC FELT CLADDING</t>
  </si>
  <si>
    <t>250/Sqft</t>
  </si>
  <si>
    <t>GRADIENT TRANSITION STRIP</t>
  </si>
  <si>
    <t>BASIC RATE - 185/Sqft</t>
  </si>
  <si>
    <t>BASIC RATE - 185/SQFT</t>
  </si>
  <si>
    <t>RATE PER SQFT</t>
  </si>
  <si>
    <t>Basic Rate - 240/Sqft</t>
  </si>
  <si>
    <t>3Cx 10sqmm Cu Arm Cable</t>
  </si>
  <si>
    <t xml:space="preserve">3Cx10sqmm Cu Flexible Cable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</si>
</sst>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41" formatCode="_ * #,##0_ ;_ * \-#,##0_ ;_ * &quot;-&quot;_ ;_ @_ "/>
    <numFmt numFmtId="44" formatCode="_ &quot;₹&quot;\ * #,##0.00_ ;_ &quot;₹&quot;\ * \-#,##0.00_ ;_ &quot;₹&quot;\ * &quot;-&quot;??_ ;_ @_ "/>
    <numFmt numFmtId="43" formatCode="_ * #,##0.00_ ;_ * \-#,##0.00_ ;_ * &quot;-&quot;??_ ;_ @_ "/>
    <numFmt numFmtId="164" formatCode="0.0"/>
    <numFmt numFmtId="165" formatCode="_(* #,##0.00_);_(* \(#,##0.00\);_(* &quot;-&quot;??_);_(@_)"/>
    <numFmt numFmtId="166" formatCode="_(* #,##0_);_(* \(#,##0\);_(* &quot;-&quot;??_);_(@_)"/>
    <numFmt numFmtId="167" formatCode="#,##0;[Red]#,##0"/>
    <numFmt numFmtId="168" formatCode="_(* #,##0.00_);_(* \(#,##0.00\);_(* \-??_);_(@_)"/>
    <numFmt numFmtId="169" formatCode="0.00_)"/>
    <numFmt numFmtId="170" formatCode="_-* #,##0.00_-;\-* #,##0.00_-;_-* &quot;-&quot;??_-;_-@_-"/>
    <numFmt numFmtId="171" formatCode="General_)"/>
    <numFmt numFmtId="172" formatCode="_(* #,##0_);_(* \(#,##0\);_(* &quot;-&quot;_);_(@_)"/>
    <numFmt numFmtId="173" formatCode="&quot; &quot;#,##0.00&quot; &quot;;&quot; (&quot;#,##0.00&quot;)&quot;;&quot; -&quot;00&quot; &quot;;&quot; &quot;@&quot; &quot;"/>
    <numFmt numFmtId="174" formatCode="#\ ##\ ##\ ###.00"/>
    <numFmt numFmtId="175" formatCode="&quot;$&quot;#,##0.00_);[Red]\(&quot;$&quot;#,##0.00\)"/>
    <numFmt numFmtId="176" formatCode="_(&quot;$&quot;* #,##0_);_(&quot;$&quot;* \(#,##0\);_(&quot;$&quot;* &quot;-&quot;_);_(@_)"/>
    <numFmt numFmtId="177" formatCode="_(&quot;$&quot;* #,##0.00_);_(&quot;$&quot;* \(#,##0.00\);_(&quot;$&quot;* &quot;-&quot;??_);_(@_)"/>
    <numFmt numFmtId="178" formatCode="_-* #,##0_-;\-* #,##0_-;_-* &quot;-&quot;??_-;_-@_-"/>
    <numFmt numFmtId="179" formatCode="_-* #,##0_-;\-* #,##0_-;_-* &quot;-&quot;_-;_-@_-"/>
    <numFmt numFmtId="180" formatCode="&quot;\&quot;#,##0;[Red]&quot;\&quot;\-#,##0"/>
    <numFmt numFmtId="181" formatCode="&quot;\&quot;#,##0.00;[Red]&quot;\&quot;\-#,##0.00"/>
    <numFmt numFmtId="182" formatCode="#,##0.0000_);\(#,##0.0000\)"/>
    <numFmt numFmtId="183" formatCode="#,##0;\-#,##0;&quot;-&quot;"/>
    <numFmt numFmtId="184" formatCode="[$-F800]dddd\,\ mmmm\ dd\,\ yyyy"/>
    <numFmt numFmtId="185" formatCode="mm/dd/yy"/>
    <numFmt numFmtId="186" formatCode="&quot;Rs.&quot;#,##0_);\(&quot;Rs.&quot;#,##0\)"/>
    <numFmt numFmtId="187" formatCode="[$-409]dddd\,\ mmmm\ dd\,\ yyyy"/>
    <numFmt numFmtId="188" formatCode="0###0"/>
    <numFmt numFmtId="189" formatCode="&quot;Rs.&quot;#,##0_);[Red]\(&quot;Rs.&quot;#,##0\)"/>
    <numFmt numFmtId="190" formatCode="&quot;Rs.&quot;#,##0.00_);\(&quot;Rs.&quot;#,##0.00\)"/>
    <numFmt numFmtId="191" formatCode="#,##0_);[Red]\(#,##0\);;@"/>
    <numFmt numFmtId="192" formatCode="_([$€-2]* #,##0.00_);_([$€-2]* \(#,##0.00\);_([$€-2]* &quot;-&quot;??_)"/>
    <numFmt numFmtId="193" formatCode="General\ ;[Red]\(General\)"/>
    <numFmt numFmtId="194" formatCode="#,##0.0"/>
    <numFmt numFmtId="195" formatCode="#,##0.000000000;[Red]\-#,##0.000000000"/>
    <numFmt numFmtId="196" formatCode="#,##0.0000000_);\(#,##0.0000000\)"/>
    <numFmt numFmtId="197" formatCode="_-* #,##0\ _F_-;\-* #,##0\ _F_-;_-* &quot;-&quot;\ _F_-;_-@_-"/>
    <numFmt numFmtId="198" formatCode="_-* #,##0.00\ _F_-;\-* #,##0.00\ _F_-;_-* &quot;-&quot;??\ _F_-;_-@_-"/>
    <numFmt numFmtId="199" formatCode="_ * #,##0_)\ &quot;$&quot;_ ;_ * \(#,##0\)\ &quot;$&quot;_ ;_ * &quot;-&quot;_)\ &quot;$&quot;_ ;_ @_ "/>
    <numFmt numFmtId="200" formatCode="_ * #,##0.00_)\ &quot;$&quot;_ ;_ * \(#,##0.00\)\ &quot;$&quot;_ ;_ * &quot;-&quot;??_)\ &quot;$&quot;_ ;_ @_ "/>
    <numFmt numFmtId="201" formatCode="[$-409]d\-mmm\-yy;@"/>
    <numFmt numFmtId="202" formatCode="0##0"/>
    <numFmt numFmtId="203" formatCode="_ * #,##0_ ;_ * \-#,##0_ ;_ * &quot;-&quot;??_ ;_ @_ "/>
  </numFmts>
  <fonts count="208">
    <font>
      <sz val="11"/>
      <color theme="1"/>
      <name val="Calibri"/>
      <family val="2"/>
      <scheme val="minor"/>
    </font>
    <font>
      <sz val="11"/>
      <color theme="1"/>
      <name val="Calibri"/>
      <family val="2"/>
      <scheme val="minor"/>
    </font>
    <font>
      <sz val="18"/>
      <color theme="3"/>
      <name val="Calibri Light"/>
      <family val="2"/>
      <scheme val="major"/>
    </font>
    <font>
      <b/>
      <sz val="11"/>
      <color theme="1"/>
      <name val="Calibri"/>
      <family val="2"/>
      <scheme val="minor"/>
    </font>
    <font>
      <sz val="11"/>
      <color theme="1"/>
      <name val="Calibri Light"/>
      <family val="2"/>
      <scheme val="major"/>
    </font>
    <font>
      <b/>
      <sz val="11"/>
      <color theme="1"/>
      <name val="Calibri Light"/>
      <family val="2"/>
      <scheme val="major"/>
    </font>
    <font>
      <sz val="10"/>
      <name val="Arial"/>
      <family val="2"/>
    </font>
    <font>
      <sz val="10"/>
      <color rgb="FF000000"/>
      <name val="Calibri"/>
      <family val="2"/>
      <scheme val="minor"/>
    </font>
    <font>
      <sz val="11"/>
      <color indexed="64"/>
      <name val="Calibri"/>
      <family val="2"/>
    </font>
    <font>
      <sz val="11"/>
      <name val="Calibri Light"/>
      <family val="2"/>
      <scheme val="major"/>
    </font>
    <font>
      <b/>
      <sz val="11"/>
      <name val="Calibri Light"/>
      <family val="2"/>
      <scheme val="major"/>
    </font>
    <font>
      <sz val="10"/>
      <name val="Courier"/>
      <family val="3"/>
    </font>
    <font>
      <sz val="10"/>
      <name val="Helv"/>
      <charset val="204"/>
    </font>
    <font>
      <sz val="12"/>
      <color indexed="8"/>
      <name val="Arial"/>
      <family val="2"/>
    </font>
    <font>
      <sz val="12"/>
      <name val="Times New Roman"/>
      <family val="1"/>
    </font>
    <font>
      <b/>
      <i/>
      <sz val="16"/>
      <name val="Helv"/>
    </font>
    <font>
      <sz val="10"/>
      <name val="Simplex"/>
    </font>
    <font>
      <sz val="11"/>
      <color indexed="8"/>
      <name val="Calibri"/>
      <family val="2"/>
    </font>
    <font>
      <sz val="10"/>
      <color rgb="FF000000"/>
      <name val="Times New Roman"/>
      <family val="1"/>
    </font>
    <font>
      <sz val="11"/>
      <color indexed="8"/>
      <name val="Calibri"/>
      <family val="2"/>
      <charset val="134"/>
    </font>
    <font>
      <sz val="10"/>
      <name val="Arial"/>
      <family val="2"/>
      <charset val="134"/>
    </font>
    <font>
      <sz val="10"/>
      <name val="MS Sans Serif"/>
      <charset val="134"/>
    </font>
    <font>
      <sz val="12"/>
      <name val="Arial"/>
      <family val="2"/>
    </font>
    <font>
      <b/>
      <sz val="12"/>
      <name val="Arial"/>
      <family val="2"/>
    </font>
    <font>
      <sz val="9"/>
      <color theme="1"/>
      <name val="Century Gothic"/>
      <family val="2"/>
    </font>
    <font>
      <b/>
      <sz val="9"/>
      <color theme="1"/>
      <name val="Century Gothic"/>
      <family val="2"/>
    </font>
    <font>
      <b/>
      <sz val="13"/>
      <name val="Arial"/>
      <family val="2"/>
    </font>
    <font>
      <sz val="13"/>
      <name val="Arial"/>
      <family val="2"/>
    </font>
    <font>
      <b/>
      <sz val="12"/>
      <color rgb="FF000000"/>
      <name val="Arial"/>
      <family val="2"/>
    </font>
    <font>
      <sz val="12"/>
      <color rgb="FF000000"/>
      <name val="Arial"/>
      <family val="2"/>
    </font>
    <font>
      <b/>
      <sz val="10"/>
      <name val="Calibri"/>
      <family val="2"/>
      <scheme val="minor"/>
    </font>
    <font>
      <sz val="10"/>
      <name val="Calibri"/>
      <family val="2"/>
      <scheme val="minor"/>
    </font>
    <font>
      <b/>
      <sz val="10"/>
      <color theme="0"/>
      <name val="Calibri"/>
      <family val="2"/>
      <scheme val="minor"/>
    </font>
    <font>
      <b/>
      <sz val="18"/>
      <name val="Calibri"/>
      <family val="2"/>
      <scheme val="minor"/>
    </font>
    <font>
      <sz val="18"/>
      <color theme="1"/>
      <name val="Calibri"/>
      <family val="2"/>
      <scheme val="minor"/>
    </font>
    <font>
      <b/>
      <sz val="18"/>
      <color indexed="8"/>
      <name val="Calibri"/>
      <family val="2"/>
      <scheme val="minor"/>
    </font>
    <font>
      <b/>
      <sz val="18"/>
      <color rgb="FF0070C0"/>
      <name val="Calibri"/>
      <family val="2"/>
      <scheme val="minor"/>
    </font>
    <font>
      <sz val="18"/>
      <name val="Calibri"/>
      <family val="2"/>
      <scheme val="minor"/>
    </font>
    <font>
      <b/>
      <sz val="18"/>
      <color theme="1"/>
      <name val="Calibri"/>
      <family val="2"/>
      <scheme val="minor"/>
    </font>
    <font>
      <sz val="16"/>
      <color theme="1"/>
      <name val="Calibri"/>
      <family val="2"/>
      <scheme val="minor"/>
    </font>
    <font>
      <b/>
      <sz val="16"/>
      <color theme="1"/>
      <name val="Calibri"/>
      <family val="2"/>
      <scheme val="minor"/>
    </font>
    <font>
      <sz val="16"/>
      <name val="Calibri"/>
      <family val="2"/>
      <scheme val="minor"/>
    </font>
    <font>
      <b/>
      <sz val="12"/>
      <name val="Calibri"/>
      <family val="2"/>
      <scheme val="minor"/>
    </font>
    <font>
      <sz val="12"/>
      <name val="Calibri"/>
      <family val="2"/>
      <scheme val="minor"/>
    </font>
    <font>
      <sz val="11"/>
      <name val="Calibri"/>
      <family val="2"/>
      <scheme val="minor"/>
    </font>
    <font>
      <b/>
      <sz val="11"/>
      <name val="Calibri"/>
      <family val="2"/>
      <scheme val="minor"/>
    </font>
    <font>
      <b/>
      <i/>
      <sz val="11"/>
      <name val="Calibri"/>
      <family val="2"/>
      <scheme val="minor"/>
    </font>
    <font>
      <b/>
      <sz val="11"/>
      <name val="Arial"/>
      <family val="2"/>
    </font>
    <font>
      <sz val="10.5"/>
      <color theme="1"/>
      <name val="Calibri"/>
      <family val="2"/>
      <scheme val="minor"/>
    </font>
    <font>
      <b/>
      <sz val="10.5"/>
      <name val="Calibri"/>
      <family val="2"/>
      <scheme val="minor"/>
    </font>
    <font>
      <b/>
      <sz val="10.5"/>
      <color theme="1"/>
      <name val="Calibri"/>
      <family val="2"/>
      <scheme val="minor"/>
    </font>
    <font>
      <sz val="10.5"/>
      <name val="Calibri"/>
      <family val="2"/>
      <scheme val="minor"/>
    </font>
    <font>
      <b/>
      <sz val="14"/>
      <name val="Calibri"/>
      <family val="2"/>
      <scheme val="minor"/>
    </font>
    <font>
      <b/>
      <sz val="11"/>
      <color theme="1"/>
      <name val="Arial"/>
      <family val="2"/>
    </font>
    <font>
      <b/>
      <sz val="10"/>
      <name val="Arial"/>
      <family val="2"/>
    </font>
    <font>
      <sz val="10"/>
      <name val="Helv"/>
      <family val="2"/>
    </font>
    <font>
      <sz val="11"/>
      <name val="Arial"/>
      <family val="2"/>
    </font>
    <font>
      <b/>
      <sz val="11"/>
      <color rgb="FF0070C0"/>
      <name val="Arial"/>
      <family val="2"/>
    </font>
    <font>
      <sz val="11"/>
      <color rgb="FF0070C0"/>
      <name val="Arial"/>
      <family val="2"/>
    </font>
    <font>
      <sz val="11"/>
      <color rgb="FFC00000"/>
      <name val="Arial"/>
      <family val="2"/>
    </font>
    <font>
      <sz val="11"/>
      <color theme="1"/>
      <name val="Arial"/>
      <family val="2"/>
    </font>
    <font>
      <b/>
      <u/>
      <sz val="11"/>
      <name val="Arial"/>
      <family val="2"/>
    </font>
    <font>
      <sz val="14"/>
      <name val="Cordia New"/>
      <family val="2"/>
    </font>
    <font>
      <b/>
      <sz val="14"/>
      <name val="Arial"/>
      <family val="2"/>
    </font>
    <font>
      <b/>
      <sz val="12"/>
      <color theme="1"/>
      <name val="Arial"/>
      <family val="2"/>
    </font>
    <font>
      <sz val="12"/>
      <color theme="1"/>
      <name val="Arial"/>
      <family val="2"/>
    </font>
    <font>
      <sz val="10"/>
      <name val="Calibri"/>
      <family val="2"/>
    </font>
    <font>
      <b/>
      <sz val="10"/>
      <color theme="1"/>
      <name val="Calibri"/>
      <family val="2"/>
      <scheme val="minor"/>
    </font>
    <font>
      <b/>
      <sz val="12"/>
      <color theme="0"/>
      <name val="Calibri"/>
      <family val="2"/>
      <scheme val="minor"/>
    </font>
    <font>
      <sz val="10.5"/>
      <color theme="1"/>
      <name val="Arial"/>
      <family val="2"/>
    </font>
    <font>
      <sz val="10"/>
      <color theme="1"/>
      <name val="Calibri"/>
      <family val="2"/>
      <scheme val="minor"/>
    </font>
    <font>
      <b/>
      <sz val="12"/>
      <color theme="1"/>
      <name val="Calibri"/>
      <family val="2"/>
      <scheme val="minor"/>
    </font>
    <font>
      <sz val="10.5"/>
      <name val="Arial"/>
      <family val="2"/>
    </font>
    <font>
      <b/>
      <sz val="10.5"/>
      <name val="Arial"/>
      <family val="2"/>
    </font>
    <font>
      <sz val="11"/>
      <name val="Calibri"/>
      <family val="2"/>
    </font>
    <font>
      <sz val="11"/>
      <color rgb="FF000000"/>
      <name val="Calibri"/>
      <family val="2"/>
    </font>
    <font>
      <sz val="10"/>
      <color theme="1"/>
      <name val="Arial"/>
      <family val="2"/>
    </font>
    <font>
      <sz val="10"/>
      <name val="Arial"/>
      <family val="2"/>
      <charset val="204"/>
    </font>
    <font>
      <sz val="11"/>
      <color indexed="8"/>
      <name val="Calibri"/>
      <family val="2"/>
      <charset val="1"/>
    </font>
    <font>
      <sz val="11"/>
      <color indexed="9"/>
      <name val="Calibri"/>
      <family val="2"/>
      <charset val="1"/>
    </font>
    <font>
      <sz val="11"/>
      <color indexed="20"/>
      <name val="Calibri"/>
      <family val="2"/>
      <charset val="1"/>
    </font>
    <font>
      <b/>
      <sz val="11"/>
      <color indexed="52"/>
      <name val="Calibri"/>
      <family val="2"/>
      <charset val="1"/>
    </font>
    <font>
      <b/>
      <sz val="11"/>
      <color indexed="9"/>
      <name val="Calibri"/>
      <family val="2"/>
      <charset val="1"/>
    </font>
    <font>
      <sz val="10"/>
      <name val="MS Sans Serif"/>
      <family val="2"/>
    </font>
    <font>
      <i/>
      <sz val="11"/>
      <color indexed="23"/>
      <name val="Calibri"/>
      <family val="2"/>
      <charset val="1"/>
    </font>
    <font>
      <sz val="11"/>
      <color indexed="17"/>
      <name val="Calibri"/>
      <family val="2"/>
      <charset val="1"/>
    </font>
    <font>
      <b/>
      <sz val="15"/>
      <color indexed="56"/>
      <name val="Calibri"/>
      <family val="2"/>
      <charset val="1"/>
    </font>
    <font>
      <b/>
      <sz val="13"/>
      <color indexed="56"/>
      <name val="Calibri"/>
      <family val="2"/>
      <charset val="1"/>
    </font>
    <font>
      <b/>
      <sz val="11"/>
      <color indexed="56"/>
      <name val="Calibri"/>
      <family val="2"/>
      <charset val="1"/>
    </font>
    <font>
      <sz val="11"/>
      <color indexed="62"/>
      <name val="Calibri"/>
      <family val="2"/>
      <charset val="1"/>
    </font>
    <font>
      <sz val="11"/>
      <color indexed="52"/>
      <name val="Calibri"/>
      <family val="2"/>
      <charset val="1"/>
    </font>
    <font>
      <sz val="11"/>
      <color indexed="60"/>
      <name val="Calibri"/>
      <family val="2"/>
      <charset val="1"/>
    </font>
    <font>
      <sz val="10"/>
      <name val="Helv"/>
      <family val="2"/>
      <charset val="204"/>
    </font>
    <font>
      <sz val="10"/>
      <name val="Comic Sans MS"/>
      <family val="4"/>
    </font>
    <font>
      <sz val="12"/>
      <name val="Arial MT"/>
    </font>
    <font>
      <b/>
      <sz val="11"/>
      <color indexed="63"/>
      <name val="Calibri"/>
      <family val="2"/>
      <charset val="1"/>
    </font>
    <font>
      <b/>
      <sz val="18"/>
      <color indexed="56"/>
      <name val="Cambria"/>
      <family val="2"/>
      <charset val="1"/>
    </font>
    <font>
      <b/>
      <sz val="11"/>
      <color indexed="8"/>
      <name val="Calibri"/>
      <family val="2"/>
      <charset val="1"/>
    </font>
    <font>
      <sz val="11"/>
      <color indexed="10"/>
      <name val="Calibri"/>
      <family val="2"/>
      <charset val="1"/>
    </font>
    <font>
      <sz val="10"/>
      <name val="Times New Roman"/>
      <family val="1"/>
    </font>
    <font>
      <sz val="12"/>
      <color indexed="8"/>
      <name val="Verdana"/>
      <family val="2"/>
    </font>
    <font>
      <sz val="10"/>
      <name val="Arial"/>
      <family val="2"/>
      <charset val="1"/>
    </font>
    <font>
      <b/>
      <sz val="11"/>
      <name val="Times New Roman"/>
      <family val="1"/>
    </font>
    <font>
      <sz val="11"/>
      <name val="??"/>
      <family val="1"/>
      <charset val="128"/>
    </font>
    <font>
      <sz val="11"/>
      <name val="?? ??"/>
      <family val="1"/>
      <charset val="128"/>
    </font>
    <font>
      <sz val="14"/>
      <name val="Terminal"/>
      <family val="3"/>
      <charset val="128"/>
    </font>
    <font>
      <sz val="10"/>
      <name val="Helv"/>
    </font>
    <font>
      <sz val="11"/>
      <color indexed="9"/>
      <name val="Calibri"/>
      <family val="2"/>
    </font>
    <font>
      <sz val="14"/>
      <name val="AngsanaUPC"/>
      <family val="1"/>
    </font>
    <font>
      <sz val="11"/>
      <color indexed="20"/>
      <name val="Calibri"/>
      <family val="2"/>
    </font>
    <font>
      <sz val="12"/>
      <name val="Tms Rmn"/>
    </font>
    <font>
      <sz val="12"/>
      <name val="¹ÙÅÁÃ¼"/>
      <charset val="129"/>
    </font>
    <font>
      <sz val="10"/>
      <color indexed="8"/>
      <name val="Arial"/>
      <family val="2"/>
    </font>
    <font>
      <b/>
      <sz val="11"/>
      <color indexed="52"/>
      <name val="Calibri"/>
      <family val="2"/>
    </font>
    <font>
      <b/>
      <sz val="10"/>
      <name val="Helv"/>
    </font>
    <font>
      <b/>
      <sz val="11"/>
      <color indexed="9"/>
      <name val="Calibri"/>
      <family val="2"/>
    </font>
    <font>
      <sz val="9"/>
      <color indexed="8"/>
      <name val="Times New Roman"/>
      <family val="1"/>
    </font>
    <font>
      <sz val="10"/>
      <color indexed="8"/>
      <name val="MS Sans Serif"/>
      <family val="2"/>
    </font>
    <font>
      <sz val="10"/>
      <name val="MS Serif"/>
      <family val="1"/>
    </font>
    <font>
      <sz val="11"/>
      <name val="Courier"/>
      <family val="3"/>
    </font>
    <font>
      <b/>
      <u/>
      <sz val="11"/>
      <name val="Times New Roman"/>
      <family val="1"/>
    </font>
    <font>
      <sz val="12"/>
      <name val="Helv"/>
    </font>
    <font>
      <sz val="10"/>
      <name val="Century Gothic"/>
      <family val="2"/>
    </font>
    <font>
      <b/>
      <sz val="11"/>
      <color indexed="8"/>
      <name val="Calibri"/>
      <family val="2"/>
    </font>
    <font>
      <sz val="10"/>
      <color indexed="16"/>
      <name val="MS Serif"/>
      <family val="1"/>
    </font>
    <font>
      <i/>
      <sz val="11"/>
      <color indexed="23"/>
      <name val="Calibri"/>
      <family val="2"/>
    </font>
    <font>
      <sz val="10"/>
      <color indexed="10"/>
      <name val="Arial"/>
      <family val="2"/>
    </font>
    <font>
      <sz val="11"/>
      <color indexed="17"/>
      <name val="Calibri"/>
      <family val="2"/>
    </font>
    <font>
      <sz val="8"/>
      <name val="Arial"/>
      <family val="2"/>
    </font>
    <font>
      <b/>
      <sz val="10"/>
      <name val="Century Gothic"/>
      <family val="2"/>
    </font>
    <font>
      <b/>
      <sz val="15"/>
      <color indexed="56"/>
      <name val="Calibri"/>
      <family val="2"/>
    </font>
    <font>
      <b/>
      <sz val="15"/>
      <color indexed="62"/>
      <name val="Calibri"/>
      <family val="2"/>
    </font>
    <font>
      <b/>
      <sz val="13"/>
      <color indexed="56"/>
      <name val="Calibri"/>
      <family val="2"/>
    </font>
    <font>
      <b/>
      <sz val="13"/>
      <color indexed="62"/>
      <name val="Calibri"/>
      <family val="2"/>
    </font>
    <font>
      <b/>
      <sz val="11"/>
      <color indexed="56"/>
      <name val="Calibri"/>
      <family val="2"/>
    </font>
    <font>
      <b/>
      <sz val="11"/>
      <color indexed="62"/>
      <name val="Calibri"/>
      <family val="2"/>
    </font>
    <font>
      <u/>
      <sz val="11"/>
      <color indexed="12"/>
      <name val="Arial"/>
      <family val="2"/>
    </font>
    <font>
      <u/>
      <sz val="10"/>
      <color indexed="12"/>
      <name val="Arial"/>
      <family val="2"/>
    </font>
    <font>
      <u/>
      <sz val="9"/>
      <color indexed="12"/>
      <name val="Arial"/>
      <family val="2"/>
    </font>
    <font>
      <sz val="11"/>
      <color indexed="62"/>
      <name val="Calibri"/>
      <family val="2"/>
    </font>
    <font>
      <b/>
      <sz val="14"/>
      <name val="Helv"/>
    </font>
    <font>
      <sz val="11"/>
      <color indexed="52"/>
      <name val="Calibri"/>
      <family val="2"/>
    </font>
    <font>
      <b/>
      <sz val="9"/>
      <name val="Arial"/>
      <family val="2"/>
    </font>
    <font>
      <b/>
      <sz val="11"/>
      <name val="Helv"/>
    </font>
    <font>
      <sz val="11"/>
      <color indexed="60"/>
      <name val="Calibri"/>
      <family val="2"/>
    </font>
    <font>
      <sz val="7"/>
      <name val="Small Fonts"/>
      <family val="2"/>
    </font>
    <font>
      <sz val="11"/>
      <color theme="1"/>
      <name val="Arial Narrow"/>
      <family val="2"/>
    </font>
    <font>
      <sz val="9"/>
      <name val="Arial"/>
      <family val="2"/>
    </font>
    <font>
      <b/>
      <sz val="11"/>
      <color indexed="63"/>
      <name val="Calibri"/>
      <family val="2"/>
    </font>
    <font>
      <b/>
      <sz val="10"/>
      <name val="Arial CE"/>
      <family val="2"/>
      <charset val="238"/>
    </font>
    <font>
      <sz val="8"/>
      <name val="Helv"/>
    </font>
    <font>
      <b/>
      <u/>
      <sz val="10"/>
      <color indexed="18"/>
      <name val="Century Gothic"/>
      <family val="2"/>
    </font>
    <font>
      <b/>
      <sz val="18"/>
      <color indexed="62"/>
      <name val="Cambria"/>
      <family val="2"/>
    </font>
    <font>
      <u/>
      <sz val="9"/>
      <color indexed="36"/>
      <name val="Arial"/>
      <family val="2"/>
    </font>
    <font>
      <sz val="10"/>
      <name val="Geneva"/>
      <family val="2"/>
    </font>
    <font>
      <b/>
      <sz val="12"/>
      <color indexed="18"/>
      <name val="Times New Roman"/>
      <family val="1"/>
    </font>
    <font>
      <b/>
      <sz val="8"/>
      <color indexed="8"/>
      <name val="Helv"/>
    </font>
    <font>
      <b/>
      <sz val="8"/>
      <color indexed="12"/>
      <name val="Arial"/>
      <family val="2"/>
    </font>
    <font>
      <sz val="24"/>
      <color indexed="13"/>
      <name val="Helv"/>
    </font>
    <font>
      <b/>
      <sz val="18"/>
      <color indexed="56"/>
      <name val="Cambria"/>
      <family val="2"/>
    </font>
    <font>
      <b/>
      <i/>
      <sz val="12"/>
      <name val="Times New Roman"/>
      <family val="1"/>
    </font>
    <font>
      <sz val="11"/>
      <color indexed="10"/>
      <name val="Calibri"/>
      <family val="2"/>
    </font>
    <font>
      <sz val="12"/>
      <color indexed="8"/>
      <name val="Calibri"/>
      <family val="2"/>
    </font>
    <font>
      <sz val="11"/>
      <color theme="1"/>
      <name val="Trebuchet MS"/>
      <family val="2"/>
    </font>
    <font>
      <sz val="11"/>
      <color indexed="8"/>
      <name val="Trebuchet MS"/>
      <family val="2"/>
    </font>
    <font>
      <sz val="10"/>
      <name val="Calibri"/>
      <family val="1"/>
      <scheme val="minor"/>
    </font>
    <font>
      <sz val="11"/>
      <color theme="1"/>
      <name val="Agency FB"/>
      <family val="2"/>
    </font>
    <font>
      <sz val="11"/>
      <color rgb="FF3F3F76"/>
      <name val="Agency FB"/>
      <family val="2"/>
    </font>
    <font>
      <b/>
      <sz val="11"/>
      <color rgb="FFFA7D00"/>
      <name val="Agency FB"/>
      <family val="2"/>
    </font>
    <font>
      <sz val="11"/>
      <color theme="1"/>
      <name val="Arial1"/>
    </font>
    <font>
      <b/>
      <sz val="10"/>
      <color theme="1"/>
      <name val="Trebuchet MS"/>
      <family val="2"/>
    </font>
    <font>
      <b/>
      <sz val="10"/>
      <name val="Trebuchet MS"/>
      <family val="2"/>
    </font>
    <font>
      <sz val="10"/>
      <color theme="1"/>
      <name val="Trebuchet MS"/>
      <family val="2"/>
    </font>
    <font>
      <b/>
      <sz val="12"/>
      <color theme="1"/>
      <name val="Trebuchet MS"/>
      <family val="2"/>
    </font>
    <font>
      <sz val="10"/>
      <name val="Trebuchet MS"/>
      <family val="2"/>
    </font>
    <font>
      <b/>
      <sz val="10"/>
      <color theme="0"/>
      <name val="Trebuchet MS"/>
      <family val="2"/>
    </font>
    <font>
      <sz val="10"/>
      <name val="Leelawadee"/>
      <family val="2"/>
    </font>
    <font>
      <sz val="10"/>
      <color indexed="8"/>
      <name val="Trebuchet MS"/>
      <family val="2"/>
    </font>
    <font>
      <b/>
      <sz val="10"/>
      <color indexed="8"/>
      <name val="Trebuchet MS"/>
      <family val="2"/>
    </font>
    <font>
      <b/>
      <u/>
      <sz val="10"/>
      <color indexed="17"/>
      <name val="Trebuchet MS"/>
      <family val="2"/>
    </font>
    <font>
      <sz val="10"/>
      <name val="Leelawadee"/>
      <family val="2"/>
      <charset val="222"/>
    </font>
    <font>
      <b/>
      <sz val="10"/>
      <name val="Leelawadee"/>
      <family val="2"/>
      <charset val="222"/>
    </font>
    <font>
      <sz val="10"/>
      <color rgb="FF000000"/>
      <name val="Leelawadee"/>
      <family val="2"/>
      <charset val="222"/>
    </font>
    <font>
      <sz val="10"/>
      <color theme="1"/>
      <name val="Leelawadee"/>
      <family val="2"/>
      <charset val="222"/>
    </font>
    <font>
      <b/>
      <sz val="14"/>
      <color theme="1"/>
      <name val="Arial"/>
      <family val="2"/>
    </font>
    <font>
      <sz val="14"/>
      <color theme="1"/>
      <name val="Arial"/>
      <family val="2"/>
    </font>
    <font>
      <b/>
      <sz val="14"/>
      <color theme="0"/>
      <name val="Arial"/>
      <family val="2"/>
    </font>
    <font>
      <sz val="14"/>
      <name val="Arial"/>
      <family val="2"/>
    </font>
    <font>
      <b/>
      <sz val="11"/>
      <color theme="0"/>
      <name val="Arial"/>
      <family val="2"/>
    </font>
    <font>
      <b/>
      <sz val="16"/>
      <name val="Calibri"/>
      <family val="2"/>
      <scheme val="minor"/>
    </font>
    <font>
      <b/>
      <sz val="10"/>
      <color rgb="FF0070C0"/>
      <name val="Calibri"/>
      <family val="2"/>
      <scheme val="minor"/>
    </font>
    <font>
      <sz val="10"/>
      <color rgb="FF0070C0"/>
      <name val="Calibri"/>
      <family val="2"/>
      <scheme val="minor"/>
    </font>
    <font>
      <b/>
      <sz val="10"/>
      <color theme="1"/>
      <name val="Leelawadee"/>
      <family val="2"/>
      <charset val="222"/>
    </font>
    <font>
      <sz val="10"/>
      <color indexed="8"/>
      <name val="Leelawadee"/>
      <family val="2"/>
      <charset val="222"/>
    </font>
    <font>
      <b/>
      <sz val="10"/>
      <color indexed="8"/>
      <name val="Leelawadee"/>
      <family val="2"/>
      <charset val="222"/>
    </font>
    <font>
      <b/>
      <sz val="10"/>
      <color theme="3" tint="-0.249977111117893"/>
      <name val="Leelawadee"/>
      <family val="2"/>
      <charset val="222"/>
    </font>
    <font>
      <b/>
      <sz val="10"/>
      <color indexed="8"/>
      <name val="Calibri"/>
      <family val="2"/>
      <scheme val="minor"/>
    </font>
    <font>
      <sz val="10"/>
      <color indexed="8"/>
      <name val="Calibri"/>
      <family val="2"/>
      <scheme val="minor"/>
    </font>
    <font>
      <sz val="10"/>
      <color rgb="FFFF0000"/>
      <name val="Calibri"/>
      <family val="2"/>
      <scheme val="minor"/>
    </font>
    <font>
      <sz val="10"/>
      <color rgb="FF000000"/>
      <name val="Arial"/>
      <family val="2"/>
    </font>
    <font>
      <b/>
      <sz val="11"/>
      <color rgb="FF000000"/>
      <name val="Arial"/>
      <family val="2"/>
    </font>
    <font>
      <b/>
      <sz val="11"/>
      <color rgb="FF000000"/>
      <name val="Calibri"/>
      <family val="2"/>
    </font>
    <font>
      <sz val="11"/>
      <color rgb="FF000000"/>
      <name val="Arial"/>
      <family val="2"/>
    </font>
    <font>
      <sz val="10"/>
      <color theme="0"/>
      <name val="Calibri"/>
      <family val="2"/>
      <scheme val="minor"/>
    </font>
    <font>
      <i/>
      <sz val="10"/>
      <name val="Calibri"/>
      <family val="2"/>
      <scheme val="minor"/>
    </font>
    <font>
      <b/>
      <i/>
      <sz val="10"/>
      <name val="Calibri"/>
      <family val="2"/>
      <scheme val="minor"/>
    </font>
    <font>
      <sz val="11"/>
      <name val="Calibri Light"/>
      <family val="2"/>
    </font>
    <font>
      <sz val="11"/>
      <color theme="1"/>
      <name val="L"/>
    </font>
  </fonts>
  <fills count="68">
    <fill>
      <patternFill patternType="none"/>
    </fill>
    <fill>
      <patternFill patternType="gray125"/>
    </fill>
    <fill>
      <patternFill patternType="solid">
        <fgColor theme="4" tint="0.39997558519241921"/>
        <bgColor indexed="64"/>
      </patternFill>
    </fill>
    <fill>
      <patternFill patternType="solid">
        <fgColor rgb="FFFFFF00"/>
        <bgColor indexed="64"/>
      </patternFill>
    </fill>
    <fill>
      <patternFill patternType="solid">
        <fgColor theme="9" tint="0.59999389629810485"/>
        <bgColor indexed="64"/>
      </patternFill>
    </fill>
    <fill>
      <patternFill patternType="solid">
        <fgColor indexed="65"/>
      </patternFill>
    </fill>
    <fill>
      <patternFill patternType="solid">
        <fgColor theme="9" tint="0.39997558519241921"/>
        <bgColor indexed="64"/>
      </patternFill>
    </fill>
    <fill>
      <patternFill patternType="solid">
        <fgColor rgb="FF00B0F0"/>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rgb="FFFFFF99"/>
        <bgColor indexed="64"/>
      </patternFill>
    </fill>
    <fill>
      <patternFill patternType="solid">
        <fgColor theme="5" tint="0.59999389629810485"/>
        <bgColor indexed="64"/>
      </patternFill>
    </fill>
    <fill>
      <patternFill patternType="solid">
        <fgColor indexed="9"/>
        <bgColor indexed="26"/>
      </patternFill>
    </fill>
    <fill>
      <patternFill patternType="solid">
        <fgColor indexed="65"/>
        <bgColor indexed="64"/>
      </patternFill>
    </fill>
    <fill>
      <patternFill patternType="solid">
        <fgColor rgb="FFFFCC99"/>
      </patternFill>
    </fill>
    <fill>
      <patternFill patternType="solid">
        <fgColor rgb="FFF2F2F2"/>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44"/>
        <bgColor indexed="31"/>
      </patternFill>
    </fill>
    <fill>
      <patternFill patternType="solid">
        <fgColor indexed="31"/>
        <bgColor indexed="31"/>
      </patternFill>
    </fill>
    <fill>
      <patternFill patternType="solid">
        <fgColor indexed="44"/>
        <bgColor indexed="4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54"/>
      </patternFill>
    </fill>
    <fill>
      <patternFill patternType="solid">
        <fgColor indexed="27"/>
        <bgColor indexed="27"/>
      </patternFill>
    </fill>
    <fill>
      <patternFill patternType="solid">
        <fgColor indexed="47"/>
        <bgColor indexed="47"/>
      </patternFill>
    </fill>
    <fill>
      <patternFill patternType="lightGray">
        <fgColor indexed="13"/>
        <bgColor indexed="9"/>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22"/>
        <bgColor indexed="64"/>
      </patternFill>
    </fill>
    <fill>
      <patternFill patternType="solid">
        <fgColor indexed="26"/>
        <bgColor indexed="64"/>
      </patternFill>
    </fill>
    <fill>
      <patternFill patternType="solid">
        <fgColor indexed="13"/>
      </patternFill>
    </fill>
    <fill>
      <patternFill patternType="solid">
        <fgColor indexed="12"/>
      </patternFill>
    </fill>
    <fill>
      <patternFill patternType="solid">
        <fgColor theme="6" tint="0.79998168889431442"/>
        <bgColor theme="6" tint="0.79998168889431442"/>
      </patternFill>
    </fill>
    <fill>
      <patternFill patternType="solid">
        <fgColor rgb="FF76E3FF"/>
        <bgColor indexed="64"/>
      </patternFill>
    </fill>
    <fill>
      <patternFill patternType="solid">
        <fgColor theme="0" tint="-0.14999847407452621"/>
        <bgColor indexed="64"/>
      </patternFill>
    </fill>
    <fill>
      <patternFill patternType="solid">
        <fgColor rgb="FF7CEB99"/>
        <bgColor indexed="64"/>
      </patternFill>
    </fill>
    <fill>
      <patternFill patternType="solid">
        <fgColor rgb="FFC5D3FF"/>
        <bgColor indexed="64"/>
      </patternFill>
    </fill>
    <fill>
      <patternFill patternType="solid">
        <fgColor theme="4"/>
        <bgColor indexed="64"/>
      </patternFill>
    </fill>
    <fill>
      <patternFill patternType="solid">
        <fgColor theme="4" tint="0.59999389629810485"/>
        <bgColor indexed="64"/>
      </patternFill>
    </fill>
    <fill>
      <patternFill patternType="solid">
        <fgColor rgb="FF92D050"/>
        <bgColor indexed="64"/>
      </patternFill>
    </fill>
  </fills>
  <borders count="104">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hair">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medium">
        <color indexed="64"/>
      </right>
      <top/>
      <bottom/>
      <diagonal/>
    </border>
    <border>
      <left style="thin">
        <color auto="1"/>
      </left>
      <right/>
      <top/>
      <bottom style="thin">
        <color auto="1"/>
      </bottom>
      <diagonal/>
    </border>
    <border>
      <left/>
      <right/>
      <top/>
      <bottom style="thin">
        <color auto="1"/>
      </bottom>
      <diagonal/>
    </border>
    <border>
      <left style="thin">
        <color rgb="FF000000"/>
      </left>
      <right style="thin">
        <color rgb="FF000000"/>
      </right>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7F7F7F"/>
      </left>
      <right style="thin">
        <color rgb="FF7F7F7F"/>
      </right>
      <top style="thin">
        <color rgb="FF7F7F7F"/>
      </top>
      <bottom style="thin">
        <color rgb="FF7F7F7F"/>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style="hair">
        <color indexed="64"/>
      </left>
      <right style="hair">
        <color indexed="64"/>
      </right>
      <top style="hair">
        <color indexed="64"/>
      </top>
      <bottom style="hair">
        <color indexed="64"/>
      </bottom>
      <diagonal/>
    </border>
    <border>
      <left/>
      <right/>
      <top style="medium">
        <color indexed="64"/>
      </top>
      <bottom style="medium">
        <color indexed="64"/>
      </bottom>
      <diagonal/>
    </border>
    <border>
      <left/>
      <right style="medium">
        <color indexed="64"/>
      </right>
      <top/>
      <bottom/>
      <diagonal/>
    </border>
    <border>
      <left style="thin">
        <color indexed="8"/>
      </left>
      <right style="thin">
        <color indexed="8"/>
      </right>
      <top style="thin">
        <color indexed="8"/>
      </top>
      <bottom style="thin">
        <color indexed="8"/>
      </bottom>
      <diagonal/>
    </border>
    <border>
      <left/>
      <right/>
      <top style="thin">
        <color indexed="64"/>
      </top>
      <bottom style="thin">
        <color indexed="64"/>
      </bottom>
      <diagonal/>
    </border>
    <border>
      <left/>
      <right/>
      <top/>
      <bottom style="thick">
        <color indexed="49"/>
      </bottom>
      <diagonal/>
    </border>
    <border>
      <left/>
      <right/>
      <top/>
      <bottom style="medium">
        <color indexed="49"/>
      </bottom>
      <diagonal/>
    </border>
    <border>
      <left style="thin">
        <color indexed="55"/>
      </left>
      <right style="thin">
        <color indexed="55"/>
      </right>
      <top style="thin">
        <color indexed="55"/>
      </top>
      <bottom style="thin">
        <color indexed="55"/>
      </bottom>
      <diagonal/>
    </border>
    <border>
      <left/>
      <right/>
      <top style="thin">
        <color indexed="64"/>
      </top>
      <bottom/>
      <diagonal/>
    </border>
    <border>
      <left/>
      <right/>
      <top style="thin">
        <color indexed="49"/>
      </top>
      <bottom style="double">
        <color indexed="49"/>
      </bottom>
      <diagonal/>
    </border>
    <border>
      <left style="thin">
        <color indexed="8"/>
      </left>
      <right style="thin">
        <color indexed="8"/>
      </right>
      <top style="double">
        <color indexed="8"/>
      </top>
      <bottom style="thin">
        <color indexed="8"/>
      </bottom>
      <diagonal/>
    </border>
    <border>
      <left style="thin">
        <color auto="1"/>
      </left>
      <right style="thin">
        <color auto="1"/>
      </right>
      <top style="thin">
        <color auto="1"/>
      </top>
      <bottom style="thin">
        <color auto="1"/>
      </bottom>
      <diagonal/>
    </border>
    <border>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style="hair">
        <color indexed="64"/>
      </top>
      <bottom/>
      <diagonal/>
    </border>
    <border>
      <left style="thin">
        <color indexed="64"/>
      </left>
      <right style="thin">
        <color indexed="64"/>
      </right>
      <top style="hair">
        <color indexed="64"/>
      </top>
      <bottom/>
      <diagonal/>
    </border>
    <border>
      <left/>
      <right style="thin">
        <color indexed="64"/>
      </right>
      <top style="thin">
        <color indexed="64"/>
      </top>
      <bottom/>
      <diagonal/>
    </border>
    <border>
      <left style="medium">
        <color indexed="64"/>
      </left>
      <right style="thin">
        <color indexed="64"/>
      </right>
      <top/>
      <bottom style="hair">
        <color indexed="64"/>
      </bottom>
      <diagonal/>
    </border>
    <border>
      <left style="thin">
        <color indexed="64"/>
      </left>
      <right/>
      <top/>
      <bottom style="hair">
        <color indexed="64"/>
      </bottom>
      <diagonal/>
    </border>
    <border>
      <left style="thin">
        <color rgb="FF000000"/>
      </left>
      <right/>
      <top/>
      <bottom style="hair">
        <color indexed="64"/>
      </bottom>
      <diagonal/>
    </border>
    <border>
      <left style="thin">
        <color rgb="FF000000"/>
      </left>
      <right style="thin">
        <color rgb="FF000000"/>
      </right>
      <top/>
      <bottom style="hair">
        <color indexed="64"/>
      </bottom>
      <diagonal/>
    </border>
    <border>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top style="hair">
        <color indexed="64"/>
      </top>
      <bottom style="hair">
        <color indexed="64"/>
      </bottom>
      <diagonal/>
    </border>
    <border>
      <left style="thin">
        <color rgb="FF000000"/>
      </left>
      <right/>
      <top style="hair">
        <color indexed="64"/>
      </top>
      <bottom style="hair">
        <color indexed="64"/>
      </bottom>
      <diagonal/>
    </border>
    <border>
      <left style="thin">
        <color rgb="FF000000"/>
      </left>
      <right style="thin">
        <color rgb="FF000000"/>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top style="hair">
        <color indexed="64"/>
      </top>
      <bottom/>
      <diagonal/>
    </border>
    <border>
      <left style="thin">
        <color rgb="FF000000"/>
      </left>
      <right/>
      <top style="hair">
        <color indexed="64"/>
      </top>
      <bottom/>
      <diagonal/>
    </border>
    <border>
      <left/>
      <right style="thin">
        <color rgb="FF000000"/>
      </right>
      <top style="hair">
        <color indexed="64"/>
      </top>
      <bottom/>
      <diagonal/>
    </border>
    <border>
      <left style="thin">
        <color indexed="64"/>
      </left>
      <right style="medium">
        <color indexed="64"/>
      </right>
      <top style="hair">
        <color indexed="64"/>
      </top>
      <bottom/>
      <diagonal/>
    </border>
    <border>
      <left style="thin">
        <color rgb="FF000000"/>
      </left>
      <right style="thin">
        <color rgb="FF000000"/>
      </right>
      <top style="hair">
        <color indexed="64"/>
      </top>
      <bottom/>
      <diagonal/>
    </border>
    <border>
      <left style="thin">
        <color rgb="FF000000"/>
      </left>
      <right/>
      <top/>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hair">
        <color indexed="64"/>
      </bottom>
      <diagonal/>
    </border>
    <border>
      <left/>
      <right style="thin">
        <color indexed="64"/>
      </right>
      <top style="hair">
        <color indexed="64"/>
      </top>
      <bottom/>
      <diagonal/>
    </border>
    <border>
      <left style="thin">
        <color indexed="64"/>
      </left>
      <right style="thin">
        <color rgb="FF000000"/>
      </right>
      <top style="hair">
        <color indexed="64"/>
      </top>
      <bottom/>
      <diagonal/>
    </border>
    <border>
      <left style="thin">
        <color rgb="FF000000"/>
      </left>
      <right style="thin">
        <color indexed="64"/>
      </right>
      <top style="hair">
        <color indexed="64"/>
      </top>
      <bottom/>
      <diagonal/>
    </border>
    <border>
      <left style="thin">
        <color indexed="64"/>
      </left>
      <right style="thin">
        <color rgb="FF000000"/>
      </right>
      <top/>
      <bottom style="hair">
        <color indexed="64"/>
      </bottom>
      <diagonal/>
    </border>
    <border>
      <left style="thin">
        <color rgb="FF000000"/>
      </left>
      <right style="thin">
        <color indexed="64"/>
      </right>
      <top/>
      <bottom style="hair">
        <color indexed="64"/>
      </bottom>
      <diagonal/>
    </border>
    <border>
      <left style="medium">
        <color indexed="64"/>
      </left>
      <right style="thin">
        <color indexed="64"/>
      </right>
      <top/>
      <bottom/>
      <diagonal/>
    </border>
    <border>
      <left style="dotted">
        <color indexed="64"/>
      </left>
      <right style="dotted">
        <color indexed="64"/>
      </right>
      <top/>
      <bottom style="dotted">
        <color indexed="64"/>
      </bottom>
      <diagonal/>
    </border>
    <border>
      <left style="thin">
        <color rgb="FF000000"/>
      </left>
      <right/>
      <top style="dotted">
        <color rgb="FF000000"/>
      </top>
      <bottom style="dotted">
        <color rgb="FF000000"/>
      </bottom>
      <diagonal/>
    </border>
    <border>
      <left style="thin">
        <color rgb="FF000000"/>
      </left>
      <right style="thin">
        <color rgb="FF000000"/>
      </right>
      <top style="dotted">
        <color rgb="FF000000"/>
      </top>
      <bottom style="dotted">
        <color rgb="FF000000"/>
      </bottom>
      <diagonal/>
    </border>
    <border>
      <left/>
      <right/>
      <top style="hair">
        <color indexed="64"/>
      </top>
      <bottom style="hair">
        <color indexed="64"/>
      </bottom>
      <diagonal/>
    </border>
    <border>
      <left style="thin">
        <color indexed="64"/>
      </left>
      <right style="thin">
        <color indexed="64"/>
      </right>
      <top style="thin">
        <color indexed="64"/>
      </top>
      <bottom/>
      <diagonal/>
    </border>
  </borders>
  <cellStyleXfs count="37279">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7" fillId="0" borderId="0"/>
    <xf numFmtId="165" fontId="6" fillId="0" borderId="0" applyFont="0" applyFill="0" applyBorder="0" applyProtection="0"/>
    <xf numFmtId="165" fontId="8" fillId="0" borderId="0" applyFont="0" applyFill="0" applyBorder="0" applyProtection="0"/>
    <xf numFmtId="165"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Protection="0"/>
    <xf numFmtId="43" fontId="8" fillId="0" borderId="0" applyFont="0" applyFill="0" applyBorder="0" applyProtection="0"/>
    <xf numFmtId="43" fontId="1"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0" fontId="11" fillId="0" borderId="0"/>
    <xf numFmtId="43" fontId="1" fillId="0" borderId="0" applyFont="0" applyFill="0" applyBorder="0" applyAlignment="0" applyProtection="0"/>
    <xf numFmtId="0" fontId="6" fillId="0" borderId="0"/>
    <xf numFmtId="0" fontId="6" fillId="0" borderId="0"/>
    <xf numFmtId="0" fontId="1" fillId="0" borderId="0"/>
    <xf numFmtId="0" fontId="6" fillId="0" borderId="0"/>
    <xf numFmtId="167" fontId="13" fillId="0" borderId="0"/>
    <xf numFmtId="165" fontId="6" fillId="0" borderId="0" applyFont="0" applyFill="0" applyBorder="0" applyAlignment="0" applyProtection="0"/>
    <xf numFmtId="168" fontId="6" fillId="0" borderId="0" applyFill="0" applyBorder="0" applyAlignment="0" applyProtection="0"/>
    <xf numFmtId="0" fontId="6" fillId="0" borderId="0"/>
    <xf numFmtId="0" fontId="6" fillId="0" borderId="0"/>
    <xf numFmtId="0" fontId="6" fillId="0" borderId="0"/>
    <xf numFmtId="165" fontId="1" fillId="0" borderId="0" applyFont="0" applyFill="0" applyBorder="0" applyAlignment="0" applyProtection="0"/>
    <xf numFmtId="0" fontId="1" fillId="0" borderId="0"/>
    <xf numFmtId="0" fontId="1" fillId="0" borderId="0"/>
    <xf numFmtId="0" fontId="14" fillId="0" borderId="0"/>
    <xf numFmtId="0" fontId="6" fillId="0" borderId="0"/>
    <xf numFmtId="0" fontId="11" fillId="0" borderId="0"/>
    <xf numFmtId="0" fontId="11" fillId="0" borderId="0"/>
    <xf numFmtId="0" fontId="1" fillId="0" borderId="0"/>
    <xf numFmtId="165" fontId="6" fillId="0" borderId="0" applyFont="0" applyFill="0" applyBorder="0" applyAlignment="0" applyProtection="0"/>
    <xf numFmtId="169" fontId="15" fillId="0" borderId="0"/>
    <xf numFmtId="0" fontId="12" fillId="0" borderId="0"/>
    <xf numFmtId="0" fontId="1" fillId="0" borderId="0"/>
    <xf numFmtId="0" fontId="16" fillId="0" borderId="0"/>
    <xf numFmtId="0" fontId="6" fillId="0" borderId="0"/>
    <xf numFmtId="0" fontId="1" fillId="0" borderId="0"/>
    <xf numFmtId="0" fontId="1" fillId="0" borderId="0"/>
    <xf numFmtId="165" fontId="6" fillId="0" borderId="0" applyFont="0" applyFill="0" applyBorder="0" applyAlignment="0" applyProtection="0"/>
    <xf numFmtId="165" fontId="1" fillId="0" borderId="0" applyFont="0" applyFill="0" applyBorder="0" applyAlignment="0" applyProtection="0"/>
    <xf numFmtId="0" fontId="6" fillId="0" borderId="0"/>
    <xf numFmtId="165" fontId="17" fillId="0" borderId="0" applyFont="0" applyFill="0" applyBorder="0" applyAlignment="0" applyProtection="0"/>
    <xf numFmtId="0" fontId="6" fillId="0" borderId="0"/>
    <xf numFmtId="0" fontId="1" fillId="0" borderId="0"/>
    <xf numFmtId="0" fontId="18" fillId="0" borderId="0"/>
    <xf numFmtId="43" fontId="18" fillId="0" borderId="0" applyFont="0" applyFill="0" applyBorder="0" applyAlignment="0" applyProtection="0"/>
    <xf numFmtId="0" fontId="19" fillId="0" borderId="0">
      <alignment vertical="center"/>
    </xf>
    <xf numFmtId="0" fontId="6" fillId="0" borderId="0"/>
    <xf numFmtId="43" fontId="1" fillId="0" borderId="0" applyFont="0" applyFill="0" applyBorder="0" applyAlignment="0" applyProtection="0"/>
    <xf numFmtId="0" fontId="6" fillId="0" borderId="0"/>
    <xf numFmtId="0" fontId="1" fillId="0" borderId="0"/>
    <xf numFmtId="0" fontId="6" fillId="0" borderId="0"/>
    <xf numFmtId="0" fontId="20" fillId="0" borderId="0">
      <alignment vertical="center"/>
    </xf>
    <xf numFmtId="0" fontId="21" fillId="0" borderId="0">
      <alignment vertical="center"/>
    </xf>
    <xf numFmtId="43" fontId="1" fillId="0" borderId="0" applyFont="0" applyFill="0" applyBorder="0" applyAlignment="0" applyProtection="0"/>
    <xf numFmtId="0" fontId="1" fillId="0" borderId="0"/>
    <xf numFmtId="0" fontId="1" fillId="0" borderId="0"/>
    <xf numFmtId="0" fontId="7" fillId="0" borderId="0"/>
    <xf numFmtId="0" fontId="6" fillId="0" borderId="0"/>
    <xf numFmtId="0" fontId="1" fillId="0" borderId="0"/>
    <xf numFmtId="170" fontId="1" fillId="0" borderId="0" applyFont="0" applyFill="0" applyBorder="0" applyAlignment="0" applyProtection="0"/>
    <xf numFmtId="0" fontId="6" fillId="0" borderId="0"/>
    <xf numFmtId="0" fontId="6" fillId="0" borderId="0"/>
    <xf numFmtId="0" fontId="1" fillId="0" borderId="0"/>
    <xf numFmtId="165" fontId="6" fillId="0" borderId="0" applyFont="0" applyFill="0" applyBorder="0" applyAlignment="0" applyProtection="0"/>
    <xf numFmtId="0" fontId="1" fillId="0" borderId="0"/>
    <xf numFmtId="0" fontId="6" fillId="0" borderId="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Protection="0"/>
    <xf numFmtId="43" fontId="8" fillId="0" borderId="0" applyFont="0" applyFill="0" applyBorder="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6" fillId="0" borderId="0"/>
    <xf numFmtId="0" fontId="1" fillId="0" borderId="0"/>
    <xf numFmtId="0" fontId="6" fillId="0" borderId="0"/>
    <xf numFmtId="0" fontId="12" fillId="0" borderId="0"/>
    <xf numFmtId="0" fontId="6" fillId="0" borderId="0"/>
    <xf numFmtId="0" fontId="55" fillId="0" borderId="0"/>
    <xf numFmtId="0" fontId="62" fillId="0" borderId="0"/>
    <xf numFmtId="0" fontId="6" fillId="0" borderId="0"/>
    <xf numFmtId="43" fontId="1" fillId="0" borderId="0" applyFont="0" applyFill="0" applyBorder="0" applyAlignment="0" applyProtection="0"/>
    <xf numFmtId="43" fontId="6" fillId="0" borderId="0">
      <alignment vertical="top"/>
      <protection locked="0"/>
    </xf>
    <xf numFmtId="43" fontId="6" fillId="0" borderId="0">
      <alignment vertical="top"/>
      <protection locked="0"/>
    </xf>
    <xf numFmtId="0" fontId="6" fillId="0" borderId="0"/>
    <xf numFmtId="0" fontId="74" fillId="0" borderId="0">
      <alignment vertical="center"/>
    </xf>
    <xf numFmtId="43" fontId="75" fillId="0" borderId="0">
      <alignment vertical="top"/>
      <protection locked="0"/>
    </xf>
    <xf numFmtId="43" fontId="75" fillId="0" borderId="0">
      <alignment vertical="top"/>
      <protection locked="0"/>
    </xf>
    <xf numFmtId="9" fontId="75" fillId="0" borderId="0">
      <alignment vertical="top"/>
      <protection locked="0"/>
    </xf>
    <xf numFmtId="0" fontId="6" fillId="0" borderId="0">
      <protection locked="0"/>
    </xf>
    <xf numFmtId="0" fontId="75"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75" fillId="0" borderId="0">
      <protection locked="0"/>
    </xf>
    <xf numFmtId="0" fontId="77" fillId="0" borderId="0"/>
    <xf numFmtId="0" fontId="78" fillId="20" borderId="0" applyNumberFormat="0" applyBorder="0" applyAlignment="0" applyProtection="0"/>
    <xf numFmtId="0" fontId="78" fillId="21" borderId="0" applyNumberFormat="0" applyBorder="0" applyAlignment="0" applyProtection="0"/>
    <xf numFmtId="0" fontId="78" fillId="22" borderId="0" applyNumberFormat="0" applyBorder="0" applyAlignment="0" applyProtection="0"/>
    <xf numFmtId="0" fontId="78" fillId="23" borderId="0" applyNumberFormat="0" applyBorder="0" applyAlignment="0" applyProtection="0"/>
    <xf numFmtId="0" fontId="78" fillId="24" borderId="0" applyNumberFormat="0" applyBorder="0" applyAlignment="0" applyProtection="0"/>
    <xf numFmtId="0" fontId="78" fillId="25" borderId="0" applyNumberFormat="0" applyBorder="0" applyAlignment="0" applyProtection="0"/>
    <xf numFmtId="0" fontId="78" fillId="26" borderId="0" applyNumberFormat="0" applyBorder="0" applyAlignment="0" applyProtection="0"/>
    <xf numFmtId="0" fontId="78" fillId="27" borderId="0" applyNumberFormat="0" applyBorder="0" applyAlignment="0" applyProtection="0"/>
    <xf numFmtId="0" fontId="78" fillId="28" borderId="0" applyNumberFormat="0" applyBorder="0" applyAlignment="0" applyProtection="0"/>
    <xf numFmtId="0" fontId="78" fillId="23" borderId="0" applyNumberFormat="0" applyBorder="0" applyAlignment="0" applyProtection="0"/>
    <xf numFmtId="0" fontId="78" fillId="26" borderId="0" applyNumberFormat="0" applyBorder="0" applyAlignment="0" applyProtection="0"/>
    <xf numFmtId="0" fontId="78" fillId="29" borderId="0" applyNumberFormat="0" applyBorder="0" applyAlignment="0" applyProtection="0"/>
    <xf numFmtId="0" fontId="79" fillId="30" borderId="0" applyNumberFormat="0" applyBorder="0" applyAlignment="0" applyProtection="0"/>
    <xf numFmtId="0" fontId="79" fillId="27" borderId="0" applyNumberFormat="0" applyBorder="0" applyAlignment="0" applyProtection="0"/>
    <xf numFmtId="0" fontId="79" fillId="28" borderId="0" applyNumberFormat="0" applyBorder="0" applyAlignment="0" applyProtection="0"/>
    <xf numFmtId="0" fontId="79" fillId="31" borderId="0" applyNumberFormat="0" applyBorder="0" applyAlignment="0" applyProtection="0"/>
    <xf numFmtId="0" fontId="79" fillId="32" borderId="0" applyNumberFormat="0" applyBorder="0" applyAlignment="0" applyProtection="0"/>
    <xf numFmtId="0" fontId="79" fillId="33" borderId="0" applyNumberFormat="0" applyBorder="0" applyAlignment="0" applyProtection="0"/>
    <xf numFmtId="0" fontId="79" fillId="34" borderId="0" applyNumberFormat="0" applyBorder="0" applyAlignment="0" applyProtection="0"/>
    <xf numFmtId="0" fontId="79" fillId="35" borderId="0" applyNumberFormat="0" applyBorder="0" applyAlignment="0" applyProtection="0"/>
    <xf numFmtId="0" fontId="79" fillId="36" borderId="0" applyNumberFormat="0" applyBorder="0" applyAlignment="0" applyProtection="0"/>
    <xf numFmtId="0" fontId="79" fillId="31" borderId="0" applyNumberFormat="0" applyBorder="0" applyAlignment="0" applyProtection="0"/>
    <xf numFmtId="0" fontId="79" fillId="32" borderId="0" applyNumberFormat="0" applyBorder="0" applyAlignment="0" applyProtection="0"/>
    <xf numFmtId="0" fontId="79" fillId="37" borderId="0" applyNumberFormat="0" applyBorder="0" applyAlignment="0" applyProtection="0"/>
    <xf numFmtId="0" fontId="80" fillId="21" borderId="0" applyNumberFormat="0" applyBorder="0" applyAlignment="0" applyProtection="0"/>
    <xf numFmtId="0" fontId="81" fillId="38" borderId="35" applyNumberFormat="0" applyAlignment="0" applyProtection="0"/>
    <xf numFmtId="0" fontId="82" fillId="39" borderId="36" applyNumberFormat="0" applyAlignment="0" applyProtection="0"/>
    <xf numFmtId="40" fontId="83" fillId="0" borderId="0" applyFont="0" applyFill="0" applyBorder="0" applyAlignment="0" applyProtection="0"/>
    <xf numFmtId="43" fontId="6" fillId="0" borderId="0" applyFont="0" applyFill="0" applyBorder="0" applyAlignment="0" applyProtection="0"/>
    <xf numFmtId="0" fontId="84" fillId="0" borderId="0" applyNumberFormat="0" applyFill="0" applyBorder="0" applyAlignment="0" applyProtection="0"/>
    <xf numFmtId="0" fontId="85" fillId="22" borderId="0" applyNumberFormat="0" applyBorder="0" applyAlignment="0" applyProtection="0"/>
    <xf numFmtId="0" fontId="86" fillId="0" borderId="37" applyNumberFormat="0" applyFill="0" applyAlignment="0" applyProtection="0"/>
    <xf numFmtId="0" fontId="87" fillId="0" borderId="38" applyNumberFormat="0" applyFill="0" applyAlignment="0" applyProtection="0"/>
    <xf numFmtId="0" fontId="88" fillId="0" borderId="39" applyNumberFormat="0" applyFill="0" applyAlignment="0" applyProtection="0"/>
    <xf numFmtId="0" fontId="88" fillId="0" borderId="0" applyNumberFormat="0" applyFill="0" applyBorder="0" applyAlignment="0" applyProtection="0"/>
    <xf numFmtId="0" fontId="89" fillId="25" borderId="35" applyNumberFormat="0" applyAlignment="0" applyProtection="0"/>
    <xf numFmtId="0" fontId="90" fillId="0" borderId="40" applyNumberFormat="0" applyFill="0" applyAlignment="0" applyProtection="0"/>
    <xf numFmtId="0" fontId="91" fillId="40" borderId="0" applyNumberFormat="0" applyBorder="0" applyAlignment="0" applyProtection="0"/>
    <xf numFmtId="0" fontId="6" fillId="0" borderId="0"/>
    <xf numFmtId="0" fontId="6" fillId="0" borderId="0"/>
    <xf numFmtId="0" fontId="6" fillId="0" borderId="0"/>
    <xf numFmtId="0" fontId="92" fillId="0" borderId="0"/>
    <xf numFmtId="0" fontId="6" fillId="0" borderId="0"/>
    <xf numFmtId="0" fontId="6" fillId="0" borderId="0"/>
    <xf numFmtId="0" fontId="93" fillId="0" borderId="0"/>
    <xf numFmtId="0" fontId="16" fillId="0" borderId="0"/>
    <xf numFmtId="0" fontId="94" fillId="0" borderId="0"/>
    <xf numFmtId="0" fontId="1" fillId="0" borderId="0"/>
    <xf numFmtId="0" fontId="1" fillId="0" borderId="0"/>
    <xf numFmtId="0" fontId="1" fillId="0" borderId="0"/>
    <xf numFmtId="0" fontId="6" fillId="0" borderId="0"/>
    <xf numFmtId="0" fontId="1" fillId="0" borderId="0"/>
    <xf numFmtId="0" fontId="6" fillId="41" borderId="41" applyNumberFormat="0" applyFont="0" applyAlignment="0" applyProtection="0"/>
    <xf numFmtId="0" fontId="95" fillId="38" borderId="42" applyNumberFormat="0" applyAlignment="0" applyProtection="0"/>
    <xf numFmtId="0" fontId="83" fillId="0" borderId="0"/>
    <xf numFmtId="0" fontId="96" fillId="0" borderId="0" applyNumberFormat="0" applyFill="0" applyBorder="0" applyAlignment="0" applyProtection="0"/>
    <xf numFmtId="0" fontId="97" fillId="0" borderId="43" applyNumberFormat="0" applyFill="0" applyAlignment="0" applyProtection="0"/>
    <xf numFmtId="0" fontId="98" fillId="0" borderId="0" applyNumberFormat="0" applyFill="0" applyBorder="0" applyAlignment="0" applyProtection="0"/>
    <xf numFmtId="0" fontId="6" fillId="0" borderId="0"/>
    <xf numFmtId="0" fontId="6" fillId="0" borderId="0"/>
    <xf numFmtId="0" fontId="1" fillId="0" borderId="0"/>
    <xf numFmtId="43" fontId="1"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0" fontId="6" fillId="0" borderId="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0" fontId="6" fillId="0" borderId="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1" fillId="0" borderId="0"/>
    <xf numFmtId="43" fontId="1"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170" fontId="99" fillId="0" borderId="0" applyFont="0" applyFill="0" applyBorder="0" applyAlignment="0" applyProtection="0"/>
    <xf numFmtId="170" fontId="6" fillId="0" borderId="0" applyFont="0" applyFill="0" applyBorder="0" applyAlignment="0" applyProtection="0"/>
    <xf numFmtId="170" fontId="99" fillId="0" borderId="0" applyFont="0" applyFill="0" applyBorder="0" applyAlignment="0" applyProtection="0"/>
    <xf numFmtId="170" fontId="99"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0" fontId="6" fillId="0" borderId="0"/>
    <xf numFmtId="0" fontId="99"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99" fillId="0" borderId="0"/>
    <xf numFmtId="170" fontId="6" fillId="0" borderId="0" applyFont="0" applyFill="0" applyBorder="0" applyAlignment="0" applyProtection="0"/>
    <xf numFmtId="0" fontId="6" fillId="0" borderId="0"/>
    <xf numFmtId="0" fontId="6" fillId="0" borderId="0"/>
    <xf numFmtId="0" fontId="6" fillId="0" borderId="0"/>
    <xf numFmtId="0" fontId="1" fillId="0" borderId="0"/>
    <xf numFmtId="0" fontId="6" fillId="0" borderId="0"/>
    <xf numFmtId="0" fontId="6" fillId="0" borderId="0"/>
    <xf numFmtId="0" fontId="1" fillId="0" borderId="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0" fontId="1" fillId="0" borderId="0"/>
    <xf numFmtId="0" fontId="6" fillId="0" borderId="0"/>
    <xf numFmtId="0" fontId="6" fillId="0" borderId="0"/>
    <xf numFmtId="0" fontId="6" fillId="0" borderId="0"/>
    <xf numFmtId="0" fontId="1" fillId="0" borderId="0"/>
    <xf numFmtId="0" fontId="6" fillId="0" borderId="0"/>
    <xf numFmtId="0" fontId="6" fillId="0" borderId="0"/>
    <xf numFmtId="0" fontId="99" fillId="0" borderId="0"/>
    <xf numFmtId="0" fontId="1" fillId="0" borderId="0"/>
    <xf numFmtId="0" fontId="6" fillId="0" borderId="0"/>
    <xf numFmtId="0" fontId="6" fillId="0" borderId="0"/>
    <xf numFmtId="0" fontId="6" fillId="0" borderId="0"/>
    <xf numFmtId="0" fontId="6" fillId="0" borderId="0"/>
    <xf numFmtId="0" fontId="99" fillId="0" borderId="0"/>
    <xf numFmtId="0" fontId="6" fillId="0" borderId="0"/>
    <xf numFmtId="170" fontId="6" fillId="0" borderId="0" applyFont="0" applyFill="0" applyBorder="0" applyAlignment="0" applyProtection="0"/>
    <xf numFmtId="0" fontId="99" fillId="0" borderId="0"/>
    <xf numFmtId="0" fontId="6" fillId="0" borderId="0"/>
    <xf numFmtId="170" fontId="6" fillId="0" borderId="0" applyFont="0" applyFill="0" applyBorder="0" applyAlignment="0" applyProtection="0"/>
    <xf numFmtId="0" fontId="99" fillId="0" borderId="0"/>
    <xf numFmtId="0" fontId="6" fillId="0" borderId="0"/>
    <xf numFmtId="170" fontId="6" fillId="0" borderId="0" applyFont="0" applyFill="0" applyBorder="0" applyAlignment="0" applyProtection="0"/>
    <xf numFmtId="170" fontId="99" fillId="0" borderId="0" applyFont="0" applyFill="0" applyBorder="0" applyAlignment="0" applyProtection="0"/>
    <xf numFmtId="0" fontId="100" fillId="0" borderId="0" applyNumberFormat="0" applyFill="0" applyBorder="0" applyProtection="0">
      <alignment vertical="top"/>
    </xf>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14" fillId="0" borderId="0"/>
    <xf numFmtId="9" fontId="6" fillId="0" borderId="0" applyFont="0" applyFill="0" applyBorder="0" applyAlignment="0" applyProtection="0"/>
    <xf numFmtId="0" fontId="6" fillId="0" borderId="0"/>
    <xf numFmtId="170" fontId="6" fillId="0" borderId="0" applyFont="0" applyFill="0" applyBorder="0" applyAlignment="0" applyProtection="0"/>
    <xf numFmtId="0" fontId="6" fillId="0" borderId="0"/>
    <xf numFmtId="0" fontId="100" fillId="0" borderId="0" applyNumberFormat="0" applyFill="0" applyBorder="0" applyProtection="0">
      <alignment vertical="top"/>
    </xf>
    <xf numFmtId="0" fontId="6" fillId="0" borderId="0"/>
    <xf numFmtId="170" fontId="6" fillId="0" borderId="0" applyFont="0" applyFill="0" applyBorder="0" applyAlignment="0" applyProtection="0"/>
    <xf numFmtId="170" fontId="99" fillId="0" borderId="0" applyFont="0" applyFill="0" applyBorder="0" applyAlignment="0" applyProtection="0"/>
    <xf numFmtId="0" fontId="100" fillId="0" borderId="0" applyNumberFormat="0" applyFill="0" applyBorder="0" applyProtection="0">
      <alignment vertical="top"/>
    </xf>
    <xf numFmtId="0" fontId="6" fillId="0" borderId="0"/>
    <xf numFmtId="170" fontId="6" fillId="0" borderId="0" applyFont="0" applyFill="0" applyBorder="0" applyAlignment="0" applyProtection="0"/>
    <xf numFmtId="0" fontId="6" fillId="0" borderId="0"/>
    <xf numFmtId="0" fontId="100" fillId="0" borderId="0" applyNumberFormat="0" applyFill="0" applyBorder="0" applyProtection="0">
      <alignment vertical="top"/>
    </xf>
    <xf numFmtId="0" fontId="6" fillId="0" borderId="0"/>
    <xf numFmtId="170" fontId="6" fillId="0" borderId="0" applyFont="0" applyFill="0" applyBorder="0" applyAlignment="0" applyProtection="0"/>
    <xf numFmtId="0" fontId="6" fillId="0" borderId="0"/>
    <xf numFmtId="0" fontId="100" fillId="0" borderId="0" applyNumberFormat="0" applyFill="0" applyBorder="0" applyProtection="0">
      <alignment vertical="top"/>
    </xf>
    <xf numFmtId="0" fontId="6" fillId="0" borderId="0"/>
    <xf numFmtId="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170" fontId="6" fillId="0" borderId="0" applyFont="0" applyFill="0" applyBorder="0" applyAlignment="0" applyProtection="0"/>
    <xf numFmtId="0" fontId="1" fillId="0" borderId="0"/>
    <xf numFmtId="0" fontId="6" fillId="0" borderId="0"/>
    <xf numFmtId="170" fontId="6" fillId="0" borderId="0" applyFont="0" applyFill="0" applyBorder="0" applyAlignment="0" applyProtection="0"/>
    <xf numFmtId="0" fontId="6" fillId="0" borderId="0"/>
    <xf numFmtId="0" fontId="1" fillId="0" borderId="0"/>
    <xf numFmtId="0" fontId="6" fillId="0" borderId="0"/>
    <xf numFmtId="0" fontId="6" fillId="0" borderId="0"/>
    <xf numFmtId="0" fontId="1" fillId="0" borderId="0"/>
    <xf numFmtId="0" fontId="6" fillId="0" borderId="0"/>
    <xf numFmtId="0" fontId="1" fillId="0" borderId="0"/>
    <xf numFmtId="0" fontId="6" fillId="0" borderId="0"/>
    <xf numFmtId="0" fontId="1" fillId="0" borderId="0"/>
    <xf numFmtId="0" fontId="6" fillId="0" borderId="0"/>
    <xf numFmtId="0" fontId="1" fillId="0" borderId="0"/>
    <xf numFmtId="0" fontId="6" fillId="0" borderId="0"/>
    <xf numFmtId="170" fontId="6" fillId="0" borderId="0" applyFont="0" applyFill="0" applyBorder="0" applyAlignment="0" applyProtection="0"/>
    <xf numFmtId="0" fontId="6" fillId="0" borderId="0"/>
    <xf numFmtId="0" fontId="1" fillId="0" borderId="0"/>
    <xf numFmtId="0" fontId="6" fillId="0" borderId="0"/>
    <xf numFmtId="0" fontId="6" fillId="0" borderId="0"/>
    <xf numFmtId="0" fontId="1" fillId="0" borderId="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0" fontId="6" fillId="0" borderId="0"/>
    <xf numFmtId="170" fontId="6" fillId="0" borderId="0" applyFont="0" applyFill="0" applyBorder="0" applyAlignment="0" applyProtection="0"/>
    <xf numFmtId="0" fontId="6" fillId="0" borderId="0"/>
    <xf numFmtId="0" fontId="1" fillId="0" borderId="0"/>
    <xf numFmtId="0" fontId="6" fillId="0" borderId="0"/>
    <xf numFmtId="0" fontId="1" fillId="0" borderId="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43" fontId="1"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applyFont="0" applyFill="0" applyBorder="0" applyAlignment="0" applyProtection="0"/>
    <xf numFmtId="170" fontId="6"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76" fillId="0" borderId="0"/>
    <xf numFmtId="43" fontId="6" fillId="0" borderId="0" applyFont="0" applyFill="0" applyBorder="0" applyAlignment="0" applyProtection="0"/>
    <xf numFmtId="43" fontId="6" fillId="0" borderId="0" applyFont="0" applyFill="0" applyBorder="0" applyAlignment="0" applyProtection="0"/>
    <xf numFmtId="0" fontId="101" fillId="0" borderId="0"/>
    <xf numFmtId="43" fontId="6" fillId="0" borderId="0" applyFont="0" applyFill="0" applyBorder="0" applyAlignment="0" applyProtection="0"/>
    <xf numFmtId="0" fontId="1" fillId="0" borderId="0"/>
    <xf numFmtId="0" fontId="1" fillId="0" borderId="0"/>
    <xf numFmtId="43" fontId="99" fillId="0" borderId="0" applyFont="0" applyFill="0" applyBorder="0" applyAlignment="0" applyProtection="0"/>
    <xf numFmtId="43" fontId="1" fillId="0" borderId="0" applyFont="0" applyFill="0" applyBorder="0" applyAlignment="0" applyProtection="0"/>
    <xf numFmtId="0" fontId="6" fillId="0" borderId="0"/>
    <xf numFmtId="0" fontId="1" fillId="0" borderId="0"/>
    <xf numFmtId="0" fontId="76" fillId="0" borderId="0"/>
    <xf numFmtId="0" fontId="1" fillId="0" borderId="0"/>
    <xf numFmtId="170" fontId="6"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6" fillId="0" borderId="0">
      <protection locked="0"/>
    </xf>
    <xf numFmtId="0" fontId="17" fillId="42" borderId="0">
      <alignment vertical="top"/>
      <protection locked="0"/>
    </xf>
    <xf numFmtId="0" fontId="11" fillId="0" borderId="0"/>
    <xf numFmtId="0" fontId="94" fillId="0" borderId="0"/>
    <xf numFmtId="0" fontId="94" fillId="0" borderId="0"/>
    <xf numFmtId="0" fontId="6" fillId="0" borderId="0"/>
    <xf numFmtId="0" fontId="6" fillId="0" borderId="0"/>
    <xf numFmtId="0" fontId="6" fillId="0" borderId="0"/>
    <xf numFmtId="43" fontId="6" fillId="0" borderId="0" applyFont="0" applyFill="0" applyBorder="0" applyAlignment="0" applyProtection="0"/>
    <xf numFmtId="168" fontId="6" fillId="0" borderId="0" applyFill="0" applyBorder="0" applyAlignment="0" applyProtection="0"/>
    <xf numFmtId="43" fontId="6" fillId="0" borderId="0" applyFont="0" applyFill="0" applyBorder="0" applyAlignment="0" applyProtection="0"/>
    <xf numFmtId="0" fontId="14" fillId="0" borderId="0"/>
    <xf numFmtId="180" fontId="103" fillId="0" borderId="0" applyFont="0" applyFill="0" applyBorder="0" applyAlignment="0" applyProtection="0"/>
    <xf numFmtId="181" fontId="104" fillId="0" borderId="0" applyFont="0" applyFill="0" applyBorder="0" applyAlignment="0" applyProtection="0"/>
    <xf numFmtId="40" fontId="104" fillId="0" borderId="0" applyFont="0" applyFill="0" applyBorder="0" applyAlignment="0" applyProtection="0"/>
    <xf numFmtId="38" fontId="104" fillId="0" borderId="0" applyFont="0" applyFill="0" applyBorder="0" applyAlignment="0" applyProtection="0"/>
    <xf numFmtId="179" fontId="6" fillId="0" borderId="0" applyFont="0" applyFill="0" applyBorder="0" applyAlignment="0" applyProtection="0"/>
    <xf numFmtId="0" fontId="105" fillId="0" borderId="0"/>
    <xf numFmtId="0" fontId="55" fillId="0" borderId="0"/>
    <xf numFmtId="0" fontId="12" fillId="0" borderId="0"/>
    <xf numFmtId="0" fontId="55" fillId="0" borderId="0"/>
    <xf numFmtId="0" fontId="12" fillId="0" borderId="0"/>
    <xf numFmtId="0" fontId="10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0" fontId="78" fillId="20" borderId="0" applyNumberFormat="0" applyBorder="0" applyAlignment="0" applyProtection="0"/>
    <xf numFmtId="0" fontId="78"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78" fillId="20" borderId="0" applyNumberFormat="0" applyBorder="0" applyAlignment="0" applyProtection="0"/>
    <xf numFmtId="0" fontId="78" fillId="20" borderId="0" applyNumberFormat="0" applyBorder="0" applyAlignment="0" applyProtection="0"/>
    <xf numFmtId="0" fontId="78" fillId="20"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78" fillId="21" borderId="0" applyNumberFormat="0" applyBorder="0" applyAlignment="0" applyProtection="0"/>
    <xf numFmtId="0" fontId="78"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78" fillId="21" borderId="0" applyNumberFormat="0" applyBorder="0" applyAlignment="0" applyProtection="0"/>
    <xf numFmtId="0" fontId="78" fillId="21" borderId="0" applyNumberFormat="0" applyBorder="0" applyAlignment="0" applyProtection="0"/>
    <xf numFmtId="0" fontId="78" fillId="21"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78" fillId="22" borderId="0" applyNumberFormat="0" applyBorder="0" applyAlignment="0" applyProtection="0"/>
    <xf numFmtId="0" fontId="78"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78" fillId="22" borderId="0" applyNumberFormat="0" applyBorder="0" applyAlignment="0" applyProtection="0"/>
    <xf numFmtId="0" fontId="78" fillId="22" borderId="0" applyNumberFormat="0" applyBorder="0" applyAlignment="0" applyProtection="0"/>
    <xf numFmtId="0" fontId="78" fillId="22"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78" fillId="23" borderId="0" applyNumberFormat="0" applyBorder="0" applyAlignment="0" applyProtection="0"/>
    <xf numFmtId="0" fontId="78"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78" fillId="23" borderId="0" applyNumberFormat="0" applyBorder="0" applyAlignment="0" applyProtection="0"/>
    <xf numFmtId="0" fontId="78" fillId="23" borderId="0" applyNumberFormat="0" applyBorder="0" applyAlignment="0" applyProtection="0"/>
    <xf numFmtId="0" fontId="78" fillId="23"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78" fillId="24" borderId="0" applyNumberFormat="0" applyBorder="0" applyAlignment="0" applyProtection="0"/>
    <xf numFmtId="0" fontId="78"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78" fillId="24" borderId="0" applyNumberFormat="0" applyBorder="0" applyAlignment="0" applyProtection="0"/>
    <xf numFmtId="0" fontId="78" fillId="24" borderId="0" applyNumberFormat="0" applyBorder="0" applyAlignment="0" applyProtection="0"/>
    <xf numFmtId="0" fontId="78"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78" fillId="25" borderId="0" applyNumberFormat="0" applyBorder="0" applyAlignment="0" applyProtection="0"/>
    <xf numFmtId="0" fontId="78"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78" fillId="25" borderId="0" applyNumberFormat="0" applyBorder="0" applyAlignment="0" applyProtection="0"/>
    <xf numFmtId="0" fontId="78" fillId="25" borderId="0" applyNumberFormat="0" applyBorder="0" applyAlignment="0" applyProtection="0"/>
    <xf numFmtId="0" fontId="78"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78" fillId="26" borderId="0" applyNumberFormat="0" applyBorder="0" applyAlignment="0" applyProtection="0"/>
    <xf numFmtId="0" fontId="78"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78" fillId="26" borderId="0" applyNumberFormat="0" applyBorder="0" applyAlignment="0" applyProtection="0"/>
    <xf numFmtId="0" fontId="78" fillId="26" borderId="0" applyNumberFormat="0" applyBorder="0" applyAlignment="0" applyProtection="0"/>
    <xf numFmtId="0" fontId="78" fillId="26"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78" fillId="27" borderId="0" applyNumberFormat="0" applyBorder="0" applyAlignment="0" applyProtection="0"/>
    <xf numFmtId="0" fontId="78"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78" fillId="27" borderId="0" applyNumberFormat="0" applyBorder="0" applyAlignment="0" applyProtection="0"/>
    <xf numFmtId="0" fontId="78" fillId="27" borderId="0" applyNumberFormat="0" applyBorder="0" applyAlignment="0" applyProtection="0"/>
    <xf numFmtId="0" fontId="78"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78" fillId="28" borderId="0" applyNumberFormat="0" applyBorder="0" applyAlignment="0" applyProtection="0"/>
    <xf numFmtId="0" fontId="78"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78" fillId="28" borderId="0" applyNumberFormat="0" applyBorder="0" applyAlignment="0" applyProtection="0"/>
    <xf numFmtId="0" fontId="78" fillId="28" borderId="0" applyNumberFormat="0" applyBorder="0" applyAlignment="0" applyProtection="0"/>
    <xf numFmtId="0" fontId="78" fillId="28"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78" fillId="23" borderId="0" applyNumberFormat="0" applyBorder="0" applyAlignment="0" applyProtection="0"/>
    <xf numFmtId="0" fontId="78"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78" fillId="23" borderId="0" applyNumberFormat="0" applyBorder="0" applyAlignment="0" applyProtection="0"/>
    <xf numFmtId="0" fontId="78" fillId="23" borderId="0" applyNumberFormat="0" applyBorder="0" applyAlignment="0" applyProtection="0"/>
    <xf numFmtId="0" fontId="78" fillId="23"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78" fillId="26" borderId="0" applyNumberFormat="0" applyBorder="0" applyAlignment="0" applyProtection="0"/>
    <xf numFmtId="0" fontId="78"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78" fillId="26" borderId="0" applyNumberFormat="0" applyBorder="0" applyAlignment="0" applyProtection="0"/>
    <xf numFmtId="0" fontId="78" fillId="26" borderId="0" applyNumberFormat="0" applyBorder="0" applyAlignment="0" applyProtection="0"/>
    <xf numFmtId="0" fontId="78"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78" fillId="29" borderId="0" applyNumberFormat="0" applyBorder="0" applyAlignment="0" applyProtection="0"/>
    <xf numFmtId="0" fontId="78"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78" fillId="29" borderId="0" applyNumberFormat="0" applyBorder="0" applyAlignment="0" applyProtection="0"/>
    <xf numFmtId="0" fontId="78" fillId="29" borderId="0" applyNumberFormat="0" applyBorder="0" applyAlignment="0" applyProtection="0"/>
    <xf numFmtId="0" fontId="78" fillId="29"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07" fillId="30" borderId="0" applyNumberFormat="0" applyBorder="0" applyAlignment="0" applyProtection="0"/>
    <xf numFmtId="0" fontId="107" fillId="30" borderId="0" applyNumberFormat="0" applyBorder="0" applyAlignment="0" applyProtection="0"/>
    <xf numFmtId="0" fontId="107" fillId="30" borderId="0" applyNumberFormat="0" applyBorder="0" applyAlignment="0" applyProtection="0"/>
    <xf numFmtId="0" fontId="107" fillId="30" borderId="0" applyNumberFormat="0" applyBorder="0" applyAlignment="0" applyProtection="0"/>
    <xf numFmtId="0" fontId="107" fillId="30" borderId="0" applyNumberFormat="0" applyBorder="0" applyAlignment="0" applyProtection="0"/>
    <xf numFmtId="0" fontId="107" fillId="30" borderId="0" applyNumberFormat="0" applyBorder="0" applyAlignment="0" applyProtection="0"/>
    <xf numFmtId="0" fontId="107" fillId="30" borderId="0" applyNumberFormat="0" applyBorder="0" applyAlignment="0" applyProtection="0"/>
    <xf numFmtId="0" fontId="107" fillId="30" borderId="0" applyNumberFormat="0" applyBorder="0" applyAlignment="0" applyProtection="0"/>
    <xf numFmtId="0" fontId="79" fillId="30" borderId="0" applyNumberFormat="0" applyBorder="0" applyAlignment="0" applyProtection="0"/>
    <xf numFmtId="0" fontId="79" fillId="30" borderId="0" applyNumberFormat="0" applyBorder="0" applyAlignment="0" applyProtection="0"/>
    <xf numFmtId="0" fontId="79" fillId="30" borderId="0" applyNumberFormat="0" applyBorder="0" applyAlignment="0" applyProtection="0"/>
    <xf numFmtId="0" fontId="79" fillId="30" borderId="0" applyNumberFormat="0" applyBorder="0" applyAlignment="0" applyProtection="0"/>
    <xf numFmtId="0" fontId="79" fillId="30" borderId="0" applyNumberFormat="0" applyBorder="0" applyAlignment="0" applyProtection="0"/>
    <xf numFmtId="0" fontId="79" fillId="30" borderId="0" applyNumberFormat="0" applyBorder="0" applyAlignment="0" applyProtection="0"/>
    <xf numFmtId="0" fontId="79" fillId="30" borderId="0" applyNumberFormat="0" applyBorder="0" applyAlignment="0" applyProtection="0"/>
    <xf numFmtId="0" fontId="79" fillId="30" borderId="0" applyNumberFormat="0" applyBorder="0" applyAlignment="0" applyProtection="0"/>
    <xf numFmtId="0" fontId="79" fillId="30" borderId="0" applyNumberFormat="0" applyBorder="0" applyAlignment="0" applyProtection="0"/>
    <xf numFmtId="0" fontId="79" fillId="30" borderId="0" applyNumberFormat="0" applyBorder="0" applyAlignment="0" applyProtection="0"/>
    <xf numFmtId="0" fontId="79" fillId="30" borderId="0" applyNumberFormat="0" applyBorder="0" applyAlignment="0" applyProtection="0"/>
    <xf numFmtId="0" fontId="79" fillId="30" borderId="0" applyNumberFormat="0" applyBorder="0" applyAlignment="0" applyProtection="0"/>
    <xf numFmtId="0" fontId="79" fillId="30" borderId="0" applyNumberFormat="0" applyBorder="0" applyAlignment="0" applyProtection="0"/>
    <xf numFmtId="0" fontId="79" fillId="30" borderId="0" applyNumberFormat="0" applyBorder="0" applyAlignment="0" applyProtection="0"/>
    <xf numFmtId="0" fontId="79" fillId="30" borderId="0" applyNumberFormat="0" applyBorder="0" applyAlignment="0" applyProtection="0"/>
    <xf numFmtId="0" fontId="107" fillId="30" borderId="0" applyNumberFormat="0" applyBorder="0" applyAlignment="0" applyProtection="0"/>
    <xf numFmtId="0" fontId="107" fillId="30" borderId="0" applyNumberFormat="0" applyBorder="0" applyAlignment="0" applyProtection="0"/>
    <xf numFmtId="0" fontId="107" fillId="30" borderId="0" applyNumberFormat="0" applyBorder="0" applyAlignment="0" applyProtection="0"/>
    <xf numFmtId="0" fontId="107" fillId="30" borderId="0" applyNumberFormat="0" applyBorder="0" applyAlignment="0" applyProtection="0"/>
    <xf numFmtId="0" fontId="107" fillId="30" borderId="0" applyNumberFormat="0" applyBorder="0" applyAlignment="0" applyProtection="0"/>
    <xf numFmtId="0" fontId="79" fillId="30" borderId="0" applyNumberFormat="0" applyBorder="0" applyAlignment="0" applyProtection="0"/>
    <xf numFmtId="0" fontId="79" fillId="30" borderId="0" applyNumberFormat="0" applyBorder="0" applyAlignment="0" applyProtection="0"/>
    <xf numFmtId="0" fontId="107" fillId="32" borderId="0" applyNumberFormat="0" applyBorder="0" applyAlignment="0" applyProtection="0"/>
    <xf numFmtId="0" fontId="107" fillId="27" borderId="0" applyNumberFormat="0" applyBorder="0" applyAlignment="0" applyProtection="0"/>
    <xf numFmtId="0" fontId="107" fillId="27" borderId="0" applyNumberFormat="0" applyBorder="0" applyAlignment="0" applyProtection="0"/>
    <xf numFmtId="0" fontId="107" fillId="27" borderId="0" applyNumberFormat="0" applyBorder="0" applyAlignment="0" applyProtection="0"/>
    <xf numFmtId="0" fontId="107" fillId="27" borderId="0" applyNumberFormat="0" applyBorder="0" applyAlignment="0" applyProtection="0"/>
    <xf numFmtId="0" fontId="107" fillId="27" borderId="0" applyNumberFormat="0" applyBorder="0" applyAlignment="0" applyProtection="0"/>
    <xf numFmtId="0" fontId="107" fillId="27" borderId="0" applyNumberFormat="0" applyBorder="0" applyAlignment="0" applyProtection="0"/>
    <xf numFmtId="0" fontId="107" fillId="27" borderId="0" applyNumberFormat="0" applyBorder="0" applyAlignment="0" applyProtection="0"/>
    <xf numFmtId="0" fontId="107" fillId="27" borderId="0" applyNumberFormat="0" applyBorder="0" applyAlignment="0" applyProtection="0"/>
    <xf numFmtId="0" fontId="79" fillId="27" borderId="0" applyNumberFormat="0" applyBorder="0" applyAlignment="0" applyProtection="0"/>
    <xf numFmtId="0" fontId="79" fillId="27" borderId="0" applyNumberFormat="0" applyBorder="0" applyAlignment="0" applyProtection="0"/>
    <xf numFmtId="0" fontId="79" fillId="27" borderId="0" applyNumberFormat="0" applyBorder="0" applyAlignment="0" applyProtection="0"/>
    <xf numFmtId="0" fontId="79" fillId="27" borderId="0" applyNumberFormat="0" applyBorder="0" applyAlignment="0" applyProtection="0"/>
    <xf numFmtId="0" fontId="79" fillId="27" borderId="0" applyNumberFormat="0" applyBorder="0" applyAlignment="0" applyProtection="0"/>
    <xf numFmtId="0" fontId="79" fillId="27" borderId="0" applyNumberFormat="0" applyBorder="0" applyAlignment="0" applyProtection="0"/>
    <xf numFmtId="0" fontId="79" fillId="27" borderId="0" applyNumberFormat="0" applyBorder="0" applyAlignment="0" applyProtection="0"/>
    <xf numFmtId="0" fontId="79" fillId="27" borderId="0" applyNumberFormat="0" applyBorder="0" applyAlignment="0" applyProtection="0"/>
    <xf numFmtId="0" fontId="79" fillId="27" borderId="0" applyNumberFormat="0" applyBorder="0" applyAlignment="0" applyProtection="0"/>
    <xf numFmtId="0" fontId="79" fillId="27" borderId="0" applyNumberFormat="0" applyBorder="0" applyAlignment="0" applyProtection="0"/>
    <xf numFmtId="0" fontId="79" fillId="27" borderId="0" applyNumberFormat="0" applyBorder="0" applyAlignment="0" applyProtection="0"/>
    <xf numFmtId="0" fontId="79" fillId="27" borderId="0" applyNumberFormat="0" applyBorder="0" applyAlignment="0" applyProtection="0"/>
    <xf numFmtId="0" fontId="79" fillId="27" borderId="0" applyNumberFormat="0" applyBorder="0" applyAlignment="0" applyProtection="0"/>
    <xf numFmtId="0" fontId="79" fillId="27" borderId="0" applyNumberFormat="0" applyBorder="0" applyAlignment="0" applyProtection="0"/>
    <xf numFmtId="0" fontId="79" fillId="27" borderId="0" applyNumberFormat="0" applyBorder="0" applyAlignment="0" applyProtection="0"/>
    <xf numFmtId="0" fontId="107" fillId="27" borderId="0" applyNumberFormat="0" applyBorder="0" applyAlignment="0" applyProtection="0"/>
    <xf numFmtId="0" fontId="107" fillId="27" borderId="0" applyNumberFormat="0" applyBorder="0" applyAlignment="0" applyProtection="0"/>
    <xf numFmtId="0" fontId="107" fillId="27" borderId="0" applyNumberFormat="0" applyBorder="0" applyAlignment="0" applyProtection="0"/>
    <xf numFmtId="0" fontId="107" fillId="27" borderId="0" applyNumberFormat="0" applyBorder="0" applyAlignment="0" applyProtection="0"/>
    <xf numFmtId="0" fontId="107" fillId="27" borderId="0" applyNumberFormat="0" applyBorder="0" applyAlignment="0" applyProtection="0"/>
    <xf numFmtId="0" fontId="79" fillId="27" borderId="0" applyNumberFormat="0" applyBorder="0" applyAlignment="0" applyProtection="0"/>
    <xf numFmtId="0" fontId="79" fillId="27" borderId="0" applyNumberFormat="0" applyBorder="0" applyAlignment="0" applyProtection="0"/>
    <xf numFmtId="0" fontId="107" fillId="27" borderId="0" applyNumberFormat="0" applyBorder="0" applyAlignment="0" applyProtection="0"/>
    <xf numFmtId="0" fontId="107" fillId="28" borderId="0" applyNumberFormat="0" applyBorder="0" applyAlignment="0" applyProtection="0"/>
    <xf numFmtId="0" fontId="107" fillId="28" borderId="0" applyNumberFormat="0" applyBorder="0" applyAlignment="0" applyProtection="0"/>
    <xf numFmtId="0" fontId="107" fillId="28" borderId="0" applyNumberFormat="0" applyBorder="0" applyAlignment="0" applyProtection="0"/>
    <xf numFmtId="0" fontId="107" fillId="28" borderId="0" applyNumberFormat="0" applyBorder="0" applyAlignment="0" applyProtection="0"/>
    <xf numFmtId="0" fontId="107" fillId="28" borderId="0" applyNumberFormat="0" applyBorder="0" applyAlignment="0" applyProtection="0"/>
    <xf numFmtId="0" fontId="107" fillId="28" borderId="0" applyNumberFormat="0" applyBorder="0" applyAlignment="0" applyProtection="0"/>
    <xf numFmtId="0" fontId="107" fillId="28" borderId="0" applyNumberFormat="0" applyBorder="0" applyAlignment="0" applyProtection="0"/>
    <xf numFmtId="0" fontId="107" fillId="28" borderId="0" applyNumberFormat="0" applyBorder="0" applyAlignment="0" applyProtection="0"/>
    <xf numFmtId="0" fontId="79" fillId="28" borderId="0" applyNumberFormat="0" applyBorder="0" applyAlignment="0" applyProtection="0"/>
    <xf numFmtId="0" fontId="79" fillId="28" borderId="0" applyNumberFormat="0" applyBorder="0" applyAlignment="0" applyProtection="0"/>
    <xf numFmtId="0" fontId="79" fillId="28" borderId="0" applyNumberFormat="0" applyBorder="0" applyAlignment="0" applyProtection="0"/>
    <xf numFmtId="0" fontId="79" fillId="28" borderId="0" applyNumberFormat="0" applyBorder="0" applyAlignment="0" applyProtection="0"/>
    <xf numFmtId="0" fontId="79" fillId="28" borderId="0" applyNumberFormat="0" applyBorder="0" applyAlignment="0" applyProtection="0"/>
    <xf numFmtId="0" fontId="79" fillId="28" borderId="0" applyNumberFormat="0" applyBorder="0" applyAlignment="0" applyProtection="0"/>
    <xf numFmtId="0" fontId="79" fillId="28" borderId="0" applyNumberFormat="0" applyBorder="0" applyAlignment="0" applyProtection="0"/>
    <xf numFmtId="0" fontId="79" fillId="28" borderId="0" applyNumberFormat="0" applyBorder="0" applyAlignment="0" applyProtection="0"/>
    <xf numFmtId="0" fontId="79" fillId="28" borderId="0" applyNumberFormat="0" applyBorder="0" applyAlignment="0" applyProtection="0"/>
    <xf numFmtId="0" fontId="79" fillId="28" borderId="0" applyNumberFormat="0" applyBorder="0" applyAlignment="0" applyProtection="0"/>
    <xf numFmtId="0" fontId="79" fillId="28" borderId="0" applyNumberFormat="0" applyBorder="0" applyAlignment="0" applyProtection="0"/>
    <xf numFmtId="0" fontId="79" fillId="28" borderId="0" applyNumberFormat="0" applyBorder="0" applyAlignment="0" applyProtection="0"/>
    <xf numFmtId="0" fontId="79" fillId="28" borderId="0" applyNumberFormat="0" applyBorder="0" applyAlignment="0" applyProtection="0"/>
    <xf numFmtId="0" fontId="79" fillId="28" borderId="0" applyNumberFormat="0" applyBorder="0" applyAlignment="0" applyProtection="0"/>
    <xf numFmtId="0" fontId="79" fillId="28" borderId="0" applyNumberFormat="0" applyBorder="0" applyAlignment="0" applyProtection="0"/>
    <xf numFmtId="0" fontId="107" fillId="28" borderId="0" applyNumberFormat="0" applyBorder="0" applyAlignment="0" applyProtection="0"/>
    <xf numFmtId="0" fontId="107" fillId="28" borderId="0" applyNumberFormat="0" applyBorder="0" applyAlignment="0" applyProtection="0"/>
    <xf numFmtId="0" fontId="107" fillId="28" borderId="0" applyNumberFormat="0" applyBorder="0" applyAlignment="0" applyProtection="0"/>
    <xf numFmtId="0" fontId="107" fillId="28" borderId="0" applyNumberFormat="0" applyBorder="0" applyAlignment="0" applyProtection="0"/>
    <xf numFmtId="0" fontId="107" fillId="28" borderId="0" applyNumberFormat="0" applyBorder="0" applyAlignment="0" applyProtection="0"/>
    <xf numFmtId="0" fontId="79" fillId="28" borderId="0" applyNumberFormat="0" applyBorder="0" applyAlignment="0" applyProtection="0"/>
    <xf numFmtId="0" fontId="79" fillId="28" borderId="0" applyNumberFormat="0" applyBorder="0" applyAlignment="0" applyProtection="0"/>
    <xf numFmtId="0" fontId="107" fillId="40" borderId="0" applyNumberFormat="0" applyBorder="0" applyAlignment="0" applyProtection="0"/>
    <xf numFmtId="0" fontId="107" fillId="31" borderId="0" applyNumberFormat="0" applyBorder="0" applyAlignment="0" applyProtection="0"/>
    <xf numFmtId="0" fontId="107" fillId="31" borderId="0" applyNumberFormat="0" applyBorder="0" applyAlignment="0" applyProtection="0"/>
    <xf numFmtId="0" fontId="107" fillId="31" borderId="0" applyNumberFormat="0" applyBorder="0" applyAlignment="0" applyProtection="0"/>
    <xf numFmtId="0" fontId="107" fillId="31" borderId="0" applyNumberFormat="0" applyBorder="0" applyAlignment="0" applyProtection="0"/>
    <xf numFmtId="0" fontId="107" fillId="31" borderId="0" applyNumberFormat="0" applyBorder="0" applyAlignment="0" applyProtection="0"/>
    <xf numFmtId="0" fontId="107" fillId="31" borderId="0" applyNumberFormat="0" applyBorder="0" applyAlignment="0" applyProtection="0"/>
    <xf numFmtId="0" fontId="107" fillId="31" borderId="0" applyNumberFormat="0" applyBorder="0" applyAlignment="0" applyProtection="0"/>
    <xf numFmtId="0" fontId="107" fillId="31" borderId="0" applyNumberFormat="0" applyBorder="0" applyAlignment="0" applyProtection="0"/>
    <xf numFmtId="0" fontId="79" fillId="31" borderId="0" applyNumberFormat="0" applyBorder="0" applyAlignment="0" applyProtection="0"/>
    <xf numFmtId="0" fontId="79" fillId="31" borderId="0" applyNumberFormat="0" applyBorder="0" applyAlignment="0" applyProtection="0"/>
    <xf numFmtId="0" fontId="79" fillId="31" borderId="0" applyNumberFormat="0" applyBorder="0" applyAlignment="0" applyProtection="0"/>
    <xf numFmtId="0" fontId="79" fillId="31" borderId="0" applyNumberFormat="0" applyBorder="0" applyAlignment="0" applyProtection="0"/>
    <xf numFmtId="0" fontId="79" fillId="31" borderId="0" applyNumberFormat="0" applyBorder="0" applyAlignment="0" applyProtection="0"/>
    <xf numFmtId="0" fontId="79" fillId="31" borderId="0" applyNumberFormat="0" applyBorder="0" applyAlignment="0" applyProtection="0"/>
    <xf numFmtId="0" fontId="79" fillId="31" borderId="0" applyNumberFormat="0" applyBorder="0" applyAlignment="0" applyProtection="0"/>
    <xf numFmtId="0" fontId="79" fillId="31" borderId="0" applyNumberFormat="0" applyBorder="0" applyAlignment="0" applyProtection="0"/>
    <xf numFmtId="0" fontId="79" fillId="31" borderId="0" applyNumberFormat="0" applyBorder="0" applyAlignment="0" applyProtection="0"/>
    <xf numFmtId="0" fontId="79" fillId="31" borderId="0" applyNumberFormat="0" applyBorder="0" applyAlignment="0" applyProtection="0"/>
    <xf numFmtId="0" fontId="79" fillId="31" borderId="0" applyNumberFormat="0" applyBorder="0" applyAlignment="0" applyProtection="0"/>
    <xf numFmtId="0" fontId="79" fillId="31" borderId="0" applyNumberFormat="0" applyBorder="0" applyAlignment="0" applyProtection="0"/>
    <xf numFmtId="0" fontId="79" fillId="31" borderId="0" applyNumberFormat="0" applyBorder="0" applyAlignment="0" applyProtection="0"/>
    <xf numFmtId="0" fontId="79" fillId="31" borderId="0" applyNumberFormat="0" applyBorder="0" applyAlignment="0" applyProtection="0"/>
    <xf numFmtId="0" fontId="79" fillId="31" borderId="0" applyNumberFormat="0" applyBorder="0" applyAlignment="0" applyProtection="0"/>
    <xf numFmtId="0" fontId="107" fillId="31" borderId="0" applyNumberFormat="0" applyBorder="0" applyAlignment="0" applyProtection="0"/>
    <xf numFmtId="0" fontId="107" fillId="31" borderId="0" applyNumberFormat="0" applyBorder="0" applyAlignment="0" applyProtection="0"/>
    <xf numFmtId="0" fontId="107" fillId="31" borderId="0" applyNumberFormat="0" applyBorder="0" applyAlignment="0" applyProtection="0"/>
    <xf numFmtId="0" fontId="107" fillId="31" borderId="0" applyNumberFormat="0" applyBorder="0" applyAlignment="0" applyProtection="0"/>
    <xf numFmtId="0" fontId="107" fillId="31" borderId="0" applyNumberFormat="0" applyBorder="0" applyAlignment="0" applyProtection="0"/>
    <xf numFmtId="0" fontId="79" fillId="31" borderId="0" applyNumberFormat="0" applyBorder="0" applyAlignment="0" applyProtection="0"/>
    <xf numFmtId="0" fontId="79" fillId="31" borderId="0" applyNumberFormat="0" applyBorder="0" applyAlignment="0" applyProtection="0"/>
    <xf numFmtId="0" fontId="107" fillId="39" borderId="0" applyNumberFormat="0" applyBorder="0" applyAlignment="0" applyProtection="0"/>
    <xf numFmtId="0" fontId="107" fillId="32" borderId="0" applyNumberFormat="0" applyBorder="0" applyAlignment="0" applyProtection="0"/>
    <xf numFmtId="0" fontId="107" fillId="32" borderId="0" applyNumberFormat="0" applyBorder="0" applyAlignment="0" applyProtection="0"/>
    <xf numFmtId="0" fontId="107" fillId="32" borderId="0" applyNumberFormat="0" applyBorder="0" applyAlignment="0" applyProtection="0"/>
    <xf numFmtId="0" fontId="107" fillId="32" borderId="0" applyNumberFormat="0" applyBorder="0" applyAlignment="0" applyProtection="0"/>
    <xf numFmtId="0" fontId="107" fillId="32" borderId="0" applyNumberFormat="0" applyBorder="0" applyAlignment="0" applyProtection="0"/>
    <xf numFmtId="0" fontId="107" fillId="32" borderId="0" applyNumberFormat="0" applyBorder="0" applyAlignment="0" applyProtection="0"/>
    <xf numFmtId="0" fontId="107" fillId="32" borderId="0" applyNumberFormat="0" applyBorder="0" applyAlignment="0" applyProtection="0"/>
    <xf numFmtId="0" fontId="107"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107" fillId="32" borderId="0" applyNumberFormat="0" applyBorder="0" applyAlignment="0" applyProtection="0"/>
    <xf numFmtId="0" fontId="107" fillId="32" borderId="0" applyNumberFormat="0" applyBorder="0" applyAlignment="0" applyProtection="0"/>
    <xf numFmtId="0" fontId="107" fillId="32" borderId="0" applyNumberFormat="0" applyBorder="0" applyAlignment="0" applyProtection="0"/>
    <xf numFmtId="0" fontId="107" fillId="32" borderId="0" applyNumberFormat="0" applyBorder="0" applyAlignment="0" applyProtection="0"/>
    <xf numFmtId="0" fontId="107"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107" fillId="32" borderId="0" applyNumberFormat="0" applyBorder="0" applyAlignment="0" applyProtection="0"/>
    <xf numFmtId="0" fontId="107" fillId="33" borderId="0" applyNumberFormat="0" applyBorder="0" applyAlignment="0" applyProtection="0"/>
    <xf numFmtId="0" fontId="107" fillId="33" borderId="0" applyNumberFormat="0" applyBorder="0" applyAlignment="0" applyProtection="0"/>
    <xf numFmtId="0" fontId="107" fillId="33" borderId="0" applyNumberFormat="0" applyBorder="0" applyAlignment="0" applyProtection="0"/>
    <xf numFmtId="0" fontId="107" fillId="33" borderId="0" applyNumberFormat="0" applyBorder="0" applyAlignment="0" applyProtection="0"/>
    <xf numFmtId="0" fontId="107" fillId="33" borderId="0" applyNumberFormat="0" applyBorder="0" applyAlignment="0" applyProtection="0"/>
    <xf numFmtId="0" fontId="107" fillId="33" borderId="0" applyNumberFormat="0" applyBorder="0" applyAlignment="0" applyProtection="0"/>
    <xf numFmtId="0" fontId="107" fillId="33" borderId="0" applyNumberFormat="0" applyBorder="0" applyAlignment="0" applyProtection="0"/>
    <xf numFmtId="0" fontId="107" fillId="33" borderId="0" applyNumberFormat="0" applyBorder="0" applyAlignment="0" applyProtection="0"/>
    <xf numFmtId="0" fontId="79" fillId="33" borderId="0" applyNumberFormat="0" applyBorder="0" applyAlignment="0" applyProtection="0"/>
    <xf numFmtId="0" fontId="79" fillId="33" borderId="0" applyNumberFormat="0" applyBorder="0" applyAlignment="0" applyProtection="0"/>
    <xf numFmtId="0" fontId="79" fillId="33" borderId="0" applyNumberFormat="0" applyBorder="0" applyAlignment="0" applyProtection="0"/>
    <xf numFmtId="0" fontId="79" fillId="33" borderId="0" applyNumberFormat="0" applyBorder="0" applyAlignment="0" applyProtection="0"/>
    <xf numFmtId="0" fontId="79" fillId="33" borderId="0" applyNumberFormat="0" applyBorder="0" applyAlignment="0" applyProtection="0"/>
    <xf numFmtId="0" fontId="79" fillId="33" borderId="0" applyNumberFormat="0" applyBorder="0" applyAlignment="0" applyProtection="0"/>
    <xf numFmtId="0" fontId="79" fillId="33" borderId="0" applyNumberFormat="0" applyBorder="0" applyAlignment="0" applyProtection="0"/>
    <xf numFmtId="0" fontId="79" fillId="33" borderId="0" applyNumberFormat="0" applyBorder="0" applyAlignment="0" applyProtection="0"/>
    <xf numFmtId="0" fontId="79" fillId="33" borderId="0" applyNumberFormat="0" applyBorder="0" applyAlignment="0" applyProtection="0"/>
    <xf numFmtId="0" fontId="79" fillId="33" borderId="0" applyNumberFormat="0" applyBorder="0" applyAlignment="0" applyProtection="0"/>
    <xf numFmtId="0" fontId="79" fillId="33" borderId="0" applyNumberFormat="0" applyBorder="0" applyAlignment="0" applyProtection="0"/>
    <xf numFmtId="0" fontId="79" fillId="33" borderId="0" applyNumberFormat="0" applyBorder="0" applyAlignment="0" applyProtection="0"/>
    <xf numFmtId="0" fontId="79" fillId="33" borderId="0" applyNumberFormat="0" applyBorder="0" applyAlignment="0" applyProtection="0"/>
    <xf numFmtId="0" fontId="79" fillId="33" borderId="0" applyNumberFormat="0" applyBorder="0" applyAlignment="0" applyProtection="0"/>
    <xf numFmtId="0" fontId="79" fillId="33" borderId="0" applyNumberFormat="0" applyBorder="0" applyAlignment="0" applyProtection="0"/>
    <xf numFmtId="0" fontId="107" fillId="33" borderId="0" applyNumberFormat="0" applyBorder="0" applyAlignment="0" applyProtection="0"/>
    <xf numFmtId="0" fontId="107" fillId="33" borderId="0" applyNumberFormat="0" applyBorder="0" applyAlignment="0" applyProtection="0"/>
    <xf numFmtId="0" fontId="107" fillId="33" borderId="0" applyNumberFormat="0" applyBorder="0" applyAlignment="0" applyProtection="0"/>
    <xf numFmtId="0" fontId="107" fillId="33" borderId="0" applyNumberFormat="0" applyBorder="0" applyAlignment="0" applyProtection="0"/>
    <xf numFmtId="0" fontId="107" fillId="33" borderId="0" applyNumberFormat="0" applyBorder="0" applyAlignment="0" applyProtection="0"/>
    <xf numFmtId="0" fontId="79" fillId="33" borderId="0" applyNumberFormat="0" applyBorder="0" applyAlignment="0" applyProtection="0"/>
    <xf numFmtId="0" fontId="79" fillId="33" borderId="0" applyNumberFormat="0" applyBorder="0" applyAlignment="0" applyProtection="0"/>
    <xf numFmtId="0" fontId="107" fillId="25" borderId="0" applyNumberFormat="0" applyBorder="0" applyAlignment="0" applyProtection="0"/>
    <xf numFmtId="9" fontId="108" fillId="0" borderId="0"/>
    <xf numFmtId="0" fontId="102" fillId="0" borderId="0" applyNumberFormat="0" applyFont="0" applyBorder="0" applyAlignment="0"/>
    <xf numFmtId="0" fontId="17" fillId="43" borderId="0" applyNumberFormat="0" applyBorder="0" applyAlignment="0" applyProtection="0"/>
    <xf numFmtId="0" fontId="17" fillId="43" borderId="0" applyNumberFormat="0" applyBorder="0" applyAlignment="0" applyProtection="0"/>
    <xf numFmtId="0" fontId="17" fillId="43" borderId="0" applyNumberFormat="0" applyBorder="0" applyAlignment="0" applyProtection="0"/>
    <xf numFmtId="0" fontId="17" fillId="43" borderId="0" applyNumberFormat="0" applyBorder="0" applyAlignment="0" applyProtection="0"/>
    <xf numFmtId="0" fontId="17" fillId="43" borderId="0" applyNumberFormat="0" applyBorder="0" applyAlignment="0" applyProtection="0"/>
    <xf numFmtId="0" fontId="17" fillId="43" borderId="0" applyNumberFormat="0" applyBorder="0" applyAlignment="0" applyProtection="0"/>
    <xf numFmtId="0" fontId="17" fillId="43" borderId="0" applyNumberFormat="0" applyBorder="0" applyAlignment="0" applyProtection="0"/>
    <xf numFmtId="0" fontId="17" fillId="43" borderId="0" applyNumberFormat="0" applyBorder="0" applyAlignment="0" applyProtection="0"/>
    <xf numFmtId="0" fontId="17" fillId="43" borderId="0" applyNumberFormat="0" applyBorder="0" applyAlignment="0" applyProtection="0"/>
    <xf numFmtId="0" fontId="17" fillId="43" borderId="0" applyNumberFormat="0" applyBorder="0" applyAlignment="0" applyProtection="0"/>
    <xf numFmtId="0" fontId="107" fillId="44" borderId="0" applyNumberFormat="0" applyBorder="0" applyAlignment="0" applyProtection="0"/>
    <xf numFmtId="0" fontId="107" fillId="34" borderId="0" applyNumberFormat="0" applyBorder="0" applyAlignment="0" applyProtection="0"/>
    <xf numFmtId="0" fontId="107" fillId="34" borderId="0" applyNumberFormat="0" applyBorder="0" applyAlignment="0" applyProtection="0"/>
    <xf numFmtId="0" fontId="107" fillId="34" borderId="0" applyNumberFormat="0" applyBorder="0" applyAlignment="0" applyProtection="0"/>
    <xf numFmtId="0" fontId="107" fillId="34" borderId="0" applyNumberFormat="0" applyBorder="0" applyAlignment="0" applyProtection="0"/>
    <xf numFmtId="0" fontId="107" fillId="34" borderId="0" applyNumberFormat="0" applyBorder="0" applyAlignment="0" applyProtection="0"/>
    <xf numFmtId="0" fontId="107" fillId="34" borderId="0" applyNumberFormat="0" applyBorder="0" applyAlignment="0" applyProtection="0"/>
    <xf numFmtId="0" fontId="107" fillId="34" borderId="0" applyNumberFormat="0" applyBorder="0" applyAlignment="0" applyProtection="0"/>
    <xf numFmtId="0" fontId="107" fillId="34" borderId="0" applyNumberFormat="0" applyBorder="0" applyAlignment="0" applyProtection="0"/>
    <xf numFmtId="0" fontId="79" fillId="34" borderId="0" applyNumberFormat="0" applyBorder="0" applyAlignment="0" applyProtection="0"/>
    <xf numFmtId="0" fontId="79" fillId="34" borderId="0" applyNumberFormat="0" applyBorder="0" applyAlignment="0" applyProtection="0"/>
    <xf numFmtId="0" fontId="79" fillId="34" borderId="0" applyNumberFormat="0" applyBorder="0" applyAlignment="0" applyProtection="0"/>
    <xf numFmtId="0" fontId="79" fillId="34" borderId="0" applyNumberFormat="0" applyBorder="0" applyAlignment="0" applyProtection="0"/>
    <xf numFmtId="0" fontId="79" fillId="34" borderId="0" applyNumberFormat="0" applyBorder="0" applyAlignment="0" applyProtection="0"/>
    <xf numFmtId="0" fontId="79" fillId="34" borderId="0" applyNumberFormat="0" applyBorder="0" applyAlignment="0" applyProtection="0"/>
    <xf numFmtId="0" fontId="79" fillId="34" borderId="0" applyNumberFormat="0" applyBorder="0" applyAlignment="0" applyProtection="0"/>
    <xf numFmtId="0" fontId="79" fillId="34" borderId="0" applyNumberFormat="0" applyBorder="0" applyAlignment="0" applyProtection="0"/>
    <xf numFmtId="0" fontId="79" fillId="34" borderId="0" applyNumberFormat="0" applyBorder="0" applyAlignment="0" applyProtection="0"/>
    <xf numFmtId="0" fontId="79" fillId="34" borderId="0" applyNumberFormat="0" applyBorder="0" applyAlignment="0" applyProtection="0"/>
    <xf numFmtId="0" fontId="79" fillId="34" borderId="0" applyNumberFormat="0" applyBorder="0" applyAlignment="0" applyProtection="0"/>
    <xf numFmtId="0" fontId="79" fillId="34" borderId="0" applyNumberFormat="0" applyBorder="0" applyAlignment="0" applyProtection="0"/>
    <xf numFmtId="0" fontId="79" fillId="34" borderId="0" applyNumberFormat="0" applyBorder="0" applyAlignment="0" applyProtection="0"/>
    <xf numFmtId="0" fontId="79" fillId="34" borderId="0" applyNumberFormat="0" applyBorder="0" applyAlignment="0" applyProtection="0"/>
    <xf numFmtId="0" fontId="79" fillId="34" borderId="0" applyNumberFormat="0" applyBorder="0" applyAlignment="0" applyProtection="0"/>
    <xf numFmtId="0" fontId="107" fillId="34" borderId="0" applyNumberFormat="0" applyBorder="0" applyAlignment="0" applyProtection="0"/>
    <xf numFmtId="0" fontId="107" fillId="34" borderId="0" applyNumberFormat="0" applyBorder="0" applyAlignment="0" applyProtection="0"/>
    <xf numFmtId="0" fontId="107" fillId="34" borderId="0" applyNumberFormat="0" applyBorder="0" applyAlignment="0" applyProtection="0"/>
    <xf numFmtId="0" fontId="107" fillId="34" borderId="0" applyNumberFormat="0" applyBorder="0" applyAlignment="0" applyProtection="0"/>
    <xf numFmtId="0" fontId="107" fillId="34" borderId="0" applyNumberFormat="0" applyBorder="0" applyAlignment="0" applyProtection="0"/>
    <xf numFmtId="0" fontId="79" fillId="34" borderId="0" applyNumberFormat="0" applyBorder="0" applyAlignment="0" applyProtection="0"/>
    <xf numFmtId="0" fontId="79" fillId="34" borderId="0" applyNumberFormat="0" applyBorder="0" applyAlignment="0" applyProtection="0"/>
    <xf numFmtId="0" fontId="107" fillId="32"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6" borderId="0" applyNumberFormat="0" applyBorder="0" applyAlignment="0" applyProtection="0"/>
    <xf numFmtId="0" fontId="17" fillId="46" borderId="0" applyNumberFormat="0" applyBorder="0" applyAlignment="0" applyProtection="0"/>
    <xf numFmtId="0" fontId="17" fillId="46" borderId="0" applyNumberFormat="0" applyBorder="0" applyAlignment="0" applyProtection="0"/>
    <xf numFmtId="0" fontId="17" fillId="46" borderId="0" applyNumberFormat="0" applyBorder="0" applyAlignment="0" applyProtection="0"/>
    <xf numFmtId="0" fontId="17" fillId="46" borderId="0" applyNumberFormat="0" applyBorder="0" applyAlignment="0" applyProtection="0"/>
    <xf numFmtId="0" fontId="107" fillId="47" borderId="0" applyNumberFormat="0" applyBorder="0" applyAlignment="0" applyProtection="0"/>
    <xf numFmtId="0" fontId="107" fillId="35" borderId="0" applyNumberFormat="0" applyBorder="0" applyAlignment="0" applyProtection="0"/>
    <xf numFmtId="0" fontId="107" fillId="35" borderId="0" applyNumberFormat="0" applyBorder="0" applyAlignment="0" applyProtection="0"/>
    <xf numFmtId="0" fontId="107" fillId="35" borderId="0" applyNumberFormat="0" applyBorder="0" applyAlignment="0" applyProtection="0"/>
    <xf numFmtId="0" fontId="107" fillId="35" borderId="0" applyNumberFormat="0" applyBorder="0" applyAlignment="0" applyProtection="0"/>
    <xf numFmtId="0" fontId="107" fillId="35" borderId="0" applyNumberFormat="0" applyBorder="0" applyAlignment="0" applyProtection="0"/>
    <xf numFmtId="0" fontId="107" fillId="35" borderId="0" applyNumberFormat="0" applyBorder="0" applyAlignment="0" applyProtection="0"/>
    <xf numFmtId="0" fontId="107" fillId="35" borderId="0" applyNumberFormat="0" applyBorder="0" applyAlignment="0" applyProtection="0"/>
    <xf numFmtId="0" fontId="107" fillId="35" borderId="0" applyNumberFormat="0" applyBorder="0" applyAlignment="0" applyProtection="0"/>
    <xf numFmtId="0" fontId="79" fillId="35" borderId="0" applyNumberFormat="0" applyBorder="0" applyAlignment="0" applyProtection="0"/>
    <xf numFmtId="0" fontId="79" fillId="35" borderId="0" applyNumberFormat="0" applyBorder="0" applyAlignment="0" applyProtection="0"/>
    <xf numFmtId="0" fontId="79" fillId="35" borderId="0" applyNumberFormat="0" applyBorder="0" applyAlignment="0" applyProtection="0"/>
    <xf numFmtId="0" fontId="79" fillId="35" borderId="0" applyNumberFormat="0" applyBorder="0" applyAlignment="0" applyProtection="0"/>
    <xf numFmtId="0" fontId="79" fillId="35" borderId="0" applyNumberFormat="0" applyBorder="0" applyAlignment="0" applyProtection="0"/>
    <xf numFmtId="0" fontId="79" fillId="35" borderId="0" applyNumberFormat="0" applyBorder="0" applyAlignment="0" applyProtection="0"/>
    <xf numFmtId="0" fontId="79" fillId="35" borderId="0" applyNumberFormat="0" applyBorder="0" applyAlignment="0" applyProtection="0"/>
    <xf numFmtId="0" fontId="79" fillId="35" borderId="0" applyNumberFormat="0" applyBorder="0" applyAlignment="0" applyProtection="0"/>
    <xf numFmtId="0" fontId="79" fillId="35" borderId="0" applyNumberFormat="0" applyBorder="0" applyAlignment="0" applyProtection="0"/>
    <xf numFmtId="0" fontId="79" fillId="35" borderId="0" applyNumberFormat="0" applyBorder="0" applyAlignment="0" applyProtection="0"/>
    <xf numFmtId="0" fontId="79" fillId="35" borderId="0" applyNumberFormat="0" applyBorder="0" applyAlignment="0" applyProtection="0"/>
    <xf numFmtId="0" fontId="79" fillId="35" borderId="0" applyNumberFormat="0" applyBorder="0" applyAlignment="0" applyProtection="0"/>
    <xf numFmtId="0" fontId="79" fillId="35" borderId="0" applyNumberFormat="0" applyBorder="0" applyAlignment="0" applyProtection="0"/>
    <xf numFmtId="0" fontId="79" fillId="35" borderId="0" applyNumberFormat="0" applyBorder="0" applyAlignment="0" applyProtection="0"/>
    <xf numFmtId="0" fontId="79" fillId="35" borderId="0" applyNumberFormat="0" applyBorder="0" applyAlignment="0" applyProtection="0"/>
    <xf numFmtId="0" fontId="107" fillId="35" borderId="0" applyNumberFormat="0" applyBorder="0" applyAlignment="0" applyProtection="0"/>
    <xf numFmtId="0" fontId="107" fillId="35" borderId="0" applyNumberFormat="0" applyBorder="0" applyAlignment="0" applyProtection="0"/>
    <xf numFmtId="0" fontId="107" fillId="35" borderId="0" applyNumberFormat="0" applyBorder="0" applyAlignment="0" applyProtection="0"/>
    <xf numFmtId="0" fontId="107" fillId="35" borderId="0" applyNumberFormat="0" applyBorder="0" applyAlignment="0" applyProtection="0"/>
    <xf numFmtId="0" fontId="107" fillId="35" borderId="0" applyNumberFormat="0" applyBorder="0" applyAlignment="0" applyProtection="0"/>
    <xf numFmtId="0" fontId="79" fillId="35" borderId="0" applyNumberFormat="0" applyBorder="0" applyAlignment="0" applyProtection="0"/>
    <xf numFmtId="0" fontId="79" fillId="35" borderId="0" applyNumberFormat="0" applyBorder="0" applyAlignment="0" applyProtection="0"/>
    <xf numFmtId="0" fontId="107" fillId="3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07" fillId="46" borderId="0" applyNumberFormat="0" applyBorder="0" applyAlignment="0" applyProtection="0"/>
    <xf numFmtId="0" fontId="107" fillId="36" borderId="0" applyNumberFormat="0" applyBorder="0" applyAlignment="0" applyProtection="0"/>
    <xf numFmtId="0" fontId="107" fillId="36" borderId="0" applyNumberFormat="0" applyBorder="0" applyAlignment="0" applyProtection="0"/>
    <xf numFmtId="0" fontId="107" fillId="36" borderId="0" applyNumberFormat="0" applyBorder="0" applyAlignment="0" applyProtection="0"/>
    <xf numFmtId="0" fontId="107" fillId="36" borderId="0" applyNumberFormat="0" applyBorder="0" applyAlignment="0" applyProtection="0"/>
    <xf numFmtId="0" fontId="107" fillId="36" borderId="0" applyNumberFormat="0" applyBorder="0" applyAlignment="0" applyProtection="0"/>
    <xf numFmtId="0" fontId="107" fillId="36" borderId="0" applyNumberFormat="0" applyBorder="0" applyAlignment="0" applyProtection="0"/>
    <xf numFmtId="0" fontId="107" fillId="36" borderId="0" applyNumberFormat="0" applyBorder="0" applyAlignment="0" applyProtection="0"/>
    <xf numFmtId="0" fontId="107" fillId="36" borderId="0" applyNumberFormat="0" applyBorder="0" applyAlignment="0" applyProtection="0"/>
    <xf numFmtId="0" fontId="79" fillId="36" borderId="0" applyNumberFormat="0" applyBorder="0" applyAlignment="0" applyProtection="0"/>
    <xf numFmtId="0" fontId="79" fillId="36" borderId="0" applyNumberFormat="0" applyBorder="0" applyAlignment="0" applyProtection="0"/>
    <xf numFmtId="0" fontId="79" fillId="36" borderId="0" applyNumberFormat="0" applyBorder="0" applyAlignment="0" applyProtection="0"/>
    <xf numFmtId="0" fontId="79" fillId="36" borderId="0" applyNumberFormat="0" applyBorder="0" applyAlignment="0" applyProtection="0"/>
    <xf numFmtId="0" fontId="79" fillId="36" borderId="0" applyNumberFormat="0" applyBorder="0" applyAlignment="0" applyProtection="0"/>
    <xf numFmtId="0" fontId="79" fillId="36" borderId="0" applyNumberFormat="0" applyBorder="0" applyAlignment="0" applyProtection="0"/>
    <xf numFmtId="0" fontId="79" fillId="36" borderId="0" applyNumberFormat="0" applyBorder="0" applyAlignment="0" applyProtection="0"/>
    <xf numFmtId="0" fontId="79" fillId="36" borderId="0" applyNumberFormat="0" applyBorder="0" applyAlignment="0" applyProtection="0"/>
    <xf numFmtId="0" fontId="79" fillId="36" borderId="0" applyNumberFormat="0" applyBorder="0" applyAlignment="0" applyProtection="0"/>
    <xf numFmtId="0" fontId="79" fillId="36" borderId="0" applyNumberFormat="0" applyBorder="0" applyAlignment="0" applyProtection="0"/>
    <xf numFmtId="0" fontId="79" fillId="36" borderId="0" applyNumberFormat="0" applyBorder="0" applyAlignment="0" applyProtection="0"/>
    <xf numFmtId="0" fontId="79" fillId="36" borderId="0" applyNumberFormat="0" applyBorder="0" applyAlignment="0" applyProtection="0"/>
    <xf numFmtId="0" fontId="79" fillId="36" borderId="0" applyNumberFormat="0" applyBorder="0" applyAlignment="0" applyProtection="0"/>
    <xf numFmtId="0" fontId="79" fillId="36" borderId="0" applyNumberFormat="0" applyBorder="0" applyAlignment="0" applyProtection="0"/>
    <xf numFmtId="0" fontId="79" fillId="36" borderId="0" applyNumberFormat="0" applyBorder="0" applyAlignment="0" applyProtection="0"/>
    <xf numFmtId="0" fontId="107" fillId="36" borderId="0" applyNumberFormat="0" applyBorder="0" applyAlignment="0" applyProtection="0"/>
    <xf numFmtId="0" fontId="107" fillId="36" borderId="0" applyNumberFormat="0" applyBorder="0" applyAlignment="0" applyProtection="0"/>
    <xf numFmtId="0" fontId="107" fillId="36" borderId="0" applyNumberFormat="0" applyBorder="0" applyAlignment="0" applyProtection="0"/>
    <xf numFmtId="0" fontId="107" fillId="36" borderId="0" applyNumberFormat="0" applyBorder="0" applyAlignment="0" applyProtection="0"/>
    <xf numFmtId="0" fontId="107" fillId="36" borderId="0" applyNumberFormat="0" applyBorder="0" applyAlignment="0" applyProtection="0"/>
    <xf numFmtId="0" fontId="79" fillId="36" borderId="0" applyNumberFormat="0" applyBorder="0" applyAlignment="0" applyProtection="0"/>
    <xf numFmtId="0" fontId="79" fillId="36" borderId="0" applyNumberFormat="0" applyBorder="0" applyAlignment="0" applyProtection="0"/>
    <xf numFmtId="0" fontId="107" fillId="36" borderId="0" applyNumberFormat="0" applyBorder="0" applyAlignment="0" applyProtection="0"/>
    <xf numFmtId="0" fontId="17" fillId="43" borderId="0" applyNumberFormat="0" applyBorder="0" applyAlignment="0" applyProtection="0"/>
    <xf numFmtId="0" fontId="17" fillId="43" borderId="0" applyNumberFormat="0" applyBorder="0" applyAlignment="0" applyProtection="0"/>
    <xf numFmtId="0" fontId="17" fillId="43" borderId="0" applyNumberFormat="0" applyBorder="0" applyAlignment="0" applyProtection="0"/>
    <xf numFmtId="0" fontId="17" fillId="43" borderId="0" applyNumberFormat="0" applyBorder="0" applyAlignment="0" applyProtection="0"/>
    <xf numFmtId="0" fontId="17" fillId="43" borderId="0" applyNumberFormat="0" applyBorder="0" applyAlignment="0" applyProtection="0"/>
    <xf numFmtId="0" fontId="17" fillId="46" borderId="0" applyNumberFormat="0" applyBorder="0" applyAlignment="0" applyProtection="0"/>
    <xf numFmtId="0" fontId="17" fillId="46" borderId="0" applyNumberFormat="0" applyBorder="0" applyAlignment="0" applyProtection="0"/>
    <xf numFmtId="0" fontId="17" fillId="46" borderId="0" applyNumberFormat="0" applyBorder="0" applyAlignment="0" applyProtection="0"/>
    <xf numFmtId="0" fontId="17" fillId="46" borderId="0" applyNumberFormat="0" applyBorder="0" applyAlignment="0" applyProtection="0"/>
    <xf numFmtId="0" fontId="17" fillId="46" borderId="0" applyNumberFormat="0" applyBorder="0" applyAlignment="0" applyProtection="0"/>
    <xf numFmtId="0" fontId="107" fillId="46" borderId="0" applyNumberFormat="0" applyBorder="0" applyAlignment="0" applyProtection="0"/>
    <xf numFmtId="0" fontId="107" fillId="31" borderId="0" applyNumberFormat="0" applyBorder="0" applyAlignment="0" applyProtection="0"/>
    <xf numFmtId="0" fontId="107" fillId="31" borderId="0" applyNumberFormat="0" applyBorder="0" applyAlignment="0" applyProtection="0"/>
    <xf numFmtId="0" fontId="107" fillId="31" borderId="0" applyNumberFormat="0" applyBorder="0" applyAlignment="0" applyProtection="0"/>
    <xf numFmtId="0" fontId="107" fillId="31" borderId="0" applyNumberFormat="0" applyBorder="0" applyAlignment="0" applyProtection="0"/>
    <xf numFmtId="0" fontId="107" fillId="31" borderId="0" applyNumberFormat="0" applyBorder="0" applyAlignment="0" applyProtection="0"/>
    <xf numFmtId="0" fontId="107" fillId="31" borderId="0" applyNumberFormat="0" applyBorder="0" applyAlignment="0" applyProtection="0"/>
    <xf numFmtId="0" fontId="107" fillId="31" borderId="0" applyNumberFormat="0" applyBorder="0" applyAlignment="0" applyProtection="0"/>
    <xf numFmtId="0" fontId="107" fillId="31" borderId="0" applyNumberFormat="0" applyBorder="0" applyAlignment="0" applyProtection="0"/>
    <xf numFmtId="0" fontId="79" fillId="31" borderId="0" applyNumberFormat="0" applyBorder="0" applyAlignment="0" applyProtection="0"/>
    <xf numFmtId="0" fontId="79" fillId="31" borderId="0" applyNumberFormat="0" applyBorder="0" applyAlignment="0" applyProtection="0"/>
    <xf numFmtId="0" fontId="79" fillId="31" borderId="0" applyNumberFormat="0" applyBorder="0" applyAlignment="0" applyProtection="0"/>
    <xf numFmtId="0" fontId="79" fillId="31" borderId="0" applyNumberFormat="0" applyBorder="0" applyAlignment="0" applyProtection="0"/>
    <xf numFmtId="0" fontId="79" fillId="31" borderId="0" applyNumberFormat="0" applyBorder="0" applyAlignment="0" applyProtection="0"/>
    <xf numFmtId="0" fontId="79" fillId="31" borderId="0" applyNumberFormat="0" applyBorder="0" applyAlignment="0" applyProtection="0"/>
    <xf numFmtId="0" fontId="79" fillId="31" borderId="0" applyNumberFormat="0" applyBorder="0" applyAlignment="0" applyProtection="0"/>
    <xf numFmtId="0" fontId="79" fillId="31" borderId="0" applyNumberFormat="0" applyBorder="0" applyAlignment="0" applyProtection="0"/>
    <xf numFmtId="0" fontId="79" fillId="31" borderId="0" applyNumberFormat="0" applyBorder="0" applyAlignment="0" applyProtection="0"/>
    <xf numFmtId="0" fontId="79" fillId="31" borderId="0" applyNumberFormat="0" applyBorder="0" applyAlignment="0" applyProtection="0"/>
    <xf numFmtId="0" fontId="79" fillId="31" borderId="0" applyNumberFormat="0" applyBorder="0" applyAlignment="0" applyProtection="0"/>
    <xf numFmtId="0" fontId="79" fillId="31" borderId="0" applyNumberFormat="0" applyBorder="0" applyAlignment="0" applyProtection="0"/>
    <xf numFmtId="0" fontId="79" fillId="31" borderId="0" applyNumberFormat="0" applyBorder="0" applyAlignment="0" applyProtection="0"/>
    <xf numFmtId="0" fontId="79" fillId="31" borderId="0" applyNumberFormat="0" applyBorder="0" applyAlignment="0" applyProtection="0"/>
    <xf numFmtId="0" fontId="79" fillId="31" borderId="0" applyNumberFormat="0" applyBorder="0" applyAlignment="0" applyProtection="0"/>
    <xf numFmtId="0" fontId="107" fillId="31" borderId="0" applyNumberFormat="0" applyBorder="0" applyAlignment="0" applyProtection="0"/>
    <xf numFmtId="0" fontId="107" fillId="31" borderId="0" applyNumberFormat="0" applyBorder="0" applyAlignment="0" applyProtection="0"/>
    <xf numFmtId="0" fontId="107" fillId="31" borderId="0" applyNumberFormat="0" applyBorder="0" applyAlignment="0" applyProtection="0"/>
    <xf numFmtId="0" fontId="107" fillId="31" borderId="0" applyNumberFormat="0" applyBorder="0" applyAlignment="0" applyProtection="0"/>
    <xf numFmtId="0" fontId="107" fillId="31" borderId="0" applyNumberFormat="0" applyBorder="0" applyAlignment="0" applyProtection="0"/>
    <xf numFmtId="0" fontId="79" fillId="31" borderId="0" applyNumberFormat="0" applyBorder="0" applyAlignment="0" applyProtection="0"/>
    <xf numFmtId="0" fontId="79" fillId="31" borderId="0" applyNumberFormat="0" applyBorder="0" applyAlignment="0" applyProtection="0"/>
    <xf numFmtId="0" fontId="107" fillId="49"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43" borderId="0" applyNumberFormat="0" applyBorder="0" applyAlignment="0" applyProtection="0"/>
    <xf numFmtId="0" fontId="17" fillId="43" borderId="0" applyNumberFormat="0" applyBorder="0" applyAlignment="0" applyProtection="0"/>
    <xf numFmtId="0" fontId="17" fillId="43" borderId="0" applyNumberFormat="0" applyBorder="0" applyAlignment="0" applyProtection="0"/>
    <xf numFmtId="0" fontId="17" fillId="43" borderId="0" applyNumberFormat="0" applyBorder="0" applyAlignment="0" applyProtection="0"/>
    <xf numFmtId="0" fontId="17" fillId="43" borderId="0" applyNumberFormat="0" applyBorder="0" applyAlignment="0" applyProtection="0"/>
    <xf numFmtId="0" fontId="107" fillId="44" borderId="0" applyNumberFormat="0" applyBorder="0" applyAlignment="0" applyProtection="0"/>
    <xf numFmtId="0" fontId="107" fillId="32" borderId="0" applyNumberFormat="0" applyBorder="0" applyAlignment="0" applyProtection="0"/>
    <xf numFmtId="0" fontId="107" fillId="32" borderId="0" applyNumberFormat="0" applyBorder="0" applyAlignment="0" applyProtection="0"/>
    <xf numFmtId="0" fontId="107" fillId="32" borderId="0" applyNumberFormat="0" applyBorder="0" applyAlignment="0" applyProtection="0"/>
    <xf numFmtId="0" fontId="107" fillId="32" borderId="0" applyNumberFormat="0" applyBorder="0" applyAlignment="0" applyProtection="0"/>
    <xf numFmtId="0" fontId="107" fillId="32" borderId="0" applyNumberFormat="0" applyBorder="0" applyAlignment="0" applyProtection="0"/>
    <xf numFmtId="0" fontId="107" fillId="32" borderId="0" applyNumberFormat="0" applyBorder="0" applyAlignment="0" applyProtection="0"/>
    <xf numFmtId="0" fontId="107" fillId="32" borderId="0" applyNumberFormat="0" applyBorder="0" applyAlignment="0" applyProtection="0"/>
    <xf numFmtId="0" fontId="107"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107" fillId="32" borderId="0" applyNumberFormat="0" applyBorder="0" applyAlignment="0" applyProtection="0"/>
    <xf numFmtId="0" fontId="107" fillId="32" borderId="0" applyNumberFormat="0" applyBorder="0" applyAlignment="0" applyProtection="0"/>
    <xf numFmtId="0" fontId="107" fillId="32" borderId="0" applyNumberFormat="0" applyBorder="0" applyAlignment="0" applyProtection="0"/>
    <xf numFmtId="0" fontId="107" fillId="32" borderId="0" applyNumberFormat="0" applyBorder="0" applyAlignment="0" applyProtection="0"/>
    <xf numFmtId="0" fontId="107"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107" fillId="32"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07" fillId="51" borderId="0" applyNumberFormat="0" applyBorder="0" applyAlignment="0" applyProtection="0"/>
    <xf numFmtId="0" fontId="107" fillId="37" borderId="0" applyNumberFormat="0" applyBorder="0" applyAlignment="0" applyProtection="0"/>
    <xf numFmtId="0" fontId="107" fillId="37" borderId="0" applyNumberFormat="0" applyBorder="0" applyAlignment="0" applyProtection="0"/>
    <xf numFmtId="0" fontId="107" fillId="37" borderId="0" applyNumberFormat="0" applyBorder="0" applyAlignment="0" applyProtection="0"/>
    <xf numFmtId="0" fontId="107" fillId="37" borderId="0" applyNumberFormat="0" applyBorder="0" applyAlignment="0" applyProtection="0"/>
    <xf numFmtId="0" fontId="107" fillId="37" borderId="0" applyNumberFormat="0" applyBorder="0" applyAlignment="0" applyProtection="0"/>
    <xf numFmtId="0" fontId="107" fillId="37" borderId="0" applyNumberFormat="0" applyBorder="0" applyAlignment="0" applyProtection="0"/>
    <xf numFmtId="0" fontId="107" fillId="37" borderId="0" applyNumberFormat="0" applyBorder="0" applyAlignment="0" applyProtection="0"/>
    <xf numFmtId="0" fontId="107" fillId="37" borderId="0" applyNumberFormat="0" applyBorder="0" applyAlignment="0" applyProtection="0"/>
    <xf numFmtId="0" fontId="79" fillId="37" borderId="0" applyNumberFormat="0" applyBorder="0" applyAlignment="0" applyProtection="0"/>
    <xf numFmtId="0" fontId="79" fillId="37" borderId="0" applyNumberFormat="0" applyBorder="0" applyAlignment="0" applyProtection="0"/>
    <xf numFmtId="0" fontId="79" fillId="37" borderId="0" applyNumberFormat="0" applyBorder="0" applyAlignment="0" applyProtection="0"/>
    <xf numFmtId="0" fontId="79" fillId="37" borderId="0" applyNumberFormat="0" applyBorder="0" applyAlignment="0" applyProtection="0"/>
    <xf numFmtId="0" fontId="79" fillId="37" borderId="0" applyNumberFormat="0" applyBorder="0" applyAlignment="0" applyProtection="0"/>
    <xf numFmtId="0" fontId="79" fillId="37" borderId="0" applyNumberFormat="0" applyBorder="0" applyAlignment="0" applyProtection="0"/>
    <xf numFmtId="0" fontId="79" fillId="37" borderId="0" applyNumberFormat="0" applyBorder="0" applyAlignment="0" applyProtection="0"/>
    <xf numFmtId="0" fontId="79" fillId="37" borderId="0" applyNumberFormat="0" applyBorder="0" applyAlignment="0" applyProtection="0"/>
    <xf numFmtId="0" fontId="79" fillId="37" borderId="0" applyNumberFormat="0" applyBorder="0" applyAlignment="0" applyProtection="0"/>
    <xf numFmtId="0" fontId="79" fillId="37" borderId="0" applyNumberFormat="0" applyBorder="0" applyAlignment="0" applyProtection="0"/>
    <xf numFmtId="0" fontId="79" fillId="37" borderId="0" applyNumberFormat="0" applyBorder="0" applyAlignment="0" applyProtection="0"/>
    <xf numFmtId="0" fontId="79" fillId="37" borderId="0" applyNumberFormat="0" applyBorder="0" applyAlignment="0" applyProtection="0"/>
    <xf numFmtId="0" fontId="79" fillId="37" borderId="0" applyNumberFormat="0" applyBorder="0" applyAlignment="0" applyProtection="0"/>
    <xf numFmtId="0" fontId="79" fillId="37" borderId="0" applyNumberFormat="0" applyBorder="0" applyAlignment="0" applyProtection="0"/>
    <xf numFmtId="0" fontId="79" fillId="37" borderId="0" applyNumberFormat="0" applyBorder="0" applyAlignment="0" applyProtection="0"/>
    <xf numFmtId="0" fontId="107" fillId="37" borderId="0" applyNumberFormat="0" applyBorder="0" applyAlignment="0" applyProtection="0"/>
    <xf numFmtId="0" fontId="107" fillId="37" borderId="0" applyNumberFormat="0" applyBorder="0" applyAlignment="0" applyProtection="0"/>
    <xf numFmtId="0" fontId="107" fillId="37" borderId="0" applyNumberFormat="0" applyBorder="0" applyAlignment="0" applyProtection="0"/>
    <xf numFmtId="0" fontId="107" fillId="37" borderId="0" applyNumberFormat="0" applyBorder="0" applyAlignment="0" applyProtection="0"/>
    <xf numFmtId="0" fontId="107" fillId="37" borderId="0" applyNumberFormat="0" applyBorder="0" applyAlignment="0" applyProtection="0"/>
    <xf numFmtId="0" fontId="79" fillId="37" borderId="0" applyNumberFormat="0" applyBorder="0" applyAlignment="0" applyProtection="0"/>
    <xf numFmtId="0" fontId="79" fillId="37" borderId="0" applyNumberFormat="0" applyBorder="0" applyAlignment="0" applyProtection="0"/>
    <xf numFmtId="0" fontId="107" fillId="37" borderId="0" applyNumberFormat="0" applyBorder="0" applyAlignment="0" applyProtection="0"/>
    <xf numFmtId="182" fontId="108" fillId="0" borderId="0" applyFont="0" applyFill="0" applyBorder="0" applyAlignment="0" applyProtection="0"/>
    <xf numFmtId="0" fontId="108" fillId="0" borderId="0" applyFont="0" applyFill="0" applyBorder="0" applyAlignment="0" applyProtection="0"/>
    <xf numFmtId="0" fontId="106" fillId="0" borderId="0"/>
    <xf numFmtId="0" fontId="106" fillId="0" borderId="0"/>
    <xf numFmtId="0" fontId="6" fillId="0" borderId="0" applyFill="0" applyBorder="0">
      <alignment vertical="center"/>
    </xf>
    <xf numFmtId="0" fontId="6" fillId="0" borderId="0" applyFill="0" applyBorder="0">
      <alignment vertical="center"/>
    </xf>
    <xf numFmtId="0" fontId="6" fillId="0" borderId="0" applyFill="0" applyBorder="0">
      <alignment vertical="center"/>
    </xf>
    <xf numFmtId="0" fontId="6" fillId="0" borderId="0" applyFill="0" applyBorder="0">
      <alignment vertical="center"/>
    </xf>
    <xf numFmtId="0" fontId="6" fillId="0" borderId="0" applyFill="0" applyBorder="0">
      <alignment vertical="center"/>
    </xf>
    <xf numFmtId="0" fontId="6" fillId="0" borderId="0" applyFill="0" applyBorder="0">
      <alignment vertical="center"/>
    </xf>
    <xf numFmtId="0" fontId="6" fillId="0" borderId="0" applyFill="0" applyBorder="0">
      <alignment vertical="center"/>
    </xf>
    <xf numFmtId="0" fontId="6" fillId="0" borderId="0" applyFill="0" applyBorder="0">
      <alignment vertical="center"/>
    </xf>
    <xf numFmtId="171" fontId="99" fillId="0" borderId="0" applyFont="0" applyFill="0" applyBorder="0" applyAlignment="0" applyProtection="0"/>
    <xf numFmtId="0" fontId="108" fillId="0" borderId="0" applyFont="0" applyFill="0" applyBorder="0" applyAlignment="0" applyProtection="0"/>
    <xf numFmtId="171" fontId="99" fillId="0" borderId="12">
      <protection locked="0"/>
    </xf>
    <xf numFmtId="0" fontId="109" fillId="21" borderId="0" applyNumberFormat="0" applyBorder="0" applyAlignment="0" applyProtection="0"/>
    <xf numFmtId="0" fontId="109" fillId="21" borderId="0" applyNumberFormat="0" applyBorder="0" applyAlignment="0" applyProtection="0"/>
    <xf numFmtId="0" fontId="109" fillId="21" borderId="0" applyNumberFormat="0" applyBorder="0" applyAlignment="0" applyProtection="0"/>
    <xf numFmtId="0" fontId="109" fillId="21" borderId="0" applyNumberFormat="0" applyBorder="0" applyAlignment="0" applyProtection="0"/>
    <xf numFmtId="0" fontId="109" fillId="21" borderId="0" applyNumberFormat="0" applyBorder="0" applyAlignment="0" applyProtection="0"/>
    <xf numFmtId="0" fontId="109" fillId="21" borderId="0" applyNumberFormat="0" applyBorder="0" applyAlignment="0" applyProtection="0"/>
    <xf numFmtId="0" fontId="109" fillId="21" borderId="0" applyNumberFormat="0" applyBorder="0" applyAlignment="0" applyProtection="0"/>
    <xf numFmtId="0" fontId="109" fillId="21" borderId="0" applyNumberFormat="0" applyBorder="0" applyAlignment="0" applyProtection="0"/>
    <xf numFmtId="0" fontId="80" fillId="21" borderId="0" applyNumberFormat="0" applyBorder="0" applyAlignment="0" applyProtection="0"/>
    <xf numFmtId="0" fontId="80" fillId="21" borderId="0" applyNumberFormat="0" applyBorder="0" applyAlignment="0" applyProtection="0"/>
    <xf numFmtId="0" fontId="80" fillId="21" borderId="0" applyNumberFormat="0" applyBorder="0" applyAlignment="0" applyProtection="0"/>
    <xf numFmtId="0" fontId="80" fillId="21" borderId="0" applyNumberFormat="0" applyBorder="0" applyAlignment="0" applyProtection="0"/>
    <xf numFmtId="0" fontId="80" fillId="21" borderId="0" applyNumberFormat="0" applyBorder="0" applyAlignment="0" applyProtection="0"/>
    <xf numFmtId="0" fontId="80" fillId="21" borderId="0" applyNumberFormat="0" applyBorder="0" applyAlignment="0" applyProtection="0"/>
    <xf numFmtId="0" fontId="80" fillId="21" borderId="0" applyNumberFormat="0" applyBorder="0" applyAlignment="0" applyProtection="0"/>
    <xf numFmtId="0" fontId="80" fillId="21" borderId="0" applyNumberFormat="0" applyBorder="0" applyAlignment="0" applyProtection="0"/>
    <xf numFmtId="0" fontId="80" fillId="21" borderId="0" applyNumberFormat="0" applyBorder="0" applyAlignment="0" applyProtection="0"/>
    <xf numFmtId="0" fontId="80" fillId="21" borderId="0" applyNumberFormat="0" applyBorder="0" applyAlignment="0" applyProtection="0"/>
    <xf numFmtId="0" fontId="80" fillId="21" borderId="0" applyNumberFormat="0" applyBorder="0" applyAlignment="0" applyProtection="0"/>
    <xf numFmtId="0" fontId="80" fillId="21" borderId="0" applyNumberFormat="0" applyBorder="0" applyAlignment="0" applyProtection="0"/>
    <xf numFmtId="0" fontId="80" fillId="21" borderId="0" applyNumberFormat="0" applyBorder="0" applyAlignment="0" applyProtection="0"/>
    <xf numFmtId="0" fontId="80" fillId="21" borderId="0" applyNumberFormat="0" applyBorder="0" applyAlignment="0" applyProtection="0"/>
    <xf numFmtId="0" fontId="80" fillId="21" borderId="0" applyNumberFormat="0" applyBorder="0" applyAlignment="0" applyProtection="0"/>
    <xf numFmtId="0" fontId="109" fillId="21" borderId="0" applyNumberFormat="0" applyBorder="0" applyAlignment="0" applyProtection="0"/>
    <xf numFmtId="0" fontId="109" fillId="21" borderId="0" applyNumberFormat="0" applyBorder="0" applyAlignment="0" applyProtection="0"/>
    <xf numFmtId="0" fontId="109" fillId="21" borderId="0" applyNumberFormat="0" applyBorder="0" applyAlignment="0" applyProtection="0"/>
    <xf numFmtId="0" fontId="109" fillId="21" borderId="0" applyNumberFormat="0" applyBorder="0" applyAlignment="0" applyProtection="0"/>
    <xf numFmtId="0" fontId="109" fillId="21" borderId="0" applyNumberFormat="0" applyBorder="0" applyAlignment="0" applyProtection="0"/>
    <xf numFmtId="0" fontId="80" fillId="21" borderId="0" applyNumberFormat="0" applyBorder="0" applyAlignment="0" applyProtection="0"/>
    <xf numFmtId="0" fontId="80" fillId="21" borderId="0" applyNumberFormat="0" applyBorder="0" applyAlignment="0" applyProtection="0"/>
    <xf numFmtId="0" fontId="109" fillId="21" borderId="0" applyNumberFormat="0" applyBorder="0" applyAlignment="0" applyProtection="0"/>
    <xf numFmtId="0" fontId="110" fillId="0" borderId="0" applyNumberFormat="0" applyFill="0" applyBorder="0" applyAlignment="0" applyProtection="0"/>
    <xf numFmtId="0" fontId="111" fillId="0" borderId="0"/>
    <xf numFmtId="183" fontId="112" fillId="0" borderId="0" applyFill="0" applyBorder="0" applyAlignment="0"/>
    <xf numFmtId="0" fontId="81" fillId="38" borderId="35" applyNumberFormat="0" applyAlignment="0" applyProtection="0"/>
    <xf numFmtId="0" fontId="113" fillId="38" borderId="35" applyNumberFormat="0" applyAlignment="0" applyProtection="0"/>
    <xf numFmtId="0" fontId="113" fillId="38" borderId="35" applyNumberFormat="0" applyAlignment="0" applyProtection="0"/>
    <xf numFmtId="0" fontId="113" fillId="38" borderId="35" applyNumberFormat="0" applyAlignment="0" applyProtection="0"/>
    <xf numFmtId="0" fontId="81" fillId="38" borderId="35" applyNumberFormat="0" applyAlignment="0" applyProtection="0"/>
    <xf numFmtId="0" fontId="81" fillId="38" borderId="35" applyNumberFormat="0" applyAlignment="0" applyProtection="0"/>
    <xf numFmtId="0" fontId="81" fillId="38" borderId="35" applyNumberFormat="0" applyAlignment="0" applyProtection="0"/>
    <xf numFmtId="0" fontId="113" fillId="38" borderId="35" applyNumberFormat="0" applyAlignment="0" applyProtection="0"/>
    <xf numFmtId="0" fontId="113" fillId="38" borderId="35" applyNumberFormat="0" applyAlignment="0" applyProtection="0"/>
    <xf numFmtId="0" fontId="113" fillId="38" borderId="35" applyNumberFormat="0" applyAlignment="0" applyProtection="0"/>
    <xf numFmtId="0" fontId="113" fillId="38" borderId="35" applyNumberFormat="0" applyAlignment="0" applyProtection="0"/>
    <xf numFmtId="0" fontId="113" fillId="38" borderId="35" applyNumberFormat="0" applyAlignment="0" applyProtection="0"/>
    <xf numFmtId="0" fontId="113" fillId="38" borderId="35" applyNumberFormat="0" applyAlignment="0" applyProtection="0"/>
    <xf numFmtId="0" fontId="113" fillId="38" borderId="35" applyNumberFormat="0" applyAlignment="0" applyProtection="0"/>
    <xf numFmtId="0" fontId="113" fillId="38" borderId="35" applyNumberFormat="0" applyAlignment="0" applyProtection="0"/>
    <xf numFmtId="0" fontId="113" fillId="38" borderId="35" applyNumberFormat="0" applyAlignment="0" applyProtection="0"/>
    <xf numFmtId="0" fontId="113" fillId="38" borderId="35" applyNumberFormat="0" applyAlignment="0" applyProtection="0"/>
    <xf numFmtId="0" fontId="113" fillId="38" borderId="35" applyNumberFormat="0" applyAlignment="0" applyProtection="0"/>
    <xf numFmtId="0" fontId="113" fillId="38" borderId="35" applyNumberFormat="0" applyAlignment="0" applyProtection="0"/>
    <xf numFmtId="0" fontId="113" fillId="38" borderId="35" applyNumberFormat="0" applyAlignment="0" applyProtection="0"/>
    <xf numFmtId="0" fontId="113" fillId="38" borderId="35" applyNumberFormat="0" applyAlignment="0" applyProtection="0"/>
    <xf numFmtId="0" fontId="81" fillId="38" borderId="35" applyNumberFormat="0" applyAlignment="0" applyProtection="0"/>
    <xf numFmtId="0" fontId="113" fillId="38" borderId="35" applyNumberFormat="0" applyAlignment="0" applyProtection="0"/>
    <xf numFmtId="0" fontId="113" fillId="38" borderId="35" applyNumberFormat="0" applyAlignment="0" applyProtection="0"/>
    <xf numFmtId="0" fontId="113" fillId="38" borderId="35" applyNumberFormat="0" applyAlignment="0" applyProtection="0"/>
    <xf numFmtId="0" fontId="113" fillId="38" borderId="35" applyNumberFormat="0" applyAlignment="0" applyProtection="0"/>
    <xf numFmtId="0" fontId="113" fillId="38" borderId="35" applyNumberFormat="0" applyAlignment="0" applyProtection="0"/>
    <xf numFmtId="0" fontId="113" fillId="38" borderId="35" applyNumberFormat="0" applyAlignment="0" applyProtection="0"/>
    <xf numFmtId="0" fontId="113" fillId="38" borderId="35" applyNumberFormat="0" applyAlignment="0" applyProtection="0"/>
    <xf numFmtId="0" fontId="113" fillId="38" borderId="35" applyNumberFormat="0" applyAlignment="0" applyProtection="0"/>
    <xf numFmtId="0" fontId="113" fillId="38" borderId="35" applyNumberFormat="0" applyAlignment="0" applyProtection="0"/>
    <xf numFmtId="0" fontId="113" fillId="38" borderId="35" applyNumberFormat="0" applyAlignment="0" applyProtection="0"/>
    <xf numFmtId="0" fontId="113" fillId="38" borderId="35" applyNumberFormat="0" applyAlignment="0" applyProtection="0"/>
    <xf numFmtId="0" fontId="113" fillId="38" borderId="35" applyNumberFormat="0" applyAlignment="0" applyProtection="0"/>
    <xf numFmtId="0" fontId="113" fillId="38" borderId="35" applyNumberFormat="0" applyAlignment="0" applyProtection="0"/>
    <xf numFmtId="0" fontId="113" fillId="38" borderId="35" applyNumberFormat="0" applyAlignment="0" applyProtection="0"/>
    <xf numFmtId="0" fontId="81" fillId="38" borderId="35" applyNumberFormat="0" applyAlignment="0" applyProtection="0"/>
    <xf numFmtId="0" fontId="81" fillId="38" borderId="35" applyNumberFormat="0" applyAlignment="0" applyProtection="0"/>
    <xf numFmtId="0" fontId="113" fillId="38" borderId="35" applyNumberFormat="0" applyAlignment="0" applyProtection="0"/>
    <xf numFmtId="0" fontId="114" fillId="0" borderId="0"/>
    <xf numFmtId="0" fontId="115" fillId="39" borderId="36" applyNumberFormat="0" applyAlignment="0" applyProtection="0"/>
    <xf numFmtId="0" fontId="115" fillId="39" borderId="36" applyNumberFormat="0" applyAlignment="0" applyProtection="0"/>
    <xf numFmtId="0" fontId="115" fillId="39" borderId="36" applyNumberFormat="0" applyAlignment="0" applyProtection="0"/>
    <xf numFmtId="0" fontId="115" fillId="39" borderId="36" applyNumberFormat="0" applyAlignment="0" applyProtection="0"/>
    <xf numFmtId="0" fontId="115" fillId="39" borderId="36" applyNumberFormat="0" applyAlignment="0" applyProtection="0"/>
    <xf numFmtId="0" fontId="115" fillId="39" borderId="36" applyNumberFormat="0" applyAlignment="0" applyProtection="0"/>
    <xf numFmtId="0" fontId="115" fillId="39" borderId="36" applyNumberFormat="0" applyAlignment="0" applyProtection="0"/>
    <xf numFmtId="0" fontId="115" fillId="39" borderId="36" applyNumberFormat="0" applyAlignment="0" applyProtection="0"/>
    <xf numFmtId="0" fontId="82" fillId="39" borderId="36" applyNumberFormat="0" applyAlignment="0" applyProtection="0"/>
    <xf numFmtId="0" fontId="82" fillId="39" borderId="36" applyNumberFormat="0" applyAlignment="0" applyProtection="0"/>
    <xf numFmtId="0" fontId="82" fillId="39" borderId="36" applyNumberFormat="0" applyAlignment="0" applyProtection="0"/>
    <xf numFmtId="0" fontId="82" fillId="39" borderId="36" applyNumberFormat="0" applyAlignment="0" applyProtection="0"/>
    <xf numFmtId="0" fontId="82" fillId="39" borderId="36" applyNumberFormat="0" applyAlignment="0" applyProtection="0"/>
    <xf numFmtId="0" fontId="82" fillId="39" borderId="36" applyNumberFormat="0" applyAlignment="0" applyProtection="0"/>
    <xf numFmtId="0" fontId="82" fillId="39" borderId="36" applyNumberFormat="0" applyAlignment="0" applyProtection="0"/>
    <xf numFmtId="0" fontId="82" fillId="39" borderId="36" applyNumberFormat="0" applyAlignment="0" applyProtection="0"/>
    <xf numFmtId="0" fontId="82" fillId="39" borderId="36" applyNumberFormat="0" applyAlignment="0" applyProtection="0"/>
    <xf numFmtId="0" fontId="82" fillId="39" borderId="36" applyNumberFormat="0" applyAlignment="0" applyProtection="0"/>
    <xf numFmtId="0" fontId="82" fillId="39" borderId="36" applyNumberFormat="0" applyAlignment="0" applyProtection="0"/>
    <xf numFmtId="0" fontId="82" fillId="39" borderId="36" applyNumberFormat="0" applyAlignment="0" applyProtection="0"/>
    <xf numFmtId="0" fontId="82" fillId="39" borderId="36" applyNumberFormat="0" applyAlignment="0" applyProtection="0"/>
    <xf numFmtId="0" fontId="82" fillId="39" borderId="36" applyNumberFormat="0" applyAlignment="0" applyProtection="0"/>
    <xf numFmtId="0" fontId="82" fillId="39" borderId="36" applyNumberFormat="0" applyAlignment="0" applyProtection="0"/>
    <xf numFmtId="0" fontId="115" fillId="39" borderId="36" applyNumberFormat="0" applyAlignment="0" applyProtection="0"/>
    <xf numFmtId="0" fontId="115" fillId="39" borderId="36" applyNumberFormat="0" applyAlignment="0" applyProtection="0"/>
    <xf numFmtId="0" fontId="115" fillId="39" borderId="36" applyNumberFormat="0" applyAlignment="0" applyProtection="0"/>
    <xf numFmtId="0" fontId="115" fillId="39" borderId="36" applyNumberFormat="0" applyAlignment="0" applyProtection="0"/>
    <xf numFmtId="0" fontId="115" fillId="39" borderId="36" applyNumberFormat="0" applyAlignment="0" applyProtection="0"/>
    <xf numFmtId="0" fontId="82" fillId="39" borderId="36" applyNumberFormat="0" applyAlignment="0" applyProtection="0"/>
    <xf numFmtId="0" fontId="82" fillId="39" borderId="36" applyNumberFormat="0" applyAlignment="0" applyProtection="0"/>
    <xf numFmtId="0" fontId="115" fillId="39" borderId="36" applyNumberFormat="0" applyAlignment="0" applyProtection="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43" fontId="6" fillId="0" borderId="0" applyFont="0" applyFill="0" applyBorder="0" applyAlignment="0" applyProtection="0"/>
    <xf numFmtId="183" fontId="17" fillId="0" borderId="0" applyFont="0" applyFill="0" applyBorder="0" applyAlignment="0" applyProtection="0"/>
    <xf numFmtId="183" fontId="17" fillId="0" borderId="0" applyFont="0" applyFill="0" applyBorder="0" applyAlignment="0" applyProtection="0"/>
    <xf numFmtId="183" fontId="17" fillId="0" borderId="0" applyFont="0" applyFill="0" applyBorder="0" applyAlignment="0" applyProtection="0"/>
    <xf numFmtId="183" fontId="17" fillId="0" borderId="0" applyFont="0" applyFill="0" applyBorder="0" applyAlignment="0" applyProtection="0"/>
    <xf numFmtId="183" fontId="17" fillId="0" borderId="0" applyFont="0" applyFill="0" applyBorder="0" applyAlignment="0" applyProtection="0"/>
    <xf numFmtId="166" fontId="116" fillId="0" borderId="0" applyFont="0" applyFill="0" applyBorder="0" applyAlignment="0" applyProtection="0"/>
    <xf numFmtId="166" fontId="116" fillId="0" borderId="0" applyFont="0" applyFill="0" applyBorder="0" applyAlignment="0" applyProtection="0"/>
    <xf numFmtId="166" fontId="11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83" fontId="17" fillId="0" borderId="0" applyFont="0" applyFill="0" applyBorder="0" applyAlignment="0" applyProtection="0"/>
    <xf numFmtId="183" fontId="17" fillId="0" borderId="0" applyFont="0" applyFill="0" applyBorder="0" applyAlignment="0" applyProtection="0"/>
    <xf numFmtId="183" fontId="17"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166" fontId="11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8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83" fontId="17" fillId="0" borderId="0" applyFont="0" applyFill="0" applyBorder="0" applyAlignment="0" applyProtection="0"/>
    <xf numFmtId="183" fontId="17" fillId="0" borderId="0" applyFont="0" applyFill="0" applyBorder="0" applyAlignment="0" applyProtection="0"/>
    <xf numFmtId="43" fontId="6" fillId="0" borderId="0" applyFont="0" applyFill="0" applyBorder="0" applyAlignment="0" applyProtection="0"/>
    <xf numFmtId="166" fontId="11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9" fontId="17" fillId="0" borderId="0" applyFont="0" applyFill="0" applyBorder="0" applyAlignment="0" applyProtection="0"/>
    <xf numFmtId="179" fontId="17" fillId="0" borderId="0" applyFont="0" applyFill="0" applyBorder="0" applyAlignment="0" applyProtection="0"/>
    <xf numFmtId="179" fontId="17" fillId="0" borderId="0" applyFont="0" applyFill="0" applyBorder="0" applyAlignment="0" applyProtection="0"/>
    <xf numFmtId="179" fontId="17" fillId="0" borderId="0" applyFont="0" applyFill="0" applyBorder="0" applyAlignment="0" applyProtection="0"/>
    <xf numFmtId="179" fontId="17" fillId="0" borderId="0" applyFont="0" applyFill="0" applyBorder="0" applyAlignment="0" applyProtection="0"/>
    <xf numFmtId="167" fontId="17" fillId="0" borderId="0" applyFont="0" applyFill="0" applyBorder="0" applyAlignment="0" applyProtection="0"/>
    <xf numFmtId="167" fontId="17" fillId="0" borderId="0" applyFont="0" applyFill="0" applyBorder="0" applyAlignment="0" applyProtection="0"/>
    <xf numFmtId="167" fontId="17" fillId="0" borderId="0" applyFont="0" applyFill="0" applyBorder="0" applyAlignment="0" applyProtection="0"/>
    <xf numFmtId="167" fontId="17" fillId="0" borderId="0" applyFont="0" applyFill="0" applyBorder="0" applyAlignment="0" applyProtection="0"/>
    <xf numFmtId="167"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6" fontId="116"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6" fontId="11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6" fontId="116" fillId="0" borderId="0" applyFont="0" applyFill="0" applyBorder="0" applyAlignment="0" applyProtection="0"/>
    <xf numFmtId="166" fontId="116" fillId="0" borderId="0" applyFont="0" applyFill="0" applyBorder="0" applyAlignment="0" applyProtection="0"/>
    <xf numFmtId="166" fontId="11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6" fontId="11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8" fontId="12" fillId="0" borderId="0" applyFill="0" applyBorder="0" applyAlignment="0" applyProtection="0"/>
    <xf numFmtId="168" fontId="12" fillId="0" borderId="0" applyFill="0" applyBorder="0" applyAlignment="0" applyProtection="0"/>
    <xf numFmtId="168" fontId="12" fillId="0" borderId="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6" fontId="11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6" fontId="116" fillId="0" borderId="0" applyFont="0" applyFill="0" applyBorder="0" applyAlignment="0" applyProtection="0"/>
    <xf numFmtId="166" fontId="116" fillId="0" borderId="0" applyFont="0" applyFill="0" applyBorder="0" applyAlignment="0" applyProtection="0"/>
    <xf numFmtId="166" fontId="11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6" fontId="11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6" fontId="116" fillId="0" borderId="0" applyFont="0" applyFill="0" applyBorder="0" applyAlignment="0" applyProtection="0"/>
    <xf numFmtId="166" fontId="116" fillId="0" borderId="0" applyFont="0" applyFill="0" applyBorder="0" applyAlignment="0" applyProtection="0"/>
    <xf numFmtId="166" fontId="11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6" fontId="11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6" fontId="116" fillId="0" borderId="0" applyFont="0" applyFill="0" applyBorder="0" applyAlignment="0" applyProtection="0"/>
    <xf numFmtId="166" fontId="116" fillId="0" borderId="0" applyFont="0" applyFill="0" applyBorder="0" applyAlignment="0" applyProtection="0"/>
    <xf numFmtId="166" fontId="11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84" fontId="116" fillId="0" borderId="0" applyFont="0" applyFill="0" applyBorder="0" applyAlignment="0" applyProtection="0"/>
    <xf numFmtId="184" fontId="116" fillId="0" borderId="0" applyFont="0" applyFill="0" applyBorder="0" applyAlignment="0" applyProtection="0"/>
    <xf numFmtId="184" fontId="11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83" fontId="6" fillId="0" borderId="0" applyFont="0" applyFill="0" applyBorder="0" applyAlignment="0" applyProtection="0"/>
    <xf numFmtId="18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83" fontId="6" fillId="0" borderId="0" applyFont="0" applyFill="0" applyBorder="0" applyAlignment="0" applyProtection="0"/>
    <xf numFmtId="183" fontId="6" fillId="0" borderId="0" applyFont="0" applyFill="0" applyBorder="0" applyAlignment="0" applyProtection="0"/>
    <xf numFmtId="183" fontId="6" fillId="0" borderId="0" applyFont="0" applyFill="0" applyBorder="0" applyAlignment="0" applyProtection="0"/>
    <xf numFmtId="183" fontId="6" fillId="0" borderId="0" applyFont="0" applyFill="0" applyBorder="0" applyAlignment="0" applyProtection="0"/>
    <xf numFmtId="183" fontId="6" fillId="0" borderId="0" applyFont="0" applyFill="0" applyBorder="0" applyAlignment="0" applyProtection="0"/>
    <xf numFmtId="183" fontId="6" fillId="0" borderId="0" applyFont="0" applyFill="0" applyBorder="0" applyAlignment="0" applyProtection="0"/>
    <xf numFmtId="179" fontId="6" fillId="0" borderId="0" applyFont="0" applyFill="0" applyBorder="0" applyAlignment="0" applyProtection="0"/>
    <xf numFmtId="179" fontId="6" fillId="0" borderId="0" applyFont="0" applyFill="0" applyBorder="0" applyAlignment="0" applyProtection="0"/>
    <xf numFmtId="179" fontId="6" fillId="0" borderId="0" applyFont="0" applyFill="0" applyBorder="0" applyAlignment="0" applyProtection="0"/>
    <xf numFmtId="179" fontId="6" fillId="0" borderId="0" applyFont="0" applyFill="0" applyBorder="0" applyAlignment="0" applyProtection="0"/>
    <xf numFmtId="179" fontId="6" fillId="0" borderId="0" applyFont="0" applyFill="0" applyBorder="0" applyAlignment="0" applyProtection="0"/>
    <xf numFmtId="179" fontId="6" fillId="0" borderId="0" applyFont="0" applyFill="0" applyBorder="0" applyAlignment="0" applyProtection="0"/>
    <xf numFmtId="179" fontId="6" fillId="0" borderId="0" applyFont="0" applyFill="0" applyBorder="0" applyAlignment="0" applyProtection="0"/>
    <xf numFmtId="179" fontId="6" fillId="0" borderId="0" applyFont="0" applyFill="0" applyBorder="0" applyAlignment="0" applyProtection="0"/>
    <xf numFmtId="179" fontId="6" fillId="0" borderId="0" applyFont="0" applyFill="0" applyBorder="0" applyAlignment="0" applyProtection="0"/>
    <xf numFmtId="179" fontId="6" fillId="0" borderId="0" applyFont="0" applyFill="0" applyBorder="0" applyAlignment="0" applyProtection="0"/>
    <xf numFmtId="179" fontId="6" fillId="0" borderId="0" applyFont="0" applyFill="0" applyBorder="0" applyAlignment="0" applyProtection="0"/>
    <xf numFmtId="179" fontId="6" fillId="0" borderId="0" applyFont="0" applyFill="0" applyBorder="0" applyAlignment="0" applyProtection="0"/>
    <xf numFmtId="179" fontId="6" fillId="0" borderId="0" applyFont="0" applyFill="0" applyBorder="0" applyAlignment="0" applyProtection="0"/>
    <xf numFmtId="179" fontId="6" fillId="0" borderId="0" applyFont="0" applyFill="0" applyBorder="0" applyAlignment="0" applyProtection="0"/>
    <xf numFmtId="179" fontId="6" fillId="0" borderId="0" applyFont="0" applyFill="0" applyBorder="0" applyAlignment="0" applyProtection="0"/>
    <xf numFmtId="179"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83" fontId="6" fillId="0" borderId="0" applyFont="0" applyFill="0" applyBorder="0" applyAlignment="0" applyProtection="0"/>
    <xf numFmtId="183" fontId="6" fillId="0" borderId="0" applyFont="0" applyFill="0" applyBorder="0" applyAlignment="0" applyProtection="0"/>
    <xf numFmtId="183" fontId="6" fillId="0" borderId="0" applyFont="0" applyFill="0" applyBorder="0" applyAlignment="0" applyProtection="0"/>
    <xf numFmtId="183" fontId="6" fillId="0" borderId="0" applyFont="0" applyFill="0" applyBorder="0" applyAlignment="0" applyProtection="0"/>
    <xf numFmtId="183" fontId="6" fillId="0" borderId="0" applyFont="0" applyFill="0" applyBorder="0" applyAlignment="0" applyProtection="0"/>
    <xf numFmtId="183" fontId="6" fillId="0" borderId="0" applyFont="0" applyFill="0" applyBorder="0" applyAlignment="0" applyProtection="0"/>
    <xf numFmtId="183" fontId="6" fillId="0" borderId="0" applyFont="0" applyFill="0" applyBorder="0" applyAlignment="0" applyProtection="0"/>
    <xf numFmtId="18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85" fontId="6" fillId="0" borderId="0" applyFont="0" applyFill="0" applyAlignment="0" applyProtection="0"/>
    <xf numFmtId="185" fontId="6" fillId="0" borderId="0" applyFont="0" applyFill="0" applyAlignment="0" applyProtection="0"/>
    <xf numFmtId="185" fontId="6" fillId="0" borderId="0" applyFont="0" applyFill="0" applyAlignment="0" applyProtection="0"/>
    <xf numFmtId="185" fontId="6" fillId="0" borderId="0" applyFont="0" applyFill="0" applyAlignment="0" applyProtection="0"/>
    <xf numFmtId="185" fontId="6" fillId="0" borderId="0" applyFont="0" applyFill="0" applyAlignment="0" applyProtection="0"/>
    <xf numFmtId="185" fontId="6" fillId="0" borderId="0" applyFont="0" applyFill="0" applyAlignment="0" applyProtection="0"/>
    <xf numFmtId="185" fontId="6" fillId="0" borderId="0" applyFont="0" applyFill="0" applyAlignment="0" applyProtection="0"/>
    <xf numFmtId="185" fontId="6" fillId="0" borderId="0" applyFont="0" applyFill="0" applyAlignment="0" applyProtection="0"/>
    <xf numFmtId="43" fontId="117" fillId="0" borderId="0" applyFont="0" applyFill="0" applyBorder="0" applyAlignment="0" applyProtection="0"/>
    <xf numFmtId="43" fontId="117" fillId="0" borderId="0" applyFont="0" applyFill="0" applyBorder="0" applyAlignment="0" applyProtection="0"/>
    <xf numFmtId="43" fontId="1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applyFont="0" applyFill="0" applyBorder="0" applyAlignment="0" applyProtection="0"/>
    <xf numFmtId="175"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175" fontId="17" fillId="0" borderId="0" applyFont="0" applyFill="0" applyBorder="0" applyAlignment="0" applyProtection="0"/>
    <xf numFmtId="175" fontId="17" fillId="0" borderId="0" applyFont="0" applyFill="0" applyBorder="0" applyAlignment="0" applyProtection="0"/>
    <xf numFmtId="175" fontId="17" fillId="0" borderId="0" applyFont="0" applyFill="0" applyBorder="0" applyAlignment="0" applyProtection="0"/>
    <xf numFmtId="175" fontId="17" fillId="0" borderId="0" applyFont="0" applyFill="0" applyBorder="0" applyAlignment="0" applyProtection="0"/>
    <xf numFmtId="186"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186" fontId="17" fillId="0" borderId="0" applyFont="0" applyFill="0" applyBorder="0" applyAlignment="0" applyProtection="0"/>
    <xf numFmtId="186" fontId="17" fillId="0" borderId="0" applyFont="0" applyFill="0" applyBorder="0" applyAlignment="0" applyProtection="0"/>
    <xf numFmtId="186" fontId="17" fillId="0" borderId="0" applyFont="0" applyFill="0" applyBorder="0" applyAlignment="0" applyProtection="0"/>
    <xf numFmtId="186"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170"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6" fontId="6" fillId="0" borderId="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0"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0"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4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4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0" fontId="116" fillId="0" borderId="0" applyFont="0" applyFill="0" applyBorder="0" applyAlignment="0" applyProtection="0"/>
    <xf numFmtId="168" fontId="12" fillId="0" borderId="0" applyFill="0" applyBorder="0" applyAlignment="0" applyProtection="0"/>
    <xf numFmtId="0" fontId="116" fillId="0" borderId="0" applyFont="0" applyFill="0" applyBorder="0" applyAlignment="0" applyProtection="0"/>
    <xf numFmtId="43" fontId="6" fillId="0" borderId="0" applyFont="0" applyFill="0" applyBorder="0" applyAlignment="0" applyProtection="0"/>
    <xf numFmtId="0" fontId="116" fillId="0" borderId="0" applyFont="0" applyFill="0" applyBorder="0" applyAlignment="0" applyProtection="0"/>
    <xf numFmtId="0" fontId="11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8" fontId="12" fillId="0" borderId="0" applyFill="0" applyBorder="0" applyAlignment="0" applyProtection="0"/>
    <xf numFmtId="0" fontId="116" fillId="0" borderId="0" applyFont="0" applyFill="0" applyBorder="0" applyAlignment="0" applyProtection="0"/>
    <xf numFmtId="168" fontId="12" fillId="0" borderId="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6" fontId="6" fillId="0" borderId="0" applyFill="0" applyBorder="0" applyAlignment="0" applyProtection="0"/>
    <xf numFmtId="166" fontId="6" fillId="0" borderId="0" applyFill="0" applyBorder="0" applyAlignment="0" applyProtection="0"/>
    <xf numFmtId="166" fontId="6" fillId="0" borderId="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166" fontId="6" fillId="0" borderId="0" applyFill="0" applyBorder="0" applyAlignment="0" applyProtection="0"/>
    <xf numFmtId="43" fontId="6" fillId="0" borderId="0" applyFont="0" applyFill="0" applyBorder="0" applyAlignment="0" applyProtection="0"/>
    <xf numFmtId="166" fontId="6" fillId="0" borderId="0" applyFill="0" applyBorder="0" applyAlignment="0" applyProtection="0"/>
    <xf numFmtId="166" fontId="6" fillId="0" borderId="0" applyFill="0" applyBorder="0" applyAlignment="0" applyProtection="0"/>
    <xf numFmtId="166" fontId="6" fillId="0" borderId="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87" fontId="11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78" fontId="11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8" fontId="11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6" fontId="6" fillId="0" borderId="0" applyFill="0" applyBorder="0" applyAlignment="0" applyProtection="0"/>
    <xf numFmtId="166" fontId="6" fillId="0" borderId="0" applyFill="0" applyBorder="0" applyAlignment="0" applyProtection="0"/>
    <xf numFmtId="166" fontId="6" fillId="0" borderId="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87" fontId="11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8" fontId="12" fillId="0" borderId="0" applyFill="0" applyBorder="0" applyAlignment="0" applyProtection="0"/>
    <xf numFmtId="168" fontId="12" fillId="0" borderId="0" applyFill="0" applyBorder="0" applyAlignment="0" applyProtection="0"/>
    <xf numFmtId="168" fontId="12" fillId="0" borderId="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8" fontId="12" fillId="0" borderId="0" applyFill="0" applyBorder="0" applyAlignment="0" applyProtection="0"/>
    <xf numFmtId="168" fontId="12" fillId="0" borderId="0" applyFill="0" applyBorder="0" applyAlignment="0" applyProtection="0"/>
    <xf numFmtId="168" fontId="12" fillId="0" borderId="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8" fontId="12" fillId="0" borderId="0" applyFill="0" applyBorder="0" applyAlignment="0" applyProtection="0"/>
    <xf numFmtId="43" fontId="17" fillId="0" borderId="0" applyFont="0" applyFill="0" applyBorder="0" applyAlignment="0" applyProtection="0"/>
    <xf numFmtId="168" fontId="12" fillId="0" borderId="0" applyFill="0" applyBorder="0" applyAlignment="0" applyProtection="0"/>
    <xf numFmtId="168" fontId="12" fillId="0" borderId="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168" fontId="12" fillId="0" borderId="0" applyFill="0" applyBorder="0" applyAlignment="0" applyProtection="0"/>
    <xf numFmtId="168" fontId="12" fillId="0" borderId="0" applyFill="0" applyBorder="0" applyAlignment="0" applyProtection="0"/>
    <xf numFmtId="168" fontId="12" fillId="0" borderId="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8" fontId="12" fillId="0" borderId="0" applyFill="0" applyBorder="0" applyAlignment="0" applyProtection="0"/>
    <xf numFmtId="168" fontId="12" fillId="0" borderId="0" applyFill="0" applyBorder="0" applyAlignment="0" applyProtection="0"/>
    <xf numFmtId="168" fontId="12" fillId="0" borderId="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0" fontId="116" fillId="0" borderId="0" applyFont="0" applyFill="0" applyBorder="0" applyAlignment="0" applyProtection="0"/>
    <xf numFmtId="170" fontId="116" fillId="0" borderId="0" applyFont="0" applyFill="0" applyBorder="0" applyAlignment="0" applyProtection="0"/>
    <xf numFmtId="170" fontId="116" fillId="0" borderId="0" applyFont="0" applyFill="0" applyBorder="0" applyAlignment="0" applyProtection="0"/>
    <xf numFmtId="0" fontId="118" fillId="0" borderId="0" applyNumberFormat="0" applyAlignment="0">
      <alignment horizontal="left"/>
    </xf>
    <xf numFmtId="171" fontId="119" fillId="0" borderId="47" applyNumberFormat="0" applyBorder="0" applyAlignment="0" applyProtection="0">
      <protection locked="0"/>
    </xf>
    <xf numFmtId="188" fontId="120" fillId="52" borderId="0" applyFill="0">
      <alignment horizontal="left" vertical="top"/>
      <protection locked="0"/>
    </xf>
    <xf numFmtId="176" fontId="6" fillId="0" borderId="0" applyFont="0" applyFill="0" applyBorder="0" applyAlignment="0" applyProtection="0"/>
    <xf numFmtId="189" fontId="6" fillId="0" borderId="0">
      <alignment horizontal="center"/>
    </xf>
    <xf numFmtId="189" fontId="6" fillId="0" borderId="0">
      <alignment horizontal="center"/>
    </xf>
    <xf numFmtId="189" fontId="6" fillId="0" borderId="0">
      <alignment horizontal="center"/>
    </xf>
    <xf numFmtId="189" fontId="6" fillId="0" borderId="0">
      <alignment horizontal="center"/>
    </xf>
    <xf numFmtId="189" fontId="6" fillId="0" borderId="0">
      <alignment horizontal="center"/>
    </xf>
    <xf numFmtId="189" fontId="6" fillId="0" borderId="0">
      <alignment horizontal="center"/>
    </xf>
    <xf numFmtId="189" fontId="6" fillId="0" borderId="0">
      <alignment horizontal="center"/>
    </xf>
    <xf numFmtId="189" fontId="6" fillId="0" borderId="0">
      <alignment horizontal="center"/>
    </xf>
    <xf numFmtId="176" fontId="6" fillId="0" borderId="0" applyFont="0" applyFill="0" applyBorder="0" applyAlignment="0" applyProtection="0"/>
    <xf numFmtId="177" fontId="6"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6" fillId="0" borderId="0" applyFont="0" applyFill="0" applyBorder="0" applyAlignment="0" applyProtection="0"/>
    <xf numFmtId="177" fontId="6"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6" fillId="0" borderId="0" applyFont="0" applyFill="0" applyBorder="0" applyAlignment="0" applyProtection="0"/>
    <xf numFmtId="177" fontId="6" fillId="0" borderId="0" applyFont="0" applyFill="0" applyBorder="0" applyAlignment="0" applyProtection="0"/>
    <xf numFmtId="177" fontId="6" fillId="0" borderId="0" applyFont="0" applyFill="0" applyBorder="0" applyAlignment="0" applyProtection="0"/>
    <xf numFmtId="177" fontId="6" fillId="0" borderId="0" applyFont="0" applyFill="0" applyBorder="0" applyAlignment="0" applyProtection="0"/>
    <xf numFmtId="177" fontId="6"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0" fontId="121" fillId="0" borderId="0"/>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0" fontId="121" fillId="0" borderId="51"/>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1" fontId="122" fillId="0" borderId="0" applyFont="0" applyFill="0" applyBorder="0">
      <alignment horizontal="left" vertical="top" wrapText="1"/>
      <protection locked="0"/>
    </xf>
    <xf numFmtId="0" fontId="123" fillId="53" borderId="0" applyNumberFormat="0" applyBorder="0" applyAlignment="0" applyProtection="0"/>
    <xf numFmtId="0" fontId="123" fillId="54" borderId="0" applyNumberFormat="0" applyBorder="0" applyAlignment="0" applyProtection="0"/>
    <xf numFmtId="0" fontId="123" fillId="55" borderId="0" applyNumberFormat="0" applyBorder="0" applyAlignment="0" applyProtection="0"/>
    <xf numFmtId="0" fontId="124" fillId="0" borderId="0" applyNumberFormat="0" applyAlignment="0">
      <alignment horizontal="left"/>
    </xf>
    <xf numFmtId="192" fontId="99" fillId="0" borderId="0" applyFont="0" applyFill="0" applyBorder="0" applyAlignment="0" applyProtection="0"/>
    <xf numFmtId="0" fontId="6" fillId="0" borderId="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125" fillId="0" borderId="0" applyNumberFormat="0" applyFill="0" applyBorder="0" applyAlignment="0" applyProtection="0"/>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3" fontId="122" fillId="0" borderId="0" applyFont="0">
      <alignment horizontal="left"/>
      <protection locked="0"/>
    </xf>
    <xf numFmtId="0" fontId="99" fillId="0" borderId="50" applyNumberFormat="0" applyFill="0" applyBorder="0" applyAlignment="0" applyProtection="0">
      <protection locked="0"/>
    </xf>
    <xf numFmtId="194" fontId="126" fillId="0" borderId="5">
      <alignment horizontal="right"/>
    </xf>
    <xf numFmtId="0" fontId="127" fillId="22" borderId="0" applyNumberFormat="0" applyBorder="0" applyAlignment="0" applyProtection="0"/>
    <xf numFmtId="0" fontId="127" fillId="22" borderId="0" applyNumberFormat="0" applyBorder="0" applyAlignment="0" applyProtection="0"/>
    <xf numFmtId="0" fontId="127" fillId="22" borderId="0" applyNumberFormat="0" applyBorder="0" applyAlignment="0" applyProtection="0"/>
    <xf numFmtId="0" fontId="127" fillId="22" borderId="0" applyNumberFormat="0" applyBorder="0" applyAlignment="0" applyProtection="0"/>
    <xf numFmtId="0" fontId="127" fillId="22" borderId="0" applyNumberFormat="0" applyBorder="0" applyAlignment="0" applyProtection="0"/>
    <xf numFmtId="0" fontId="127" fillId="22" borderId="0" applyNumberFormat="0" applyBorder="0" applyAlignment="0" applyProtection="0"/>
    <xf numFmtId="0" fontId="127" fillId="22" borderId="0" applyNumberFormat="0" applyBorder="0" applyAlignment="0" applyProtection="0"/>
    <xf numFmtId="0" fontId="127" fillId="22" borderId="0" applyNumberFormat="0" applyBorder="0" applyAlignment="0" applyProtection="0"/>
    <xf numFmtId="0" fontId="85" fillId="22" borderId="0" applyNumberFormat="0" applyBorder="0" applyAlignment="0" applyProtection="0"/>
    <xf numFmtId="0" fontId="85" fillId="22" borderId="0" applyNumberFormat="0" applyBorder="0" applyAlignment="0" applyProtection="0"/>
    <xf numFmtId="0" fontId="85" fillId="22" borderId="0" applyNumberFormat="0" applyBorder="0" applyAlignment="0" applyProtection="0"/>
    <xf numFmtId="0" fontId="85" fillId="22" borderId="0" applyNumberFormat="0" applyBorder="0" applyAlignment="0" applyProtection="0"/>
    <xf numFmtId="0" fontId="85" fillId="22" borderId="0" applyNumberFormat="0" applyBorder="0" applyAlignment="0" applyProtection="0"/>
    <xf numFmtId="0" fontId="85" fillId="22" borderId="0" applyNumberFormat="0" applyBorder="0" applyAlignment="0" applyProtection="0"/>
    <xf numFmtId="0" fontId="85" fillId="22" borderId="0" applyNumberFormat="0" applyBorder="0" applyAlignment="0" applyProtection="0"/>
    <xf numFmtId="0" fontId="85" fillId="22" borderId="0" applyNumberFormat="0" applyBorder="0" applyAlignment="0" applyProtection="0"/>
    <xf numFmtId="0" fontId="85" fillId="22" borderId="0" applyNumberFormat="0" applyBorder="0" applyAlignment="0" applyProtection="0"/>
    <xf numFmtId="0" fontId="85" fillId="22" borderId="0" applyNumberFormat="0" applyBorder="0" applyAlignment="0" applyProtection="0"/>
    <xf numFmtId="0" fontId="85" fillId="22" borderId="0" applyNumberFormat="0" applyBorder="0" applyAlignment="0" applyProtection="0"/>
    <xf numFmtId="0" fontId="85" fillId="22" borderId="0" applyNumberFormat="0" applyBorder="0" applyAlignment="0" applyProtection="0"/>
    <xf numFmtId="0" fontId="85" fillId="22" borderId="0" applyNumberFormat="0" applyBorder="0" applyAlignment="0" applyProtection="0"/>
    <xf numFmtId="0" fontId="85" fillId="22" borderId="0" applyNumberFormat="0" applyBorder="0" applyAlignment="0" applyProtection="0"/>
    <xf numFmtId="0" fontId="85" fillId="22" borderId="0" applyNumberFormat="0" applyBorder="0" applyAlignment="0" applyProtection="0"/>
    <xf numFmtId="0" fontId="127" fillId="22" borderId="0" applyNumberFormat="0" applyBorder="0" applyAlignment="0" applyProtection="0"/>
    <xf numFmtId="0" fontId="127" fillId="22" borderId="0" applyNumberFormat="0" applyBorder="0" applyAlignment="0" applyProtection="0"/>
    <xf numFmtId="0" fontId="127" fillId="22" borderId="0" applyNumberFormat="0" applyBorder="0" applyAlignment="0" applyProtection="0"/>
    <xf numFmtId="0" fontId="127" fillId="22" borderId="0" applyNumberFormat="0" applyBorder="0" applyAlignment="0" applyProtection="0"/>
    <xf numFmtId="0" fontId="127" fillId="22" borderId="0" applyNumberFormat="0" applyBorder="0" applyAlignment="0" applyProtection="0"/>
    <xf numFmtId="0" fontId="85" fillId="22" borderId="0" applyNumberFormat="0" applyBorder="0" applyAlignment="0" applyProtection="0"/>
    <xf numFmtId="0" fontId="85" fillId="22" borderId="0" applyNumberFormat="0" applyBorder="0" applyAlignment="0" applyProtection="0"/>
    <xf numFmtId="0" fontId="127" fillId="22" borderId="0" applyNumberFormat="0" applyBorder="0" applyAlignment="0" applyProtection="0"/>
    <xf numFmtId="38" fontId="128" fillId="56" borderId="0" applyNumberFormat="0" applyBorder="0" applyAlignment="0" applyProtection="0"/>
    <xf numFmtId="188" fontId="129" fillId="0" borderId="0">
      <alignment horizontal="left"/>
    </xf>
    <xf numFmtId="0" fontId="23" fillId="0" borderId="49" applyNumberFormat="0" applyAlignment="0" applyProtection="0">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23" fillId="0" borderId="52">
      <alignment horizontal="left" vertical="center"/>
    </xf>
    <xf numFmtId="0" fontId="130" fillId="0" borderId="37" applyNumberFormat="0" applyFill="0" applyAlignment="0" applyProtection="0"/>
    <xf numFmtId="0" fontId="130" fillId="0" borderId="37" applyNumberFormat="0" applyFill="0" applyAlignment="0" applyProtection="0"/>
    <xf numFmtId="0" fontId="130" fillId="0" borderId="37" applyNumberFormat="0" applyFill="0" applyAlignment="0" applyProtection="0"/>
    <xf numFmtId="0" fontId="130" fillId="0" borderId="37" applyNumberFormat="0" applyFill="0" applyAlignment="0" applyProtection="0"/>
    <xf numFmtId="0" fontId="130" fillId="0" borderId="37" applyNumberFormat="0" applyFill="0" applyAlignment="0" applyProtection="0"/>
    <xf numFmtId="0" fontId="130" fillId="0" borderId="37" applyNumberFormat="0" applyFill="0" applyAlignment="0" applyProtection="0"/>
    <xf numFmtId="0" fontId="130" fillId="0" borderId="37" applyNumberFormat="0" applyFill="0" applyAlignment="0" applyProtection="0"/>
    <xf numFmtId="0" fontId="130" fillId="0" borderId="37" applyNumberFormat="0" applyFill="0" applyAlignment="0" applyProtection="0"/>
    <xf numFmtId="0" fontId="86" fillId="0" borderId="37" applyNumberFormat="0" applyFill="0" applyAlignment="0" applyProtection="0"/>
    <xf numFmtId="0" fontId="86" fillId="0" borderId="37" applyNumberFormat="0" applyFill="0" applyAlignment="0" applyProtection="0"/>
    <xf numFmtId="0" fontId="86" fillId="0" borderId="37" applyNumberFormat="0" applyFill="0" applyAlignment="0" applyProtection="0"/>
    <xf numFmtId="0" fontId="86" fillId="0" borderId="37" applyNumberFormat="0" applyFill="0" applyAlignment="0" applyProtection="0"/>
    <xf numFmtId="0" fontId="86" fillId="0" borderId="37" applyNumberFormat="0" applyFill="0" applyAlignment="0" applyProtection="0"/>
    <xf numFmtId="0" fontId="86" fillId="0" borderId="37" applyNumberFormat="0" applyFill="0" applyAlignment="0" applyProtection="0"/>
    <xf numFmtId="0" fontId="86" fillId="0" borderId="37" applyNumberFormat="0" applyFill="0" applyAlignment="0" applyProtection="0"/>
    <xf numFmtId="0" fontId="86" fillId="0" borderId="37" applyNumberFormat="0" applyFill="0" applyAlignment="0" applyProtection="0"/>
    <xf numFmtId="0" fontId="86" fillId="0" borderId="37" applyNumberFormat="0" applyFill="0" applyAlignment="0" applyProtection="0"/>
    <xf numFmtId="0" fontId="86" fillId="0" borderId="37" applyNumberFormat="0" applyFill="0" applyAlignment="0" applyProtection="0"/>
    <xf numFmtId="0" fontId="86" fillId="0" borderId="37" applyNumberFormat="0" applyFill="0" applyAlignment="0" applyProtection="0"/>
    <xf numFmtId="0" fontId="86" fillId="0" borderId="37" applyNumberFormat="0" applyFill="0" applyAlignment="0" applyProtection="0"/>
    <xf numFmtId="0" fontId="86" fillId="0" borderId="37" applyNumberFormat="0" applyFill="0" applyAlignment="0" applyProtection="0"/>
    <xf numFmtId="0" fontId="86" fillId="0" borderId="37" applyNumberFormat="0" applyFill="0" applyAlignment="0" applyProtection="0"/>
    <xf numFmtId="0" fontId="86" fillId="0" borderId="37" applyNumberFormat="0" applyFill="0" applyAlignment="0" applyProtection="0"/>
    <xf numFmtId="0" fontId="130" fillId="0" borderId="37" applyNumberFormat="0" applyFill="0" applyAlignment="0" applyProtection="0"/>
    <xf numFmtId="0" fontId="130" fillId="0" borderId="37" applyNumberFormat="0" applyFill="0" applyAlignment="0" applyProtection="0"/>
    <xf numFmtId="0" fontId="130" fillId="0" borderId="37" applyNumberFormat="0" applyFill="0" applyAlignment="0" applyProtection="0"/>
    <xf numFmtId="0" fontId="130" fillId="0" borderId="37" applyNumberFormat="0" applyFill="0" applyAlignment="0" applyProtection="0"/>
    <xf numFmtId="0" fontId="130" fillId="0" borderId="37" applyNumberFormat="0" applyFill="0" applyAlignment="0" applyProtection="0"/>
    <xf numFmtId="0" fontId="86" fillId="0" borderId="37" applyNumberFormat="0" applyFill="0" applyAlignment="0" applyProtection="0"/>
    <xf numFmtId="0" fontId="86" fillId="0" borderId="37" applyNumberFormat="0" applyFill="0" applyAlignment="0" applyProtection="0"/>
    <xf numFmtId="0" fontId="131" fillId="0" borderId="53" applyNumberFormat="0" applyFill="0" applyAlignment="0" applyProtection="0"/>
    <xf numFmtId="0" fontId="132" fillId="0" borderId="38" applyNumberFormat="0" applyFill="0" applyAlignment="0" applyProtection="0"/>
    <xf numFmtId="0" fontId="132" fillId="0" borderId="38" applyNumberFormat="0" applyFill="0" applyAlignment="0" applyProtection="0"/>
    <xf numFmtId="0" fontId="132" fillId="0" borderId="38" applyNumberFormat="0" applyFill="0" applyAlignment="0" applyProtection="0"/>
    <xf numFmtId="0" fontId="132" fillId="0" borderId="38" applyNumberFormat="0" applyFill="0" applyAlignment="0" applyProtection="0"/>
    <xf numFmtId="0" fontId="132" fillId="0" borderId="38" applyNumberFormat="0" applyFill="0" applyAlignment="0" applyProtection="0"/>
    <xf numFmtId="0" fontId="132" fillId="0" borderId="38" applyNumberFormat="0" applyFill="0" applyAlignment="0" applyProtection="0"/>
    <xf numFmtId="0" fontId="132" fillId="0" borderId="38" applyNumberFormat="0" applyFill="0" applyAlignment="0" applyProtection="0"/>
    <xf numFmtId="0" fontId="132" fillId="0" borderId="38" applyNumberFormat="0" applyFill="0" applyAlignment="0" applyProtection="0"/>
    <xf numFmtId="0" fontId="87" fillId="0" borderId="38" applyNumberFormat="0" applyFill="0" applyAlignment="0" applyProtection="0"/>
    <xf numFmtId="0" fontId="87" fillId="0" borderId="38" applyNumberFormat="0" applyFill="0" applyAlignment="0" applyProtection="0"/>
    <xf numFmtId="0" fontId="87" fillId="0" borderId="38" applyNumberFormat="0" applyFill="0" applyAlignment="0" applyProtection="0"/>
    <xf numFmtId="0" fontId="87" fillId="0" borderId="38" applyNumberFormat="0" applyFill="0" applyAlignment="0" applyProtection="0"/>
    <xf numFmtId="0" fontId="87" fillId="0" borderId="38" applyNumberFormat="0" applyFill="0" applyAlignment="0" applyProtection="0"/>
    <xf numFmtId="0" fontId="87" fillId="0" borderId="38" applyNumberFormat="0" applyFill="0" applyAlignment="0" applyProtection="0"/>
    <xf numFmtId="0" fontId="87" fillId="0" borderId="38" applyNumberFormat="0" applyFill="0" applyAlignment="0" applyProtection="0"/>
    <xf numFmtId="0" fontId="87" fillId="0" borderId="38" applyNumberFormat="0" applyFill="0" applyAlignment="0" applyProtection="0"/>
    <xf numFmtId="0" fontId="87" fillId="0" borderId="38" applyNumberFormat="0" applyFill="0" applyAlignment="0" applyProtection="0"/>
    <xf numFmtId="0" fontId="87" fillId="0" borderId="38" applyNumberFormat="0" applyFill="0" applyAlignment="0" applyProtection="0"/>
    <xf numFmtId="0" fontId="87" fillId="0" borderId="38" applyNumberFormat="0" applyFill="0" applyAlignment="0" applyProtection="0"/>
    <xf numFmtId="0" fontId="87" fillId="0" borderId="38" applyNumberFormat="0" applyFill="0" applyAlignment="0" applyProtection="0"/>
    <xf numFmtId="0" fontId="87" fillId="0" borderId="38" applyNumberFormat="0" applyFill="0" applyAlignment="0" applyProtection="0"/>
    <xf numFmtId="0" fontId="87" fillId="0" borderId="38" applyNumberFormat="0" applyFill="0" applyAlignment="0" applyProtection="0"/>
    <xf numFmtId="0" fontId="87" fillId="0" borderId="38" applyNumberFormat="0" applyFill="0" applyAlignment="0" applyProtection="0"/>
    <xf numFmtId="0" fontId="132" fillId="0" borderId="38" applyNumberFormat="0" applyFill="0" applyAlignment="0" applyProtection="0"/>
    <xf numFmtId="0" fontId="132" fillId="0" borderId="38" applyNumberFormat="0" applyFill="0" applyAlignment="0" applyProtection="0"/>
    <xf numFmtId="0" fontId="132" fillId="0" borderId="38" applyNumberFormat="0" applyFill="0" applyAlignment="0" applyProtection="0"/>
    <xf numFmtId="0" fontId="132" fillId="0" borderId="38" applyNumberFormat="0" applyFill="0" applyAlignment="0" applyProtection="0"/>
    <xf numFmtId="0" fontId="132" fillId="0" borderId="38" applyNumberFormat="0" applyFill="0" applyAlignment="0" applyProtection="0"/>
    <xf numFmtId="0" fontId="87" fillId="0" borderId="38" applyNumberFormat="0" applyFill="0" applyAlignment="0" applyProtection="0"/>
    <xf numFmtId="0" fontId="87" fillId="0" borderId="38" applyNumberFormat="0" applyFill="0" applyAlignment="0" applyProtection="0"/>
    <xf numFmtId="0" fontId="133" fillId="0" borderId="53" applyNumberFormat="0" applyFill="0" applyAlignment="0" applyProtection="0"/>
    <xf numFmtId="0" fontId="88" fillId="0" borderId="39" applyNumberFormat="0" applyFill="0" applyAlignment="0" applyProtection="0"/>
    <xf numFmtId="0" fontId="134" fillId="0" borderId="39" applyNumberFormat="0" applyFill="0" applyAlignment="0" applyProtection="0"/>
    <xf numFmtId="0" fontId="134" fillId="0" borderId="39" applyNumberFormat="0" applyFill="0" applyAlignment="0" applyProtection="0"/>
    <xf numFmtId="0" fontId="134" fillId="0" borderId="39" applyNumberFormat="0" applyFill="0" applyAlignment="0" applyProtection="0"/>
    <xf numFmtId="0" fontId="134" fillId="0" borderId="39" applyNumberFormat="0" applyFill="0" applyAlignment="0" applyProtection="0"/>
    <xf numFmtId="0" fontId="134" fillId="0" borderId="39" applyNumberFormat="0" applyFill="0" applyAlignment="0" applyProtection="0"/>
    <xf numFmtId="0" fontId="134" fillId="0" borderId="39" applyNumberFormat="0" applyFill="0" applyAlignment="0" applyProtection="0"/>
    <xf numFmtId="0" fontId="134" fillId="0" borderId="39" applyNumberFormat="0" applyFill="0" applyAlignment="0" applyProtection="0"/>
    <xf numFmtId="0" fontId="134" fillId="0" borderId="39" applyNumberFormat="0" applyFill="0" applyAlignment="0" applyProtection="0"/>
    <xf numFmtId="0" fontId="134" fillId="0" borderId="39" applyNumberFormat="0" applyFill="0" applyAlignment="0" applyProtection="0"/>
    <xf numFmtId="0" fontId="134" fillId="0" borderId="39" applyNumberFormat="0" applyFill="0" applyAlignment="0" applyProtection="0"/>
    <xf numFmtId="0" fontId="134" fillId="0" borderId="39" applyNumberFormat="0" applyFill="0" applyAlignment="0" applyProtection="0"/>
    <xf numFmtId="0" fontId="134" fillId="0" borderId="39" applyNumberFormat="0" applyFill="0" applyAlignment="0" applyProtection="0"/>
    <xf numFmtId="0" fontId="88" fillId="0" borderId="39" applyNumberFormat="0" applyFill="0" applyAlignment="0" applyProtection="0"/>
    <xf numFmtId="0" fontId="88" fillId="0" borderId="39" applyNumberFormat="0" applyFill="0" applyAlignment="0" applyProtection="0"/>
    <xf numFmtId="0" fontId="88" fillId="0" borderId="39" applyNumberFormat="0" applyFill="0" applyAlignment="0" applyProtection="0"/>
    <xf numFmtId="0" fontId="134" fillId="0" borderId="39" applyNumberFormat="0" applyFill="0" applyAlignment="0" applyProtection="0"/>
    <xf numFmtId="0" fontId="134" fillId="0" borderId="39" applyNumberFormat="0" applyFill="0" applyAlignment="0" applyProtection="0"/>
    <xf numFmtId="0" fontId="134" fillId="0" borderId="39" applyNumberFormat="0" applyFill="0" applyAlignment="0" applyProtection="0"/>
    <xf numFmtId="0" fontId="88" fillId="0" borderId="39" applyNumberFormat="0" applyFill="0" applyAlignment="0" applyProtection="0"/>
    <xf numFmtId="0" fontId="88" fillId="0" borderId="39" applyNumberFormat="0" applyFill="0" applyAlignment="0" applyProtection="0"/>
    <xf numFmtId="0" fontId="135" fillId="0" borderId="54" applyNumberFormat="0" applyFill="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135" fillId="0" borderId="0" applyNumberFormat="0" applyFill="0" applyBorder="0" applyAlignment="0" applyProtection="0"/>
    <xf numFmtId="190" fontId="6" fillId="0" borderId="0">
      <protection locked="0"/>
    </xf>
    <xf numFmtId="195" fontId="6" fillId="0" borderId="0">
      <protection locked="0"/>
    </xf>
    <xf numFmtId="195" fontId="6" fillId="0" borderId="0">
      <protection locked="0"/>
    </xf>
    <xf numFmtId="195" fontId="6" fillId="0" borderId="0">
      <protection locked="0"/>
    </xf>
    <xf numFmtId="195" fontId="6" fillId="0" borderId="0">
      <protection locked="0"/>
    </xf>
    <xf numFmtId="195" fontId="6" fillId="0" borderId="0">
      <protection locked="0"/>
    </xf>
    <xf numFmtId="195" fontId="6" fillId="0" borderId="0">
      <protection locked="0"/>
    </xf>
    <xf numFmtId="195" fontId="6" fillId="0" borderId="0">
      <protection locked="0"/>
    </xf>
    <xf numFmtId="195"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5"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190" fontId="6" fillId="0" borderId="0">
      <protection locked="0"/>
    </xf>
    <xf numFmtId="0" fontId="136" fillId="0" borderId="0" applyNumberFormat="0" applyFill="0" applyBorder="0" applyAlignment="0" applyProtection="0">
      <alignment vertical="top"/>
      <protection locked="0"/>
    </xf>
    <xf numFmtId="0" fontId="137" fillId="0" borderId="0" applyNumberFormat="0" applyFill="0" applyBorder="0" applyAlignment="0" applyProtection="0">
      <alignment vertical="top"/>
      <protection locked="0"/>
    </xf>
    <xf numFmtId="0" fontId="137" fillId="0" borderId="0" applyNumberFormat="0" applyFill="0" applyBorder="0" applyAlignment="0" applyProtection="0">
      <alignment vertical="top"/>
      <protection locked="0"/>
    </xf>
    <xf numFmtId="0" fontId="137" fillId="0" borderId="0" applyNumberFormat="0" applyFill="0" applyBorder="0" applyAlignment="0" applyProtection="0">
      <alignment vertical="top"/>
      <protection locked="0"/>
    </xf>
    <xf numFmtId="0" fontId="138" fillId="0" borderId="0" applyNumberFormat="0" applyFill="0" applyBorder="0" applyAlignment="0" applyProtection="0">
      <alignment vertical="top"/>
      <protection locked="0"/>
    </xf>
    <xf numFmtId="196" fontId="6" fillId="0" borderId="0" applyProtection="0">
      <alignment horizontal="center"/>
    </xf>
    <xf numFmtId="196" fontId="6" fillId="0" borderId="0" applyProtection="0">
      <alignment horizontal="center"/>
    </xf>
    <xf numFmtId="196" fontId="6" fillId="0" borderId="0" applyProtection="0">
      <alignment horizontal="center"/>
    </xf>
    <xf numFmtId="196" fontId="6" fillId="0" borderId="0" applyProtection="0">
      <alignment horizontal="center"/>
    </xf>
    <xf numFmtId="196" fontId="6" fillId="0" borderId="0" applyProtection="0">
      <alignment horizontal="center"/>
    </xf>
    <xf numFmtId="196" fontId="6" fillId="0" borderId="0" applyProtection="0">
      <alignment horizontal="center"/>
    </xf>
    <xf numFmtId="196" fontId="6" fillId="0" borderId="0" applyProtection="0">
      <alignment horizontal="center"/>
    </xf>
    <xf numFmtId="196" fontId="6" fillId="0" borderId="0" applyProtection="0">
      <alignment horizontal="center"/>
    </xf>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10" fontId="128" fillId="57" borderId="44" applyNumberFormat="0" applyBorder="0" applyAlignment="0" applyProtection="0"/>
    <xf numFmtId="0" fontId="89" fillId="25" borderId="35" applyNumberFormat="0" applyAlignment="0" applyProtection="0"/>
    <xf numFmtId="0" fontId="139" fillId="25" borderId="35" applyNumberFormat="0" applyAlignment="0" applyProtection="0"/>
    <xf numFmtId="0" fontId="139" fillId="25" borderId="35" applyNumberFormat="0" applyAlignment="0" applyProtection="0"/>
    <xf numFmtId="0" fontId="139" fillId="25" borderId="35" applyNumberFormat="0" applyAlignment="0" applyProtection="0"/>
    <xf numFmtId="0" fontId="89" fillId="25" borderId="35" applyNumberFormat="0" applyAlignment="0" applyProtection="0"/>
    <xf numFmtId="0" fontId="89" fillId="25" borderId="35" applyNumberFormat="0" applyAlignment="0" applyProtection="0"/>
    <xf numFmtId="0" fontId="89" fillId="25" borderId="35" applyNumberFormat="0" applyAlignment="0" applyProtection="0"/>
    <xf numFmtId="0" fontId="139" fillId="25" borderId="35" applyNumberFormat="0" applyAlignment="0" applyProtection="0"/>
    <xf numFmtId="0" fontId="139" fillId="25" borderId="35" applyNumberFormat="0" applyAlignment="0" applyProtection="0"/>
    <xf numFmtId="0" fontId="139" fillId="25" borderId="35" applyNumberFormat="0" applyAlignment="0" applyProtection="0"/>
    <xf numFmtId="0" fontId="139" fillId="25" borderId="35" applyNumberFormat="0" applyAlignment="0" applyProtection="0"/>
    <xf numFmtId="0" fontId="139" fillId="25" borderId="35" applyNumberFormat="0" applyAlignment="0" applyProtection="0"/>
    <xf numFmtId="0" fontId="139" fillId="25" borderId="35" applyNumberFormat="0" applyAlignment="0" applyProtection="0"/>
    <xf numFmtId="0" fontId="139" fillId="25" borderId="35" applyNumberFormat="0" applyAlignment="0" applyProtection="0"/>
    <xf numFmtId="0" fontId="139" fillId="25" borderId="35" applyNumberFormat="0" applyAlignment="0" applyProtection="0"/>
    <xf numFmtId="0" fontId="139" fillId="25" borderId="35" applyNumberFormat="0" applyAlignment="0" applyProtection="0"/>
    <xf numFmtId="0" fontId="139" fillId="25" borderId="35" applyNumberFormat="0" applyAlignment="0" applyProtection="0"/>
    <xf numFmtId="0" fontId="139" fillId="25" borderId="35" applyNumberFormat="0" applyAlignment="0" applyProtection="0"/>
    <xf numFmtId="0" fontId="139" fillId="25" borderId="35" applyNumberFormat="0" applyAlignment="0" applyProtection="0"/>
    <xf numFmtId="0" fontId="139" fillId="25" borderId="35" applyNumberFormat="0" applyAlignment="0" applyProtection="0"/>
    <xf numFmtId="0" fontId="139" fillId="25" borderId="35" applyNumberFormat="0" applyAlignment="0" applyProtection="0"/>
    <xf numFmtId="0" fontId="89" fillId="25" borderId="35" applyNumberFormat="0" applyAlignment="0" applyProtection="0"/>
    <xf numFmtId="0" fontId="139" fillId="25" borderId="35" applyNumberFormat="0" applyAlignment="0" applyProtection="0"/>
    <xf numFmtId="0" fontId="139" fillId="25" borderId="35" applyNumberFormat="0" applyAlignment="0" applyProtection="0"/>
    <xf numFmtId="0" fontId="139" fillId="25" borderId="35" applyNumberFormat="0" applyAlignment="0" applyProtection="0"/>
    <xf numFmtId="0" fontId="139" fillId="25" borderId="35" applyNumberFormat="0" applyAlignment="0" applyProtection="0"/>
    <xf numFmtId="0" fontId="139" fillId="25" borderId="35" applyNumberFormat="0" applyAlignment="0" applyProtection="0"/>
    <xf numFmtId="0" fontId="139" fillId="25" borderId="35" applyNumberFormat="0" applyAlignment="0" applyProtection="0"/>
    <xf numFmtId="0" fontId="139" fillId="25" borderId="35" applyNumberFormat="0" applyAlignment="0" applyProtection="0"/>
    <xf numFmtId="0" fontId="139" fillId="25" borderId="35" applyNumberFormat="0" applyAlignment="0" applyProtection="0"/>
    <xf numFmtId="0" fontId="139" fillId="25" borderId="35" applyNumberFormat="0" applyAlignment="0" applyProtection="0"/>
    <xf numFmtId="0" fontId="139" fillId="25" borderId="35" applyNumberFormat="0" applyAlignment="0" applyProtection="0"/>
    <xf numFmtId="0" fontId="139" fillId="25" borderId="35" applyNumberFormat="0" applyAlignment="0" applyProtection="0"/>
    <xf numFmtId="0" fontId="139" fillId="25" borderId="35" applyNumberFormat="0" applyAlignment="0" applyProtection="0"/>
    <xf numFmtId="0" fontId="139" fillId="25" borderId="35" applyNumberFormat="0" applyAlignment="0" applyProtection="0"/>
    <xf numFmtId="0" fontId="139" fillId="25" borderId="35" applyNumberFormat="0" applyAlignment="0" applyProtection="0"/>
    <xf numFmtId="0" fontId="89" fillId="25" borderId="35" applyNumberFormat="0" applyAlignment="0" applyProtection="0"/>
    <xf numFmtId="0" fontId="89" fillId="25" borderId="35" applyNumberFormat="0" applyAlignment="0" applyProtection="0"/>
    <xf numFmtId="0" fontId="139" fillId="25" borderId="35" applyNumberFormat="0" applyAlignment="0" applyProtection="0"/>
    <xf numFmtId="188" fontId="122" fillId="0" borderId="0" applyFont="0">
      <alignment horizontal="left"/>
    </xf>
    <xf numFmtId="188" fontId="122" fillId="0" borderId="0" applyFont="0" applyFill="0" applyBorder="0">
      <alignment horizontal="left"/>
    </xf>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0" fontId="140" fillId="58" borderId="51"/>
    <xf numFmtId="40" fontId="128" fillId="0" borderId="0" applyFont="0">
      <protection locked="0"/>
    </xf>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41" fillId="0" borderId="40" applyNumberFormat="0" applyFill="0" applyAlignment="0" applyProtection="0"/>
    <xf numFmtId="0" fontId="141" fillId="0" borderId="40" applyNumberFormat="0" applyFill="0" applyAlignment="0" applyProtection="0"/>
    <xf numFmtId="0" fontId="141" fillId="0" borderId="40" applyNumberFormat="0" applyFill="0" applyAlignment="0" applyProtection="0"/>
    <xf numFmtId="0" fontId="141" fillId="0" borderId="40" applyNumberFormat="0" applyFill="0" applyAlignment="0" applyProtection="0"/>
    <xf numFmtId="0" fontId="141" fillId="0" borderId="40" applyNumberFormat="0" applyFill="0" applyAlignment="0" applyProtection="0"/>
    <xf numFmtId="0" fontId="141" fillId="0" borderId="40" applyNumberFormat="0" applyFill="0" applyAlignment="0" applyProtection="0"/>
    <xf numFmtId="0" fontId="141" fillId="0" borderId="40" applyNumberFormat="0" applyFill="0" applyAlignment="0" applyProtection="0"/>
    <xf numFmtId="0" fontId="141" fillId="0" borderId="40" applyNumberFormat="0" applyFill="0" applyAlignment="0" applyProtection="0"/>
    <xf numFmtId="0" fontId="90" fillId="0" borderId="40" applyNumberFormat="0" applyFill="0" applyAlignment="0" applyProtection="0"/>
    <xf numFmtId="0" fontId="90" fillId="0" borderId="40" applyNumberFormat="0" applyFill="0" applyAlignment="0" applyProtection="0"/>
    <xf numFmtId="0" fontId="90" fillId="0" borderId="40" applyNumberFormat="0" applyFill="0" applyAlignment="0" applyProtection="0"/>
    <xf numFmtId="0" fontId="90" fillId="0" borderId="40" applyNumberFormat="0" applyFill="0" applyAlignment="0" applyProtection="0"/>
    <xf numFmtId="0" fontId="90" fillId="0" borderId="40" applyNumberFormat="0" applyFill="0" applyAlignment="0" applyProtection="0"/>
    <xf numFmtId="0" fontId="90" fillId="0" borderId="40" applyNumberFormat="0" applyFill="0" applyAlignment="0" applyProtection="0"/>
    <xf numFmtId="0" fontId="90" fillId="0" borderId="40" applyNumberFormat="0" applyFill="0" applyAlignment="0" applyProtection="0"/>
    <xf numFmtId="0" fontId="90" fillId="0" borderId="40" applyNumberFormat="0" applyFill="0" applyAlignment="0" applyProtection="0"/>
    <xf numFmtId="0" fontId="90" fillId="0" borderId="40" applyNumberFormat="0" applyFill="0" applyAlignment="0" applyProtection="0"/>
    <xf numFmtId="0" fontId="90" fillId="0" borderId="40" applyNumberFormat="0" applyFill="0" applyAlignment="0" applyProtection="0"/>
    <xf numFmtId="0" fontId="90" fillId="0" borderId="40" applyNumberFormat="0" applyFill="0" applyAlignment="0" applyProtection="0"/>
    <xf numFmtId="0" fontId="90" fillId="0" borderId="40" applyNumberFormat="0" applyFill="0" applyAlignment="0" applyProtection="0"/>
    <xf numFmtId="0" fontId="90" fillId="0" borderId="40" applyNumberFormat="0" applyFill="0" applyAlignment="0" applyProtection="0"/>
    <xf numFmtId="0" fontId="90" fillId="0" borderId="40" applyNumberFormat="0" applyFill="0" applyAlignment="0" applyProtection="0"/>
    <xf numFmtId="0" fontId="90" fillId="0" borderId="40" applyNumberFormat="0" applyFill="0" applyAlignment="0" applyProtection="0"/>
    <xf numFmtId="0" fontId="141" fillId="0" borderId="40" applyNumberFormat="0" applyFill="0" applyAlignment="0" applyProtection="0"/>
    <xf numFmtId="0" fontId="141" fillId="0" borderId="40" applyNumberFormat="0" applyFill="0" applyAlignment="0" applyProtection="0"/>
    <xf numFmtId="0" fontId="141" fillId="0" borderId="40" applyNumberFormat="0" applyFill="0" applyAlignment="0" applyProtection="0"/>
    <xf numFmtId="0" fontId="141" fillId="0" borderId="40" applyNumberFormat="0" applyFill="0" applyAlignment="0" applyProtection="0"/>
    <xf numFmtId="0" fontId="141" fillId="0" borderId="40" applyNumberFormat="0" applyFill="0" applyAlignment="0" applyProtection="0"/>
    <xf numFmtId="0" fontId="90" fillId="0" borderId="40" applyNumberFormat="0" applyFill="0" applyAlignment="0" applyProtection="0"/>
    <xf numFmtId="0" fontId="90" fillId="0" borderId="40" applyNumberFormat="0" applyFill="0" applyAlignment="0" applyProtection="0"/>
    <xf numFmtId="0" fontId="141" fillId="0" borderId="40" applyNumberFormat="0" applyFill="0" applyAlignment="0" applyProtection="0"/>
    <xf numFmtId="188" fontId="122" fillId="0" borderId="0" applyFont="0" applyFill="0" applyBorder="0">
      <alignment horizontal="left"/>
    </xf>
    <xf numFmtId="188" fontId="122" fillId="0" borderId="0" applyFont="0" applyFill="0" applyBorder="0">
      <alignment horizontal="left"/>
    </xf>
    <xf numFmtId="191" fontId="142" fillId="0" borderId="0">
      <alignment horizontal="left" vertical="top"/>
      <protection locked="0"/>
    </xf>
    <xf numFmtId="191" fontId="128" fillId="0" borderId="0" applyFont="0"/>
    <xf numFmtId="179" fontId="6" fillId="0" borderId="0" applyFont="0" applyFill="0" applyBorder="0" applyAlignment="0" applyProtection="0"/>
    <xf numFmtId="170" fontId="6" fillId="0" borderId="0" applyFont="0" applyFill="0" applyBorder="0" applyAlignment="0" applyProtection="0"/>
    <xf numFmtId="197" fontId="6" fillId="0" borderId="0" applyFont="0" applyFill="0" applyBorder="0" applyAlignment="0" applyProtection="0"/>
    <xf numFmtId="198" fontId="6" fillId="0" borderId="0" applyFont="0" applyFill="0" applyBorder="0" applyAlignment="0" applyProtection="0"/>
    <xf numFmtId="188" fontId="122" fillId="0" borderId="0" applyFont="0" applyFill="0" applyBorder="0">
      <alignment horizontal="left"/>
    </xf>
    <xf numFmtId="0" fontId="143" fillId="0" borderId="23"/>
    <xf numFmtId="199" fontId="6" fillId="0" borderId="0" applyFont="0" applyFill="0" applyBorder="0" applyAlignment="0" applyProtection="0"/>
    <xf numFmtId="200" fontId="6" fillId="0" borderId="0" applyFont="0" applyFill="0" applyBorder="0" applyAlignment="0" applyProtection="0"/>
    <xf numFmtId="188" fontId="122" fillId="0" borderId="0" applyFont="0">
      <alignment horizontal="left"/>
    </xf>
    <xf numFmtId="0" fontId="144" fillId="40" borderId="0" applyNumberFormat="0" applyBorder="0" applyAlignment="0" applyProtection="0"/>
    <xf numFmtId="0" fontId="144" fillId="40" borderId="0" applyNumberFormat="0" applyBorder="0" applyAlignment="0" applyProtection="0"/>
    <xf numFmtId="0" fontId="144" fillId="40" borderId="0" applyNumberFormat="0" applyBorder="0" applyAlignment="0" applyProtection="0"/>
    <xf numFmtId="0" fontId="144" fillId="40" borderId="0" applyNumberFormat="0" applyBorder="0" applyAlignment="0" applyProtection="0"/>
    <xf numFmtId="0" fontId="144" fillId="40" borderId="0" applyNumberFormat="0" applyBorder="0" applyAlignment="0" applyProtection="0"/>
    <xf numFmtId="0" fontId="144" fillId="40" borderId="0" applyNumberFormat="0" applyBorder="0" applyAlignment="0" applyProtection="0"/>
    <xf numFmtId="0" fontId="144" fillId="40" borderId="0" applyNumberFormat="0" applyBorder="0" applyAlignment="0" applyProtection="0"/>
    <xf numFmtId="0" fontId="144" fillId="40" borderId="0" applyNumberFormat="0" applyBorder="0" applyAlignment="0" applyProtection="0"/>
    <xf numFmtId="0" fontId="91" fillId="40" borderId="0" applyNumberFormat="0" applyBorder="0" applyAlignment="0" applyProtection="0"/>
    <xf numFmtId="0" fontId="91" fillId="40" borderId="0" applyNumberFormat="0" applyBorder="0" applyAlignment="0" applyProtection="0"/>
    <xf numFmtId="0" fontId="91" fillId="40" borderId="0" applyNumberFormat="0" applyBorder="0" applyAlignment="0" applyProtection="0"/>
    <xf numFmtId="0" fontId="91" fillId="40" borderId="0" applyNumberFormat="0" applyBorder="0" applyAlignment="0" applyProtection="0"/>
    <xf numFmtId="0" fontId="91" fillId="40" borderId="0" applyNumberFormat="0" applyBorder="0" applyAlignment="0" applyProtection="0"/>
    <xf numFmtId="0" fontId="91" fillId="40" borderId="0" applyNumberFormat="0" applyBorder="0" applyAlignment="0" applyProtection="0"/>
    <xf numFmtId="0" fontId="91" fillId="40" borderId="0" applyNumberFormat="0" applyBorder="0" applyAlignment="0" applyProtection="0"/>
    <xf numFmtId="0" fontId="91" fillId="40" borderId="0" applyNumberFormat="0" applyBorder="0" applyAlignment="0" applyProtection="0"/>
    <xf numFmtId="0" fontId="91" fillId="40" borderId="0" applyNumberFormat="0" applyBorder="0" applyAlignment="0" applyProtection="0"/>
    <xf numFmtId="0" fontId="91" fillId="40" borderId="0" applyNumberFormat="0" applyBorder="0" applyAlignment="0" applyProtection="0"/>
    <xf numFmtId="0" fontId="91" fillId="40" borderId="0" applyNumberFormat="0" applyBorder="0" applyAlignment="0" applyProtection="0"/>
    <xf numFmtId="0" fontId="91" fillId="40" borderId="0" applyNumberFormat="0" applyBorder="0" applyAlignment="0" applyProtection="0"/>
    <xf numFmtId="0" fontId="91" fillId="40" borderId="0" applyNumberFormat="0" applyBorder="0" applyAlignment="0" applyProtection="0"/>
    <xf numFmtId="0" fontId="91" fillId="40" borderId="0" applyNumberFormat="0" applyBorder="0" applyAlignment="0" applyProtection="0"/>
    <xf numFmtId="0" fontId="91" fillId="40" borderId="0" applyNumberFormat="0" applyBorder="0" applyAlignment="0" applyProtection="0"/>
    <xf numFmtId="0" fontId="144" fillId="40" borderId="0" applyNumberFormat="0" applyBorder="0" applyAlignment="0" applyProtection="0"/>
    <xf numFmtId="0" fontId="144" fillId="40" borderId="0" applyNumberFormat="0" applyBorder="0" applyAlignment="0" applyProtection="0"/>
    <xf numFmtId="0" fontId="144" fillId="40" borderId="0" applyNumberFormat="0" applyBorder="0" applyAlignment="0" applyProtection="0"/>
    <xf numFmtId="0" fontId="144" fillId="40" borderId="0" applyNumberFormat="0" applyBorder="0" applyAlignment="0" applyProtection="0"/>
    <xf numFmtId="0" fontId="144" fillId="40" borderId="0" applyNumberFormat="0" applyBorder="0" applyAlignment="0" applyProtection="0"/>
    <xf numFmtId="0" fontId="91" fillId="40" borderId="0" applyNumberFormat="0" applyBorder="0" applyAlignment="0" applyProtection="0"/>
    <xf numFmtId="0" fontId="91" fillId="40" borderId="0" applyNumberFormat="0" applyBorder="0" applyAlignment="0" applyProtection="0"/>
    <xf numFmtId="0" fontId="144" fillId="40" borderId="0" applyNumberFormat="0" applyBorder="0" applyAlignment="0" applyProtection="0"/>
    <xf numFmtId="37" fontId="145" fillId="0" borderId="0"/>
    <xf numFmtId="167" fontId="13" fillId="0" borderId="0"/>
    <xf numFmtId="169" fontId="15" fillId="0" borderId="0"/>
    <xf numFmtId="169" fontId="15" fillId="0" borderId="0"/>
    <xf numFmtId="169" fontId="15" fillId="0" borderId="0"/>
    <xf numFmtId="0" fontId="6" fillId="0" borderId="0"/>
    <xf numFmtId="0" fontId="6" fillId="0" borderId="0"/>
    <xf numFmtId="0" fontId="6" fillId="0" borderId="0"/>
    <xf numFmtId="0" fontId="146" fillId="0" borderId="0"/>
    <xf numFmtId="0" fontId="146" fillId="0" borderId="0"/>
    <xf numFmtId="0" fontId="146" fillId="0" borderId="0"/>
    <xf numFmtId="0" fontId="146" fillId="0" borderId="0"/>
    <xf numFmtId="0" fontId="6" fillId="0" borderId="0"/>
    <xf numFmtId="0" fontId="6"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0" fontId="117" fillId="0" borderId="0"/>
    <xf numFmtId="201" fontId="17" fillId="0" borderId="0"/>
    <xf numFmtId="0" fontId="6"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0" fontId="6" fillId="0" borderId="0"/>
    <xf numFmtId="0" fontId="6" fillId="0" borderId="0"/>
    <xf numFmtId="0" fontId="6" fillId="0" borderId="0"/>
    <xf numFmtId="0" fontId="6" fillId="0" borderId="0"/>
    <xf numFmtId="0" fontId="6"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0" fontId="6" fillId="0" borderId="0"/>
    <xf numFmtId="0" fontId="6" fillId="0" borderId="0"/>
    <xf numFmtId="0" fontId="6" fillId="0" borderId="0"/>
    <xf numFmtId="0" fontId="9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0" fontId="6" fillId="0" borderId="0"/>
    <xf numFmtId="0" fontId="6" fillId="0" borderId="0"/>
    <xf numFmtId="0" fontId="6" fillId="0" borderId="0"/>
    <xf numFmtId="0" fontId="6" fillId="0" borderId="0"/>
    <xf numFmtId="0" fontId="6"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0" fontId="6" fillId="0" borderId="0"/>
    <xf numFmtId="0" fontId="6" fillId="0" borderId="0"/>
    <xf numFmtId="0" fontId="6" fillId="0" borderId="0"/>
    <xf numFmtId="0" fontId="6" fillId="0" borderId="0"/>
    <xf numFmtId="0" fontId="6"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7" fillId="0" borderId="0"/>
    <xf numFmtId="201" fontId="17" fillId="0" borderId="0"/>
    <xf numFmtId="201" fontId="17" fillId="0" borderId="0"/>
    <xf numFmtId="201" fontId="17" fillId="0" borderId="0"/>
    <xf numFmtId="201" fontId="17" fillId="0" borderId="0"/>
    <xf numFmtId="201" fontId="17" fillId="0" borderId="0"/>
    <xf numFmtId="0" fontId="6"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6" fillId="0" borderId="0"/>
    <xf numFmtId="0" fontId="17" fillId="0" borderId="0"/>
    <xf numFmtId="0" fontId="1"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47" fillId="0" borderId="0"/>
    <xf numFmtId="0" fontId="117" fillId="0" borderId="0"/>
    <xf numFmtId="171" fontId="11" fillId="0" borderId="0"/>
    <xf numFmtId="0" fontId="6" fillId="0" borderId="0"/>
    <xf numFmtId="0" fontId="6" fillId="0" borderId="0"/>
    <xf numFmtId="0" fontId="6" fillId="0" borderId="0"/>
    <xf numFmtId="0" fontId="6" fillId="0" borderId="0"/>
    <xf numFmtId="0" fontId="6" fillId="0" borderId="0"/>
    <xf numFmtId="0" fontId="122" fillId="0" borderId="0"/>
    <xf numFmtId="0" fontId="122" fillId="0" borderId="0"/>
    <xf numFmtId="0" fontId="122" fillId="0" borderId="0"/>
    <xf numFmtId="0" fontId="122" fillId="0" borderId="0"/>
    <xf numFmtId="0" fontId="6" fillId="0" borderId="0"/>
    <xf numFmtId="0" fontId="6"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7" fillId="0" borderId="0"/>
    <xf numFmtId="0" fontId="117" fillId="0" borderId="0"/>
    <xf numFmtId="0" fontId="117" fillId="0" borderId="0"/>
    <xf numFmtId="0" fontId="6" fillId="0" borderId="0"/>
    <xf numFmtId="0" fontId="6" fillId="0" borderId="0"/>
    <xf numFmtId="0" fontId="6" fillId="0" borderId="0"/>
    <xf numFmtId="0" fontId="6" fillId="0" borderId="0"/>
    <xf numFmtId="0" fontId="11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7" fillId="0" borderId="0"/>
    <xf numFmtId="0" fontId="117" fillId="0" borderId="0"/>
    <xf numFmtId="0" fontId="6" fillId="0" borderId="0"/>
    <xf numFmtId="0" fontId="117" fillId="0" borderId="0"/>
    <xf numFmtId="0" fontId="11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7" fillId="0" borderId="0"/>
    <xf numFmtId="0" fontId="1" fillId="0" borderId="0"/>
    <xf numFmtId="0" fontId="7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7"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7"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7" fillId="0" borderId="0"/>
    <xf numFmtId="201" fontId="6" fillId="0" borderId="0"/>
    <xf numFmtId="0" fontId="6" fillId="0" borderId="0"/>
    <xf numFmtId="0" fontId="6" fillId="0" borderId="0"/>
    <xf numFmtId="0" fontId="6" fillId="0" borderId="0"/>
    <xf numFmtId="201" fontId="6" fillId="0" borderId="0"/>
    <xf numFmtId="0" fontId="6" fillId="0" borderId="0"/>
    <xf numFmtId="0" fontId="6" fillId="0" borderId="0"/>
    <xf numFmtId="0" fontId="6" fillId="0" borderId="0"/>
    <xf numFmtId="201"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201" fontId="17" fillId="0" borderId="0"/>
    <xf numFmtId="201" fontId="17" fillId="0" borderId="0"/>
    <xf numFmtId="201" fontId="17" fillId="0" borderId="0"/>
    <xf numFmtId="201" fontId="17" fillId="0" borderId="0"/>
    <xf numFmtId="0" fontId="17" fillId="0" borderId="0"/>
    <xf numFmtId="0" fontId="17" fillId="0" borderId="0"/>
    <xf numFmtId="201" fontId="17" fillId="0" borderId="0"/>
    <xf numFmtId="201"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201"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xf numFmtId="0" fontId="6" fillId="0" borderId="0"/>
    <xf numFmtId="0" fontId="6" fillId="0" borderId="0"/>
    <xf numFmtId="0" fontId="6"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 fillId="0" borderId="0"/>
    <xf numFmtId="0" fontId="1" fillId="0" borderId="0"/>
    <xf numFmtId="0" fontId="1" fillId="0" borderId="0"/>
    <xf numFmtId="0" fontId="70" fillId="0" borderId="0" applyNumberFormat="0" applyFill="0" applyBorder="0" applyAlignment="0" applyProtection="0"/>
    <xf numFmtId="0" fontId="1" fillId="0" borderId="0"/>
    <xf numFmtId="0" fontId="1" fillId="0" borderId="0"/>
    <xf numFmtId="0" fontId="1" fillId="0" borderId="0"/>
    <xf numFmtId="0" fontId="1" fillId="0" borderId="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 fillId="0" borderId="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 fillId="0" borderId="0"/>
    <xf numFmtId="0" fontId="1" fillId="0" borderId="0"/>
    <xf numFmtId="0" fontId="6" fillId="0" borderId="0" applyNumberFormat="0" applyFont="0" applyFill="0" applyBorder="0" applyAlignment="0" applyProtection="0"/>
    <xf numFmtId="0" fontId="6" fillId="0" borderId="0"/>
    <xf numFmtId="0" fontId="6" fillId="0" borderId="0"/>
    <xf numFmtId="0" fontId="1" fillId="0" borderId="0"/>
    <xf numFmtId="0" fontId="6"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 fillId="0" borderId="0"/>
    <xf numFmtId="0" fontId="1" fillId="0" borderId="0"/>
    <xf numFmtId="0" fontId="70" fillId="0" borderId="0" applyNumberForma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 fillId="0" borderId="0"/>
    <xf numFmtId="0" fontId="1" fillId="0" borderId="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70" fillId="0" borderId="0" applyNumberFormat="0" applyFill="0" applyBorder="0" applyAlignment="0" applyProtection="0"/>
    <xf numFmtId="0" fontId="1" fillId="0" borderId="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 fillId="0" borderId="0"/>
    <xf numFmtId="0" fontId="1" fillId="0" borderId="0"/>
    <xf numFmtId="0" fontId="1"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 fillId="0" borderId="0"/>
    <xf numFmtId="0" fontId="1" fillId="0" borderId="0"/>
    <xf numFmtId="0" fontId="1" fillId="0" borderId="0"/>
    <xf numFmtId="0" fontId="1"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 fillId="0" borderId="0"/>
    <xf numFmtId="0" fontId="6" fillId="0" borderId="0" applyNumberFormat="0" applyFont="0" applyFill="0" applyBorder="0" applyAlignment="0" applyProtection="0"/>
    <xf numFmtId="0" fontId="6" fillId="0" borderId="0"/>
    <xf numFmtId="0" fontId="6" fillId="0" borderId="0"/>
    <xf numFmtId="0" fontId="6" fillId="0" borderId="0"/>
    <xf numFmtId="0" fontId="6"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 fillId="0" borderId="0"/>
    <xf numFmtId="0" fontId="6" fillId="0" borderId="0" applyNumberFormat="0" applyFont="0" applyFill="0" applyBorder="0" applyAlignment="0" applyProtection="0"/>
    <xf numFmtId="0" fontId="6" fillId="0" borderId="0"/>
    <xf numFmtId="0" fontId="6" fillId="0" borderId="0"/>
    <xf numFmtId="0" fontId="6" fillId="0" borderId="0"/>
    <xf numFmtId="0" fontId="6"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 fillId="0" borderId="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 fillId="0" borderId="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6" fillId="0" borderId="0" applyNumberFormat="0" applyFont="0" applyFill="0" applyBorder="0" applyAlignment="0" applyProtection="0"/>
    <xf numFmtId="0" fontId="1" fillId="0" borderId="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6" fillId="0" borderId="0" applyNumberFormat="0" applyFon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 fillId="0" borderId="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 fillId="0" borderId="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6" fillId="0" borderId="0" applyNumberFormat="0" applyFon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 fillId="0" borderId="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 fillId="0" borderId="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56"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xf numFmtId="0" fontId="11"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17"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6" fillId="0" borderId="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 fillId="0" borderId="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xf numFmtId="0" fontId="6" fillId="0" borderId="0" applyNumberFormat="0" applyFon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6"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 fillId="0" borderId="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 fillId="0" borderId="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 fillId="0" borderId="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 fillId="0" borderId="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xf numFmtId="0" fontId="6" fillId="0" borderId="0"/>
    <xf numFmtId="0" fontId="6" fillId="0" borderId="0"/>
    <xf numFmtId="0" fontId="6"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77" fillId="0" borderId="0"/>
    <xf numFmtId="0" fontId="6" fillId="0" borderId="0"/>
    <xf numFmtId="0" fontId="11"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 fillId="0" borderId="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xf numFmtId="0" fontId="6" fillId="0" borderId="0" applyNumberFormat="0" applyFon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xf numFmtId="0" fontId="6" fillId="0" borderId="0"/>
    <xf numFmtId="0" fontId="6" fillId="0" borderId="0"/>
    <xf numFmtId="0" fontId="6"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xf numFmtId="0" fontId="6" fillId="0" borderId="0"/>
    <xf numFmtId="0" fontId="6" fillId="0" borderId="0"/>
    <xf numFmtId="0" fontId="6"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xf numFmtId="0" fontId="6" fillId="0" borderId="0"/>
    <xf numFmtId="0" fontId="6" fillId="0" borderId="0"/>
    <xf numFmtId="0" fontId="6"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17" fillId="0" borderId="0"/>
    <xf numFmtId="0" fontId="6" fillId="0" borderId="0" applyNumberFormat="0" applyFont="0" applyFill="0" applyBorder="0" applyAlignment="0" applyProtection="0"/>
    <xf numFmtId="0" fontId="17"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17"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xf numFmtId="0" fontId="6" fillId="0" borderId="0" applyNumberFormat="0" applyFont="0" applyFill="0" applyBorder="0" applyAlignment="0" applyProtection="0"/>
    <xf numFmtId="0" fontId="1" fillId="0" borderId="0"/>
    <xf numFmtId="0" fontId="6" fillId="0" borderId="0" applyNumberFormat="0" applyFont="0" applyFill="0" applyBorder="0" applyAlignment="0" applyProtection="0"/>
    <xf numFmtId="0" fontId="17"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xf numFmtId="0" fontId="6" fillId="0" borderId="0"/>
    <xf numFmtId="0" fontId="6" fillId="0" borderId="0"/>
    <xf numFmtId="0" fontId="6"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0" borderId="0"/>
    <xf numFmtId="0" fontId="6" fillId="0" borderId="0" applyNumberFormat="0" applyFont="0" applyFill="0" applyBorder="0" applyAlignment="0" applyProtection="0"/>
    <xf numFmtId="0" fontId="17" fillId="0" borderId="0"/>
    <xf numFmtId="0" fontId="17" fillId="0" borderId="0"/>
    <xf numFmtId="0" fontId="17" fillId="0" borderId="0"/>
    <xf numFmtId="0" fontId="17"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0" borderId="0"/>
    <xf numFmtId="0" fontId="17" fillId="0" borderId="0"/>
    <xf numFmtId="0" fontId="17" fillId="0" borderId="0"/>
    <xf numFmtId="0" fontId="17"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xf numFmtId="0" fontId="6" fillId="0" borderId="0" applyNumberFormat="0" applyFont="0" applyFill="0" applyBorder="0" applyAlignment="0" applyProtection="0"/>
    <xf numFmtId="0" fontId="6" fillId="0" borderId="0"/>
    <xf numFmtId="0" fontId="6" fillId="0" borderId="0"/>
    <xf numFmtId="0" fontId="6" fillId="0" borderId="0"/>
    <xf numFmtId="0" fontId="6"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xf numFmtId="0" fontId="6" fillId="0" borderId="0"/>
    <xf numFmtId="0" fontId="6" fillId="0" borderId="0"/>
    <xf numFmtId="0" fontId="6"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 fillId="0" borderId="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 fillId="0" borderId="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6" fillId="0" borderId="0" applyNumberFormat="0" applyFon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6" fillId="0" borderId="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 fillId="0" borderId="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17" fillId="0" borderId="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 fillId="0" borderId="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 fillId="0" borderId="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6" fillId="0" borderId="0" applyNumberFormat="0" applyFon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 fillId="0" borderId="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 fillId="0" borderId="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70" fillId="0" borderId="0" applyNumberFormat="0" applyFill="0" applyBorder="0" applyAlignment="0" applyProtection="0"/>
    <xf numFmtId="0" fontId="146" fillId="0" borderId="0"/>
    <xf numFmtId="0" fontId="146" fillId="0" borderId="0"/>
    <xf numFmtId="0" fontId="146" fillId="0" borderId="0"/>
    <xf numFmtId="0" fontId="146" fillId="0" borderId="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46"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41" borderId="41" applyNumberFormat="0" applyFont="0" applyAlignment="0" applyProtection="0"/>
    <xf numFmtId="0" fontId="6"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41" borderId="41" applyNumberFormat="0" applyFont="0" applyAlignment="0" applyProtection="0"/>
    <xf numFmtId="0" fontId="6" fillId="41" borderId="41" applyNumberFormat="0" applyFont="0" applyAlignment="0" applyProtection="0"/>
    <xf numFmtId="0" fontId="6" fillId="41" borderId="41" applyNumberFormat="0" applyFont="0" applyAlignment="0" applyProtection="0"/>
    <xf numFmtId="0" fontId="6"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41" borderId="41" applyNumberFormat="0" applyFont="0" applyAlignment="0" applyProtection="0"/>
    <xf numFmtId="0" fontId="6"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7" fillId="41" borderId="41"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41" borderId="41" applyNumberFormat="0" applyFont="0" applyAlignment="0" applyProtection="0"/>
    <xf numFmtId="0" fontId="6" fillId="41" borderId="41" applyNumberFormat="0" applyFont="0" applyAlignment="0" applyProtection="0"/>
    <xf numFmtId="0" fontId="6" fillId="41" borderId="41" applyNumberFormat="0" applyFont="0" applyAlignment="0" applyProtection="0"/>
    <xf numFmtId="0" fontId="6" fillId="41" borderId="55" applyNumberFormat="0" applyFon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93" fontId="128" fillId="0" borderId="0" applyFont="0">
      <protection locked="0"/>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95" fillId="38" borderId="42" applyNumberForma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8" fillId="38" borderId="42" applyNumberForma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8" fillId="38" borderId="42" applyNumberForma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8" fillId="38" borderId="42" applyNumberForma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8" fillId="38" borderId="42" applyNumberForma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8" fillId="38" borderId="42" applyNumberForma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95" fillId="38" borderId="42" applyNumberForma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8" fillId="38" borderId="42" applyNumberForma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8" fillId="38" borderId="42" applyNumberForma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8" fillId="38" borderId="42" applyNumberForma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8" fillId="38" borderId="42" applyNumberForma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8" fillId="38" borderId="42" applyNumberForma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8" fillId="38" borderId="42" applyNumberForma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8" fillId="38" borderId="42" applyNumberForma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8" fillId="38" borderId="42" applyNumberForma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8" fillId="38" borderId="42" applyNumberForma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8" fillId="38" borderId="42" applyNumberForma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8" fillId="38" borderId="42" applyNumberForma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8" fillId="38" borderId="42" applyNumberForma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8" fillId="38" borderId="42" applyNumberForma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8" fillId="38" borderId="42" applyNumberForma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95" fillId="38" borderId="42" applyNumberFormat="0" applyAlignment="0" applyProtection="0"/>
    <xf numFmtId="0" fontId="148" fillId="38" borderId="42" applyNumberFormat="0" applyAlignment="0" applyProtection="0"/>
    <xf numFmtId="0" fontId="148" fillId="38" borderId="42" applyNumberFormat="0" applyAlignment="0" applyProtection="0"/>
    <xf numFmtId="0" fontId="148" fillId="38" borderId="42" applyNumberFormat="0" applyAlignment="0" applyProtection="0"/>
    <xf numFmtId="0" fontId="148" fillId="38" borderId="42" applyNumberFormat="0" applyAlignment="0" applyProtection="0"/>
    <xf numFmtId="0" fontId="148" fillId="38" borderId="42" applyNumberFormat="0" applyAlignment="0" applyProtection="0"/>
    <xf numFmtId="0" fontId="148" fillId="38" borderId="42" applyNumberFormat="0" applyAlignment="0" applyProtection="0"/>
    <xf numFmtId="0" fontId="148" fillId="38" borderId="42" applyNumberFormat="0" applyAlignment="0" applyProtection="0"/>
    <xf numFmtId="0" fontId="148" fillId="38" borderId="42" applyNumberFormat="0" applyAlignment="0" applyProtection="0"/>
    <xf numFmtId="0" fontId="148" fillId="38" borderId="42" applyNumberFormat="0" applyAlignment="0" applyProtection="0"/>
    <xf numFmtId="0" fontId="148" fillId="38" borderId="42" applyNumberFormat="0" applyAlignment="0" applyProtection="0"/>
    <xf numFmtId="0" fontId="148" fillId="38" borderId="42" applyNumberFormat="0" applyAlignment="0" applyProtection="0"/>
    <xf numFmtId="0" fontId="148" fillId="38" borderId="42" applyNumberFormat="0" applyAlignment="0" applyProtection="0"/>
    <xf numFmtId="0" fontId="148" fillId="38" borderId="42" applyNumberFormat="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0" fontId="6" fillId="0" borderId="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9" fontId="6" fillId="0" borderId="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9" fontId="17" fillId="0" borderId="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9" fontId="6" fillId="0" borderId="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9" fontId="6" fillId="0" borderId="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9" fontId="6" fillId="0" borderId="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9" fontId="17" fillId="0" borderId="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9" fontId="17" fillId="0" borderId="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9" fontId="17" fillId="0" borderId="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9" fontId="17" fillId="0" borderId="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9" fontId="17" fillId="0" borderId="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9" fontId="17" fillId="0" borderId="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9" fontId="17" fillId="0" borderId="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9" fontId="17" fillId="0" borderId="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9" fontId="17" fillId="0" borderId="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9" fontId="17" fillId="0" borderId="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9" fontId="17" fillId="0" borderId="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9" fontId="17" fillId="0" borderId="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9" fontId="17" fillId="0" borderId="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9" fontId="17" fillId="0" borderId="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9" fontId="17" fillId="0" borderId="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9" fontId="6" fillId="0" borderId="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9" fillId="0" borderId="0" applyFont="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40" fontId="122" fillId="0" borderId="0" applyFont="0">
      <protection locked="0"/>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40" fontId="129" fillId="0" borderId="0" applyFont="0">
      <protection locked="0"/>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85" fontId="150" fillId="0" borderId="0" applyNumberFormat="0" applyFill="0" applyBorder="0" applyAlignment="0" applyProtection="0">
      <alignment horizontal="left"/>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91" fontId="151" fillId="0" borderId="0" applyFont="0">
      <alignment horizontal="left"/>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52" fillId="0" borderId="0" applyNumberForma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53" fillId="0" borderId="0" applyNumberFormat="0" applyFill="0" applyBorder="0" applyAlignment="0" applyProtection="0">
      <alignment vertical="top"/>
      <protection locked="0"/>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54" fillId="0" borderId="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 fillId="0" borderId="15"/>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 fillId="0" borderId="56"/>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06"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77"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77" fillId="0" borderId="0"/>
    <xf numFmtId="0" fontId="77" fillId="0" borderId="0"/>
    <xf numFmtId="0" fontId="77" fillId="0" borderId="0"/>
    <xf numFmtId="0" fontId="77"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 fillId="0" borderId="0"/>
    <xf numFmtId="0" fontId="12" fillId="0" borderId="0"/>
    <xf numFmtId="0" fontId="77" fillId="0" borderId="0"/>
    <xf numFmtId="0" fontId="12" fillId="0" borderId="0"/>
    <xf numFmtId="0" fontId="12"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91" fontId="147" fillId="0" borderId="0">
      <alignment horizontal="right" vertical="top"/>
      <protection locked="0"/>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3"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55" fillId="0" borderId="0" applyNumberFormat="0" applyProtection="0">
      <alignment wrapText="1"/>
      <protection locked="0"/>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40" fontId="156" fillId="0" borderId="0" applyBorder="0">
      <alignment horizontal="right"/>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91" fontId="122" fillId="0" borderId="0" applyFont="0">
      <protection locked="0"/>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91" fontId="122" fillId="0" borderId="0" applyFill="0" applyProtection="0">
      <protection locked="0"/>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1"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57" fillId="0" borderId="48"/>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40" fontId="102"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58" fillId="59"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59" fillId="0" borderId="0" applyNumberFormat="0" applyFill="0" applyBorder="0" applyAlignment="0" applyProtection="0"/>
    <xf numFmtId="0" fontId="6" fillId="0" borderId="0" applyNumberFormat="0" applyFon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152" fillId="0" borderId="0" applyNumberForma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88" fontId="160" fillId="0" borderId="10" applyNumberFormat="0" applyFill="0" applyProtection="0">
      <alignment horizont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97"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97" fillId="0" borderId="43" applyNumberFormat="0" applyFill="0" applyAlignment="0" applyProtection="0"/>
    <xf numFmtId="0" fontId="97" fillId="0" borderId="43" applyNumberFormat="0" applyFill="0" applyAlignment="0" applyProtection="0"/>
    <xf numFmtId="0" fontId="97" fillId="0" borderId="43" applyNumberFormat="0" applyFill="0" applyAlignment="0" applyProtection="0"/>
    <xf numFmtId="0" fontId="97"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97"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23" fillId="0" borderId="43"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97" fillId="0" borderId="43" applyNumberFormat="0" applyFill="0" applyAlignment="0" applyProtection="0"/>
    <xf numFmtId="0" fontId="97" fillId="0" borderId="43" applyNumberFormat="0" applyFill="0" applyAlignment="0" applyProtection="0"/>
    <xf numFmtId="0" fontId="123" fillId="0" borderId="57" applyNumberFormat="0" applyFill="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91" fontId="129"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8"/>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40" fillId="0" borderId="51"/>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43" fontId="6" fillId="0" borderId="48" applyFill="0">
      <alignment horizontal="right"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202" fontId="122" fillId="0" borderId="0" applyFill="0">
      <alignment horizont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91" fontId="122" fillId="0" borderId="0" applyFont="0">
      <alignment horizontal="center"/>
      <protection locked="0"/>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169" fontId="142" fillId="0" borderId="44">
      <alignment horizontal="center" vertical="center"/>
    </xf>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61" fillId="0" borderId="0" applyNumberForma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61" fillId="0" borderId="0" applyNumberForma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61" fillId="0" borderId="0" applyNumberForma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161" fillId="0" borderId="0" applyNumberForma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6" fillId="0" borderId="0" applyNumberFormat="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6" fillId="0" borderId="0"/>
    <xf numFmtId="0" fontId="12" fillId="0" borderId="0"/>
    <xf numFmtId="0" fontId="12" fillId="0" borderId="0"/>
    <xf numFmtId="0" fontId="6" fillId="0" borderId="0"/>
    <xf numFmtId="0" fontId="17" fillId="0" borderId="0"/>
    <xf numFmtId="0" fontId="162" fillId="0" borderId="0"/>
    <xf numFmtId="0" fontId="14" fillId="0" borderId="0"/>
    <xf numFmtId="0" fontId="1" fillId="0" borderId="0"/>
    <xf numFmtId="0" fontId="6" fillId="0" borderId="0"/>
    <xf numFmtId="43" fontId="6" fillId="0" borderId="0" applyFont="0" applyFill="0" applyBorder="0" applyAlignment="0" applyProtection="0"/>
    <xf numFmtId="0" fontId="6" fillId="0" borderId="0"/>
    <xf numFmtId="43" fontId="6" fillId="0" borderId="0" applyFont="0" applyFill="0" applyBorder="0" applyAlignment="0" applyProtection="0"/>
    <xf numFmtId="0" fontId="83" fillId="0" borderId="0"/>
    <xf numFmtId="0" fontId="163" fillId="0" borderId="0"/>
    <xf numFmtId="43" fontId="163" fillId="0" borderId="0" applyFont="0" applyFill="0" applyBorder="0" applyAlignment="0" applyProtection="0"/>
    <xf numFmtId="177" fontId="164" fillId="0" borderId="0" applyFont="0" applyFill="0" applyBorder="0" applyAlignment="0" applyProtection="0"/>
    <xf numFmtId="170" fontId="163" fillId="0" borderId="0" applyFont="0" applyFill="0" applyBorder="0" applyAlignment="0" applyProtection="0"/>
    <xf numFmtId="43" fontId="1" fillId="0" borderId="0" applyFont="0" applyFill="0" applyBorder="0" applyAlignment="0" applyProtection="0"/>
    <xf numFmtId="0" fontId="6" fillId="0" borderId="0"/>
    <xf numFmtId="0" fontId="165" fillId="0" borderId="0"/>
    <xf numFmtId="0" fontId="166" fillId="60" borderId="0" applyNumberFormat="0" applyBorder="0" applyAlignment="0" applyProtection="0"/>
    <xf numFmtId="0" fontId="167" fillId="18" borderId="34" applyNumberFormat="0" applyAlignment="0" applyProtection="0"/>
    <xf numFmtId="0" fontId="168" fillId="19" borderId="34" applyNumberFormat="0" applyAlignment="0" applyProtection="0"/>
    <xf numFmtId="43" fontId="1" fillId="0" borderId="0" applyFont="0" applyFill="0" applyBorder="0" applyAlignment="0" applyProtection="0"/>
    <xf numFmtId="0" fontId="165" fillId="0" borderId="0"/>
    <xf numFmtId="0" fontId="97" fillId="0" borderId="43" applyNumberFormat="0" applyFill="0" applyAlignment="0" applyProtection="0"/>
    <xf numFmtId="43" fontId="1" fillId="0" borderId="0" applyFont="0" applyFill="0" applyBorder="0" applyAlignment="0" applyProtection="0"/>
    <xf numFmtId="0" fontId="6" fillId="0" borderId="0"/>
    <xf numFmtId="43" fontId="1" fillId="0" borderId="0" applyFont="0" applyFill="0" applyBorder="0" applyAlignment="0" applyProtection="0"/>
    <xf numFmtId="0" fontId="169" fillId="0" borderId="0"/>
    <xf numFmtId="0" fontId="12" fillId="0" borderId="0"/>
    <xf numFmtId="0" fontId="6" fillId="0" borderId="0"/>
    <xf numFmtId="0" fontId="6" fillId="0" borderId="0"/>
    <xf numFmtId="0" fontId="1" fillId="0" borderId="0"/>
    <xf numFmtId="0" fontId="6"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6" fillId="0" borderId="0" applyFont="0" applyFill="0" applyBorder="0" applyAlignment="0" applyProtection="0"/>
  </cellStyleXfs>
  <cellXfs count="1612">
    <xf numFmtId="0" fontId="0" fillId="0" borderId="0" xfId="0"/>
    <xf numFmtId="0" fontId="4" fillId="0" borderId="0" xfId="0" applyFont="1"/>
    <xf numFmtId="0" fontId="4" fillId="0" borderId="0" xfId="0" applyFont="1" applyAlignment="1">
      <alignment vertical="center"/>
    </xf>
    <xf numFmtId="0" fontId="4" fillId="0" borderId="0" xfId="0" applyFont="1" applyAlignment="1">
      <alignment horizontal="center" vertical="center"/>
    </xf>
    <xf numFmtId="0" fontId="4" fillId="0" borderId="1" xfId="0" applyFont="1" applyBorder="1"/>
    <xf numFmtId="43" fontId="4" fillId="0" borderId="0" xfId="1" applyFont="1" applyAlignment="1">
      <alignment vertical="center"/>
    </xf>
    <xf numFmtId="0" fontId="5" fillId="2" borderId="1" xfId="0" applyFont="1" applyFill="1" applyBorder="1" applyAlignment="1">
      <alignment vertical="center"/>
    </xf>
    <xf numFmtId="0" fontId="5" fillId="2" borderId="1" xfId="0" applyFont="1" applyFill="1" applyBorder="1" applyAlignment="1">
      <alignment horizontal="center" vertical="center"/>
    </xf>
    <xf numFmtId="43" fontId="5" fillId="2" borderId="1" xfId="1" applyFont="1" applyFill="1" applyBorder="1" applyAlignment="1">
      <alignment vertical="center"/>
    </xf>
    <xf numFmtId="43" fontId="5" fillId="2" borderId="1" xfId="1" applyFont="1" applyFill="1" applyBorder="1" applyAlignment="1">
      <alignment horizontal="center" vertical="center"/>
    </xf>
    <xf numFmtId="0" fontId="5" fillId="0" borderId="1" xfId="0" applyFont="1" applyBorder="1" applyAlignment="1">
      <alignment vertical="center"/>
    </xf>
    <xf numFmtId="0" fontId="4" fillId="0" borderId="1" xfId="0" applyFont="1" applyBorder="1" applyAlignment="1">
      <alignment vertical="center"/>
    </xf>
    <xf numFmtId="0" fontId="4" fillId="0" borderId="1" xfId="0" applyFont="1" applyBorder="1" applyAlignment="1">
      <alignment horizontal="center" vertical="center"/>
    </xf>
    <xf numFmtId="43" fontId="4" fillId="0" borderId="1" xfId="1" applyFont="1" applyBorder="1" applyAlignment="1">
      <alignment vertical="center"/>
    </xf>
    <xf numFmtId="0" fontId="4" fillId="0" borderId="1" xfId="0" applyFont="1" applyBorder="1" applyAlignment="1">
      <alignment vertical="center" wrapText="1"/>
    </xf>
    <xf numFmtId="0" fontId="3" fillId="0" borderId="1" xfId="0" applyFont="1" applyBorder="1"/>
    <xf numFmtId="0" fontId="1" fillId="0" borderId="1" xfId="0" applyFont="1" applyBorder="1"/>
    <xf numFmtId="0" fontId="0" fillId="0" borderId="1" xfId="0" applyBorder="1"/>
    <xf numFmtId="2" fontId="0" fillId="0" borderId="1" xfId="0" applyNumberFormat="1" applyBorder="1"/>
    <xf numFmtId="2" fontId="4" fillId="0" borderId="1" xfId="0" applyNumberFormat="1" applyFont="1" applyBorder="1" applyAlignment="1">
      <alignment vertical="center"/>
    </xf>
    <xf numFmtId="2" fontId="3" fillId="0" borderId="1" xfId="0" applyNumberFormat="1" applyFont="1" applyBorder="1"/>
    <xf numFmtId="2" fontId="0" fillId="0" borderId="0" xfId="0" applyNumberFormat="1"/>
    <xf numFmtId="0" fontId="5" fillId="4" borderId="1" xfId="0" applyFont="1" applyFill="1" applyBorder="1" applyAlignment="1">
      <alignment horizontal="center" vertical="center"/>
    </xf>
    <xf numFmtId="43" fontId="5" fillId="4" borderId="1" xfId="1" applyFont="1" applyFill="1" applyBorder="1" applyAlignment="1">
      <alignment horizontal="center" vertical="center"/>
    </xf>
    <xf numFmtId="0" fontId="5" fillId="2" borderId="1" xfId="0" applyFont="1" applyFill="1" applyBorder="1"/>
    <xf numFmtId="43" fontId="4" fillId="0" borderId="1" xfId="0" applyNumberFormat="1" applyFont="1" applyBorder="1"/>
    <xf numFmtId="0" fontId="5" fillId="0" borderId="1" xfId="0" applyFont="1" applyBorder="1"/>
    <xf numFmtId="43" fontId="5" fillId="0" borderId="1" xfId="0" applyNumberFormat="1" applyFont="1" applyBorder="1"/>
    <xf numFmtId="0" fontId="9" fillId="0" borderId="1" xfId="0" applyFont="1" applyBorder="1" applyAlignment="1">
      <alignment horizontal="justify" vertical="center"/>
    </xf>
    <xf numFmtId="0" fontId="10" fillId="5" borderId="1" xfId="0" applyFont="1" applyFill="1" applyBorder="1" applyAlignment="1">
      <alignment horizontal="justify" vertical="center" wrapText="1"/>
    </xf>
    <xf numFmtId="0" fontId="9" fillId="5" borderId="1" xfId="0" applyFont="1" applyFill="1" applyBorder="1" applyAlignment="1">
      <alignment horizontal="justify" vertical="center" wrapText="1"/>
    </xf>
    <xf numFmtId="2" fontId="10" fillId="0" borderId="1" xfId="1" applyNumberFormat="1" applyFont="1" applyBorder="1" applyAlignment="1" applyProtection="1">
      <alignment horizontal="center" vertical="center"/>
    </xf>
    <xf numFmtId="0" fontId="10" fillId="0" borderId="1" xfId="0" applyFont="1" applyBorder="1" applyAlignment="1">
      <alignment horizontal="justify" vertical="center" wrapText="1"/>
    </xf>
    <xf numFmtId="0" fontId="9" fillId="0" borderId="1" xfId="0" applyFont="1" applyBorder="1" applyAlignment="1">
      <alignment horizontal="center" vertical="center"/>
    </xf>
    <xf numFmtId="166" fontId="9" fillId="0" borderId="1" xfId="1" applyNumberFormat="1" applyFont="1" applyFill="1" applyBorder="1" applyAlignment="1" applyProtection="1">
      <alignment horizontal="center" vertical="center"/>
    </xf>
    <xf numFmtId="0" fontId="9" fillId="0" borderId="0" xfId="0" applyFont="1"/>
    <xf numFmtId="2" fontId="10" fillId="0" borderId="1" xfId="0" applyNumberFormat="1" applyFont="1" applyBorder="1" applyAlignment="1">
      <alignment horizontal="center" vertical="center"/>
    </xf>
    <xf numFmtId="0" fontId="9" fillId="0" borderId="1" xfId="0" applyFont="1" applyBorder="1" applyAlignment="1">
      <alignment horizontal="justify" vertical="center" wrapText="1" shrinkToFit="1"/>
    </xf>
    <xf numFmtId="165" fontId="9" fillId="0" borderId="1" xfId="5" applyFont="1" applyBorder="1" applyAlignment="1" applyProtection="1">
      <alignment horizontal="center" vertical="center"/>
    </xf>
    <xf numFmtId="166" fontId="9" fillId="0" borderId="1" xfId="5" applyNumberFormat="1" applyFont="1" applyBorder="1" applyAlignment="1" applyProtection="1">
      <alignment horizontal="center" vertical="center" wrapText="1"/>
    </xf>
    <xf numFmtId="43" fontId="9" fillId="0" borderId="1" xfId="1" applyFont="1" applyBorder="1" applyAlignment="1" applyProtection="1">
      <alignment horizontal="justify" vertical="center"/>
    </xf>
    <xf numFmtId="165" fontId="9" fillId="0" borderId="1" xfId="5" applyFont="1" applyBorder="1" applyAlignment="1" applyProtection="1">
      <alignment horizontal="justify" vertical="center"/>
    </xf>
    <xf numFmtId="166" fontId="9" fillId="0" borderId="1" xfId="5" applyNumberFormat="1" applyFont="1" applyBorder="1" applyAlignment="1" applyProtection="1">
      <alignment horizontal="center" vertical="center"/>
    </xf>
    <xf numFmtId="0" fontId="9" fillId="0" borderId="1" xfId="0" applyFont="1" applyBorder="1" applyAlignment="1">
      <alignment vertical="center" wrapText="1" shrinkToFit="1"/>
    </xf>
    <xf numFmtId="166" fontId="9" fillId="0" borderId="1" xfId="0" applyNumberFormat="1" applyFont="1" applyBorder="1" applyAlignment="1">
      <alignment vertical="center" wrapText="1" shrinkToFit="1"/>
    </xf>
    <xf numFmtId="0" fontId="10" fillId="0" borderId="1" xfId="0" applyFont="1" applyBorder="1" applyAlignment="1">
      <alignment vertical="center" wrapText="1" shrinkToFit="1"/>
    </xf>
    <xf numFmtId="2" fontId="10" fillId="0" borderId="1" xfId="5" applyNumberFormat="1" applyFont="1" applyBorder="1" applyAlignment="1" applyProtection="1">
      <alignment horizontal="center" vertical="center"/>
    </xf>
    <xf numFmtId="0" fontId="10" fillId="0" borderId="1" xfId="3" applyFont="1" applyBorder="1" applyAlignment="1">
      <alignment horizontal="left" vertical="center" wrapText="1"/>
    </xf>
    <xf numFmtId="0" fontId="9" fillId="0" borderId="1" xfId="3" applyFont="1" applyBorder="1" applyAlignment="1">
      <alignment vertical="top" wrapText="1"/>
    </xf>
    <xf numFmtId="0" fontId="9" fillId="0" borderId="1" xfId="0" applyFont="1" applyBorder="1" applyAlignment="1">
      <alignment vertical="center" wrapText="1"/>
    </xf>
    <xf numFmtId="166" fontId="9" fillId="0" borderId="1" xfId="5" applyNumberFormat="1" applyFont="1" applyBorder="1" applyAlignment="1" applyProtection="1">
      <alignment horizontal="justify" vertical="center"/>
    </xf>
    <xf numFmtId="0" fontId="9" fillId="0" borderId="1" xfId="0" applyFont="1" applyBorder="1" applyAlignment="1">
      <alignment horizontal="justify" vertical="top"/>
    </xf>
    <xf numFmtId="0" fontId="9" fillId="0" borderId="0" xfId="0" applyFont="1" applyAlignment="1">
      <alignment horizontal="justify" vertical="top"/>
    </xf>
    <xf numFmtId="0" fontId="9" fillId="0" borderId="1" xfId="0" applyFont="1" applyBorder="1" applyAlignment="1">
      <alignment horizontal="justify" vertical="center" wrapText="1"/>
    </xf>
    <xf numFmtId="0" fontId="10" fillId="0" borderId="1" xfId="3" applyFont="1" applyBorder="1" applyAlignment="1">
      <alignment horizontal="left" vertical="top" wrapText="1"/>
    </xf>
    <xf numFmtId="0" fontId="10" fillId="0" borderId="1" xfId="3" applyFont="1" applyBorder="1" applyAlignment="1">
      <alignment vertical="top" wrapText="1"/>
    </xf>
    <xf numFmtId="0" fontId="9" fillId="0" borderId="1" xfId="3" applyFont="1" applyBorder="1" applyAlignment="1">
      <alignment horizontal="left" vertical="top" wrapText="1"/>
    </xf>
    <xf numFmtId="0" fontId="10" fillId="0" borderId="1" xfId="0" applyFont="1" applyBorder="1" applyAlignment="1">
      <alignment vertical="top" wrapText="1"/>
    </xf>
    <xf numFmtId="0" fontId="10" fillId="0" borderId="1" xfId="0" applyFont="1" applyBorder="1"/>
    <xf numFmtId="0" fontId="10" fillId="0" borderId="0" xfId="0" applyFont="1"/>
    <xf numFmtId="166" fontId="10" fillId="0" borderId="1" xfId="5" applyNumberFormat="1" applyFont="1" applyBorder="1" applyAlignment="1" applyProtection="1">
      <alignment vertical="center"/>
    </xf>
    <xf numFmtId="166" fontId="9" fillId="0" borderId="1" xfId="0" applyNumberFormat="1" applyFont="1" applyBorder="1" applyAlignment="1">
      <alignment vertical="center" wrapText="1"/>
    </xf>
    <xf numFmtId="0" fontId="9" fillId="0" borderId="1" xfId="0" applyFont="1" applyBorder="1" applyAlignment="1">
      <alignment horizontal="center" vertical="center" wrapText="1"/>
    </xf>
    <xf numFmtId="0" fontId="9" fillId="0" borderId="1" xfId="0" applyFont="1" applyBorder="1"/>
    <xf numFmtId="0" fontId="10" fillId="0" borderId="1" xfId="0" applyFont="1" applyBorder="1" applyAlignment="1">
      <alignment vertical="center" wrapText="1"/>
    </xf>
    <xf numFmtId="0" fontId="10" fillId="0" borderId="1" xfId="0" applyFont="1" applyBorder="1" applyAlignment="1">
      <alignment horizontal="justify" vertical="center"/>
    </xf>
    <xf numFmtId="166" fontId="10" fillId="0" borderId="1" xfId="0" applyNumberFormat="1" applyFont="1" applyBorder="1" applyAlignment="1">
      <alignment vertical="center" wrapText="1"/>
    </xf>
    <xf numFmtId="165" fontId="9" fillId="0" borderId="1" xfId="5" applyFont="1" applyBorder="1" applyAlignment="1" applyProtection="1">
      <alignment horizontal="center" vertical="center" wrapText="1"/>
    </xf>
    <xf numFmtId="165" fontId="9" fillId="0" borderId="1" xfId="5" applyFont="1" applyBorder="1" applyAlignment="1" applyProtection="1">
      <alignment vertical="center" wrapText="1"/>
    </xf>
    <xf numFmtId="166" fontId="9" fillId="0" borderId="1" xfId="5" applyNumberFormat="1" applyFont="1" applyBorder="1" applyAlignment="1" applyProtection="1">
      <alignment vertical="center" wrapText="1"/>
    </xf>
    <xf numFmtId="43" fontId="4" fillId="0" borderId="0" xfId="0" applyNumberFormat="1" applyFont="1"/>
    <xf numFmtId="0" fontId="0" fillId="0" borderId="0" xfId="0" applyBorder="1"/>
    <xf numFmtId="0" fontId="0" fillId="0" borderId="1" xfId="0" applyFont="1" applyFill="1" applyBorder="1"/>
    <xf numFmtId="0" fontId="0" fillId="0" borderId="1" xfId="0" applyFont="1" applyBorder="1"/>
    <xf numFmtId="0" fontId="4" fillId="0" borderId="1" xfId="0" applyFont="1" applyFill="1" applyBorder="1" applyAlignment="1">
      <alignment vertical="center"/>
    </xf>
    <xf numFmtId="43" fontId="5" fillId="0" borderId="1" xfId="1" applyFont="1" applyBorder="1"/>
    <xf numFmtId="0" fontId="5" fillId="2" borderId="1" xfId="0" applyFont="1" applyFill="1" applyBorder="1" applyAlignment="1">
      <alignment horizontal="center" vertical="center"/>
    </xf>
    <xf numFmtId="0" fontId="24" fillId="0" borderId="1" xfId="0" applyFont="1" applyBorder="1" applyAlignment="1">
      <alignment horizontal="left" vertical="center" wrapText="1"/>
    </xf>
    <xf numFmtId="0" fontId="9" fillId="0" borderId="1" xfId="3" applyFont="1" applyBorder="1" applyAlignment="1">
      <alignment horizontal="left" vertical="center" wrapText="1"/>
    </xf>
    <xf numFmtId="0" fontId="5" fillId="0" borderId="1" xfId="0" applyFont="1" applyBorder="1" applyAlignment="1">
      <alignment vertical="center" wrapText="1"/>
    </xf>
    <xf numFmtId="0" fontId="24" fillId="0" borderId="1" xfId="0" applyFont="1" applyFill="1" applyBorder="1" applyAlignment="1">
      <alignment horizontal="left" vertical="center" wrapText="1"/>
    </xf>
    <xf numFmtId="2" fontId="5" fillId="0" borderId="1" xfId="0" applyNumberFormat="1" applyFont="1" applyBorder="1" applyAlignment="1">
      <alignment vertical="center"/>
    </xf>
    <xf numFmtId="0" fontId="26" fillId="0" borderId="0" xfId="4" applyFont="1" applyAlignment="1">
      <alignment vertical="center"/>
    </xf>
    <xf numFmtId="0" fontId="27" fillId="0" borderId="0" xfId="4" applyFont="1" applyAlignment="1">
      <alignment vertical="center"/>
    </xf>
    <xf numFmtId="2" fontId="23" fillId="0" borderId="1" xfId="0" applyNumberFormat="1" applyFont="1" applyBorder="1" applyAlignment="1">
      <alignment horizontal="right" vertical="top" wrapText="1"/>
    </xf>
    <xf numFmtId="0" fontId="23" fillId="0" borderId="1" xfId="0" applyFont="1" applyBorder="1" applyAlignment="1">
      <alignment horizontal="left" vertical="top" wrapText="1"/>
    </xf>
    <xf numFmtId="0" fontId="22" fillId="0" borderId="1" xfId="0" applyFont="1" applyBorder="1" applyAlignment="1">
      <alignment horizontal="center" vertical="top" wrapText="1"/>
    </xf>
    <xf numFmtId="0" fontId="22" fillId="0" borderId="1" xfId="4" applyFont="1" applyBorder="1" applyAlignment="1">
      <alignment vertical="center"/>
    </xf>
    <xf numFmtId="168" fontId="22" fillId="0" borderId="1" xfId="0" applyNumberFormat="1" applyFont="1" applyBorder="1" applyAlignment="1">
      <alignment horizontal="center" vertical="top" wrapText="1"/>
    </xf>
    <xf numFmtId="43" fontId="22" fillId="0" borderId="1" xfId="1" applyFont="1" applyBorder="1" applyAlignment="1">
      <alignment vertical="center"/>
    </xf>
    <xf numFmtId="0" fontId="22" fillId="0" borderId="1" xfId="0" applyFont="1" applyBorder="1" applyAlignment="1">
      <alignment horizontal="left" vertical="top" wrapText="1"/>
    </xf>
    <xf numFmtId="0" fontId="23" fillId="0" borderId="1" xfId="0" applyFont="1" applyBorder="1" applyAlignment="1">
      <alignment vertical="top" wrapText="1"/>
    </xf>
    <xf numFmtId="43" fontId="22" fillId="0" borderId="1" xfId="87" applyNumberFormat="1" applyFont="1" applyBorder="1" applyAlignment="1">
      <alignment vertical="top" wrapText="1"/>
    </xf>
    <xf numFmtId="0" fontId="22" fillId="0" borderId="1" xfId="0" applyFont="1" applyBorder="1" applyAlignment="1">
      <alignment vertical="top" wrapText="1"/>
    </xf>
    <xf numFmtId="2" fontId="28" fillId="0" borderId="1" xfId="0" applyNumberFormat="1" applyFont="1" applyBorder="1" applyAlignment="1">
      <alignment vertical="center" wrapText="1"/>
    </xf>
    <xf numFmtId="2" fontId="29" fillId="0" borderId="1" xfId="0" applyNumberFormat="1" applyFont="1" applyBorder="1" applyAlignment="1">
      <alignment horizontal="left" vertical="top" wrapText="1"/>
    </xf>
    <xf numFmtId="0" fontId="28" fillId="0" borderId="1" xfId="0" applyFont="1" applyBorder="1" applyAlignment="1">
      <alignment horizontal="center" vertical="center" wrapText="1"/>
    </xf>
    <xf numFmtId="0" fontId="29" fillId="0" borderId="1" xfId="0" applyFont="1" applyBorder="1" applyAlignment="1">
      <alignment horizontal="left" vertical="top" wrapText="1"/>
    </xf>
    <xf numFmtId="2" fontId="28" fillId="0" borderId="2" xfId="0" applyNumberFormat="1" applyFont="1" applyBorder="1" applyAlignment="1">
      <alignment vertical="center" wrapText="1"/>
    </xf>
    <xf numFmtId="168" fontId="29" fillId="0" borderId="2" xfId="0" applyNumberFormat="1" applyFont="1" applyBorder="1" applyAlignment="1">
      <alignment horizontal="center" vertical="top" wrapText="1"/>
    </xf>
    <xf numFmtId="0" fontId="29" fillId="0" borderId="2" xfId="0" applyFont="1" applyBorder="1" applyAlignment="1">
      <alignment horizontal="left" vertical="top" wrapText="1"/>
    </xf>
    <xf numFmtId="0" fontId="29" fillId="0" borderId="2" xfId="0" applyFont="1" applyBorder="1" applyAlignment="1">
      <alignment vertical="top" wrapText="1"/>
    </xf>
    <xf numFmtId="0" fontId="29" fillId="0" borderId="1" xfId="0" applyFont="1" applyBorder="1" applyAlignment="1">
      <alignment horizontal="center" vertical="top" wrapText="1"/>
    </xf>
    <xf numFmtId="2" fontId="29" fillId="0" borderId="2" xfId="0" applyNumberFormat="1" applyFont="1" applyBorder="1" applyAlignment="1">
      <alignment vertical="center" wrapText="1"/>
    </xf>
    <xf numFmtId="0" fontId="29" fillId="0" borderId="2" xfId="0" applyFont="1" applyBorder="1" applyAlignment="1">
      <alignment horizontal="center" vertical="top" wrapText="1"/>
    </xf>
    <xf numFmtId="2" fontId="29" fillId="0" borderId="1" xfId="0" applyNumberFormat="1" applyFont="1" applyBorder="1" applyAlignment="1">
      <alignment vertical="center" wrapText="1"/>
    </xf>
    <xf numFmtId="43" fontId="22" fillId="0" borderId="1" xfId="1" applyFont="1" applyBorder="1" applyAlignment="1">
      <alignment vertical="top" wrapText="1"/>
    </xf>
    <xf numFmtId="0" fontId="5" fillId="2" borderId="1" xfId="0" applyFont="1" applyFill="1" applyBorder="1" applyAlignment="1">
      <alignment horizontal="center" vertical="center"/>
    </xf>
    <xf numFmtId="0" fontId="31" fillId="0" borderId="0" xfId="0" applyFont="1"/>
    <xf numFmtId="0" fontId="0" fillId="0" borderId="1" xfId="0" applyBorder="1" applyAlignment="1">
      <alignment vertical="center"/>
    </xf>
    <xf numFmtId="2" fontId="29" fillId="0" borderId="16" xfId="0" applyNumberFormat="1" applyFont="1" applyBorder="1" applyAlignment="1">
      <alignment vertical="center" wrapText="1"/>
    </xf>
    <xf numFmtId="0" fontId="29" fillId="0" borderId="16" xfId="0" applyFont="1" applyBorder="1" applyAlignment="1">
      <alignment horizontal="left" vertical="top" wrapText="1"/>
    </xf>
    <xf numFmtId="0" fontId="29" fillId="0" borderId="16" xfId="0" applyFont="1" applyBorder="1" applyAlignment="1">
      <alignment horizontal="center" vertical="top" wrapText="1"/>
    </xf>
    <xf numFmtId="0" fontId="22" fillId="0" borderId="9" xfId="4" applyFont="1" applyBorder="1" applyAlignment="1">
      <alignment vertical="center"/>
    </xf>
    <xf numFmtId="165" fontId="33" fillId="4" borderId="17" xfId="12" applyFont="1" applyFill="1" applyBorder="1" applyAlignment="1">
      <alignment horizontal="left" vertical="center"/>
    </xf>
    <xf numFmtId="165" fontId="33" fillId="4" borderId="18" xfId="12" applyFont="1" applyFill="1" applyBorder="1" applyAlignment="1">
      <alignment vertical="center"/>
    </xf>
    <xf numFmtId="165" fontId="33" fillId="4" borderId="18" xfId="12" applyFont="1" applyFill="1" applyBorder="1" applyAlignment="1">
      <alignment horizontal="center" vertical="center"/>
    </xf>
    <xf numFmtId="165" fontId="33" fillId="4" borderId="19" xfId="12" applyFont="1" applyFill="1" applyBorder="1" applyAlignment="1">
      <alignment horizontal="center" vertical="center"/>
    </xf>
    <xf numFmtId="0" fontId="34" fillId="0" borderId="0" xfId="13" applyFont="1" applyAlignment="1">
      <alignment vertical="center"/>
    </xf>
    <xf numFmtId="165" fontId="33" fillId="4" borderId="11" xfId="12" applyFont="1" applyFill="1" applyBorder="1" applyAlignment="1">
      <alignment horizontal="left" vertical="center"/>
    </xf>
    <xf numFmtId="165" fontId="33" fillId="4" borderId="20" xfId="12" applyFont="1" applyFill="1" applyBorder="1" applyAlignment="1">
      <alignment horizontal="left" vertical="center"/>
    </xf>
    <xf numFmtId="165" fontId="33" fillId="4" borderId="21" xfId="12" applyFont="1" applyFill="1" applyBorder="1" applyAlignment="1">
      <alignment horizontal="left" vertical="center"/>
    </xf>
    <xf numFmtId="165" fontId="33" fillId="4" borderId="21" xfId="12" applyFont="1" applyFill="1" applyBorder="1" applyAlignment="1">
      <alignment horizontal="center" vertical="center"/>
    </xf>
    <xf numFmtId="0" fontId="33" fillId="4" borderId="21" xfId="0" applyFont="1" applyFill="1" applyBorder="1" applyAlignment="1">
      <alignment horizontal="right" vertical="center"/>
    </xf>
    <xf numFmtId="0" fontId="34" fillId="0" borderId="0" xfId="0" applyFont="1" applyAlignment="1">
      <alignment vertical="center"/>
    </xf>
    <xf numFmtId="0" fontId="34" fillId="0" borderId="25" xfId="0" applyFont="1" applyBorder="1" applyAlignment="1">
      <alignment vertical="center"/>
    </xf>
    <xf numFmtId="0" fontId="34" fillId="0" borderId="11" xfId="0" applyFont="1" applyBorder="1" applyAlignment="1">
      <alignment horizontal="center" vertical="center"/>
    </xf>
    <xf numFmtId="0" fontId="34" fillId="0" borderId="25" xfId="0" applyFont="1" applyBorder="1" applyAlignment="1">
      <alignment vertical="center" wrapText="1"/>
    </xf>
    <xf numFmtId="0" fontId="36" fillId="0" borderId="11" xfId="0" applyFont="1" applyFill="1" applyBorder="1" applyAlignment="1">
      <alignment horizontal="center" vertical="center"/>
    </xf>
    <xf numFmtId="0" fontId="34" fillId="0" borderId="25" xfId="0" applyFont="1" applyFill="1" applyBorder="1" applyAlignment="1">
      <alignment vertical="center"/>
    </xf>
    <xf numFmtId="0" fontId="34" fillId="0" borderId="0" xfId="0" applyFont="1" applyFill="1" applyAlignment="1">
      <alignment vertical="center"/>
    </xf>
    <xf numFmtId="0" fontId="38" fillId="14" borderId="11" xfId="0" applyFont="1" applyFill="1" applyBorder="1" applyAlignment="1">
      <alignment vertical="center"/>
    </xf>
    <xf numFmtId="0" fontId="38" fillId="0" borderId="0" xfId="0" applyFont="1" applyAlignment="1">
      <alignment vertical="center"/>
    </xf>
    <xf numFmtId="0" fontId="34" fillId="0" borderId="11" xfId="0" applyFont="1" applyBorder="1"/>
    <xf numFmtId="0" fontId="34" fillId="0" borderId="25" xfId="0" applyFont="1" applyBorder="1"/>
    <xf numFmtId="0" fontId="34" fillId="0" borderId="0" xfId="0" applyFont="1"/>
    <xf numFmtId="0" fontId="39" fillId="0" borderId="11" xfId="0" applyFont="1" applyBorder="1"/>
    <xf numFmtId="0" fontId="39" fillId="0" borderId="25" xfId="0" applyFont="1" applyBorder="1"/>
    <xf numFmtId="0" fontId="39" fillId="0" borderId="0" xfId="0" applyFont="1"/>
    <xf numFmtId="0" fontId="39" fillId="0" borderId="11" xfId="0" applyFont="1" applyBorder="1" applyAlignment="1">
      <alignment vertical="center"/>
    </xf>
    <xf numFmtId="0" fontId="39" fillId="0" borderId="0" xfId="0" applyFont="1" applyAlignment="1">
      <alignment vertical="center"/>
    </xf>
    <xf numFmtId="0" fontId="39" fillId="0" borderId="20" xfId="0" applyFont="1" applyBorder="1" applyAlignment="1">
      <alignment vertical="center"/>
    </xf>
    <xf numFmtId="0" fontId="34" fillId="0" borderId="0" xfId="0" applyFont="1" applyAlignment="1">
      <alignment horizontal="center"/>
    </xf>
    <xf numFmtId="0" fontId="44" fillId="0" borderId="0" xfId="0" applyFont="1" applyAlignment="1">
      <alignment vertical="center"/>
    </xf>
    <xf numFmtId="0" fontId="3" fillId="0" borderId="0" xfId="0" applyFont="1" applyAlignment="1" applyProtection="1">
      <alignment horizontal="center"/>
      <protection locked="0"/>
    </xf>
    <xf numFmtId="0" fontId="44" fillId="0" borderId="0" xfId="0" applyFont="1"/>
    <xf numFmtId="0" fontId="44" fillId="0" borderId="0" xfId="0" applyFont="1" applyFill="1"/>
    <xf numFmtId="0" fontId="45" fillId="0" borderId="0" xfId="0" applyFont="1" applyAlignment="1">
      <alignment vertical="center"/>
    </xf>
    <xf numFmtId="0" fontId="44" fillId="0" borderId="0" xfId="0" applyFont="1" applyFill="1" applyAlignment="1">
      <alignment vertical="center"/>
    </xf>
    <xf numFmtId="0" fontId="0" fillId="0" borderId="0" xfId="0" applyFont="1" applyAlignment="1">
      <alignment horizontal="center"/>
    </xf>
    <xf numFmtId="0" fontId="0" fillId="0" borderId="0" xfId="0" applyFont="1" applyAlignment="1">
      <alignment horizontal="left" wrapText="1"/>
    </xf>
    <xf numFmtId="0" fontId="0" fillId="0" borderId="0" xfId="0" applyFont="1" applyAlignment="1">
      <alignment horizontal="center" vertical="center"/>
    </xf>
    <xf numFmtId="0" fontId="0" fillId="0" borderId="0" xfId="0" applyFont="1"/>
    <xf numFmtId="165" fontId="42" fillId="0" borderId="17" xfId="12" applyFont="1" applyFill="1" applyBorder="1" applyAlignment="1">
      <alignment horizontal="left" vertical="center"/>
    </xf>
    <xf numFmtId="165" fontId="42" fillId="0" borderId="18" xfId="12" applyFont="1" applyFill="1" applyBorder="1" applyAlignment="1">
      <alignment vertical="center"/>
    </xf>
    <xf numFmtId="165" fontId="42" fillId="0" borderId="18" xfId="12" applyFont="1" applyFill="1" applyBorder="1" applyAlignment="1">
      <alignment horizontal="center" vertical="center"/>
    </xf>
    <xf numFmtId="0" fontId="42" fillId="0" borderId="19" xfId="0" applyFont="1" applyFill="1" applyBorder="1" applyAlignment="1">
      <alignment horizontal="right" vertical="center"/>
    </xf>
    <xf numFmtId="0" fontId="48" fillId="0" borderId="0" xfId="13" applyFont="1" applyAlignment="1">
      <alignment vertical="center"/>
    </xf>
    <xf numFmtId="165" fontId="42" fillId="0" borderId="11" xfId="12" applyFont="1" applyFill="1" applyBorder="1" applyAlignment="1">
      <alignment horizontal="left" vertical="center"/>
    </xf>
    <xf numFmtId="0" fontId="42" fillId="0" borderId="25" xfId="0" applyFont="1" applyFill="1" applyBorder="1" applyAlignment="1">
      <alignment horizontal="right" vertical="center"/>
    </xf>
    <xf numFmtId="165" fontId="42" fillId="0" borderId="25" xfId="12" applyFont="1" applyFill="1" applyBorder="1" applyAlignment="1">
      <alignment horizontal="center" vertical="center"/>
    </xf>
    <xf numFmtId="49" fontId="51" fillId="0" borderId="11" xfId="25" applyNumberFormat="1" applyFont="1" applyBorder="1" applyAlignment="1" applyProtection="1">
      <alignment horizontal="center" vertical="center" wrapText="1"/>
    </xf>
    <xf numFmtId="0" fontId="43" fillId="0" borderId="0" xfId="25" applyFont="1" applyAlignment="1">
      <alignment wrapText="1"/>
    </xf>
    <xf numFmtId="0" fontId="42" fillId="0" borderId="17" xfId="0" applyFont="1" applyBorder="1" applyAlignment="1">
      <alignment horizontal="left" vertical="center"/>
    </xf>
    <xf numFmtId="0" fontId="42" fillId="0" borderId="18" xfId="0" applyFont="1" applyBorder="1" applyAlignment="1">
      <alignment vertical="center"/>
    </xf>
    <xf numFmtId="0" fontId="42" fillId="0" borderId="18" xfId="0" applyFont="1" applyBorder="1" applyAlignment="1">
      <alignment horizontal="center" vertical="center"/>
    </xf>
    <xf numFmtId="14" fontId="45" fillId="0" borderId="19" xfId="0" applyNumberFormat="1" applyFont="1" applyBorder="1" applyAlignment="1">
      <alignment vertical="center"/>
    </xf>
    <xf numFmtId="0" fontId="42" fillId="0" borderId="11" xfId="0" applyFont="1" applyBorder="1" applyAlignment="1">
      <alignment horizontal="left" vertical="center"/>
    </xf>
    <xf numFmtId="0" fontId="45" fillId="0" borderId="25" xfId="0" applyFont="1" applyBorder="1" applyAlignment="1">
      <alignment vertical="center"/>
    </xf>
    <xf numFmtId="0" fontId="42" fillId="0" borderId="20" xfId="0" applyFont="1" applyBorder="1" applyAlignment="1">
      <alignment horizontal="left" vertical="center"/>
    </xf>
    <xf numFmtId="0" fontId="42" fillId="0" borderId="21" xfId="0" applyFont="1" applyBorder="1" applyAlignment="1">
      <alignment vertical="center"/>
    </xf>
    <xf numFmtId="0" fontId="42" fillId="0" borderId="21" xfId="0" applyFont="1" applyBorder="1" applyAlignment="1">
      <alignment horizontal="center" vertical="center"/>
    </xf>
    <xf numFmtId="0" fontId="45" fillId="0" borderId="26" xfId="0" applyFont="1" applyBorder="1" applyAlignment="1">
      <alignment vertical="center"/>
    </xf>
    <xf numFmtId="0" fontId="47" fillId="13" borderId="17" xfId="0" applyFont="1" applyFill="1" applyBorder="1" applyAlignment="1">
      <alignment horizontal="center" vertical="center" wrapText="1"/>
    </xf>
    <xf numFmtId="0" fontId="53" fillId="13" borderId="19" xfId="0" applyFont="1" applyFill="1" applyBorder="1" applyAlignment="1">
      <alignment horizontal="center" vertical="center" wrapText="1"/>
    </xf>
    <xf numFmtId="0" fontId="54" fillId="0" borderId="0" xfId="0" applyFont="1" applyAlignment="1">
      <alignment horizontal="center"/>
    </xf>
    <xf numFmtId="0" fontId="47" fillId="13" borderId="11" xfId="0" applyFont="1" applyFill="1" applyBorder="1" applyAlignment="1">
      <alignment horizontal="center" vertical="center" wrapText="1"/>
    </xf>
    <xf numFmtId="0" fontId="53" fillId="13" borderId="25" xfId="0" applyFont="1" applyFill="1" applyBorder="1" applyAlignment="1">
      <alignment horizontal="center" vertical="center" wrapText="1"/>
    </xf>
    <xf numFmtId="0" fontId="47" fillId="0" borderId="11" xfId="0" applyFont="1" applyFill="1" applyBorder="1" applyAlignment="1">
      <alignment horizontal="center" vertical="center"/>
    </xf>
    <xf numFmtId="0" fontId="57" fillId="0" borderId="25" xfId="0" applyFont="1" applyFill="1" applyBorder="1" applyAlignment="1">
      <alignment vertical="center"/>
    </xf>
    <xf numFmtId="0" fontId="56" fillId="0" borderId="0" xfId="0" applyFont="1" applyFill="1" applyAlignment="1">
      <alignment vertical="center"/>
    </xf>
    <xf numFmtId="0" fontId="56" fillId="0" borderId="11" xfId="0" applyFont="1" applyFill="1" applyBorder="1" applyAlignment="1">
      <alignment horizontal="center" vertical="center"/>
    </xf>
    <xf numFmtId="0" fontId="58" fillId="0" borderId="25" xfId="0" applyFont="1" applyFill="1" applyBorder="1" applyAlignment="1">
      <alignment vertical="center"/>
    </xf>
    <xf numFmtId="0" fontId="56" fillId="0" borderId="25" xfId="0" applyFont="1" applyFill="1" applyBorder="1" applyAlignment="1">
      <alignment vertical="center"/>
    </xf>
    <xf numFmtId="0" fontId="58" fillId="0" borderId="0" xfId="0" applyFont="1" applyFill="1" applyAlignment="1">
      <alignment vertical="center"/>
    </xf>
    <xf numFmtId="0" fontId="56" fillId="0" borderId="11" xfId="19" applyFont="1" applyFill="1" applyBorder="1" applyAlignment="1">
      <alignment horizontal="center" vertical="center"/>
    </xf>
    <xf numFmtId="0" fontId="56" fillId="0" borderId="25" xfId="19" applyFont="1" applyFill="1" applyBorder="1" applyAlignment="1">
      <alignment vertical="center"/>
    </xf>
    <xf numFmtId="0" fontId="56" fillId="0" borderId="0" xfId="19" applyFont="1" applyFill="1" applyAlignment="1">
      <alignment vertical="center"/>
    </xf>
    <xf numFmtId="0" fontId="47" fillId="8" borderId="11" xfId="0" applyFont="1" applyFill="1" applyBorder="1" applyAlignment="1">
      <alignment horizontal="center" vertical="center"/>
    </xf>
    <xf numFmtId="0" fontId="58" fillId="8" borderId="25" xfId="0" applyFont="1" applyFill="1" applyBorder="1" applyAlignment="1">
      <alignment vertical="center"/>
    </xf>
    <xf numFmtId="0" fontId="58" fillId="8" borderId="11" xfId="0" applyFont="1" applyFill="1" applyBorder="1" applyAlignment="1">
      <alignment horizontal="center" vertical="center"/>
    </xf>
    <xf numFmtId="0" fontId="56" fillId="8" borderId="11" xfId="0" applyFont="1" applyFill="1" applyBorder="1" applyAlignment="1">
      <alignment horizontal="center" vertical="center"/>
    </xf>
    <xf numFmtId="0" fontId="58" fillId="0" borderId="25" xfId="19" applyFont="1" applyFill="1" applyBorder="1" applyAlignment="1">
      <alignment vertical="center"/>
    </xf>
    <xf numFmtId="0" fontId="58" fillId="0" borderId="0" xfId="19" applyFont="1" applyFill="1" applyAlignment="1">
      <alignment vertical="center"/>
    </xf>
    <xf numFmtId="0" fontId="59" fillId="0" borderId="25" xfId="0" applyFont="1" applyFill="1" applyBorder="1" applyAlignment="1">
      <alignment vertical="center"/>
    </xf>
    <xf numFmtId="0" fontId="59" fillId="0" borderId="0" xfId="0" applyFont="1" applyFill="1" applyAlignment="1">
      <alignment vertical="center"/>
    </xf>
    <xf numFmtId="0" fontId="59" fillId="0" borderId="25" xfId="19" applyFont="1" applyFill="1" applyBorder="1" applyAlignment="1">
      <alignment vertical="center"/>
    </xf>
    <xf numFmtId="0" fontId="47" fillId="10" borderId="11" xfId="0" applyFont="1" applyFill="1" applyBorder="1" applyAlignment="1" applyProtection="1">
      <alignment horizontal="center" vertical="center"/>
    </xf>
    <xf numFmtId="2" fontId="47" fillId="10" borderId="25" xfId="0" applyNumberFormat="1" applyFont="1" applyFill="1" applyBorder="1" applyAlignment="1" applyProtection="1">
      <alignment horizontal="center" vertical="center"/>
    </xf>
    <xf numFmtId="0" fontId="56" fillId="0" borderId="0" xfId="19" applyFont="1" applyAlignment="1">
      <alignment vertical="center"/>
    </xf>
    <xf numFmtId="0" fontId="47" fillId="10" borderId="25" xfId="0" applyFont="1" applyFill="1" applyBorder="1" applyAlignment="1" applyProtection="1">
      <alignment horizontal="left" vertical="center"/>
    </xf>
    <xf numFmtId="0" fontId="47" fillId="10" borderId="20" xfId="0" applyFont="1" applyFill="1" applyBorder="1" applyAlignment="1" applyProtection="1">
      <alignment horizontal="center" vertical="center"/>
    </xf>
    <xf numFmtId="0" fontId="47" fillId="10" borderId="21" xfId="0" applyFont="1" applyFill="1" applyBorder="1" applyAlignment="1" applyProtection="1">
      <alignment horizontal="left" vertical="center"/>
    </xf>
    <xf numFmtId="0" fontId="47" fillId="10" borderId="26" xfId="0" applyFont="1" applyFill="1" applyBorder="1" applyAlignment="1" applyProtection="1">
      <alignment horizontal="left" vertical="center"/>
    </xf>
    <xf numFmtId="0" fontId="60" fillId="8" borderId="12" xfId="0" applyFont="1" applyFill="1" applyBorder="1" applyAlignment="1">
      <alignment horizontal="center" vertical="center"/>
    </xf>
    <xf numFmtId="171" fontId="56" fillId="8" borderId="0" xfId="20" applyNumberFormat="1" applyFont="1" applyFill="1" applyBorder="1" applyAlignment="1">
      <alignment horizontal="left" vertical="center"/>
    </xf>
    <xf numFmtId="171" fontId="56" fillId="8" borderId="0" xfId="20" applyNumberFormat="1" applyFont="1" applyFill="1" applyBorder="1" applyAlignment="1">
      <alignment vertical="center"/>
    </xf>
    <xf numFmtId="171" fontId="56" fillId="8" borderId="0" xfId="20" applyNumberFormat="1" applyFont="1" applyFill="1" applyBorder="1" applyAlignment="1">
      <alignment horizontal="center" vertical="center"/>
    </xf>
    <xf numFmtId="171" fontId="56" fillId="8" borderId="8" xfId="20" applyNumberFormat="1" applyFont="1" applyFill="1" applyBorder="1" applyAlignment="1">
      <alignment horizontal="center" vertical="center"/>
    </xf>
    <xf numFmtId="0" fontId="60" fillId="0" borderId="0" xfId="0" applyFont="1" applyFill="1" applyAlignment="1">
      <alignment vertical="center"/>
    </xf>
    <xf numFmtId="0" fontId="61" fillId="8" borderId="0" xfId="0" applyNumberFormat="1" applyFont="1" applyFill="1" applyBorder="1" applyAlignment="1">
      <alignment vertical="center"/>
    </xf>
    <xf numFmtId="0" fontId="56" fillId="8" borderId="0" xfId="0" applyNumberFormat="1" applyFont="1" applyFill="1" applyBorder="1" applyAlignment="1">
      <alignment horizontal="left" vertical="center"/>
    </xf>
    <xf numFmtId="0" fontId="56" fillId="8" borderId="0" xfId="94" applyFont="1" applyFill="1" applyBorder="1" applyAlignment="1">
      <alignment vertical="center" wrapText="1"/>
    </xf>
    <xf numFmtId="0" fontId="56" fillId="8" borderId="0" xfId="0" applyNumberFormat="1" applyFont="1" applyFill="1" applyBorder="1" applyAlignment="1">
      <alignment vertical="center"/>
    </xf>
    <xf numFmtId="0" fontId="56" fillId="8" borderId="0" xfId="30" applyFont="1" applyFill="1" applyBorder="1" applyAlignment="1">
      <alignment horizontal="left" vertical="center"/>
    </xf>
    <xf numFmtId="0" fontId="47" fillId="8" borderId="0" xfId="30" applyFont="1" applyFill="1" applyBorder="1" applyAlignment="1">
      <alignment horizontal="left" vertical="center"/>
    </xf>
    <xf numFmtId="0" fontId="6" fillId="0" borderId="0" xfId="0" applyFont="1" applyAlignment="1">
      <alignment horizontal="center"/>
    </xf>
    <xf numFmtId="0" fontId="6" fillId="0" borderId="0" xfId="0" applyFont="1"/>
    <xf numFmtId="2" fontId="6" fillId="0" borderId="0" xfId="0" applyNumberFormat="1" applyFont="1" applyAlignment="1">
      <alignment horizontal="center"/>
    </xf>
    <xf numFmtId="165" fontId="23" fillId="0" borderId="0" xfId="12" applyFont="1" applyAlignment="1">
      <alignment horizontal="left" vertical="center"/>
    </xf>
    <xf numFmtId="0" fontId="22" fillId="0" borderId="0" xfId="0" applyFont="1" applyAlignment="1">
      <alignment horizontal="justify" vertical="top" wrapText="1"/>
    </xf>
    <xf numFmtId="0" fontId="22" fillId="0" borderId="0" xfId="0" applyFont="1" applyAlignment="1">
      <alignment horizontal="center" vertical="center" wrapText="1"/>
    </xf>
    <xf numFmtId="41" fontId="22" fillId="0" borderId="0" xfId="0" applyNumberFormat="1" applyFont="1" applyAlignment="1" applyProtection="1">
      <alignment horizontal="center" wrapText="1"/>
      <protection locked="0"/>
    </xf>
    <xf numFmtId="0" fontId="22" fillId="0" borderId="0" xfId="0" applyFont="1" applyAlignment="1" applyProtection="1">
      <alignment wrapText="1"/>
      <protection locked="0"/>
    </xf>
    <xf numFmtId="0" fontId="26" fillId="0" borderId="29" xfId="0" applyFont="1" applyBorder="1" applyAlignment="1">
      <alignment horizontal="left" vertical="center"/>
    </xf>
    <xf numFmtId="0" fontId="23" fillId="0" borderId="9" xfId="0" applyFont="1" applyBorder="1" applyAlignment="1">
      <alignment vertical="center"/>
    </xf>
    <xf numFmtId="0" fontId="23" fillId="0" borderId="9" xfId="0" applyFont="1" applyBorder="1" applyAlignment="1">
      <alignment horizontal="center" vertical="center"/>
    </xf>
    <xf numFmtId="14" fontId="23" fillId="0" borderId="30" xfId="0" applyNumberFormat="1" applyFont="1" applyBorder="1" applyAlignment="1">
      <alignment vertical="center"/>
    </xf>
    <xf numFmtId="0" fontId="26" fillId="0" borderId="11" xfId="0" applyFont="1" applyBorder="1" applyAlignment="1">
      <alignment horizontal="left" vertical="center"/>
    </xf>
    <xf numFmtId="0" fontId="23" fillId="0" borderId="25" xfId="0" applyFont="1" applyBorder="1" applyAlignment="1">
      <alignment vertical="center"/>
    </xf>
    <xf numFmtId="0" fontId="26" fillId="0" borderId="20" xfId="0" applyFont="1" applyBorder="1" applyAlignment="1">
      <alignment horizontal="left" vertical="center"/>
    </xf>
    <xf numFmtId="0" fontId="23" fillId="0" borderId="21" xfId="0" applyFont="1" applyBorder="1" applyAlignment="1">
      <alignment vertical="center"/>
    </xf>
    <xf numFmtId="0" fontId="23" fillId="0" borderId="21" xfId="0" applyFont="1" applyBorder="1" applyAlignment="1">
      <alignment horizontal="center" vertical="center"/>
    </xf>
    <xf numFmtId="0" fontId="23" fillId="0" borderId="26" xfId="0" applyFont="1" applyBorder="1" applyAlignment="1">
      <alignment vertical="center"/>
    </xf>
    <xf numFmtId="0" fontId="42" fillId="0" borderId="8" xfId="0" applyFont="1" applyBorder="1" applyAlignment="1">
      <alignment horizontal="left" vertical="center"/>
    </xf>
    <xf numFmtId="0" fontId="42" fillId="0" borderId="7" xfId="0" applyFont="1" applyBorder="1" applyAlignment="1">
      <alignment vertical="center"/>
    </xf>
    <xf numFmtId="0" fontId="42" fillId="0" borderId="7" xfId="0" applyFont="1" applyBorder="1" applyAlignment="1">
      <alignment horizontal="center" vertical="center"/>
    </xf>
    <xf numFmtId="0" fontId="42" fillId="0" borderId="12" xfId="0" applyFont="1" applyBorder="1" applyAlignment="1">
      <alignment vertical="center"/>
    </xf>
    <xf numFmtId="0" fontId="42" fillId="0" borderId="8" xfId="0" applyFont="1" applyBorder="1" applyAlignment="1">
      <alignment vertical="center"/>
    </xf>
    <xf numFmtId="0" fontId="65" fillId="0" borderId="0" xfId="0" applyFont="1"/>
    <xf numFmtId="49" fontId="43" fillId="0" borderId="11" xfId="15" applyNumberFormat="1" applyFont="1" applyFill="1" applyBorder="1" applyAlignment="1">
      <alignment horizontal="center" vertical="center"/>
    </xf>
    <xf numFmtId="0" fontId="42" fillId="0" borderId="25" xfId="0" applyFont="1" applyFill="1" applyBorder="1" applyAlignment="1" applyProtection="1">
      <alignment vertical="center" wrapText="1"/>
      <protection locked="0"/>
    </xf>
    <xf numFmtId="0" fontId="23" fillId="0" borderId="0" xfId="0" applyFont="1" applyFill="1" applyAlignment="1" applyProtection="1">
      <alignment vertical="center" wrapText="1"/>
      <protection locked="0"/>
    </xf>
    <xf numFmtId="0" fontId="22" fillId="0" borderId="0" xfId="0" applyFont="1" applyFill="1" applyAlignment="1" applyProtection="1">
      <alignment vertical="center" wrapText="1"/>
      <protection locked="0"/>
    </xf>
    <xf numFmtId="0" fontId="43" fillId="0" borderId="25" xfId="0" applyFont="1" applyFill="1" applyBorder="1" applyAlignment="1" applyProtection="1">
      <alignment vertical="center" wrapText="1"/>
      <protection locked="0"/>
    </xf>
    <xf numFmtId="41" fontId="43" fillId="0" borderId="25" xfId="0" applyNumberFormat="1" applyFont="1" applyFill="1" applyBorder="1" applyAlignment="1" applyProtection="1">
      <alignment vertical="center" wrapText="1"/>
      <protection locked="0"/>
    </xf>
    <xf numFmtId="0" fontId="43" fillId="0" borderId="11" xfId="0" applyFont="1" applyFill="1" applyBorder="1" applyAlignment="1">
      <alignment horizontal="center" vertical="center"/>
    </xf>
    <xf numFmtId="0" fontId="43" fillId="0" borderId="25" xfId="0" applyFont="1" applyFill="1" applyBorder="1" applyAlignment="1">
      <alignment vertical="center"/>
    </xf>
    <xf numFmtId="0" fontId="22" fillId="0" borderId="0" xfId="0" applyFont="1" applyFill="1" applyAlignment="1">
      <alignment vertical="center"/>
    </xf>
    <xf numFmtId="0" fontId="42" fillId="0" borderId="11" xfId="0" applyFont="1" applyFill="1" applyBorder="1" applyAlignment="1">
      <alignment horizontal="center" vertical="center"/>
    </xf>
    <xf numFmtId="0" fontId="42" fillId="10" borderId="11" xfId="0" applyFont="1" applyFill="1" applyBorder="1" applyAlignment="1" applyProtection="1">
      <alignment horizontal="center" vertical="center"/>
    </xf>
    <xf numFmtId="2" fontId="42" fillId="10" borderId="25" xfId="0" applyNumberFormat="1" applyFont="1" applyFill="1" applyBorder="1" applyAlignment="1" applyProtection="1">
      <alignment horizontal="center" vertical="center"/>
    </xf>
    <xf numFmtId="0" fontId="22" fillId="0" borderId="0" xfId="19" applyFont="1" applyAlignment="1">
      <alignment vertical="center"/>
    </xf>
    <xf numFmtId="0" fontId="42" fillId="10" borderId="25" xfId="0" applyFont="1" applyFill="1" applyBorder="1" applyAlignment="1" applyProtection="1">
      <alignment horizontal="left" vertical="center"/>
    </xf>
    <xf numFmtId="0" fontId="42" fillId="0" borderId="11" xfId="0" applyFont="1" applyBorder="1" applyAlignment="1">
      <alignment horizontal="center" vertical="center"/>
    </xf>
    <xf numFmtId="2" fontId="42" fillId="0" borderId="25" xfId="0" applyNumberFormat="1" applyFont="1" applyBorder="1" applyAlignment="1">
      <alignment horizontal="right" vertical="center"/>
    </xf>
    <xf numFmtId="0" fontId="23" fillId="0" borderId="0" xfId="0" applyFont="1" applyAlignment="1">
      <alignment vertical="center" wrapText="1"/>
    </xf>
    <xf numFmtId="0" fontId="43" fillId="8" borderId="11" xfId="0" applyFont="1" applyFill="1" applyBorder="1" applyAlignment="1">
      <alignment horizontal="center" vertical="center"/>
    </xf>
    <xf numFmtId="0" fontId="42" fillId="17" borderId="25" xfId="0" applyFont="1" applyFill="1" applyBorder="1" applyAlignment="1">
      <alignment horizontal="justify" vertical="center"/>
    </xf>
    <xf numFmtId="0" fontId="23" fillId="17" borderId="0" xfId="0" applyFont="1" applyFill="1" applyAlignment="1">
      <alignment horizontal="justify" vertical="center"/>
    </xf>
    <xf numFmtId="0" fontId="43" fillId="17" borderId="25" xfId="0" applyFont="1" applyFill="1" applyBorder="1" applyAlignment="1">
      <alignment horizontal="justify" vertical="center"/>
    </xf>
    <xf numFmtId="0" fontId="22" fillId="17" borderId="0" xfId="0" applyFont="1" applyFill="1" applyAlignment="1">
      <alignment horizontal="justify" vertical="center"/>
    </xf>
    <xf numFmtId="0" fontId="43" fillId="8" borderId="11" xfId="94" applyFont="1" applyFill="1" applyBorder="1" applyAlignment="1">
      <alignment horizontal="center" vertical="center"/>
    </xf>
    <xf numFmtId="0" fontId="43" fillId="17" borderId="25" xfId="30" applyFont="1" applyFill="1" applyBorder="1" applyAlignment="1">
      <alignment vertical="center"/>
    </xf>
    <xf numFmtId="0" fontId="22" fillId="17" borderId="0" xfId="94" applyFont="1" applyFill="1" applyAlignment="1">
      <alignment vertical="center"/>
    </xf>
    <xf numFmtId="0" fontId="43" fillId="8" borderId="11" xfId="0" applyFont="1" applyFill="1" applyBorder="1" applyAlignment="1">
      <alignment vertical="center" wrapText="1"/>
    </xf>
    <xf numFmtId="0" fontId="43" fillId="0" borderId="25" xfId="0" applyFont="1" applyBorder="1" applyAlignment="1">
      <alignment vertical="center" wrapText="1"/>
    </xf>
    <xf numFmtId="0" fontId="22" fillId="0" borderId="0" xfId="0" applyFont="1" applyAlignment="1">
      <alignment vertical="center" wrapText="1"/>
    </xf>
    <xf numFmtId="0" fontId="43" fillId="8" borderId="20" xfId="0" applyFont="1" applyFill="1" applyBorder="1" applyAlignment="1">
      <alignment vertical="center" wrapText="1"/>
    </xf>
    <xf numFmtId="0" fontId="43" fillId="0" borderId="21" xfId="0" applyFont="1" applyBorder="1" applyAlignment="1">
      <alignment horizontal="left" vertical="center" wrapText="1"/>
    </xf>
    <xf numFmtId="0" fontId="43" fillId="0" borderId="21" xfId="0" applyFont="1" applyBorder="1" applyAlignment="1">
      <alignment horizontal="center" vertical="center" wrapText="1"/>
    </xf>
    <xf numFmtId="0" fontId="43" fillId="0" borderId="26" xfId="0" applyFont="1" applyBorder="1" applyAlignment="1">
      <alignment vertical="center" wrapText="1"/>
    </xf>
    <xf numFmtId="14" fontId="23" fillId="0" borderId="25" xfId="0" applyNumberFormat="1" applyFont="1" applyBorder="1" applyAlignment="1">
      <alignment vertical="center"/>
    </xf>
    <xf numFmtId="49" fontId="22" fillId="0" borderId="11" xfId="15" applyNumberFormat="1" applyFont="1" applyFill="1" applyBorder="1" applyAlignment="1" applyProtection="1">
      <alignment horizontal="center" vertical="center"/>
    </xf>
    <xf numFmtId="0" fontId="22" fillId="0" borderId="25" xfId="0" applyFont="1" applyFill="1" applyBorder="1" applyAlignment="1" applyProtection="1">
      <alignment vertical="center" wrapText="1"/>
      <protection locked="0"/>
    </xf>
    <xf numFmtId="41" fontId="22" fillId="0" borderId="25" xfId="0" applyNumberFormat="1" applyFont="1" applyFill="1" applyBorder="1" applyAlignment="1" applyProtection="1">
      <alignment vertical="center" wrapText="1"/>
      <protection locked="0"/>
    </xf>
    <xf numFmtId="0" fontId="22" fillId="0" borderId="11" xfId="0" applyFont="1" applyFill="1" applyBorder="1" applyAlignment="1" applyProtection="1">
      <alignment horizontal="center" vertical="center" wrapText="1"/>
    </xf>
    <xf numFmtId="0" fontId="23" fillId="10" borderId="11" xfId="0" applyFont="1" applyFill="1" applyBorder="1" applyAlignment="1" applyProtection="1">
      <alignment horizontal="center" vertical="center"/>
    </xf>
    <xf numFmtId="2" fontId="23" fillId="10" borderId="25" xfId="0" applyNumberFormat="1" applyFont="1" applyFill="1" applyBorder="1" applyAlignment="1" applyProtection="1">
      <alignment horizontal="left" vertical="center"/>
    </xf>
    <xf numFmtId="0" fontId="23" fillId="10" borderId="25" xfId="0" applyFont="1" applyFill="1" applyBorder="1" applyAlignment="1" applyProtection="1">
      <alignment horizontal="left" vertical="center"/>
    </xf>
    <xf numFmtId="0" fontId="22" fillId="0" borderId="11" xfId="0" applyFont="1" applyBorder="1" applyAlignment="1" applyProtection="1">
      <alignment vertical="center" wrapText="1"/>
    </xf>
    <xf numFmtId="0" fontId="22" fillId="0" borderId="25" xfId="0" applyFont="1" applyBorder="1" applyAlignment="1" applyProtection="1">
      <alignment wrapText="1"/>
      <protection locked="0"/>
    </xf>
    <xf numFmtId="0" fontId="22" fillId="0" borderId="11" xfId="0" applyFont="1" applyBorder="1" applyAlignment="1">
      <alignment vertical="center" wrapText="1"/>
    </xf>
    <xf numFmtId="0" fontId="22" fillId="0" borderId="25" xfId="0" applyFont="1" applyBorder="1" applyAlignment="1">
      <alignment wrapText="1"/>
    </xf>
    <xf numFmtId="0" fontId="22" fillId="0" borderId="0" xfId="0" applyFont="1" applyAlignment="1">
      <alignment wrapText="1"/>
    </xf>
    <xf numFmtId="0" fontId="22" fillId="0" borderId="20" xfId="0" applyFont="1" applyBorder="1" applyAlignment="1">
      <alignment vertical="center" wrapText="1"/>
    </xf>
    <xf numFmtId="0" fontId="22" fillId="0" borderId="21" xfId="0" applyFont="1" applyFill="1" applyBorder="1" applyAlignment="1" applyProtection="1">
      <alignment horizontal="left" vertical="top" wrapText="1"/>
    </xf>
    <xf numFmtId="0" fontId="22" fillId="0" borderId="21" xfId="0" applyFont="1" applyBorder="1" applyAlignment="1">
      <alignment horizontal="center" vertical="center" wrapText="1"/>
    </xf>
    <xf numFmtId="0" fontId="22" fillId="0" borderId="21" xfId="0" applyFont="1" applyBorder="1" applyAlignment="1">
      <alignment horizontal="center" wrapText="1"/>
    </xf>
    <xf numFmtId="0" fontId="22" fillId="0" borderId="26" xfId="0" applyFont="1" applyBorder="1" applyAlignment="1">
      <alignment wrapText="1"/>
    </xf>
    <xf numFmtId="0" fontId="22" fillId="0" borderId="0" xfId="0" applyFont="1" applyAlignment="1" applyProtection="1">
      <alignment vertical="center" wrapText="1"/>
    </xf>
    <xf numFmtId="0" fontId="22" fillId="0" borderId="0" xfId="0" applyFont="1" applyAlignment="1" applyProtection="1">
      <alignment horizontal="justify" vertical="top" wrapText="1"/>
    </xf>
    <xf numFmtId="0" fontId="22" fillId="0" borderId="0" xfId="0" applyFont="1" applyAlignment="1" applyProtection="1">
      <alignment horizontal="center" vertical="center" wrapText="1"/>
    </xf>
    <xf numFmtId="0" fontId="0" fillId="0" borderId="0" xfId="0" applyAlignment="1">
      <alignment vertical="center"/>
    </xf>
    <xf numFmtId="0" fontId="3" fillId="0" borderId="1" xfId="0" applyFont="1" applyBorder="1" applyAlignment="1">
      <alignment vertical="center"/>
    </xf>
    <xf numFmtId="43" fontId="0" fillId="0" borderId="1" xfId="1" applyFont="1" applyBorder="1" applyAlignment="1">
      <alignment vertical="center"/>
    </xf>
    <xf numFmtId="0" fontId="0" fillId="0" borderId="1" xfId="0" applyBorder="1" applyAlignment="1">
      <alignment vertical="center" wrapText="1"/>
    </xf>
    <xf numFmtId="0" fontId="0" fillId="6" borderId="1" xfId="0" applyFill="1" applyBorder="1" applyAlignment="1">
      <alignment vertical="center"/>
    </xf>
    <xf numFmtId="43" fontId="0" fillId="6" borderId="1" xfId="1" applyFont="1" applyFill="1" applyBorder="1" applyAlignment="1">
      <alignment vertical="center"/>
    </xf>
    <xf numFmtId="0" fontId="30" fillId="8" borderId="0" xfId="0" applyFont="1" applyFill="1"/>
    <xf numFmtId="164" fontId="30" fillId="8" borderId="0" xfId="18" applyNumberFormat="1" applyFont="1" applyFill="1" applyBorder="1" applyAlignment="1" applyProtection="1">
      <alignment vertical="center"/>
      <protection locked="0"/>
    </xf>
    <xf numFmtId="0" fontId="31" fillId="8" borderId="0" xfId="0" applyFont="1" applyFill="1" applyBorder="1" applyAlignment="1" applyProtection="1">
      <alignment horizontal="left" vertical="center"/>
      <protection locked="0"/>
    </xf>
    <xf numFmtId="0" fontId="31" fillId="0" borderId="0" xfId="0" applyFont="1" applyFill="1" applyBorder="1" applyAlignment="1" applyProtection="1">
      <alignment horizontal="left" vertical="center"/>
      <protection locked="0"/>
    </xf>
    <xf numFmtId="0" fontId="67" fillId="8" borderId="0" xfId="90" applyFont="1" applyFill="1" applyAlignment="1" applyProtection="1">
      <alignment vertical="center" wrapText="1"/>
      <protection locked="0"/>
    </xf>
    <xf numFmtId="9" fontId="31" fillId="8" borderId="0" xfId="0" applyNumberFormat="1" applyFont="1" applyFill="1" applyAlignment="1" applyProtection="1">
      <alignment horizontal="left" vertical="center"/>
      <protection locked="0"/>
    </xf>
    <xf numFmtId="0" fontId="31" fillId="8" borderId="0" xfId="0" applyFont="1" applyFill="1" applyAlignment="1" applyProtection="1">
      <alignment horizontal="left" vertical="center"/>
      <protection locked="0"/>
    </xf>
    <xf numFmtId="0" fontId="31" fillId="0" borderId="0" xfId="0" applyFont="1" applyFill="1" applyAlignment="1" applyProtection="1">
      <alignment horizontal="left" vertical="center"/>
      <protection locked="0"/>
    </xf>
    <xf numFmtId="165" fontId="30" fillId="8" borderId="0" xfId="12" applyFont="1" applyFill="1" applyBorder="1" applyAlignment="1" applyProtection="1">
      <alignment vertical="center"/>
      <protection locked="0"/>
    </xf>
    <xf numFmtId="165" fontId="30" fillId="8" borderId="0" xfId="12" applyFont="1" applyFill="1" applyBorder="1" applyAlignment="1" applyProtection="1">
      <alignment vertical="center" wrapText="1"/>
      <protection locked="0"/>
    </xf>
    <xf numFmtId="166" fontId="30" fillId="8" borderId="0" xfId="27" applyNumberFormat="1" applyFont="1" applyFill="1" applyBorder="1" applyAlignment="1">
      <alignment horizontal="center" wrapText="1"/>
    </xf>
    <xf numFmtId="165" fontId="30" fillId="8" borderId="0" xfId="12" applyFont="1" applyFill="1" applyBorder="1" applyAlignment="1" applyProtection="1">
      <alignment horizontal="right" vertical="center"/>
      <protection locked="0"/>
    </xf>
    <xf numFmtId="0" fontId="31" fillId="0" borderId="0" xfId="13" applyFont="1" applyFill="1" applyProtection="1">
      <protection locked="0"/>
    </xf>
    <xf numFmtId="0" fontId="68" fillId="7" borderId="3" xfId="90" applyFont="1" applyFill="1" applyBorder="1" applyAlignment="1" applyProtection="1">
      <alignment horizontal="center" vertical="center"/>
      <protection locked="0"/>
    </xf>
    <xf numFmtId="0" fontId="68" fillId="7" borderId="4" xfId="90" applyFont="1" applyFill="1" applyBorder="1" applyAlignment="1" applyProtection="1">
      <alignment horizontal="center" vertical="center" wrapText="1"/>
      <protection locked="0"/>
    </xf>
    <xf numFmtId="0" fontId="68" fillId="7" borderId="4" xfId="90" applyFont="1" applyFill="1" applyBorder="1" applyAlignment="1" applyProtection="1">
      <alignment horizontal="center" vertical="center"/>
      <protection locked="0"/>
    </xf>
    <xf numFmtId="166" fontId="68" fillId="7" borderId="4" xfId="35" applyNumberFormat="1" applyFont="1" applyFill="1" applyBorder="1" applyAlignment="1" applyProtection="1">
      <alignment horizontal="center" vertical="center" wrapText="1"/>
      <protection locked="0"/>
    </xf>
    <xf numFmtId="0" fontId="68" fillId="7" borderId="6" xfId="90" applyFont="1" applyFill="1" applyBorder="1" applyAlignment="1" applyProtection="1">
      <alignment horizontal="center" vertical="center" wrapText="1"/>
      <protection locked="0"/>
    </xf>
    <xf numFmtId="0" fontId="32" fillId="0" borderId="0" xfId="0" applyFont="1" applyAlignment="1" applyProtection="1">
      <alignment horizontal="center"/>
      <protection locked="0"/>
    </xf>
    <xf numFmtId="49" fontId="30" fillId="0" borderId="11" xfId="15" applyNumberFormat="1" applyFont="1" applyFill="1" applyBorder="1" applyAlignment="1">
      <alignment horizontal="center" vertical="center"/>
    </xf>
    <xf numFmtId="0" fontId="30" fillId="0" borderId="25" xfId="0" applyFont="1" applyFill="1" applyBorder="1" applyAlignment="1">
      <alignment vertical="center"/>
    </xf>
    <xf numFmtId="0" fontId="30" fillId="0" borderId="0" xfId="0" applyFont="1" applyFill="1" applyAlignment="1">
      <alignment vertical="center"/>
    </xf>
    <xf numFmtId="49" fontId="31" fillId="0" borderId="11" xfId="15" applyNumberFormat="1" applyFont="1" applyFill="1" applyBorder="1" applyAlignment="1">
      <alignment horizontal="center" vertical="center" wrapText="1"/>
    </xf>
    <xf numFmtId="0" fontId="31" fillId="0" borderId="25" xfId="0" applyFont="1" applyFill="1" applyBorder="1" applyAlignment="1">
      <alignment vertical="center"/>
    </xf>
    <xf numFmtId="0" fontId="31" fillId="0" borderId="0" xfId="0" applyFont="1" applyFill="1" applyAlignment="1">
      <alignment vertical="center"/>
    </xf>
    <xf numFmtId="0" fontId="31" fillId="0" borderId="25" xfId="0" applyFont="1" applyFill="1" applyBorder="1" applyAlignment="1">
      <alignment vertical="center" wrapText="1"/>
    </xf>
    <xf numFmtId="0" fontId="67" fillId="0" borderId="0" xfId="0" applyFont="1" applyAlignment="1">
      <alignment vertical="center"/>
    </xf>
    <xf numFmtId="0" fontId="70" fillId="0" borderId="11" xfId="0" applyFont="1" applyBorder="1" applyAlignment="1">
      <alignment horizontal="center" vertical="center"/>
    </xf>
    <xf numFmtId="0" fontId="70" fillId="0" borderId="25" xfId="0" applyFont="1" applyBorder="1" applyAlignment="1">
      <alignment vertical="center"/>
    </xf>
    <xf numFmtId="0" fontId="70" fillId="0" borderId="0" xfId="0" applyFont="1" applyAlignment="1">
      <alignment vertical="center"/>
    </xf>
    <xf numFmtId="0" fontId="70" fillId="0" borderId="0" xfId="0" applyFont="1"/>
    <xf numFmtId="164" fontId="70" fillId="0" borderId="11" xfId="0" applyNumberFormat="1" applyFont="1" applyBorder="1" applyAlignment="1">
      <alignment horizontal="center" vertical="center"/>
    </xf>
    <xf numFmtId="0" fontId="30" fillId="0" borderId="11" xfId="0" applyFont="1" applyFill="1" applyBorder="1" applyAlignment="1">
      <alignment horizontal="center" vertical="center"/>
    </xf>
    <xf numFmtId="3" fontId="30" fillId="0" borderId="25" xfId="19" applyNumberFormat="1" applyFont="1" applyFill="1" applyBorder="1" applyAlignment="1">
      <alignment horizontal="center" vertical="center" wrapText="1"/>
    </xf>
    <xf numFmtId="0" fontId="67" fillId="0" borderId="0" xfId="0" applyFont="1" applyFill="1" applyAlignment="1">
      <alignment vertical="center"/>
    </xf>
    <xf numFmtId="0" fontId="31" fillId="0" borderId="0" xfId="0" applyFont="1" applyAlignment="1">
      <alignment vertical="center"/>
    </xf>
    <xf numFmtId="0" fontId="42" fillId="4" borderId="17" xfId="19" applyFont="1" applyFill="1" applyBorder="1" applyAlignment="1" applyProtection="1">
      <alignment horizontal="center" vertical="center"/>
      <protection locked="0"/>
    </xf>
    <xf numFmtId="171" fontId="42" fillId="4" borderId="18" xfId="0" applyNumberFormat="1" applyFont="1" applyFill="1" applyBorder="1" applyAlignment="1" applyProtection="1">
      <alignment horizontal="justify" vertical="center"/>
      <protection locked="0"/>
    </xf>
    <xf numFmtId="0" fontId="42" fillId="4" borderId="18" xfId="0" applyFont="1" applyFill="1" applyBorder="1" applyAlignment="1" applyProtection="1">
      <alignment horizontal="center" vertical="center"/>
      <protection locked="0"/>
    </xf>
    <xf numFmtId="172" fontId="42" fillId="4" borderId="18" xfId="0" applyNumberFormat="1" applyFont="1" applyFill="1" applyBorder="1" applyAlignment="1" applyProtection="1">
      <alignment horizontal="center" vertical="center"/>
      <protection locked="0"/>
    </xf>
    <xf numFmtId="166" fontId="42" fillId="4" borderId="18" xfId="27" applyNumberFormat="1" applyFont="1" applyFill="1" applyBorder="1" applyAlignment="1" applyProtection="1">
      <alignment horizontal="center" vertical="center"/>
      <protection locked="0"/>
    </xf>
    <xf numFmtId="43" fontId="42" fillId="4" borderId="19" xfId="27" applyNumberFormat="1" applyFont="1" applyFill="1" applyBorder="1" applyAlignment="1" applyProtection="1">
      <alignment horizontal="center" vertical="center"/>
      <protection locked="0"/>
    </xf>
    <xf numFmtId="0" fontId="31" fillId="0" borderId="0" xfId="19" applyFont="1" applyFill="1" applyProtection="1">
      <protection locked="0"/>
    </xf>
    <xf numFmtId="0" fontId="42" fillId="4" borderId="11" xfId="0" applyFont="1" applyFill="1" applyBorder="1" applyAlignment="1">
      <alignment horizontal="right"/>
    </xf>
    <xf numFmtId="0" fontId="42" fillId="4" borderId="25" xfId="2" applyNumberFormat="1" applyFont="1" applyFill="1" applyBorder="1"/>
    <xf numFmtId="0" fontId="42" fillId="4" borderId="20" xfId="0" applyFont="1" applyFill="1" applyBorder="1" applyAlignment="1">
      <alignment horizontal="right"/>
    </xf>
    <xf numFmtId="0" fontId="42" fillId="4" borderId="21" xfId="0" applyFont="1" applyFill="1" applyBorder="1" applyAlignment="1"/>
    <xf numFmtId="10" fontId="42" fillId="4" borderId="21" xfId="2" applyNumberFormat="1" applyFont="1" applyFill="1" applyBorder="1"/>
    <xf numFmtId="166" fontId="42" fillId="4" borderId="21" xfId="2" applyNumberFormat="1" applyFont="1" applyFill="1" applyBorder="1"/>
    <xf numFmtId="0" fontId="70" fillId="0" borderId="0" xfId="0" applyFont="1" applyAlignment="1">
      <alignment horizontal="center"/>
    </xf>
    <xf numFmtId="0" fontId="70" fillId="0" borderId="0" xfId="0" applyFont="1" applyAlignment="1">
      <alignment horizontal="left" wrapText="1"/>
    </xf>
    <xf numFmtId="0" fontId="67" fillId="0" borderId="0" xfId="0" applyFont="1" applyAlignment="1" applyProtection="1">
      <alignment horizontal="center"/>
      <protection locked="0"/>
    </xf>
    <xf numFmtId="0" fontId="70" fillId="0" borderId="0" xfId="0" applyFont="1" applyAlignment="1">
      <alignment horizontal="center" vertical="center"/>
    </xf>
    <xf numFmtId="0" fontId="42" fillId="8" borderId="0" xfId="0" applyFont="1" applyFill="1"/>
    <xf numFmtId="164" fontId="42" fillId="8" borderId="0" xfId="18" applyNumberFormat="1" applyFont="1" applyFill="1" applyBorder="1" applyAlignment="1" applyProtection="1">
      <alignment vertical="center"/>
      <protection locked="0"/>
    </xf>
    <xf numFmtId="0" fontId="43" fillId="8" borderId="0" xfId="0" applyFont="1" applyFill="1" applyBorder="1" applyAlignment="1" applyProtection="1">
      <alignment horizontal="left" vertical="center"/>
      <protection locked="0"/>
    </xf>
    <xf numFmtId="0" fontId="43" fillId="0" borderId="0" xfId="0" applyFont="1" applyFill="1" applyBorder="1" applyAlignment="1" applyProtection="1">
      <alignment horizontal="left" vertical="center"/>
      <protection locked="0"/>
    </xf>
    <xf numFmtId="0" fontId="71" fillId="8" borderId="0" xfId="90" applyFont="1" applyFill="1" applyAlignment="1" applyProtection="1">
      <alignment vertical="center" wrapText="1"/>
      <protection locked="0"/>
    </xf>
    <xf numFmtId="9" fontId="43" fillId="8" borderId="0" xfId="0" applyNumberFormat="1" applyFont="1" applyFill="1" applyAlignment="1" applyProtection="1">
      <alignment horizontal="left" vertical="center"/>
      <protection locked="0"/>
    </xf>
    <xf numFmtId="0" fontId="43" fillId="8" borderId="0" xfId="0" applyFont="1" applyFill="1" applyAlignment="1" applyProtection="1">
      <alignment horizontal="left" vertical="center"/>
      <protection locked="0"/>
    </xf>
    <xf numFmtId="0" fontId="43" fillId="0" borderId="0" xfId="0" applyFont="1" applyFill="1" applyAlignment="1" applyProtection="1">
      <alignment horizontal="left" vertical="center"/>
      <protection locked="0"/>
    </xf>
    <xf numFmtId="165" fontId="42" fillId="8" borderId="0" xfId="12" applyFont="1" applyFill="1" applyBorder="1" applyAlignment="1" applyProtection="1">
      <alignment vertical="center"/>
      <protection locked="0"/>
    </xf>
    <xf numFmtId="165" fontId="42" fillId="8" borderId="0" xfId="12" applyFont="1" applyFill="1" applyBorder="1" applyAlignment="1" applyProtection="1">
      <alignment vertical="center" wrapText="1"/>
      <protection locked="0"/>
    </xf>
    <xf numFmtId="166" fontId="42" fillId="8" borderId="0" xfId="27" applyNumberFormat="1" applyFont="1" applyFill="1" applyBorder="1" applyAlignment="1">
      <alignment horizontal="center" wrapText="1"/>
    </xf>
    <xf numFmtId="165" fontId="42" fillId="8" borderId="0" xfId="12" applyFont="1" applyFill="1" applyBorder="1" applyAlignment="1" applyProtection="1">
      <alignment horizontal="right" vertical="center"/>
      <protection locked="0"/>
    </xf>
    <xf numFmtId="0" fontId="43" fillId="0" borderId="0" xfId="13" applyFont="1" applyFill="1" applyProtection="1">
      <protection locked="0"/>
    </xf>
    <xf numFmtId="164" fontId="31" fillId="0" borderId="11" xfId="0" applyNumberFormat="1" applyFont="1" applyBorder="1" applyAlignment="1">
      <alignment horizontal="center" vertical="center" wrapText="1"/>
    </xf>
    <xf numFmtId="0" fontId="70" fillId="0" borderId="0" xfId="0" applyFont="1" applyAlignment="1" applyProtection="1">
      <alignment horizontal="center" vertical="center" wrapText="1"/>
      <protection locked="0"/>
    </xf>
    <xf numFmtId="0" fontId="31" fillId="0" borderId="0" xfId="0" applyFont="1" applyAlignment="1" applyProtection="1">
      <alignment horizontal="center" vertical="center" wrapText="1"/>
      <protection locked="0"/>
    </xf>
    <xf numFmtId="164" fontId="31" fillId="8" borderId="11" xfId="0" applyNumberFormat="1" applyFont="1" applyFill="1" applyBorder="1" applyAlignment="1">
      <alignment horizontal="center" vertical="center" wrapText="1"/>
    </xf>
    <xf numFmtId="166" fontId="42" fillId="4" borderId="19" xfId="27" applyNumberFormat="1" applyFont="1" applyFill="1" applyBorder="1" applyAlignment="1" applyProtection="1">
      <alignment horizontal="center" vertical="center"/>
      <protection locked="0"/>
    </xf>
    <xf numFmtId="10" fontId="42" fillId="4" borderId="25" xfId="2" applyNumberFormat="1" applyFont="1" applyFill="1" applyBorder="1"/>
    <xf numFmtId="10" fontId="42" fillId="4" borderId="26" xfId="2" applyNumberFormat="1" applyFont="1" applyFill="1" applyBorder="1"/>
    <xf numFmtId="0" fontId="31" fillId="0" borderId="0" xfId="0" applyFont="1" applyAlignment="1" applyProtection="1">
      <alignment horizontal="justify" vertical="center"/>
      <protection locked="0"/>
    </xf>
    <xf numFmtId="165" fontId="30" fillId="0" borderId="0" xfId="35" applyFont="1" applyFill="1" applyBorder="1" applyAlignment="1" applyProtection="1">
      <alignment horizontal="center" vertical="center" wrapText="1"/>
      <protection locked="0"/>
    </xf>
    <xf numFmtId="165" fontId="30" fillId="0" borderId="0" xfId="35" applyFont="1" applyFill="1" applyBorder="1" applyAlignment="1" applyProtection="1">
      <alignment horizontal="center" wrapText="1"/>
      <protection locked="0"/>
    </xf>
    <xf numFmtId="0" fontId="31" fillId="0" borderId="0" xfId="0" applyFont="1" applyAlignment="1" applyProtection="1">
      <alignment horizontal="center" vertical="center"/>
      <protection locked="0"/>
    </xf>
    <xf numFmtId="0" fontId="31" fillId="0" borderId="0" xfId="0" applyFont="1" applyAlignment="1" applyProtection="1">
      <alignment horizontal="left" vertical="center"/>
      <protection locked="0"/>
    </xf>
    <xf numFmtId="164" fontId="72" fillId="0" borderId="11" xfId="0" applyNumberFormat="1" applyFont="1" applyBorder="1" applyAlignment="1">
      <alignment horizontal="center" vertical="center" wrapText="1"/>
    </xf>
    <xf numFmtId="43" fontId="4" fillId="0" borderId="0" xfId="0" applyNumberFormat="1" applyFont="1" applyAlignment="1">
      <alignment vertical="center"/>
    </xf>
    <xf numFmtId="0" fontId="4" fillId="0" borderId="1" xfId="0" applyFont="1" applyFill="1" applyBorder="1" applyAlignment="1">
      <alignment vertical="center" wrapText="1"/>
    </xf>
    <xf numFmtId="2" fontId="4" fillId="0" borderId="1" xfId="0" applyNumberFormat="1" applyFont="1" applyFill="1" applyBorder="1" applyAlignment="1">
      <alignment vertical="center"/>
    </xf>
    <xf numFmtId="43" fontId="4" fillId="0" borderId="1" xfId="0" applyNumberFormat="1" applyFont="1" applyFill="1" applyBorder="1"/>
    <xf numFmtId="171" fontId="45" fillId="0" borderId="44" xfId="15" applyNumberFormat="1" applyFont="1" applyBorder="1" applyAlignment="1">
      <alignment horizontal="justify" vertical="top" wrapText="1"/>
    </xf>
    <xf numFmtId="0" fontId="45" fillId="0" borderId="44" xfId="0" applyFont="1" applyBorder="1" applyAlignment="1" applyProtection="1">
      <alignment horizontal="center"/>
      <protection locked="0"/>
    </xf>
    <xf numFmtId="0" fontId="44" fillId="0" borderId="44" xfId="0" applyFont="1" applyBorder="1" applyAlignment="1">
      <alignment horizontal="center"/>
    </xf>
    <xf numFmtId="0" fontId="44" fillId="0" borderId="44" xfId="0" applyFont="1" applyBorder="1" applyAlignment="1">
      <alignment horizontal="center" vertical="center"/>
    </xf>
    <xf numFmtId="0" fontId="44" fillId="0" borderId="44" xfId="0" applyFont="1" applyBorder="1"/>
    <xf numFmtId="0" fontId="44" fillId="0" borderId="44" xfId="0" applyFont="1" applyBorder="1" applyAlignment="1">
      <alignment horizontal="left" vertical="top" wrapText="1"/>
    </xf>
    <xf numFmtId="0" fontId="45" fillId="0" borderId="44" xfId="0" applyFont="1" applyBorder="1" applyAlignment="1" applyProtection="1">
      <alignment horizontal="center" vertical="center"/>
      <protection locked="0"/>
    </xf>
    <xf numFmtId="0" fontId="44" fillId="0" borderId="44" xfId="0" applyFont="1" applyBorder="1" applyAlignment="1">
      <alignment vertical="center"/>
    </xf>
    <xf numFmtId="1" fontId="44" fillId="0" borderId="44" xfId="15" applyNumberFormat="1" applyFont="1" applyBorder="1" applyAlignment="1">
      <alignment horizontal="center" vertical="center"/>
    </xf>
    <xf numFmtId="0" fontId="44" fillId="0" borderId="44" xfId="15" applyFont="1" applyBorder="1" applyAlignment="1">
      <alignment horizontal="justify" vertical="center" wrapText="1"/>
    </xf>
    <xf numFmtId="171" fontId="45" fillId="0" borderId="44" xfId="15" applyNumberFormat="1" applyFont="1" applyBorder="1" applyAlignment="1">
      <alignment horizontal="justify" vertical="center" wrapText="1"/>
    </xf>
    <xf numFmtId="1" fontId="44" fillId="0" borderId="44" xfId="15" applyNumberFormat="1" applyFont="1" applyBorder="1" applyAlignment="1">
      <alignment horizontal="center"/>
    </xf>
    <xf numFmtId="3" fontId="45" fillId="15" borderId="44" xfId="19" applyNumberFormat="1" applyFont="1" applyFill="1" applyBorder="1" applyAlignment="1">
      <alignment horizontal="justify" vertical="center" wrapText="1"/>
    </xf>
    <xf numFmtId="3" fontId="45" fillId="15" borderId="44" xfId="19" applyNumberFormat="1" applyFont="1" applyFill="1" applyBorder="1" applyAlignment="1">
      <alignment horizontal="center" vertical="center" wrapText="1"/>
    </xf>
    <xf numFmtId="0" fontId="44" fillId="0" borderId="44" xfId="0" applyFont="1" applyBorder="1" applyAlignment="1">
      <alignment horizontal="left" wrapText="1"/>
    </xf>
    <xf numFmtId="0" fontId="44" fillId="0" borderId="44" xfId="0" applyFont="1" applyBorder="1" applyAlignment="1">
      <alignment vertical="center" wrapText="1"/>
    </xf>
    <xf numFmtId="171" fontId="44" fillId="0" borderId="44" xfId="15" applyNumberFormat="1" applyFont="1" applyBorder="1" applyAlignment="1">
      <alignment horizontal="right" vertical="center" wrapText="1"/>
    </xf>
    <xf numFmtId="0" fontId="44" fillId="0" borderId="44" xfId="15" applyFont="1" applyBorder="1" applyAlignment="1">
      <alignment horizontal="center" vertical="center" wrapText="1"/>
    </xf>
    <xf numFmtId="171" fontId="44" fillId="0" borderId="44" xfId="15" applyNumberFormat="1" applyFont="1" applyBorder="1" applyAlignment="1">
      <alignment horizontal="right" vertical="top" wrapText="1"/>
    </xf>
    <xf numFmtId="171" fontId="44" fillId="0" borderId="44" xfId="15" applyNumberFormat="1" applyFont="1" applyBorder="1" applyAlignment="1">
      <alignment horizontal="left" vertical="center" wrapText="1"/>
    </xf>
    <xf numFmtId="171" fontId="45" fillId="0" borderId="44" xfId="15" applyNumberFormat="1" applyFont="1" applyBorder="1" applyAlignment="1">
      <alignment horizontal="left" vertical="top" wrapText="1"/>
    </xf>
    <xf numFmtId="171" fontId="44" fillId="0" borderId="44" xfId="15" applyNumberFormat="1" applyFont="1" applyBorder="1" applyAlignment="1">
      <alignment horizontal="justify" vertical="center" wrapText="1"/>
    </xf>
    <xf numFmtId="171" fontId="44" fillId="0" borderId="44" xfId="15" applyNumberFormat="1" applyFont="1" applyBorder="1" applyAlignment="1">
      <alignment vertical="center" wrapText="1"/>
    </xf>
    <xf numFmtId="0" fontId="45" fillId="0" borderId="44" xfId="0" applyFont="1" applyBorder="1" applyAlignment="1">
      <alignment horizontal="center" vertical="center"/>
    </xf>
    <xf numFmtId="0" fontId="44" fillId="0" borderId="44" xfId="0" applyFont="1" applyBorder="1" applyAlignment="1">
      <alignment horizontal="left" vertical="center" wrapText="1"/>
    </xf>
    <xf numFmtId="171" fontId="44" fillId="0" borderId="44" xfId="15" applyNumberFormat="1" applyFont="1" applyBorder="1" applyAlignment="1">
      <alignment horizontal="left" vertical="top" wrapText="1"/>
    </xf>
    <xf numFmtId="2" fontId="45" fillId="0" borderId="44" xfId="92" applyNumberFormat="1" applyFont="1" applyBorder="1" applyAlignment="1">
      <alignment horizontal="justify" vertical="center" wrapText="1"/>
    </xf>
    <xf numFmtId="171" fontId="44" fillId="0" borderId="44" xfId="15" applyNumberFormat="1" applyFont="1" applyBorder="1" applyAlignment="1">
      <alignment horizontal="justify" vertical="top" wrapText="1"/>
    </xf>
    <xf numFmtId="3" fontId="44" fillId="0" borderId="44" xfId="19" applyNumberFormat="1" applyFont="1" applyBorder="1" applyAlignment="1">
      <alignment horizontal="justify" vertical="center" wrapText="1"/>
    </xf>
    <xf numFmtId="3" fontId="44" fillId="0" borderId="44" xfId="19" applyNumberFormat="1" applyFont="1" applyBorder="1" applyAlignment="1">
      <alignment horizontal="center" vertical="center" wrapText="1"/>
    </xf>
    <xf numFmtId="171" fontId="45" fillId="0" borderId="44" xfId="15" applyNumberFormat="1" applyFont="1" applyBorder="1" applyAlignment="1">
      <alignment vertical="center" wrapText="1"/>
    </xf>
    <xf numFmtId="0" fontId="45" fillId="0" borderId="44" xfId="0" applyFont="1" applyBorder="1" applyAlignment="1">
      <alignment horizontal="left" vertical="center" wrapText="1"/>
    </xf>
    <xf numFmtId="171" fontId="44" fillId="0" borderId="44" xfId="15" applyNumberFormat="1" applyFont="1" applyBorder="1" applyAlignment="1">
      <alignment horizontal="center" vertical="center"/>
    </xf>
    <xf numFmtId="171" fontId="44" fillId="0" borderId="44" xfId="15" applyNumberFormat="1" applyFont="1" applyBorder="1" applyAlignment="1">
      <alignment horizontal="center"/>
    </xf>
    <xf numFmtId="171" fontId="44" fillId="0" borderId="44" xfId="15" quotePrefix="1" applyNumberFormat="1" applyFont="1" applyBorder="1" applyAlignment="1">
      <alignment horizontal="left" vertical="top" wrapText="1"/>
    </xf>
    <xf numFmtId="171" fontId="45" fillId="0" borderId="44" xfId="25" applyNumberFormat="1" applyFont="1" applyBorder="1" applyAlignment="1">
      <alignment horizontal="justify" vertical="top" wrapText="1"/>
    </xf>
    <xf numFmtId="1" fontId="44" fillId="0" borderId="44" xfId="0" applyNumberFormat="1" applyFont="1" applyBorder="1" applyAlignment="1">
      <alignment horizontal="center" vertical="center"/>
    </xf>
    <xf numFmtId="0" fontId="44" fillId="0" borderId="44" xfId="0" applyFont="1" applyBorder="1" applyAlignment="1">
      <alignment horizontal="justify" vertical="top" wrapText="1"/>
    </xf>
    <xf numFmtId="171" fontId="45" fillId="0" borderId="44" xfId="25" applyNumberFormat="1" applyFont="1" applyBorder="1" applyAlignment="1">
      <alignment horizontal="justify" vertical="center" wrapText="1"/>
    </xf>
    <xf numFmtId="0" fontId="44" fillId="0" borderId="44" xfId="25" applyFont="1" applyBorder="1" applyAlignment="1">
      <alignment horizontal="justify" vertical="center" wrapText="1"/>
    </xf>
    <xf numFmtId="2" fontId="44" fillId="0" borderId="44" xfId="0" applyNumberFormat="1" applyFont="1" applyBorder="1" applyAlignment="1">
      <alignment horizontal="center" vertical="center"/>
    </xf>
    <xf numFmtId="171" fontId="45" fillId="0" borderId="44" xfId="15" applyNumberFormat="1" applyFont="1" applyFill="1" applyBorder="1" applyAlignment="1">
      <alignment horizontal="justify" vertical="center" wrapText="1"/>
    </xf>
    <xf numFmtId="0" fontId="45" fillId="0" borderId="44" xfId="91" applyFont="1" applyFill="1" applyBorder="1" applyAlignment="1">
      <alignment horizontal="justify" vertical="center" wrapText="1"/>
    </xf>
    <xf numFmtId="171" fontId="44" fillId="0" borderId="44" xfId="15" applyNumberFormat="1" applyFont="1" applyFill="1" applyBorder="1" applyAlignment="1">
      <alignment horizontal="left" vertical="center" wrapText="1"/>
    </xf>
    <xf numFmtId="171" fontId="44" fillId="0" borderId="44" xfId="15" applyNumberFormat="1" applyFont="1" applyFill="1" applyBorder="1" applyAlignment="1">
      <alignment vertical="center" wrapText="1"/>
    </xf>
    <xf numFmtId="0" fontId="44" fillId="0" borderId="44" xfId="0" applyFont="1" applyFill="1" applyBorder="1" applyAlignment="1">
      <alignment horizontal="left" vertical="center" wrapText="1"/>
    </xf>
    <xf numFmtId="0" fontId="44" fillId="0" borderId="44" xfId="0" applyFont="1" applyFill="1" applyBorder="1" applyAlignment="1">
      <alignment vertical="center" wrapText="1"/>
    </xf>
    <xf numFmtId="0" fontId="44" fillId="0" borderId="44" xfId="0" applyFont="1" applyFill="1" applyBorder="1" applyAlignment="1">
      <alignment horizontal="center" vertical="center"/>
    </xf>
    <xf numFmtId="0" fontId="45" fillId="0" borderId="44" xfId="0" applyFont="1" applyFill="1" applyBorder="1" applyAlignment="1">
      <alignment horizontal="center" vertical="center"/>
    </xf>
    <xf numFmtId="0" fontId="44" fillId="0" borderId="44" xfId="0" applyFont="1" applyFill="1" applyBorder="1" applyAlignment="1">
      <alignment vertical="center"/>
    </xf>
    <xf numFmtId="0" fontId="44" fillId="0" borderId="44" xfId="0" applyFont="1" applyFill="1" applyBorder="1"/>
    <xf numFmtId="1" fontId="44" fillId="0" borderId="44" xfId="0" applyNumberFormat="1" applyFont="1" applyFill="1" applyBorder="1" applyAlignment="1">
      <alignment horizontal="center" vertical="center"/>
    </xf>
    <xf numFmtId="1" fontId="44" fillId="0" borderId="44" xfId="15" applyNumberFormat="1" applyFont="1" applyFill="1" applyBorder="1" applyAlignment="1">
      <alignment horizontal="center" vertical="center"/>
    </xf>
    <xf numFmtId="0" fontId="44" fillId="0" borderId="44" xfId="0" quotePrefix="1" applyFont="1" applyFill="1" applyBorder="1" applyAlignment="1" applyProtection="1">
      <alignment horizontal="justify" vertical="center" wrapText="1"/>
    </xf>
    <xf numFmtId="171" fontId="44" fillId="0" borderId="44" xfId="25" applyNumberFormat="1" applyFont="1" applyFill="1" applyBorder="1" applyAlignment="1">
      <alignment horizontal="justify" vertical="center" wrapText="1"/>
    </xf>
    <xf numFmtId="0" fontId="42" fillId="12" borderId="44" xfId="0" applyFont="1" applyFill="1" applyBorder="1" applyAlignment="1" applyProtection="1">
      <alignment horizontal="center" vertical="center"/>
      <protection locked="0"/>
    </xf>
    <xf numFmtId="0" fontId="42" fillId="4" borderId="44" xfId="0" applyFont="1" applyFill="1" applyBorder="1" applyAlignment="1">
      <alignment vertical="top" wrapText="1"/>
    </xf>
    <xf numFmtId="0" fontId="43" fillId="4" borderId="44" xfId="0" applyFont="1" applyFill="1" applyBorder="1" applyAlignment="1">
      <alignment vertical="center"/>
    </xf>
    <xf numFmtId="171" fontId="44" fillId="0" borderId="44" xfId="25" applyNumberFormat="1" applyFont="1" applyBorder="1" applyAlignment="1">
      <alignment horizontal="justify" vertical="center" wrapText="1"/>
    </xf>
    <xf numFmtId="2" fontId="44" fillId="16" borderId="44" xfId="26" applyNumberFormat="1" applyFont="1" applyFill="1" applyBorder="1" applyAlignment="1">
      <alignment vertical="center" wrapText="1"/>
    </xf>
    <xf numFmtId="0" fontId="44" fillId="0" borderId="44" xfId="26" applyFont="1" applyBorder="1" applyAlignment="1">
      <alignment vertical="top" wrapText="1"/>
    </xf>
    <xf numFmtId="171" fontId="47" fillId="0" borderId="44" xfId="15" applyNumberFormat="1" applyFont="1" applyFill="1" applyBorder="1" applyAlignment="1">
      <alignment horizontal="justify" vertical="center" wrapText="1"/>
    </xf>
    <xf numFmtId="0" fontId="43" fillId="4" borderId="44" xfId="0" applyFont="1" applyFill="1" applyBorder="1" applyAlignment="1">
      <alignment vertical="center" wrapText="1"/>
    </xf>
    <xf numFmtId="0" fontId="42" fillId="4" borderId="44" xfId="0" applyFont="1" applyFill="1" applyBorder="1" applyAlignment="1">
      <alignment vertical="center" wrapText="1"/>
    </xf>
    <xf numFmtId="0" fontId="45" fillId="0" borderId="44" xfId="0" applyFont="1" applyBorder="1" applyAlignment="1">
      <alignment horizontal="center" vertical="top"/>
    </xf>
    <xf numFmtId="0" fontId="45" fillId="0" borderId="44" xfId="0" applyFont="1" applyFill="1" applyBorder="1"/>
    <xf numFmtId="164" fontId="44" fillId="0" borderId="44" xfId="0" applyNumberFormat="1" applyFont="1" applyBorder="1" applyAlignment="1">
      <alignment horizontal="center" vertical="center"/>
    </xf>
    <xf numFmtId="0" fontId="45" fillId="0" borderId="44" xfId="0" applyFont="1" applyFill="1" applyBorder="1" applyAlignment="1">
      <alignment vertical="center"/>
    </xf>
    <xf numFmtId="164" fontId="44" fillId="0" borderId="44" xfId="0" applyNumberFormat="1" applyFont="1" applyBorder="1" applyAlignment="1">
      <alignment horizontal="center"/>
    </xf>
    <xf numFmtId="0" fontId="45" fillId="15" borderId="44" xfId="0" applyFont="1" applyFill="1" applyBorder="1" applyAlignment="1">
      <alignment horizontal="center" vertical="center"/>
    </xf>
    <xf numFmtId="164" fontId="45" fillId="0" borderId="44" xfId="0" applyNumberFormat="1" applyFont="1" applyBorder="1" applyAlignment="1">
      <alignment horizontal="center" vertical="center"/>
    </xf>
    <xf numFmtId="49" fontId="44" fillId="0" borderId="44" xfId="15" applyNumberFormat="1" applyFont="1" applyBorder="1" applyAlignment="1">
      <alignment horizontal="center" vertical="center" wrapText="1"/>
    </xf>
    <xf numFmtId="168" fontId="44" fillId="0" borderId="44" xfId="23" applyFont="1" applyFill="1" applyBorder="1" applyAlignment="1">
      <alignment horizontal="center" vertical="center"/>
    </xf>
    <xf numFmtId="2" fontId="44" fillId="0" borderId="44" xfId="0" applyNumberFormat="1" applyFont="1" applyBorder="1" applyAlignment="1">
      <alignment horizontal="center" vertical="top"/>
    </xf>
    <xf numFmtId="49" fontId="44" fillId="0" borderId="44" xfId="15" applyNumberFormat="1" applyFont="1" applyBorder="1" applyAlignment="1">
      <alignment horizontal="center" vertical="top" wrapText="1"/>
    </xf>
    <xf numFmtId="49" fontId="45" fillId="0" borderId="44" xfId="15" applyNumberFormat="1" applyFont="1" applyBorder="1" applyAlignment="1">
      <alignment horizontal="center" vertical="center" wrapText="1"/>
    </xf>
    <xf numFmtId="49" fontId="44" fillId="0" borderId="44" xfId="15" applyNumberFormat="1" applyFont="1" applyBorder="1" applyAlignment="1">
      <alignment horizontal="center" vertical="center"/>
    </xf>
    <xf numFmtId="49" fontId="45" fillId="0" borderId="44" xfId="15" applyNumberFormat="1" applyFont="1" applyBorder="1" applyAlignment="1">
      <alignment horizontal="center" vertical="center"/>
    </xf>
    <xf numFmtId="1" fontId="45" fillId="0" borderId="44" xfId="92" applyNumberFormat="1" applyFont="1" applyBorder="1" applyAlignment="1">
      <alignment horizontal="center" vertical="center" wrapText="1"/>
    </xf>
    <xf numFmtId="171" fontId="44" fillId="0" borderId="44" xfId="15" applyNumberFormat="1" applyFont="1" applyBorder="1" applyAlignment="1">
      <alignment horizontal="center" vertical="top" wrapText="1"/>
    </xf>
    <xf numFmtId="49" fontId="44" fillId="0" borderId="44" xfId="15" applyNumberFormat="1" applyFont="1" applyBorder="1" applyAlignment="1">
      <alignment horizontal="center" vertical="top"/>
    </xf>
    <xf numFmtId="49" fontId="44" fillId="0" borderId="44" xfId="25" applyNumberFormat="1" applyFont="1" applyBorder="1" applyAlignment="1">
      <alignment horizontal="center" vertical="center"/>
    </xf>
    <xf numFmtId="49" fontId="45" fillId="0" borderId="44" xfId="25" applyNumberFormat="1" applyFont="1" applyBorder="1" applyAlignment="1">
      <alignment horizontal="center" vertical="center"/>
    </xf>
    <xf numFmtId="49" fontId="45" fillId="0" borderId="44" xfId="15" applyNumberFormat="1" applyFont="1" applyBorder="1" applyAlignment="1">
      <alignment horizontal="center" vertical="top" wrapText="1"/>
    </xf>
    <xf numFmtId="49" fontId="45" fillId="0" borderId="44" xfId="15" applyNumberFormat="1" applyFont="1" applyBorder="1" applyAlignment="1">
      <alignment horizontal="center" vertical="top"/>
    </xf>
    <xf numFmtId="49" fontId="44" fillId="0" borderId="44" xfId="0" applyNumberFormat="1" applyFont="1" applyBorder="1" applyAlignment="1">
      <alignment horizontal="center" vertical="top"/>
    </xf>
    <xf numFmtId="49" fontId="45" fillId="0" borderId="44" xfId="25" applyNumberFormat="1" applyFont="1" applyBorder="1" applyAlignment="1">
      <alignment horizontal="center" vertical="top"/>
    </xf>
    <xf numFmtId="0" fontId="42" fillId="4" borderId="44" xfId="0" applyFont="1" applyFill="1" applyBorder="1" applyAlignment="1">
      <alignment horizontal="left" vertical="center"/>
    </xf>
    <xf numFmtId="171" fontId="44" fillId="0" borderId="44" xfId="25" applyNumberFormat="1" applyFont="1" applyFill="1" applyBorder="1" applyAlignment="1">
      <alignment horizontal="center" vertical="center"/>
    </xf>
    <xf numFmtId="171" fontId="46" fillId="0" borderId="44" xfId="15" applyNumberFormat="1" applyFont="1" applyFill="1" applyBorder="1" applyAlignment="1">
      <alignment horizontal="left" vertical="center" wrapText="1"/>
    </xf>
    <xf numFmtId="49" fontId="44" fillId="0" borderId="44" xfId="15" applyNumberFormat="1" applyFont="1" applyFill="1" applyBorder="1" applyAlignment="1">
      <alignment horizontal="center" vertical="center" wrapText="1"/>
    </xf>
    <xf numFmtId="0" fontId="43" fillId="4" borderId="44" xfId="0" applyFont="1" applyFill="1" applyBorder="1" applyAlignment="1">
      <alignment horizontal="center" vertical="center" wrapText="1"/>
    </xf>
    <xf numFmtId="171" fontId="44" fillId="0" borderId="44" xfId="15" applyNumberFormat="1" applyFont="1" applyFill="1" applyBorder="1" applyAlignment="1">
      <alignment horizontal="justify" vertical="center" wrapText="1"/>
    </xf>
    <xf numFmtId="0" fontId="44" fillId="0" borderId="44" xfId="0" applyFont="1" applyBorder="1" applyAlignment="1">
      <alignment horizontal="center" vertical="top"/>
    </xf>
    <xf numFmtId="0" fontId="44" fillId="0" borderId="44" xfId="0" applyFont="1" applyFill="1" applyBorder="1" applyAlignment="1">
      <alignment horizontal="center"/>
    </xf>
    <xf numFmtId="0" fontId="44" fillId="0" borderId="44" xfId="70" applyFont="1" applyFill="1" applyBorder="1" applyAlignment="1">
      <alignment horizontal="left" vertical="top" wrapText="1"/>
    </xf>
    <xf numFmtId="0" fontId="44" fillId="0" borderId="25" xfId="0" applyFont="1" applyFill="1" applyBorder="1" applyAlignment="1">
      <alignment vertical="center"/>
    </xf>
    <xf numFmtId="0" fontId="44" fillId="0" borderId="45" xfId="0" applyFont="1" applyFill="1" applyBorder="1" applyAlignment="1">
      <alignment horizontal="center" vertical="center"/>
    </xf>
    <xf numFmtId="0" fontId="44" fillId="0" borderId="44" xfId="0" applyFont="1" applyFill="1" applyBorder="1" applyAlignment="1" applyProtection="1">
      <alignment horizontal="justify" vertical="center" wrapText="1"/>
    </xf>
    <xf numFmtId="0" fontId="45" fillId="0" borderId="44" xfId="70" applyFont="1" applyFill="1" applyBorder="1" applyAlignment="1">
      <alignment horizontal="left" vertical="top" wrapText="1"/>
    </xf>
    <xf numFmtId="0" fontId="44" fillId="0" borderId="44" xfId="91" applyFont="1" applyFill="1" applyBorder="1" applyAlignment="1">
      <alignment horizontal="justify" vertical="center" wrapText="1"/>
    </xf>
    <xf numFmtId="0" fontId="44" fillId="0" borderId="11" xfId="0" applyFont="1" applyFill="1" applyBorder="1" applyAlignment="1">
      <alignment horizontal="center" vertical="center"/>
    </xf>
    <xf numFmtId="43" fontId="42" fillId="4" borderId="25" xfId="2" applyNumberFormat="1" applyFont="1" applyFill="1" applyBorder="1"/>
    <xf numFmtId="0" fontId="0" fillId="0" borderId="44" xfId="0" applyBorder="1"/>
    <xf numFmtId="0" fontId="0" fillId="0" borderId="44" xfId="0" applyFont="1" applyBorder="1"/>
    <xf numFmtId="2" fontId="0" fillId="0" borderId="44" xfId="0" applyNumberFormat="1" applyBorder="1"/>
    <xf numFmtId="0" fontId="44" fillId="0" borderId="1" xfId="0" applyFont="1" applyFill="1" applyBorder="1" applyAlignment="1">
      <alignment vertical="center"/>
    </xf>
    <xf numFmtId="43" fontId="44" fillId="0" borderId="44" xfId="1" applyFont="1" applyFill="1" applyBorder="1" applyAlignment="1" applyProtection="1">
      <alignment horizontal="center" vertical="center"/>
      <protection locked="0"/>
    </xf>
    <xf numFmtId="0" fontId="4" fillId="0" borderId="59" xfId="0" applyFont="1" applyBorder="1" applyAlignment="1">
      <alignment vertical="center"/>
    </xf>
    <xf numFmtId="0" fontId="4" fillId="0" borderId="59" xfId="0" applyFont="1" applyBorder="1" applyAlignment="1">
      <alignment vertical="center" wrapText="1"/>
    </xf>
    <xf numFmtId="0" fontId="4" fillId="0" borderId="59" xfId="0" applyFont="1" applyBorder="1" applyAlignment="1">
      <alignment horizontal="center" vertical="center"/>
    </xf>
    <xf numFmtId="43" fontId="4" fillId="0" borderId="59" xfId="1" applyFont="1" applyBorder="1" applyAlignment="1">
      <alignment vertical="center"/>
    </xf>
    <xf numFmtId="2" fontId="4" fillId="0" borderId="59" xfId="0" applyNumberFormat="1" applyFont="1" applyBorder="1" applyAlignment="1">
      <alignment horizontal="center" vertical="center"/>
    </xf>
    <xf numFmtId="0" fontId="0" fillId="0" borderId="44" xfId="0" applyFont="1" applyFill="1" applyBorder="1"/>
    <xf numFmtId="43" fontId="0" fillId="0" borderId="0" xfId="1" applyFont="1" applyBorder="1"/>
    <xf numFmtId="0" fontId="4" fillId="0" borderId="44" xfId="0" applyFont="1" applyBorder="1" applyAlignment="1">
      <alignment vertical="center"/>
    </xf>
    <xf numFmtId="0" fontId="4" fillId="0" borderId="44" xfId="0" applyFont="1" applyBorder="1" applyAlignment="1">
      <alignment horizontal="center" vertical="center"/>
    </xf>
    <xf numFmtId="43" fontId="4" fillId="0" borderId="44" xfId="1" applyFont="1" applyBorder="1" applyAlignment="1">
      <alignment vertical="center"/>
    </xf>
    <xf numFmtId="0" fontId="5" fillId="0" borderId="44" xfId="0" applyFont="1" applyBorder="1" applyAlignment="1">
      <alignment vertical="center"/>
    </xf>
    <xf numFmtId="2" fontId="4" fillId="0" borderId="44" xfId="0" applyNumberFormat="1" applyFont="1" applyBorder="1" applyAlignment="1">
      <alignment vertical="center"/>
    </xf>
    <xf numFmtId="0" fontId="9" fillId="0" borderId="44" xfId="0" applyFont="1" applyBorder="1" applyAlignment="1">
      <alignment horizontal="justify" vertical="center" wrapText="1"/>
    </xf>
    <xf numFmtId="0" fontId="53" fillId="13" borderId="18" xfId="0" applyFont="1" applyFill="1" applyBorder="1" applyAlignment="1">
      <alignment horizontal="center" vertical="center" wrapText="1"/>
    </xf>
    <xf numFmtId="0" fontId="64" fillId="13" borderId="19" xfId="0" applyFont="1" applyFill="1" applyBorder="1" applyAlignment="1">
      <alignment horizontal="center" vertical="center" wrapText="1"/>
    </xf>
    <xf numFmtId="0" fontId="64" fillId="13" borderId="25" xfId="0" applyFont="1" applyFill="1" applyBorder="1" applyAlignment="1">
      <alignment horizontal="center" vertical="center" wrapText="1"/>
    </xf>
    <xf numFmtId="0" fontId="4" fillId="0" borderId="44" xfId="0" applyFont="1" applyBorder="1"/>
    <xf numFmtId="0" fontId="4" fillId="0" borderId="44" xfId="0" applyFont="1" applyBorder="1" applyAlignment="1">
      <alignment vertical="center" wrapText="1"/>
    </xf>
    <xf numFmtId="0" fontId="5" fillId="0" borderId="44" xfId="0" applyFont="1" applyBorder="1" applyAlignment="1">
      <alignment vertical="center" wrapText="1"/>
    </xf>
    <xf numFmtId="0" fontId="1" fillId="0" borderId="44" xfId="0" applyFont="1" applyBorder="1"/>
    <xf numFmtId="43" fontId="0" fillId="0" borderId="0" xfId="1" applyFont="1"/>
    <xf numFmtId="0" fontId="24" fillId="0" borderId="44" xfId="0" applyFont="1" applyBorder="1" applyAlignment="1">
      <alignment horizontal="left" vertical="center" wrapText="1"/>
    </xf>
    <xf numFmtId="2" fontId="10" fillId="0" borderId="44" xfId="0" applyNumberFormat="1" applyFont="1" applyBorder="1" applyAlignment="1">
      <alignment horizontal="center" vertical="center"/>
    </xf>
    <xf numFmtId="0" fontId="9" fillId="0" borderId="44" xfId="0" applyFont="1" applyBorder="1" applyAlignment="1">
      <alignment horizontal="justify" vertical="center" wrapText="1" shrinkToFit="1"/>
    </xf>
    <xf numFmtId="165" fontId="9" fillId="0" borderId="44" xfId="5" applyFont="1" applyBorder="1" applyAlignment="1" applyProtection="1">
      <alignment horizontal="center" vertical="center"/>
    </xf>
    <xf numFmtId="166" fontId="9" fillId="0" borderId="44" xfId="5" applyNumberFormat="1" applyFont="1" applyBorder="1" applyAlignment="1" applyProtection="1">
      <alignment horizontal="center" vertical="center" wrapText="1"/>
    </xf>
    <xf numFmtId="43" fontId="9" fillId="0" borderId="44" xfId="1" applyFont="1" applyBorder="1" applyAlignment="1" applyProtection="1">
      <alignment horizontal="justify" vertical="center"/>
    </xf>
    <xf numFmtId="0" fontId="9" fillId="0" borderId="44" xfId="3" applyFont="1" applyBorder="1" applyAlignment="1">
      <alignment vertical="top" wrapText="1"/>
    </xf>
    <xf numFmtId="0" fontId="9" fillId="0" borderId="44" xfId="0" applyFont="1" applyBorder="1" applyAlignment="1">
      <alignment vertical="center" wrapText="1" shrinkToFit="1"/>
    </xf>
    <xf numFmtId="166" fontId="9" fillId="0" borderId="44" xfId="0" applyNumberFormat="1" applyFont="1" applyBorder="1" applyAlignment="1">
      <alignment vertical="center" wrapText="1" shrinkToFit="1"/>
    </xf>
    <xf numFmtId="165" fontId="9" fillId="0" borderId="44" xfId="5" applyFont="1" applyBorder="1" applyAlignment="1" applyProtection="1">
      <alignment horizontal="justify" vertical="center"/>
    </xf>
    <xf numFmtId="2" fontId="5" fillId="0" borderId="44" xfId="0" applyNumberFormat="1" applyFont="1" applyBorder="1" applyAlignment="1">
      <alignment vertical="center"/>
    </xf>
    <xf numFmtId="0" fontId="10" fillId="5" borderId="44" xfId="0" applyFont="1" applyFill="1" applyBorder="1" applyAlignment="1">
      <alignment horizontal="justify" vertical="center" wrapText="1"/>
    </xf>
    <xf numFmtId="2" fontId="10" fillId="0" borderId="44" xfId="5" applyNumberFormat="1" applyFont="1" applyBorder="1" applyAlignment="1" applyProtection="1">
      <alignment horizontal="center" vertical="center"/>
    </xf>
    <xf numFmtId="0" fontId="9" fillId="0" borderId="44" xfId="0" applyFont="1" applyBorder="1" applyAlignment="1">
      <alignment vertical="center" wrapText="1"/>
    </xf>
    <xf numFmtId="166" fontId="9" fillId="0" borderId="44" xfId="0" applyNumberFormat="1" applyFont="1" applyBorder="1" applyAlignment="1">
      <alignment vertical="center" wrapText="1"/>
    </xf>
    <xf numFmtId="0" fontId="10" fillId="0" borderId="44" xfId="0" applyFont="1" applyBorder="1"/>
    <xf numFmtId="0" fontId="10" fillId="0" borderId="44" xfId="0" applyFont="1" applyBorder="1" applyAlignment="1">
      <alignment horizontal="justify" vertical="center" wrapText="1"/>
    </xf>
    <xf numFmtId="0" fontId="0" fillId="0" borderId="44" xfId="0" applyBorder="1" applyAlignment="1">
      <alignment vertical="center"/>
    </xf>
    <xf numFmtId="165" fontId="33" fillId="4" borderId="44" xfId="12" applyFont="1" applyFill="1" applyBorder="1" applyAlignment="1">
      <alignment horizontal="left" vertical="center"/>
    </xf>
    <xf numFmtId="165" fontId="33" fillId="4" borderId="44" xfId="12" applyFont="1" applyFill="1" applyBorder="1" applyAlignment="1">
      <alignment horizontal="center" vertical="center"/>
    </xf>
    <xf numFmtId="0" fontId="33" fillId="4" borderId="44" xfId="0" applyFont="1" applyFill="1" applyBorder="1" applyAlignment="1">
      <alignment horizontal="right" vertical="center"/>
    </xf>
    <xf numFmtId="0" fontId="33" fillId="0" borderId="11" xfId="0" applyFont="1" applyBorder="1" applyAlignment="1">
      <alignment horizontal="center" vertical="center"/>
    </xf>
    <xf numFmtId="0" fontId="33" fillId="0" borderId="44" xfId="0" applyFont="1" applyBorder="1" applyAlignment="1">
      <alignment vertical="center"/>
    </xf>
    <xf numFmtId="0" fontId="33" fillId="0" borderId="44" xfId="0" applyFont="1" applyBorder="1" applyAlignment="1">
      <alignment horizontal="center" vertical="center"/>
    </xf>
    <xf numFmtId="0" fontId="37" fillId="0" borderId="44" xfId="0" applyFont="1" applyBorder="1" applyAlignment="1">
      <alignment vertical="center"/>
    </xf>
    <xf numFmtId="0" fontId="37" fillId="0" borderId="25" xfId="0" applyFont="1" applyBorder="1" applyAlignment="1">
      <alignment vertical="center"/>
    </xf>
    <xf numFmtId="0" fontId="37" fillId="0" borderId="0" xfId="0" applyFont="1" applyAlignment="1">
      <alignment vertical="center"/>
    </xf>
    <xf numFmtId="171" fontId="37" fillId="0" borderId="44" xfId="15" applyNumberFormat="1" applyFont="1" applyBorder="1" applyAlignment="1">
      <alignment horizontal="left" vertical="center" wrapText="1"/>
    </xf>
    <xf numFmtId="3" fontId="34" fillId="0" borderId="44" xfId="0" applyNumberFormat="1" applyFont="1" applyBorder="1" applyAlignment="1">
      <alignment vertical="center"/>
    </xf>
    <xf numFmtId="0" fontId="33" fillId="0" borderId="11" xfId="0" applyFont="1" applyFill="1" applyBorder="1" applyAlignment="1">
      <alignment horizontal="center" vertical="center"/>
    </xf>
    <xf numFmtId="0" fontId="33" fillId="0" borderId="44" xfId="0" applyFont="1" applyFill="1" applyBorder="1" applyAlignment="1">
      <alignment vertical="center"/>
    </xf>
    <xf numFmtId="3" fontId="37" fillId="0" borderId="44" xfId="0" applyNumberFormat="1" applyFont="1" applyFill="1" applyBorder="1" applyAlignment="1">
      <alignment horizontal="center" vertical="center"/>
    </xf>
    <xf numFmtId="3" fontId="37" fillId="0" borderId="44" xfId="0" applyNumberFormat="1" applyFont="1" applyFill="1" applyBorder="1" applyAlignment="1">
      <alignment vertical="center"/>
    </xf>
    <xf numFmtId="0" fontId="36" fillId="0" borderId="44" xfId="0" applyFont="1" applyFill="1" applyBorder="1" applyAlignment="1">
      <alignment vertical="center"/>
    </xf>
    <xf numFmtId="0" fontId="38" fillId="14" borderId="44" xfId="0" applyFont="1" applyFill="1" applyBorder="1" applyAlignment="1">
      <alignment vertical="center"/>
    </xf>
    <xf numFmtId="0" fontId="38" fillId="14" borderId="44" xfId="0" applyFont="1" applyFill="1" applyBorder="1" applyAlignment="1">
      <alignment horizontal="center" vertical="center"/>
    </xf>
    <xf numFmtId="3" fontId="38" fillId="14" borderId="44" xfId="0" applyNumberFormat="1" applyFont="1" applyFill="1" applyBorder="1" applyAlignment="1">
      <alignment vertical="center"/>
    </xf>
    <xf numFmtId="0" fontId="34" fillId="0" borderId="44" xfId="0" applyFont="1" applyBorder="1"/>
    <xf numFmtId="0" fontId="34" fillId="0" borderId="44" xfId="0" applyFont="1" applyBorder="1" applyAlignment="1">
      <alignment horizontal="center"/>
    </xf>
    <xf numFmtId="0" fontId="40" fillId="14" borderId="44" xfId="0" applyFont="1" applyFill="1" applyBorder="1" applyAlignment="1">
      <alignment vertical="center"/>
    </xf>
    <xf numFmtId="0" fontId="39" fillId="0" borderId="44" xfId="0" applyFont="1" applyBorder="1" applyAlignment="1">
      <alignment horizontal="center"/>
    </xf>
    <xf numFmtId="0" fontId="39" fillId="0" borderId="44" xfId="0" applyFont="1" applyBorder="1"/>
    <xf numFmtId="0" fontId="45" fillId="3" borderId="44" xfId="0" applyFont="1" applyFill="1" applyBorder="1" applyAlignment="1">
      <alignment vertical="center" wrapText="1"/>
    </xf>
    <xf numFmtId="164" fontId="44" fillId="0" borderId="44" xfId="0" applyNumberFormat="1" applyFont="1" applyFill="1" applyBorder="1" applyAlignment="1">
      <alignment horizontal="center" vertical="center"/>
    </xf>
    <xf numFmtId="0" fontId="45" fillId="0" borderId="44" xfId="0" applyFont="1" applyFill="1" applyBorder="1" applyAlignment="1" applyProtection="1">
      <alignment horizontal="center" vertical="center"/>
      <protection locked="0"/>
    </xf>
    <xf numFmtId="0" fontId="44" fillId="0" borderId="44" xfId="15" applyFont="1" applyFill="1" applyBorder="1" applyAlignment="1">
      <alignment horizontal="justify" vertical="center" wrapText="1"/>
    </xf>
    <xf numFmtId="2" fontId="44" fillId="0" borderId="44" xfId="0" applyNumberFormat="1" applyFont="1" applyFill="1" applyBorder="1" applyAlignment="1">
      <alignment horizontal="center" vertical="center"/>
    </xf>
    <xf numFmtId="0" fontId="44" fillId="0" borderId="44" xfId="15" applyFont="1" applyFill="1" applyBorder="1" applyAlignment="1">
      <alignment vertical="center" wrapText="1"/>
    </xf>
    <xf numFmtId="0" fontId="44" fillId="0" borderId="44" xfId="15" applyFont="1" applyFill="1" applyBorder="1" applyAlignment="1">
      <alignment horizontal="justify" vertical="center"/>
    </xf>
    <xf numFmtId="164" fontId="45" fillId="0" borderId="44" xfId="0" applyNumberFormat="1" applyFont="1" applyFill="1" applyBorder="1" applyAlignment="1">
      <alignment horizontal="center" vertical="center"/>
    </xf>
    <xf numFmtId="0" fontId="44" fillId="0" borderId="44" xfId="17" applyFont="1" applyFill="1" applyBorder="1" applyAlignment="1">
      <alignment vertical="center" wrapText="1"/>
    </xf>
    <xf numFmtId="0" fontId="44" fillId="0" borderId="44" xfId="0" applyFont="1" applyFill="1" applyBorder="1" applyAlignment="1">
      <alignment horizontal="justify" vertical="center" wrapText="1"/>
    </xf>
    <xf numFmtId="0" fontId="45" fillId="0" borderId="44" xfId="0" applyFont="1" applyFill="1" applyBorder="1" applyAlignment="1" applyProtection="1">
      <alignment horizontal="center"/>
      <protection locked="0"/>
    </xf>
    <xf numFmtId="49" fontId="44" fillId="0" borderId="11" xfId="15" applyNumberFormat="1" applyFont="1" applyFill="1" applyBorder="1" applyAlignment="1">
      <alignment horizontal="center" vertical="center" wrapText="1"/>
    </xf>
    <xf numFmtId="49" fontId="44" fillId="0" borderId="45" xfId="15" applyNumberFormat="1" applyFont="1" applyFill="1" applyBorder="1" applyAlignment="1">
      <alignment horizontal="center" vertical="center" wrapText="1"/>
    </xf>
    <xf numFmtId="0" fontId="44" fillId="0" borderId="46" xfId="0" applyFont="1" applyFill="1" applyBorder="1" applyAlignment="1">
      <alignment vertical="center"/>
    </xf>
    <xf numFmtId="164" fontId="44" fillId="0" borderId="44" xfId="25" applyNumberFormat="1" applyFont="1" applyFill="1" applyBorder="1" applyAlignment="1">
      <alignment horizontal="center" vertical="center"/>
    </xf>
    <xf numFmtId="2" fontId="44" fillId="0" borderId="44" xfId="21" applyNumberFormat="1" applyFont="1" applyFill="1" applyBorder="1" applyAlignment="1">
      <alignment horizontal="center" vertical="center"/>
    </xf>
    <xf numFmtId="1" fontId="44" fillId="0" borderId="44" xfId="21" applyNumberFormat="1" applyFont="1" applyFill="1" applyBorder="1" applyAlignment="1">
      <alignment horizontal="center" vertical="center"/>
    </xf>
    <xf numFmtId="165" fontId="44" fillId="0" borderId="44" xfId="22" applyFont="1" applyFill="1" applyBorder="1" applyAlignment="1">
      <alignment horizontal="right" vertical="center" wrapText="1"/>
    </xf>
    <xf numFmtId="167" fontId="44" fillId="0" borderId="0" xfId="21" applyFont="1" applyFill="1"/>
    <xf numFmtId="0" fontId="44" fillId="0" borderId="44" xfId="0" applyFont="1" applyFill="1" applyBorder="1" applyAlignment="1">
      <alignment horizontal="left" vertical="center"/>
    </xf>
    <xf numFmtId="0" fontId="45" fillId="0" borderId="44" xfId="0" applyFont="1" applyFill="1" applyBorder="1" applyAlignment="1">
      <alignment horizontal="center" vertical="top"/>
    </xf>
    <xf numFmtId="171" fontId="45" fillId="0" borderId="44" xfId="15" applyNumberFormat="1" applyFont="1" applyFill="1" applyBorder="1" applyAlignment="1">
      <alignment horizontal="justify" vertical="top" wrapText="1"/>
    </xf>
    <xf numFmtId="49" fontId="44" fillId="0" borderId="44" xfId="15" applyNumberFormat="1" applyFont="1" applyFill="1" applyBorder="1" applyAlignment="1">
      <alignment horizontal="center" vertical="top" wrapText="1"/>
    </xf>
    <xf numFmtId="1" fontId="44" fillId="0" borderId="44" xfId="15" applyNumberFormat="1" applyFont="1" applyFill="1" applyBorder="1" applyAlignment="1">
      <alignment horizontal="center"/>
    </xf>
    <xf numFmtId="171" fontId="45" fillId="0" borderId="44" xfId="15" applyNumberFormat="1" applyFont="1" applyFill="1" applyBorder="1" applyAlignment="1">
      <alignment horizontal="left" vertical="center" wrapText="1"/>
    </xf>
    <xf numFmtId="171" fontId="45" fillId="0" borderId="44" xfId="15" applyNumberFormat="1" applyFont="1" applyFill="1" applyBorder="1" applyAlignment="1">
      <alignment horizontal="left" vertical="top" wrapText="1"/>
    </xf>
    <xf numFmtId="49" fontId="45" fillId="0" borderId="44" xfId="15" applyNumberFormat="1" applyFont="1" applyFill="1" applyBorder="1" applyAlignment="1">
      <alignment horizontal="center" vertical="center" wrapText="1"/>
    </xf>
    <xf numFmtId="1" fontId="45" fillId="0" borderId="44" xfId="15" applyNumberFormat="1" applyFont="1" applyFill="1" applyBorder="1" applyAlignment="1">
      <alignment horizontal="center" vertical="center"/>
    </xf>
    <xf numFmtId="0" fontId="45" fillId="0" borderId="0" xfId="0" applyFont="1" applyFill="1" applyAlignment="1">
      <alignment vertical="center"/>
    </xf>
    <xf numFmtId="0" fontId="44" fillId="0" borderId="44" xfId="0" applyFont="1" applyFill="1" applyBorder="1" applyAlignment="1">
      <alignment horizontal="left" wrapText="1"/>
    </xf>
    <xf numFmtId="171" fontId="44" fillId="0" borderId="44" xfId="15" applyNumberFormat="1" applyFont="1" applyFill="1" applyBorder="1" applyAlignment="1">
      <alignment vertical="top" wrapText="1"/>
    </xf>
    <xf numFmtId="0" fontId="44" fillId="0" borderId="44" xfId="24" applyFont="1" applyFill="1" applyBorder="1" applyAlignment="1">
      <alignment horizontal="left" vertical="center" wrapText="1"/>
    </xf>
    <xf numFmtId="0" fontId="44" fillId="0" borderId="44" xfId="0" applyFont="1" applyFill="1" applyBorder="1" applyAlignment="1" applyProtection="1">
      <alignment horizontal="center" vertical="center"/>
      <protection locked="0"/>
    </xf>
    <xf numFmtId="49" fontId="45" fillId="0" borderId="44" xfId="15" applyNumberFormat="1" applyFont="1" applyFill="1" applyBorder="1" applyAlignment="1">
      <alignment horizontal="center" vertical="center"/>
    </xf>
    <xf numFmtId="164" fontId="44" fillId="0" borderId="44" xfId="92" applyNumberFormat="1" applyFont="1" applyFill="1" applyBorder="1" applyAlignment="1">
      <alignment horizontal="center" vertical="center" wrapText="1"/>
    </xf>
    <xf numFmtId="2" fontId="45" fillId="0" borderId="44" xfId="92" applyNumberFormat="1" applyFont="1" applyFill="1" applyBorder="1" applyAlignment="1">
      <alignment horizontal="justify" vertical="center" wrapText="1"/>
    </xf>
    <xf numFmtId="0" fontId="44" fillId="0" borderId="44" xfId="25" applyFont="1" applyFill="1" applyBorder="1" applyAlignment="1">
      <alignment horizontal="justify" vertical="center" wrapText="1"/>
    </xf>
    <xf numFmtId="0" fontId="44" fillId="0" borderId="44" xfId="15" applyFont="1" applyFill="1" applyBorder="1" applyAlignment="1">
      <alignment horizontal="center" vertical="center"/>
    </xf>
    <xf numFmtId="2" fontId="44" fillId="0" borderId="44" xfId="92" applyNumberFormat="1" applyFont="1" applyFill="1" applyBorder="1" applyAlignment="1">
      <alignment horizontal="left" vertical="center" wrapText="1"/>
    </xf>
    <xf numFmtId="2" fontId="44" fillId="0" borderId="44" xfId="92" applyNumberFormat="1" applyFont="1" applyFill="1" applyBorder="1" applyAlignment="1">
      <alignment horizontal="justify" vertical="center" wrapText="1"/>
    </xf>
    <xf numFmtId="171" fontId="44" fillId="0" borderId="44" xfId="15" applyNumberFormat="1" applyFont="1" applyFill="1" applyBorder="1" applyAlignment="1">
      <alignment horizontal="center" vertical="center" wrapText="1"/>
    </xf>
    <xf numFmtId="2" fontId="44" fillId="0" borderId="44" xfId="92" applyNumberFormat="1" applyFont="1" applyFill="1" applyBorder="1" applyAlignment="1">
      <alignment vertical="center" wrapText="1"/>
    </xf>
    <xf numFmtId="165" fontId="42" fillId="0" borderId="44" xfId="12" applyFont="1" applyFill="1" applyBorder="1" applyAlignment="1">
      <alignment horizontal="left" vertical="center"/>
    </xf>
    <xf numFmtId="165" fontId="42" fillId="0" borderId="44" xfId="12" applyFont="1" applyFill="1" applyBorder="1" applyAlignment="1">
      <alignment horizontal="center" vertical="center"/>
    </xf>
    <xf numFmtId="0" fontId="50" fillId="0" borderId="0" xfId="0" applyFont="1" applyAlignment="1" applyProtection="1">
      <alignment horizontal="center"/>
      <protection locked="0"/>
    </xf>
    <xf numFmtId="0" fontId="50" fillId="13" borderId="44" xfId="0" applyFont="1" applyFill="1" applyBorder="1" applyAlignment="1" applyProtection="1">
      <alignment horizontal="center" vertical="center"/>
      <protection locked="0"/>
    </xf>
    <xf numFmtId="172" fontId="50" fillId="13" borderId="44" xfId="0" applyNumberFormat="1" applyFont="1" applyFill="1" applyBorder="1" applyAlignment="1" applyProtection="1">
      <alignment horizontal="center" vertical="center"/>
      <protection locked="0"/>
    </xf>
    <xf numFmtId="49" fontId="51" fillId="0" borderId="11" xfId="25" applyNumberFormat="1" applyFont="1" applyBorder="1" applyAlignment="1" applyProtection="1">
      <alignment horizontal="center" vertical="top" wrapText="1"/>
    </xf>
    <xf numFmtId="0" fontId="51" fillId="0" borderId="44" xfId="25" applyFont="1" applyBorder="1" applyAlignment="1" applyProtection="1">
      <alignment horizontal="center" vertical="center" wrapText="1"/>
    </xf>
    <xf numFmtId="0" fontId="51" fillId="0" borderId="44" xfId="25" applyFont="1" applyFill="1" applyBorder="1" applyAlignment="1">
      <alignment horizontal="center" vertical="center"/>
    </xf>
    <xf numFmtId="0" fontId="51" fillId="0" borderId="44" xfId="25" applyFont="1" applyFill="1" applyBorder="1" applyAlignment="1" applyProtection="1">
      <alignment horizontal="center" vertical="center"/>
    </xf>
    <xf numFmtId="0" fontId="51" fillId="0" borderId="44" xfId="25" applyFont="1" applyBorder="1"/>
    <xf numFmtId="0" fontId="51" fillId="0" borderId="25" xfId="25" applyFont="1" applyBorder="1"/>
    <xf numFmtId="0" fontId="51" fillId="0" borderId="0" xfId="25" applyFont="1" applyBorder="1"/>
    <xf numFmtId="49" fontId="51" fillId="0" borderId="11" xfId="15" applyNumberFormat="1" applyFont="1" applyFill="1" applyBorder="1" applyAlignment="1">
      <alignment horizontal="center" vertical="center" wrapText="1"/>
    </xf>
    <xf numFmtId="0" fontId="51" fillId="0" borderId="44" xfId="28" applyFont="1" applyFill="1" applyBorder="1" applyAlignment="1">
      <alignment vertical="center" wrapText="1"/>
    </xf>
    <xf numFmtId="1" fontId="51" fillId="0" borderId="44" xfId="15" applyNumberFormat="1" applyFont="1" applyFill="1" applyBorder="1" applyAlignment="1">
      <alignment horizontal="center" vertical="center"/>
    </xf>
    <xf numFmtId="0" fontId="48" fillId="0" borderId="44" xfId="0" applyFont="1" applyFill="1" applyBorder="1" applyAlignment="1">
      <alignment horizontal="center" vertical="center"/>
    </xf>
    <xf numFmtId="0" fontId="51" fillId="0" borderId="44" xfId="25" applyFont="1" applyBorder="1" applyAlignment="1">
      <alignment vertical="center"/>
    </xf>
    <xf numFmtId="1" fontId="51" fillId="0" borderId="44" xfId="27" applyNumberFormat="1" applyFont="1" applyFill="1" applyBorder="1" applyAlignment="1" applyProtection="1">
      <alignment horizontal="center" vertical="center"/>
      <protection locked="0"/>
    </xf>
    <xf numFmtId="0" fontId="48" fillId="0" borderId="25" xfId="0" applyFont="1" applyFill="1" applyBorder="1" applyAlignment="1">
      <alignment vertical="center" wrapText="1"/>
    </xf>
    <xf numFmtId="0" fontId="48" fillId="0" borderId="0" xfId="0" applyFont="1" applyFill="1" applyAlignment="1">
      <alignment vertical="center"/>
    </xf>
    <xf numFmtId="0" fontId="48" fillId="0" borderId="25" xfId="0" applyFont="1" applyFill="1" applyBorder="1" applyAlignment="1">
      <alignment vertical="center"/>
    </xf>
    <xf numFmtId="0" fontId="51" fillId="0" borderId="44" xfId="25" applyFont="1" applyBorder="1" applyAlignment="1" applyProtection="1">
      <alignment horizontal="left" vertical="center" wrapText="1"/>
    </xf>
    <xf numFmtId="0" fontId="48" fillId="0" borderId="44" xfId="0" applyFont="1" applyFill="1" applyBorder="1" applyAlignment="1">
      <alignment vertical="center"/>
    </xf>
    <xf numFmtId="0" fontId="51" fillId="0" borderId="0" xfId="25" applyFont="1" applyBorder="1" applyAlignment="1">
      <alignment vertical="center"/>
    </xf>
    <xf numFmtId="0" fontId="49" fillId="15" borderId="11" xfId="0" applyFont="1" applyFill="1" applyBorder="1" applyAlignment="1">
      <alignment horizontal="left" vertical="center"/>
    </xf>
    <xf numFmtId="3" fontId="49" fillId="15" borderId="44" xfId="19" applyNumberFormat="1" applyFont="1" applyFill="1" applyBorder="1" applyAlignment="1">
      <alignment horizontal="justify" vertical="center" wrapText="1"/>
    </xf>
    <xf numFmtId="3" fontId="49" fillId="15" borderId="44" xfId="19" applyNumberFormat="1" applyFont="1" applyFill="1" applyBorder="1" applyAlignment="1">
      <alignment horizontal="center" vertical="center" wrapText="1"/>
    </xf>
    <xf numFmtId="3" fontId="49" fillId="15" borderId="25" xfId="19" applyNumberFormat="1" applyFont="1" applyFill="1" applyBorder="1" applyAlignment="1">
      <alignment horizontal="center" vertical="center" wrapText="1"/>
    </xf>
    <xf numFmtId="0" fontId="50" fillId="0" borderId="0" xfId="0" applyFont="1" applyAlignment="1">
      <alignment vertical="center"/>
    </xf>
    <xf numFmtId="0" fontId="49" fillId="15" borderId="20" xfId="0" applyFont="1" applyFill="1" applyBorder="1" applyAlignment="1">
      <alignment horizontal="left" vertical="center"/>
    </xf>
    <xf numFmtId="3" fontId="49" fillId="15" borderId="21" xfId="19" applyNumberFormat="1" applyFont="1" applyFill="1" applyBorder="1" applyAlignment="1">
      <alignment horizontal="justify" vertical="center" wrapText="1"/>
    </xf>
    <xf numFmtId="3" fontId="49" fillId="15" borderId="21" xfId="19" applyNumberFormat="1" applyFont="1" applyFill="1" applyBorder="1" applyAlignment="1">
      <alignment horizontal="center" vertical="center" wrapText="1"/>
    </xf>
    <xf numFmtId="3" fontId="49" fillId="15" borderId="26" xfId="19" applyNumberFormat="1" applyFont="1" applyFill="1" applyBorder="1" applyAlignment="1">
      <alignment horizontal="center" vertical="center" wrapText="1"/>
    </xf>
    <xf numFmtId="0" fontId="42" fillId="0" borderId="44" xfId="0" applyFont="1" applyBorder="1" applyAlignment="1">
      <alignment vertical="center"/>
    </xf>
    <xf numFmtId="0" fontId="42" fillId="0" borderId="44" xfId="0" applyFont="1" applyBorder="1" applyAlignment="1">
      <alignment horizontal="center" vertical="center"/>
    </xf>
    <xf numFmtId="0" fontId="42" fillId="0" borderId="61" xfId="0" applyFont="1" applyBorder="1" applyAlignment="1">
      <alignment horizontal="center" vertical="center"/>
    </xf>
    <xf numFmtId="0" fontId="43" fillId="0" borderId="62" xfId="0" applyFont="1" applyBorder="1" applyAlignment="1">
      <alignment vertical="center"/>
    </xf>
    <xf numFmtId="0" fontId="43" fillId="0" borderId="62" xfId="0" applyFont="1" applyBorder="1" applyAlignment="1">
      <alignment horizontal="center" vertical="center"/>
    </xf>
    <xf numFmtId="0" fontId="43" fillId="0" borderId="63" xfId="0" applyFont="1" applyBorder="1" applyAlignment="1">
      <alignment vertical="center"/>
    </xf>
    <xf numFmtId="0" fontId="43" fillId="0" borderId="61" xfId="0" applyFont="1" applyBorder="1" applyAlignment="1">
      <alignment vertical="center"/>
    </xf>
    <xf numFmtId="0" fontId="44" fillId="0" borderId="63" xfId="0" applyFont="1" applyBorder="1" applyAlignment="1">
      <alignment vertical="center"/>
    </xf>
    <xf numFmtId="0" fontId="53" fillId="13" borderId="59" xfId="0" applyFont="1" applyFill="1" applyBorder="1" applyAlignment="1">
      <alignment horizontal="center" vertical="center" wrapText="1"/>
    </xf>
    <xf numFmtId="0" fontId="47" fillId="0" borderId="59" xfId="93" applyFont="1" applyFill="1" applyBorder="1" applyAlignment="1">
      <alignment vertical="center" wrapText="1"/>
    </xf>
    <xf numFmtId="171" fontId="47" fillId="0" borderId="59" xfId="15" applyNumberFormat="1" applyFont="1" applyFill="1" applyBorder="1" applyAlignment="1">
      <alignment horizontal="center" vertical="center"/>
    </xf>
    <xf numFmtId="2" fontId="56" fillId="0" borderId="59" xfId="0" applyNumberFormat="1" applyFont="1" applyFill="1" applyBorder="1" applyAlignment="1">
      <alignment horizontal="center" vertical="center"/>
    </xf>
    <xf numFmtId="0" fontId="56" fillId="0" borderId="59" xfId="31" applyFont="1" applyFill="1" applyBorder="1" applyAlignment="1">
      <alignment vertical="center" wrapText="1"/>
    </xf>
    <xf numFmtId="0" fontId="56" fillId="0" borderId="59" xfId="32" applyFont="1" applyFill="1" applyBorder="1" applyAlignment="1">
      <alignment horizontal="center" vertical="center"/>
    </xf>
    <xf numFmtId="1" fontId="56" fillId="0" borderId="59" xfId="0" applyNumberFormat="1" applyFont="1" applyFill="1" applyBorder="1" applyAlignment="1">
      <alignment horizontal="center" vertical="center"/>
    </xf>
    <xf numFmtId="43" fontId="56" fillId="0" borderId="59" xfId="1" applyFont="1" applyFill="1" applyBorder="1" applyAlignment="1" applyProtection="1">
      <alignment horizontal="center" vertical="center"/>
      <protection locked="0"/>
    </xf>
    <xf numFmtId="0" fontId="56" fillId="0" borderId="59" xfId="15" applyFont="1" applyFill="1" applyBorder="1" applyAlignment="1">
      <alignment horizontal="left" vertical="center" wrapText="1"/>
    </xf>
    <xf numFmtId="0" fontId="56" fillId="0" borderId="59" xfId="0" applyFont="1" applyFill="1" applyBorder="1" applyAlignment="1">
      <alignment vertical="center" wrapText="1"/>
    </xf>
    <xf numFmtId="171" fontId="56" fillId="0" borderId="59" xfId="15" applyNumberFormat="1" applyFont="1" applyFill="1" applyBorder="1" applyAlignment="1">
      <alignment horizontal="center" vertical="center"/>
    </xf>
    <xf numFmtId="0" fontId="56" fillId="0" borderId="59" xfId="0" applyFont="1" applyFill="1" applyBorder="1" applyAlignment="1">
      <alignment vertical="center"/>
    </xf>
    <xf numFmtId="0" fontId="56" fillId="0" borderId="59" xfId="0" applyFont="1" applyFill="1" applyBorder="1" applyAlignment="1">
      <alignment horizontal="center" vertical="center"/>
    </xf>
    <xf numFmtId="3" fontId="56" fillId="0" borderId="59" xfId="19" applyNumberFormat="1" applyFont="1" applyFill="1" applyBorder="1" applyAlignment="1" applyProtection="1">
      <alignment horizontal="right" vertical="center"/>
    </xf>
    <xf numFmtId="1" fontId="56" fillId="0" borderId="59" xfId="20" applyNumberFormat="1" applyFont="1" applyFill="1" applyBorder="1" applyAlignment="1">
      <alignment horizontal="center" vertical="center"/>
    </xf>
    <xf numFmtId="0" fontId="47" fillId="8" borderId="59" xfId="93" applyFont="1" applyFill="1" applyBorder="1" applyAlignment="1">
      <alignment vertical="center" wrapText="1"/>
    </xf>
    <xf numFmtId="171" fontId="47" fillId="8" borderId="59" xfId="15" applyNumberFormat="1" applyFont="1" applyFill="1" applyBorder="1" applyAlignment="1">
      <alignment horizontal="center" vertical="center"/>
    </xf>
    <xf numFmtId="2" fontId="56" fillId="8" borderId="59" xfId="0" applyNumberFormat="1" applyFont="1" applyFill="1" applyBorder="1" applyAlignment="1">
      <alignment horizontal="center" vertical="center"/>
    </xf>
    <xf numFmtId="1" fontId="56" fillId="8" borderId="59" xfId="0" applyNumberFormat="1" applyFont="1" applyFill="1" applyBorder="1" applyAlignment="1">
      <alignment horizontal="center" vertical="center"/>
    </xf>
    <xf numFmtId="0" fontId="58" fillId="8" borderId="59" xfId="15" applyFont="1" applyFill="1" applyBorder="1" applyAlignment="1">
      <alignment horizontal="left" vertical="center" wrapText="1"/>
    </xf>
    <xf numFmtId="0" fontId="58" fillId="8" borderId="59" xfId="32" applyFont="1" applyFill="1" applyBorder="1" applyAlignment="1">
      <alignment horizontal="center" vertical="center"/>
    </xf>
    <xf numFmtId="43" fontId="58" fillId="8" borderId="59" xfId="1" applyFont="1" applyFill="1" applyBorder="1" applyAlignment="1" applyProtection="1">
      <alignment horizontal="center" vertical="center"/>
      <protection locked="0"/>
    </xf>
    <xf numFmtId="0" fontId="56" fillId="8" borderId="59" xfId="15" applyFont="1" applyFill="1" applyBorder="1" applyAlignment="1">
      <alignment horizontal="left" vertical="center" wrapText="1"/>
    </xf>
    <xf numFmtId="0" fontId="56" fillId="8" borderId="59" xfId="32" applyFont="1" applyFill="1" applyBorder="1" applyAlignment="1">
      <alignment horizontal="center" vertical="center"/>
    </xf>
    <xf numFmtId="43" fontId="56" fillId="8" borderId="59" xfId="1" applyFont="1" applyFill="1" applyBorder="1" applyAlignment="1" applyProtection="1">
      <alignment horizontal="center" vertical="center"/>
      <protection locked="0"/>
    </xf>
    <xf numFmtId="0" fontId="47" fillId="0" borderId="59" xfId="31" applyFont="1" applyFill="1" applyBorder="1" applyAlignment="1">
      <alignment horizontal="left" vertical="center" wrapText="1"/>
    </xf>
    <xf numFmtId="0" fontId="56" fillId="0" borderId="59" xfId="31" applyFont="1" applyFill="1" applyBorder="1" applyAlignment="1">
      <alignment horizontal="left" vertical="center" wrapText="1"/>
    </xf>
    <xf numFmtId="0" fontId="56" fillId="0" borderId="59" xfId="15" applyFont="1" applyFill="1" applyBorder="1" applyAlignment="1">
      <alignment vertical="center" wrapText="1"/>
    </xf>
    <xf numFmtId="171" fontId="47" fillId="0" borderId="59" xfId="15" applyNumberFormat="1" applyFont="1" applyFill="1" applyBorder="1" applyAlignment="1">
      <alignment horizontal="left" vertical="center" wrapText="1"/>
    </xf>
    <xf numFmtId="1" fontId="56" fillId="0" borderId="59" xfId="15" applyNumberFormat="1" applyFont="1" applyFill="1" applyBorder="1" applyAlignment="1">
      <alignment horizontal="center" vertical="center"/>
    </xf>
    <xf numFmtId="171" fontId="56" fillId="0" borderId="59" xfId="15" applyNumberFormat="1" applyFont="1" applyFill="1" applyBorder="1" applyAlignment="1">
      <alignment horizontal="left" vertical="center" wrapText="1"/>
    </xf>
    <xf numFmtId="171" fontId="56" fillId="0" borderId="59" xfId="15" quotePrefix="1" applyNumberFormat="1" applyFont="1" applyFill="1" applyBorder="1" applyAlignment="1">
      <alignment horizontal="left" vertical="center" wrapText="1"/>
    </xf>
    <xf numFmtId="171" fontId="56" fillId="0" borderId="59" xfId="15" applyNumberFormat="1" applyFont="1" applyFill="1" applyBorder="1" applyAlignment="1" applyProtection="1">
      <alignment horizontal="center" vertical="center"/>
    </xf>
    <xf numFmtId="0" fontId="47" fillId="10" borderId="59" xfId="0" applyFont="1" applyFill="1" applyBorder="1" applyAlignment="1" applyProtection="1">
      <alignment horizontal="left" vertical="center"/>
    </xf>
    <xf numFmtId="2" fontId="47" fillId="10" borderId="59" xfId="0" applyNumberFormat="1" applyFont="1" applyFill="1" applyBorder="1" applyAlignment="1" applyProtection="1">
      <alignment horizontal="center" vertical="center"/>
    </xf>
    <xf numFmtId="0" fontId="23" fillId="0" borderId="59" xfId="0" applyFont="1" applyBorder="1" applyAlignment="1">
      <alignment vertical="center"/>
    </xf>
    <xf numFmtId="0" fontId="23" fillId="0" borderId="59" xfId="0" applyFont="1" applyBorder="1" applyAlignment="1">
      <alignment horizontal="center" vertical="center"/>
    </xf>
    <xf numFmtId="0" fontId="64" fillId="13" borderId="59" xfId="0" applyFont="1" applyFill="1" applyBorder="1" applyAlignment="1">
      <alignment horizontal="center" vertical="center" wrapText="1"/>
    </xf>
    <xf numFmtId="0" fontId="43" fillId="0" borderId="59" xfId="0" applyFont="1" applyFill="1" applyBorder="1" applyAlignment="1">
      <alignment vertical="center" wrapText="1"/>
    </xf>
    <xf numFmtId="0" fontId="43" fillId="0" borderId="59" xfId="0" applyFont="1" applyFill="1" applyBorder="1" applyAlignment="1">
      <alignment horizontal="center" vertical="center" wrapText="1"/>
    </xf>
    <xf numFmtId="43" fontId="43" fillId="0" borderId="59" xfId="1" applyFont="1" applyFill="1" applyBorder="1" applyAlignment="1" applyProtection="1">
      <alignment horizontal="center" vertical="center"/>
      <protection locked="0"/>
    </xf>
    <xf numFmtId="0" fontId="43" fillId="0" borderId="59" xfId="0" applyFont="1" applyFill="1" applyBorder="1" applyAlignment="1">
      <alignment horizontal="left" vertical="center" wrapText="1"/>
    </xf>
    <xf numFmtId="0" fontId="43" fillId="0" borderId="59" xfId="15" applyFont="1" applyFill="1" applyBorder="1" applyAlignment="1">
      <alignment horizontal="left" vertical="center" wrapText="1"/>
    </xf>
    <xf numFmtId="171" fontId="42" fillId="0" borderId="59" xfId="29" applyNumberFormat="1" applyFont="1" applyFill="1" applyBorder="1" applyAlignment="1">
      <alignment horizontal="left" vertical="center" wrapText="1"/>
    </xf>
    <xf numFmtId="171" fontId="43" fillId="0" borderId="59" xfId="29" applyNumberFormat="1" applyFont="1" applyFill="1" applyBorder="1" applyAlignment="1">
      <alignment horizontal="center" vertical="center"/>
    </xf>
    <xf numFmtId="1" fontId="43" fillId="0" borderId="59" xfId="29" applyNumberFormat="1" applyFont="1" applyFill="1" applyBorder="1" applyAlignment="1">
      <alignment horizontal="center" vertical="center"/>
    </xf>
    <xf numFmtId="171" fontId="43" fillId="0" borderId="59" xfId="29" applyNumberFormat="1" applyFont="1" applyFill="1" applyBorder="1" applyAlignment="1">
      <alignment horizontal="left" vertical="center" wrapText="1"/>
    </xf>
    <xf numFmtId="171" fontId="43" fillId="0" borderId="59" xfId="29" quotePrefix="1" applyNumberFormat="1" applyFont="1" applyFill="1" applyBorder="1" applyAlignment="1">
      <alignment horizontal="left" vertical="center" wrapText="1"/>
    </xf>
    <xf numFmtId="171" fontId="43" fillId="0" borderId="59" xfId="29" applyNumberFormat="1" applyFont="1" applyFill="1" applyBorder="1" applyAlignment="1" applyProtection="1">
      <alignment horizontal="center" vertical="center"/>
    </xf>
    <xf numFmtId="1" fontId="43" fillId="0" borderId="59" xfId="1" applyNumberFormat="1" applyFont="1" applyFill="1" applyBorder="1" applyAlignment="1" applyProtection="1">
      <alignment horizontal="center" vertical="center"/>
      <protection locked="0"/>
    </xf>
    <xf numFmtId="0" fontId="42" fillId="10" borderId="59" xfId="0" applyFont="1" applyFill="1" applyBorder="1" applyAlignment="1" applyProtection="1">
      <alignment horizontal="left" vertical="center"/>
    </xf>
    <xf numFmtId="0" fontId="42" fillId="10" borderId="59" xfId="0" applyFont="1" applyFill="1" applyBorder="1" applyAlignment="1" applyProtection="1">
      <alignment horizontal="center" vertical="center"/>
    </xf>
    <xf numFmtId="2" fontId="42" fillId="10" borderId="59" xfId="0" applyNumberFormat="1" applyFont="1" applyFill="1" applyBorder="1" applyAlignment="1" applyProtection="1">
      <alignment horizontal="center" vertical="center"/>
    </xf>
    <xf numFmtId="0" fontId="42" fillId="0" borderId="59" xfId="0" applyFont="1" applyBorder="1" applyAlignment="1">
      <alignment horizontal="left" vertical="center"/>
    </xf>
    <xf numFmtId="0" fontId="42" fillId="0" borderId="59" xfId="0" applyFont="1" applyBorder="1" applyAlignment="1">
      <alignment horizontal="center" vertical="center"/>
    </xf>
    <xf numFmtId="2" fontId="42" fillId="0" borderId="59" xfId="0" applyNumberFormat="1" applyFont="1" applyBorder="1" applyAlignment="1">
      <alignment horizontal="center" vertical="center"/>
    </xf>
    <xf numFmtId="0" fontId="42" fillId="0" borderId="59" xfId="0" applyFont="1" applyBorder="1" applyAlignment="1">
      <alignment horizontal="left" vertical="center" wrapText="1"/>
    </xf>
    <xf numFmtId="0" fontId="42" fillId="0" borderId="59" xfId="0" applyFont="1" applyBorder="1" applyAlignment="1">
      <alignment horizontal="center" vertical="center" wrapText="1"/>
    </xf>
    <xf numFmtId="0" fontId="43" fillId="0" borderId="59" xfId="0" applyFont="1" applyBorder="1" applyAlignment="1">
      <alignment horizontal="left" vertical="center" wrapText="1"/>
    </xf>
    <xf numFmtId="0" fontId="43" fillId="0" borderId="59" xfId="0" applyFont="1" applyBorder="1" applyAlignment="1">
      <alignment horizontal="center" vertical="center" wrapText="1"/>
    </xf>
    <xf numFmtId="0" fontId="43" fillId="8" borderId="59" xfId="30" applyFont="1" applyFill="1" applyBorder="1" applyAlignment="1">
      <alignment horizontal="left" vertical="center"/>
    </xf>
    <xf numFmtId="0" fontId="22" fillId="0" borderId="59" xfId="0" applyFont="1" applyFill="1" applyBorder="1" applyAlignment="1" applyProtection="1">
      <alignment vertical="center" wrapText="1"/>
    </xf>
    <xf numFmtId="0" fontId="22" fillId="0" borderId="59" xfId="0" applyFont="1" applyFill="1" applyBorder="1" applyAlignment="1" applyProtection="1">
      <alignment horizontal="center" vertical="center" wrapText="1"/>
    </xf>
    <xf numFmtId="1" fontId="22" fillId="0" borderId="59" xfId="1" applyNumberFormat="1" applyFont="1" applyFill="1" applyBorder="1" applyAlignment="1" applyProtection="1">
      <alignment horizontal="center" vertical="center"/>
      <protection locked="0"/>
    </xf>
    <xf numFmtId="0" fontId="22" fillId="0" borderId="59" xfId="0" applyFont="1" applyFill="1" applyBorder="1" applyAlignment="1" applyProtection="1">
      <alignment horizontal="left" vertical="center" wrapText="1"/>
    </xf>
    <xf numFmtId="0" fontId="22" fillId="0" borderId="59" xfId="15" applyNumberFormat="1" applyFont="1" applyFill="1" applyBorder="1" applyAlignment="1" applyProtection="1">
      <alignment horizontal="justify" vertical="center" wrapText="1"/>
    </xf>
    <xf numFmtId="0" fontId="22" fillId="0" borderId="59" xfId="0" applyFont="1" applyFill="1" applyBorder="1" applyAlignment="1" applyProtection="1">
      <alignment horizontal="center" vertical="center"/>
    </xf>
    <xf numFmtId="41" fontId="22" fillId="0" borderId="59" xfId="35" applyNumberFormat="1" applyFont="1" applyFill="1" applyBorder="1" applyAlignment="1" applyProtection="1">
      <alignment horizontal="center" vertical="center" wrapText="1"/>
    </xf>
    <xf numFmtId="174" fontId="22" fillId="0" borderId="59" xfId="35" applyNumberFormat="1" applyFont="1" applyFill="1" applyBorder="1" applyAlignment="1" applyProtection="1">
      <alignment horizontal="center" vertical="center"/>
      <protection locked="0"/>
    </xf>
    <xf numFmtId="0" fontId="23" fillId="10" borderId="59" xfId="0" applyFont="1" applyFill="1" applyBorder="1" applyAlignment="1" applyProtection="1">
      <alignment horizontal="left" vertical="center"/>
    </xf>
    <xf numFmtId="0" fontId="23" fillId="10" borderId="59" xfId="0" applyFont="1" applyFill="1" applyBorder="1" applyAlignment="1" applyProtection="1">
      <alignment horizontal="center" vertical="center"/>
    </xf>
    <xf numFmtId="2" fontId="23" fillId="10" borderId="59" xfId="0" applyNumberFormat="1" applyFont="1" applyFill="1" applyBorder="1" applyAlignment="1" applyProtection="1">
      <alignment horizontal="center" vertical="center"/>
    </xf>
    <xf numFmtId="0" fontId="22" fillId="0" borderId="59" xfId="0" applyFont="1" applyBorder="1" applyAlignment="1" applyProtection="1">
      <alignment horizontal="justify" vertical="top" wrapText="1"/>
    </xf>
    <xf numFmtId="0" fontId="22" fillId="0" borderId="59" xfId="0" applyFont="1" applyBorder="1" applyAlignment="1" applyProtection="1">
      <alignment horizontal="center" vertical="center" wrapText="1"/>
    </xf>
    <xf numFmtId="41" fontId="22" fillId="0" borderId="59" xfId="0" applyNumberFormat="1" applyFont="1" applyBorder="1" applyAlignment="1" applyProtection="1">
      <alignment horizontal="center" wrapText="1"/>
      <protection locked="0"/>
    </xf>
    <xf numFmtId="0" fontId="23" fillId="0" borderId="59" xfId="0" applyFont="1" applyFill="1" applyBorder="1" applyAlignment="1" applyProtection="1">
      <alignment horizontal="left" vertical="top" wrapText="1"/>
    </xf>
    <xf numFmtId="0" fontId="22" fillId="0" borderId="59" xfId="0" applyFont="1" applyBorder="1" applyAlignment="1">
      <alignment horizontal="center" vertical="center" wrapText="1"/>
    </xf>
    <xf numFmtId="0" fontId="22" fillId="0" borderId="59" xfId="0" applyFont="1" applyBorder="1" applyAlignment="1">
      <alignment horizontal="center" wrapText="1"/>
    </xf>
    <xf numFmtId="0" fontId="22" fillId="0" borderId="59" xfId="0" applyFont="1" applyFill="1" applyBorder="1" applyAlignment="1" applyProtection="1">
      <alignment horizontal="left" vertical="top" wrapText="1"/>
    </xf>
    <xf numFmtId="0" fontId="22" fillId="0" borderId="59" xfId="0" applyFont="1" applyBorder="1" applyAlignment="1">
      <alignment vertical="center" wrapText="1"/>
    </xf>
    <xf numFmtId="0" fontId="4" fillId="0" borderId="59" xfId="0" applyFont="1" applyBorder="1"/>
    <xf numFmtId="43" fontId="4" fillId="0" borderId="59" xfId="0" applyNumberFormat="1" applyFont="1" applyBorder="1"/>
    <xf numFmtId="0" fontId="31" fillId="0" borderId="59" xfId="0" applyFont="1" applyFill="1" applyBorder="1" applyAlignment="1">
      <alignment horizontal="center" vertical="center"/>
    </xf>
    <xf numFmtId="166" fontId="30" fillId="10" borderId="59" xfId="27" applyNumberFormat="1" applyFont="1" applyFill="1" applyBorder="1" applyAlignment="1" applyProtection="1">
      <alignment horizontal="center" vertical="center"/>
      <protection locked="0"/>
    </xf>
    <xf numFmtId="0" fontId="31" fillId="0" borderId="59" xfId="0" applyFont="1" applyBorder="1" applyAlignment="1">
      <alignment horizontal="center" vertical="center"/>
    </xf>
    <xf numFmtId="0" fontId="42" fillId="4" borderId="59" xfId="0" applyFont="1" applyFill="1" applyBorder="1" applyAlignment="1"/>
    <xf numFmtId="10" fontId="42" fillId="4" borderId="59" xfId="2" applyNumberFormat="1" applyFont="1" applyFill="1" applyBorder="1"/>
    <xf numFmtId="166" fontId="42" fillId="4" borderId="59" xfId="27" applyNumberFormat="1" applyFont="1" applyFill="1" applyBorder="1" applyAlignment="1" applyProtection="1">
      <alignment horizontal="center" vertical="center"/>
      <protection locked="0"/>
    </xf>
    <xf numFmtId="0" fontId="67" fillId="0" borderId="59" xfId="0" applyFont="1" applyFill="1" applyBorder="1" applyAlignment="1">
      <alignment vertical="center" wrapText="1"/>
    </xf>
    <xf numFmtId="0" fontId="30" fillId="0" borderId="59" xfId="95" applyFont="1" applyBorder="1" applyAlignment="1">
      <alignment horizontal="center" vertical="center" wrapText="1"/>
    </xf>
    <xf numFmtId="165" fontId="30" fillId="9" borderId="59" xfId="35" applyFont="1" applyFill="1" applyBorder="1" applyAlignment="1" applyProtection="1">
      <alignment wrapText="1"/>
    </xf>
    <xf numFmtId="0" fontId="70" fillId="0" borderId="59" xfId="0" applyFont="1" applyFill="1" applyBorder="1" applyAlignment="1" applyProtection="1">
      <alignment vertical="center" wrapText="1"/>
      <protection locked="0"/>
    </xf>
    <xf numFmtId="0" fontId="67" fillId="10" borderId="59" xfId="0" applyFont="1" applyFill="1" applyBorder="1" applyAlignment="1" applyProtection="1">
      <alignment horizontal="center" vertical="center" wrapText="1"/>
      <protection locked="0"/>
    </xf>
    <xf numFmtId="0" fontId="70" fillId="0" borderId="59" xfId="0" applyFont="1" applyFill="1" applyBorder="1" applyAlignment="1" applyProtection="1">
      <alignment horizontal="center" vertical="center" wrapText="1"/>
      <protection locked="0"/>
    </xf>
    <xf numFmtId="0" fontId="31" fillId="0" borderId="59" xfId="0" applyFont="1" applyBorder="1" applyAlignment="1">
      <alignment horizontal="justify" vertical="center"/>
    </xf>
    <xf numFmtId="0" fontId="31" fillId="0" borderId="59" xfId="0" applyFont="1" applyBorder="1" applyAlignment="1">
      <alignment horizontal="center" vertical="center" wrapText="1"/>
    </xf>
    <xf numFmtId="0" fontId="30" fillId="9" borderId="59" xfId="27" applyNumberFormat="1" applyFont="1" applyFill="1" applyBorder="1" applyAlignment="1" applyProtection="1">
      <alignment horizontal="center" vertical="center" wrapText="1"/>
    </xf>
    <xf numFmtId="166" fontId="31" fillId="0" borderId="59" xfId="35" applyNumberFormat="1" applyFont="1" applyFill="1" applyBorder="1" applyAlignment="1" applyProtection="1">
      <alignment vertical="center" wrapText="1"/>
      <protection locked="0"/>
    </xf>
    <xf numFmtId="166" fontId="30" fillId="10" borderId="59" xfId="0" applyNumberFormat="1" applyFont="1" applyFill="1" applyBorder="1" applyAlignment="1" applyProtection="1">
      <alignment horizontal="center" vertical="center" wrapText="1"/>
      <protection locked="0"/>
    </xf>
    <xf numFmtId="166" fontId="31" fillId="0" borderId="59" xfId="0" applyNumberFormat="1" applyFont="1" applyFill="1" applyBorder="1" applyAlignment="1" applyProtection="1">
      <alignment horizontal="center" vertical="center" wrapText="1"/>
      <protection locked="0"/>
    </xf>
    <xf numFmtId="0" fontId="31" fillId="8" borderId="59" xfId="0" applyFont="1" applyFill="1" applyBorder="1" applyAlignment="1">
      <alignment horizontal="justify" vertical="center"/>
    </xf>
    <xf numFmtId="0" fontId="31" fillId="8" borderId="59" xfId="0" applyFont="1" applyFill="1" applyBorder="1" applyAlignment="1">
      <alignment horizontal="center" vertical="center" wrapText="1"/>
    </xf>
    <xf numFmtId="0" fontId="30" fillId="10" borderId="59" xfId="0" applyFont="1" applyFill="1" applyBorder="1" applyAlignment="1" applyProtection="1">
      <alignment horizontal="center" vertical="center" wrapText="1"/>
      <protection locked="0"/>
    </xf>
    <xf numFmtId="0" fontId="31" fillId="0" borderId="59" xfId="0" applyFont="1" applyFill="1" applyBorder="1" applyAlignment="1" applyProtection="1">
      <alignment horizontal="center" vertical="center" wrapText="1"/>
      <protection locked="0"/>
    </xf>
    <xf numFmtId="2" fontId="31" fillId="0" borderId="59" xfId="92" applyNumberFormat="1" applyFont="1" applyBorder="1" applyAlignment="1">
      <alignment horizontal="justify" vertical="center"/>
    </xf>
    <xf numFmtId="0" fontId="30" fillId="0" borderId="59" xfId="0" applyFont="1" applyBorder="1" applyAlignment="1">
      <alignment horizontal="center" vertical="center" wrapText="1"/>
    </xf>
    <xf numFmtId="2" fontId="31" fillId="8" borderId="59" xfId="92" applyNumberFormat="1" applyFont="1" applyFill="1" applyBorder="1" applyAlignment="1">
      <alignment horizontal="justify" vertical="center"/>
    </xf>
    <xf numFmtId="164" fontId="31" fillId="0" borderId="65" xfId="0" applyNumberFormat="1" applyFont="1" applyBorder="1" applyAlignment="1">
      <alignment horizontal="center" vertical="center" wrapText="1"/>
    </xf>
    <xf numFmtId="0" fontId="31" fillId="0" borderId="62" xfId="0" applyFont="1" applyBorder="1" applyAlignment="1">
      <alignment horizontal="justify" vertical="center"/>
    </xf>
    <xf numFmtId="0" fontId="31" fillId="0" borderId="62" xfId="0" applyFont="1" applyBorder="1" applyAlignment="1">
      <alignment horizontal="center" vertical="center" wrapText="1"/>
    </xf>
    <xf numFmtId="166" fontId="30" fillId="10" borderId="62" xfId="27" applyNumberFormat="1" applyFont="1" applyFill="1" applyBorder="1" applyAlignment="1" applyProtection="1">
      <alignment horizontal="center" vertical="center"/>
      <protection locked="0"/>
    </xf>
    <xf numFmtId="166" fontId="31" fillId="0" borderId="62" xfId="0" applyNumberFormat="1" applyFont="1" applyFill="1" applyBorder="1" applyAlignment="1" applyProtection="1">
      <alignment horizontal="center" vertical="center" wrapText="1"/>
      <protection locked="0"/>
    </xf>
    <xf numFmtId="0" fontId="73" fillId="8" borderId="59" xfId="40" applyFont="1" applyFill="1" applyBorder="1" applyAlignment="1">
      <alignment horizontal="justify" vertical="center"/>
    </xf>
    <xf numFmtId="0" fontId="73" fillId="0" borderId="59" xfId="95" applyFont="1" applyBorder="1" applyAlignment="1">
      <alignment horizontal="center" vertical="center" wrapText="1"/>
    </xf>
    <xf numFmtId="165" fontId="73" fillId="9" borderId="59" xfId="35" applyFont="1" applyFill="1" applyBorder="1" applyAlignment="1">
      <alignment horizontal="center" wrapText="1"/>
    </xf>
    <xf numFmtId="4" fontId="72" fillId="0" borderId="59" xfId="35" applyNumberFormat="1" applyFont="1" applyFill="1" applyBorder="1" applyAlignment="1">
      <alignment horizontal="center" wrapText="1"/>
    </xf>
    <xf numFmtId="165" fontId="73" fillId="10" borderId="59" xfId="35" applyFont="1" applyFill="1" applyBorder="1" applyAlignment="1">
      <alignment horizontal="center" wrapText="1"/>
    </xf>
    <xf numFmtId="164" fontId="72" fillId="0" borderId="59" xfId="0" applyNumberFormat="1" applyFont="1" applyBorder="1" applyAlignment="1">
      <alignment horizontal="justify" vertical="top" wrapText="1"/>
    </xf>
    <xf numFmtId="0" fontId="72" fillId="0" borderId="59" xfId="0" applyFont="1" applyBorder="1" applyAlignment="1">
      <alignment horizontal="center" vertical="center" wrapText="1"/>
    </xf>
    <xf numFmtId="3" fontId="72" fillId="0" borderId="59" xfId="0" applyNumberFormat="1" applyFont="1" applyFill="1" applyBorder="1" applyAlignment="1">
      <alignment horizontal="center" vertical="center" wrapText="1"/>
    </xf>
    <xf numFmtId="166" fontId="73" fillId="10" borderId="59" xfId="27" applyNumberFormat="1" applyFont="1" applyFill="1" applyBorder="1" applyAlignment="1" applyProtection="1">
      <alignment horizontal="center" vertical="center"/>
      <protection locked="0"/>
    </xf>
    <xf numFmtId="2" fontId="72" fillId="0" borderId="59" xfId="92" applyNumberFormat="1" applyFont="1" applyBorder="1" applyAlignment="1">
      <alignment horizontal="justify" vertical="top" wrapText="1"/>
    </xf>
    <xf numFmtId="3" fontId="72" fillId="0" borderId="59" xfId="35" applyNumberFormat="1" applyFont="1" applyFill="1" applyBorder="1" applyAlignment="1" applyProtection="1">
      <alignment horizontal="center" vertical="center" wrapText="1"/>
      <protection locked="0"/>
    </xf>
    <xf numFmtId="164" fontId="72" fillId="0" borderId="65" xfId="0" applyNumberFormat="1" applyFont="1" applyBorder="1" applyAlignment="1">
      <alignment horizontal="center" vertical="center" wrapText="1"/>
    </xf>
    <xf numFmtId="0" fontId="72" fillId="8" borderId="62" xfId="0" applyFont="1" applyFill="1" applyBorder="1" applyAlignment="1">
      <alignment horizontal="justify" vertical="center" wrapText="1"/>
    </xf>
    <xf numFmtId="0" fontId="72" fillId="8" borderId="62" xfId="0" applyFont="1" applyFill="1" applyBorder="1" applyAlignment="1">
      <alignment horizontal="center" vertical="center" wrapText="1"/>
    </xf>
    <xf numFmtId="0" fontId="31" fillId="0" borderId="62" xfId="0" applyFont="1" applyFill="1" applyBorder="1" applyAlignment="1" applyProtection="1">
      <alignment horizontal="center" vertical="center" wrapText="1"/>
      <protection locked="0"/>
    </xf>
    <xf numFmtId="0" fontId="170" fillId="0" borderId="0" xfId="0" applyFont="1"/>
    <xf numFmtId="0" fontId="171" fillId="0" borderId="61" xfId="0" applyFont="1" applyBorder="1" applyAlignment="1">
      <alignment horizontal="left" vertical="top"/>
    </xf>
    <xf numFmtId="0" fontId="172" fillId="0" borderId="0" xfId="0" applyFont="1" applyAlignment="1">
      <alignment horizontal="center" vertical="top"/>
    </xf>
    <xf numFmtId="0" fontId="172" fillId="0" borderId="0" xfId="0" applyFont="1"/>
    <xf numFmtId="0" fontId="171" fillId="0" borderId="0" xfId="37269" applyFont="1" applyAlignment="1">
      <alignment horizontal="left" vertical="top"/>
    </xf>
    <xf numFmtId="0" fontId="171" fillId="0" borderId="0" xfId="37269" quotePrefix="1" applyFont="1" applyAlignment="1">
      <alignment horizontal="left"/>
    </xf>
    <xf numFmtId="0" fontId="172" fillId="0" borderId="0" xfId="0" applyFont="1" applyAlignment="1">
      <alignment horizontal="center"/>
    </xf>
    <xf numFmtId="0" fontId="173" fillId="61" borderId="3" xfId="966" applyFont="1" applyFill="1" applyBorder="1" applyAlignment="1" applyProtection="1">
      <alignment horizontal="center" vertical="center"/>
      <protection locked="0"/>
    </xf>
    <xf numFmtId="0" fontId="173" fillId="61" borderId="4" xfId="966" applyFont="1" applyFill="1" applyBorder="1" applyAlignment="1" applyProtection="1">
      <alignment horizontal="center" vertical="center" wrapText="1"/>
      <protection locked="0"/>
    </xf>
    <xf numFmtId="0" fontId="171" fillId="0" borderId="0" xfId="0" applyFont="1" applyAlignment="1">
      <alignment horizontal="center" vertical="center" wrapText="1"/>
    </xf>
    <xf numFmtId="0" fontId="174" fillId="0" borderId="66" xfId="0" applyFont="1" applyBorder="1"/>
    <xf numFmtId="0" fontId="174" fillId="0" borderId="67" xfId="0" applyFont="1" applyBorder="1"/>
    <xf numFmtId="166" fontId="174" fillId="0" borderId="67" xfId="7" applyNumberFormat="1" applyFont="1" applyBorder="1"/>
    <xf numFmtId="0" fontId="174" fillId="0" borderId="0" xfId="0" applyFont="1"/>
    <xf numFmtId="0" fontId="174" fillId="0" borderId="68" xfId="0" applyFont="1" applyBorder="1" applyAlignment="1">
      <alignment horizontal="center"/>
    </xf>
    <xf numFmtId="0" fontId="174" fillId="0" borderId="69" xfId="0" applyFont="1" applyBorder="1" applyAlignment="1">
      <alignment vertical="center"/>
    </xf>
    <xf numFmtId="166" fontId="174" fillId="0" borderId="69" xfId="7" applyNumberFormat="1" applyFont="1" applyFill="1" applyBorder="1"/>
    <xf numFmtId="0" fontId="171" fillId="0" borderId="0" xfId="0" applyFont="1"/>
    <xf numFmtId="0" fontId="174" fillId="0" borderId="70" xfId="0" applyFont="1" applyBorder="1" applyAlignment="1">
      <alignment horizontal="center"/>
    </xf>
    <xf numFmtId="0" fontId="174" fillId="0" borderId="71" xfId="0" applyFont="1" applyBorder="1" applyAlignment="1">
      <alignment vertical="center"/>
    </xf>
    <xf numFmtId="166" fontId="174" fillId="0" borderId="71" xfId="7" applyNumberFormat="1" applyFont="1" applyBorder="1"/>
    <xf numFmtId="0" fontId="171" fillId="12" borderId="59" xfId="0" applyFont="1" applyFill="1" applyBorder="1" applyAlignment="1">
      <alignment horizontal="center" vertical="center" wrapText="1"/>
    </xf>
    <xf numFmtId="171" fontId="171" fillId="12" borderId="59" xfId="0" applyNumberFormat="1" applyFont="1" applyFill="1" applyBorder="1" applyAlignment="1" applyProtection="1">
      <alignment horizontal="justify" vertical="center"/>
      <protection locked="0"/>
    </xf>
    <xf numFmtId="166" fontId="174" fillId="12" borderId="59" xfId="7" applyNumberFormat="1" applyFont="1" applyFill="1" applyBorder="1" applyAlignment="1" applyProtection="1">
      <alignment horizontal="center" vertical="center"/>
      <protection locked="0"/>
    </xf>
    <xf numFmtId="0" fontId="171" fillId="0" borderId="0" xfId="0" applyFont="1" applyAlignment="1">
      <alignment horizontal="center" vertical="center"/>
    </xf>
    <xf numFmtId="0" fontId="174" fillId="12" borderId="59" xfId="0" applyFont="1" applyFill="1" applyBorder="1" applyAlignment="1">
      <alignment horizontal="right"/>
    </xf>
    <xf numFmtId="0" fontId="171" fillId="12" borderId="59" xfId="0" applyFont="1" applyFill="1" applyBorder="1"/>
    <xf numFmtId="0" fontId="174" fillId="4" borderId="59" xfId="0" applyFont="1" applyFill="1" applyBorder="1" applyAlignment="1">
      <alignment horizontal="right"/>
    </xf>
    <xf numFmtId="0" fontId="171" fillId="4" borderId="59" xfId="0" applyFont="1" applyFill="1" applyBorder="1"/>
    <xf numFmtId="166" fontId="171" fillId="4" borderId="59" xfId="2" applyNumberFormat="1" applyFont="1" applyFill="1" applyBorder="1"/>
    <xf numFmtId="166" fontId="174" fillId="0" borderId="0" xfId="7" applyNumberFormat="1" applyFont="1"/>
    <xf numFmtId="0" fontId="5" fillId="2" borderId="1" xfId="0" applyFont="1" applyFill="1" applyBorder="1" applyAlignment="1">
      <alignment horizontal="center" vertical="center"/>
    </xf>
    <xf numFmtId="164" fontId="171" fillId="0" borderId="0" xfId="18" applyNumberFormat="1" applyFont="1" applyAlignment="1" applyProtection="1">
      <alignment vertical="center"/>
      <protection locked="0"/>
    </xf>
    <xf numFmtId="0" fontId="174" fillId="0" borderId="0" xfId="0" applyFont="1" applyAlignment="1" applyProtection="1">
      <alignment horizontal="left" vertical="center"/>
      <protection locked="0"/>
    </xf>
    <xf numFmtId="0" fontId="170" fillId="8" borderId="0" xfId="966" applyFont="1" applyFill="1" applyAlignment="1" applyProtection="1">
      <alignment vertical="center" wrapText="1"/>
      <protection locked="0"/>
    </xf>
    <xf numFmtId="9" fontId="174" fillId="0" borderId="0" xfId="0" applyNumberFormat="1" applyFont="1" applyAlignment="1" applyProtection="1">
      <alignment horizontal="left" vertical="center"/>
      <protection locked="0"/>
    </xf>
    <xf numFmtId="165" fontId="171" fillId="0" borderId="0" xfId="12" applyFont="1" applyFill="1" applyBorder="1" applyAlignment="1" applyProtection="1">
      <alignment vertical="center"/>
      <protection locked="0"/>
    </xf>
    <xf numFmtId="165" fontId="171" fillId="0" borderId="0" xfId="12" applyFont="1" applyFill="1" applyBorder="1" applyAlignment="1" applyProtection="1">
      <alignment vertical="center" wrapText="1"/>
      <protection locked="0"/>
    </xf>
    <xf numFmtId="166" fontId="171" fillId="0" borderId="0" xfId="7" applyNumberFormat="1" applyFont="1" applyFill="1" applyBorder="1" applyAlignment="1">
      <alignment horizontal="center" wrapText="1"/>
    </xf>
    <xf numFmtId="165" fontId="171" fillId="0" borderId="0" xfId="12" applyFont="1" applyFill="1" applyBorder="1" applyAlignment="1" applyProtection="1">
      <alignment horizontal="right" vertical="center"/>
      <protection locked="0"/>
    </xf>
    <xf numFmtId="0" fontId="174" fillId="0" borderId="0" xfId="13" applyFont="1" applyProtection="1">
      <protection locked="0"/>
    </xf>
    <xf numFmtId="0" fontId="173" fillId="61" borderId="4" xfId="966" applyFont="1" applyFill="1" applyBorder="1" applyAlignment="1" applyProtection="1">
      <alignment horizontal="center" vertical="center"/>
      <protection locked="0"/>
    </xf>
    <xf numFmtId="166" fontId="173" fillId="61" borderId="4" xfId="35" applyNumberFormat="1" applyFont="1" applyFill="1" applyBorder="1" applyAlignment="1" applyProtection="1">
      <alignment horizontal="center" vertical="center" wrapText="1"/>
      <protection locked="0"/>
    </xf>
    <xf numFmtId="0" fontId="173" fillId="61" borderId="6" xfId="966" applyFont="1" applyFill="1" applyBorder="1" applyAlignment="1" applyProtection="1">
      <alignment horizontal="center" vertical="center" wrapText="1"/>
      <protection locked="0"/>
    </xf>
    <xf numFmtId="0" fontId="175" fillId="0" borderId="0" xfId="0" applyFont="1" applyAlignment="1" applyProtection="1">
      <alignment horizontal="center"/>
      <protection locked="0"/>
    </xf>
    <xf numFmtId="0" fontId="171" fillId="0" borderId="44" xfId="0" applyFont="1" applyBorder="1" applyAlignment="1">
      <alignment horizontal="center" vertical="center"/>
    </xf>
    <xf numFmtId="0" fontId="174" fillId="0" borderId="0" xfId="0" applyFont="1" applyProtection="1">
      <protection locked="0"/>
    </xf>
    <xf numFmtId="0" fontId="171" fillId="0" borderId="44" xfId="0" applyFont="1" applyBorder="1" applyAlignment="1">
      <alignment horizontal="center" vertical="top"/>
    </xf>
    <xf numFmtId="2" fontId="174" fillId="0" borderId="44" xfId="0" applyNumberFormat="1" applyFont="1" applyBorder="1" applyAlignment="1">
      <alignment horizontal="justify" vertical="top" wrapText="1"/>
    </xf>
    <xf numFmtId="166" fontId="171" fillId="8" borderId="44" xfId="7" applyNumberFormat="1" applyFont="1" applyFill="1" applyBorder="1" applyAlignment="1" applyProtection="1">
      <alignment horizontal="right" vertical="center"/>
      <protection locked="0"/>
    </xf>
    <xf numFmtId="0" fontId="174" fillId="8" borderId="0" xfId="0" applyFont="1" applyFill="1" applyProtection="1">
      <protection locked="0"/>
    </xf>
    <xf numFmtId="164" fontId="171" fillId="8" borderId="44" xfId="0" applyNumberFormat="1" applyFont="1" applyFill="1" applyBorder="1" applyAlignment="1">
      <alignment horizontal="center" vertical="top"/>
    </xf>
    <xf numFmtId="0" fontId="171" fillId="8" borderId="44" xfId="0" applyFont="1" applyFill="1" applyBorder="1" applyAlignment="1">
      <alignment horizontal="justify" vertical="top"/>
    </xf>
    <xf numFmtId="0" fontId="176" fillId="8" borderId="0" xfId="0" applyFont="1" applyFill="1" applyProtection="1">
      <protection locked="0"/>
    </xf>
    <xf numFmtId="3" fontId="174" fillId="8" borderId="44" xfId="0" applyNumberFormat="1" applyFont="1" applyFill="1" applyBorder="1" applyAlignment="1">
      <alignment horizontal="justify" vertical="top" wrapText="1"/>
    </xf>
    <xf numFmtId="0" fontId="174" fillId="0" borderId="44" xfId="0" applyFont="1" applyBorder="1" applyAlignment="1">
      <alignment horizontal="left" vertical="top" wrapText="1"/>
    </xf>
    <xf numFmtId="0" fontId="174" fillId="0" borderId="44" xfId="0" applyFont="1" applyBorder="1" applyAlignment="1">
      <alignment horizontal="left" vertical="center" wrapText="1"/>
    </xf>
    <xf numFmtId="0" fontId="172" fillId="0" borderId="0" xfId="0" applyFont="1" applyAlignment="1">
      <alignment horizontal="justify" vertical="center" wrapText="1"/>
    </xf>
    <xf numFmtId="0" fontId="171" fillId="8" borderId="44" xfId="0" applyFont="1" applyFill="1" applyBorder="1" applyAlignment="1">
      <alignment horizontal="center" vertical="center" wrapText="1"/>
    </xf>
    <xf numFmtId="166" fontId="171" fillId="8" borderId="44" xfId="7" applyNumberFormat="1" applyFont="1" applyFill="1" applyBorder="1" applyAlignment="1" applyProtection="1">
      <alignment horizontal="center" vertical="center"/>
      <protection locked="0"/>
    </xf>
    <xf numFmtId="0" fontId="172" fillId="0" borderId="0" xfId="89" applyFont="1"/>
    <xf numFmtId="0" fontId="171" fillId="12" borderId="44" xfId="19" applyFont="1" applyFill="1" applyBorder="1" applyAlignment="1" applyProtection="1">
      <alignment horizontal="center" vertical="center"/>
      <protection locked="0"/>
    </xf>
    <xf numFmtId="171" fontId="171" fillId="12" borderId="44" xfId="0" applyNumberFormat="1" applyFont="1" applyFill="1" applyBorder="1" applyAlignment="1" applyProtection="1">
      <alignment horizontal="justify" vertical="center"/>
      <protection locked="0"/>
    </xf>
    <xf numFmtId="0" fontId="171" fillId="12" borderId="44" xfId="0" applyFont="1" applyFill="1" applyBorder="1" applyAlignment="1" applyProtection="1">
      <alignment horizontal="center" vertical="center"/>
      <protection locked="0"/>
    </xf>
    <xf numFmtId="172" fontId="171" fillId="12" borderId="44" xfId="0" applyNumberFormat="1" applyFont="1" applyFill="1" applyBorder="1" applyAlignment="1" applyProtection="1">
      <alignment horizontal="center" vertical="center"/>
      <protection locked="0"/>
    </xf>
    <xf numFmtId="166" fontId="171" fillId="12" borderId="44" xfId="7" applyNumberFormat="1" applyFont="1" applyFill="1" applyBorder="1" applyAlignment="1" applyProtection="1">
      <alignment horizontal="center" vertical="center"/>
      <protection locked="0"/>
    </xf>
    <xf numFmtId="0" fontId="174" fillId="0" borderId="0" xfId="19" applyFont="1" applyProtection="1">
      <protection locked="0"/>
    </xf>
    <xf numFmtId="0" fontId="171" fillId="12" borderId="44" xfId="0" applyFont="1" applyFill="1" applyBorder="1" applyAlignment="1">
      <alignment horizontal="right"/>
    </xf>
    <xf numFmtId="0" fontId="171" fillId="12" borderId="44" xfId="0" applyFont="1" applyFill="1" applyBorder="1"/>
    <xf numFmtId="10" fontId="171" fillId="12" borderId="44" xfId="2" applyNumberFormat="1" applyFont="1" applyFill="1" applyBorder="1"/>
    <xf numFmtId="0" fontId="171" fillId="4" borderId="44" xfId="0" applyFont="1" applyFill="1" applyBorder="1" applyAlignment="1">
      <alignment horizontal="right"/>
    </xf>
    <xf numFmtId="0" fontId="171" fillId="4" borderId="44" xfId="0" applyFont="1" applyFill="1" applyBorder="1"/>
    <xf numFmtId="10" fontId="171" fillId="4" borderId="44" xfId="2" applyNumberFormat="1" applyFont="1" applyFill="1" applyBorder="1"/>
    <xf numFmtId="166" fontId="171" fillId="4" borderId="44" xfId="2" applyNumberFormat="1" applyFont="1" applyFill="1" applyBorder="1"/>
    <xf numFmtId="0" fontId="171" fillId="0" borderId="0" xfId="0" applyFont="1" applyAlignment="1" applyProtection="1">
      <alignment horizontal="center" vertical="center"/>
      <protection locked="0"/>
    </xf>
    <xf numFmtId="1" fontId="171" fillId="0" borderId="0" xfId="0" applyNumberFormat="1" applyFont="1" applyAlignment="1" applyProtection="1">
      <alignment horizontal="left" wrapText="1" shrinkToFit="1"/>
      <protection locked="0"/>
    </xf>
    <xf numFmtId="166" fontId="171" fillId="0" borderId="0" xfId="7" applyNumberFormat="1" applyFont="1" applyFill="1" applyBorder="1" applyAlignment="1" applyProtection="1">
      <alignment horizontal="left" vertical="center" wrapText="1" shrinkToFit="1"/>
      <protection locked="0"/>
    </xf>
    <xf numFmtId="0" fontId="174" fillId="0" borderId="0" xfId="0" applyFont="1" applyAlignment="1" applyProtection="1">
      <alignment vertical="center"/>
      <protection locked="0"/>
    </xf>
    <xf numFmtId="0" fontId="170" fillId="0" borderId="0" xfId="0" applyFont="1" applyAlignment="1" applyProtection="1">
      <alignment horizontal="center" vertical="center"/>
      <protection locked="0"/>
    </xf>
    <xf numFmtId="0" fontId="172" fillId="0" borderId="0" xfId="0" applyFont="1" applyAlignment="1" applyProtection="1">
      <alignment vertical="center"/>
      <protection locked="0"/>
    </xf>
    <xf numFmtId="0" fontId="172" fillId="0" borderId="0" xfId="0" applyFont="1" applyProtection="1">
      <protection locked="0"/>
    </xf>
    <xf numFmtId="0" fontId="170" fillId="8" borderId="44" xfId="0" applyFont="1" applyFill="1" applyBorder="1" applyAlignment="1">
      <alignment horizontal="center" vertical="center"/>
    </xf>
    <xf numFmtId="166" fontId="171" fillId="8" borderId="44" xfId="7" applyNumberFormat="1" applyFont="1" applyFill="1" applyBorder="1" applyAlignment="1" applyProtection="1">
      <alignment horizontal="center" vertical="top"/>
      <protection locked="0"/>
    </xf>
    <xf numFmtId="0" fontId="171" fillId="8" borderId="44" xfId="0" applyFont="1" applyFill="1" applyBorder="1" applyAlignment="1">
      <alignment horizontal="center" vertical="top"/>
    </xf>
    <xf numFmtId="0" fontId="170" fillId="8" borderId="44" xfId="0" applyFont="1" applyFill="1" applyBorder="1" applyProtection="1">
      <protection locked="0"/>
    </xf>
    <xf numFmtId="0" fontId="171" fillId="0" borderId="44" xfId="0" applyFont="1" applyBorder="1" applyAlignment="1">
      <alignment horizontal="left" vertical="top" wrapText="1"/>
    </xf>
    <xf numFmtId="172" fontId="171" fillId="8" borderId="44" xfId="0" applyNumberFormat="1" applyFont="1" applyFill="1" applyBorder="1" applyAlignment="1" applyProtection="1">
      <alignment horizontal="right" vertical="center"/>
      <protection locked="0"/>
    </xf>
    <xf numFmtId="166" fontId="171" fillId="8" borderId="44" xfId="7" applyNumberFormat="1" applyFont="1" applyFill="1" applyBorder="1" applyAlignment="1" applyProtection="1">
      <alignment vertical="top"/>
      <protection locked="0"/>
    </xf>
    <xf numFmtId="0" fontId="174" fillId="0" borderId="44" xfId="0" applyFont="1" applyBorder="1" applyAlignment="1">
      <alignment horizontal="center" vertical="top"/>
    </xf>
    <xf numFmtId="2" fontId="178" fillId="0" borderId="44" xfId="0" applyNumberFormat="1" applyFont="1" applyBorder="1" applyAlignment="1">
      <alignment horizontal="center" vertical="top" wrapText="1"/>
    </xf>
    <xf numFmtId="2" fontId="177" fillId="0" borderId="44" xfId="0" applyNumberFormat="1" applyFont="1" applyBorder="1" applyAlignment="1">
      <alignment horizontal="center" vertical="top" wrapText="1"/>
    </xf>
    <xf numFmtId="0" fontId="170" fillId="0" borderId="44" xfId="0" applyFont="1" applyBorder="1" applyAlignment="1">
      <alignment horizontal="center" vertical="top"/>
    </xf>
    <xf numFmtId="172" fontId="170" fillId="8" borderId="44" xfId="0" applyNumberFormat="1" applyFont="1" applyFill="1" applyBorder="1" applyAlignment="1" applyProtection="1">
      <alignment horizontal="right" vertical="center"/>
      <protection locked="0"/>
    </xf>
    <xf numFmtId="0" fontId="179" fillId="0" borderId="44" xfId="0" applyFont="1" applyBorder="1" applyAlignment="1">
      <alignment horizontal="center" vertical="top" wrapText="1"/>
    </xf>
    <xf numFmtId="164" fontId="170" fillId="62" borderId="44" xfId="0" applyNumberFormat="1" applyFont="1" applyFill="1" applyBorder="1" applyAlignment="1">
      <alignment horizontal="center" vertical="top" wrapText="1"/>
    </xf>
    <xf numFmtId="0" fontId="170" fillId="62" borderId="44" xfId="0" applyFont="1" applyFill="1" applyBorder="1" applyAlignment="1">
      <alignment horizontal="justify" vertical="top" wrapText="1"/>
    </xf>
    <xf numFmtId="166" fontId="171" fillId="8" borderId="44" xfId="0" applyNumberFormat="1" applyFont="1" applyFill="1" applyBorder="1" applyAlignment="1">
      <alignment horizontal="center" vertical="center" wrapText="1"/>
    </xf>
    <xf numFmtId="0" fontId="174" fillId="0" borderId="44" xfId="37271" applyFont="1" applyBorder="1" applyAlignment="1">
      <alignment horizontal="center" wrapText="1"/>
    </xf>
    <xf numFmtId="0" fontId="172" fillId="0" borderId="44" xfId="0" applyFont="1" applyBorder="1" applyAlignment="1">
      <alignment horizontal="center" vertical="top" wrapText="1"/>
    </xf>
    <xf numFmtId="0" fontId="174" fillId="0" borderId="44" xfId="37271" applyFont="1" applyBorder="1" applyAlignment="1">
      <alignment horizontal="center" vertical="center" wrapText="1"/>
    </xf>
    <xf numFmtId="0" fontId="174" fillId="0" borderId="44" xfId="0" applyFont="1" applyBorder="1" applyAlignment="1">
      <alignment horizontal="justify" vertical="justify" wrapText="1"/>
    </xf>
    <xf numFmtId="0" fontId="171" fillId="0" borderId="44" xfId="37271" applyFont="1" applyBorder="1" applyAlignment="1">
      <alignment horizontal="center" vertical="center" wrapText="1"/>
    </xf>
    <xf numFmtId="0" fontId="171" fillId="0" borderId="44" xfId="0" applyFont="1" applyBorder="1" applyAlignment="1">
      <alignment horizontal="left" vertical="center" wrapText="1"/>
    </xf>
    <xf numFmtId="0" fontId="170" fillId="0" borderId="44" xfId="0" applyFont="1" applyBorder="1" applyAlignment="1">
      <alignment horizontal="center" vertical="top" wrapText="1"/>
    </xf>
    <xf numFmtId="0" fontId="171" fillId="8" borderId="44" xfId="37271" applyFont="1" applyFill="1" applyBorder="1" applyAlignment="1">
      <alignment horizontal="center" vertical="center" wrapText="1"/>
    </xf>
    <xf numFmtId="171" fontId="171" fillId="0" borderId="44" xfId="0" applyNumberFormat="1" applyFont="1" applyBorder="1" applyAlignment="1">
      <alignment horizontal="center" vertical="top"/>
    </xf>
    <xf numFmtId="0" fontId="172" fillId="0" borderId="44" xfId="7" applyNumberFormat="1" applyFont="1" applyFill="1" applyBorder="1" applyAlignment="1" applyProtection="1">
      <alignment horizontal="justify" vertical="top"/>
    </xf>
    <xf numFmtId="164" fontId="171" fillId="0" borderId="44" xfId="0" applyNumberFormat="1" applyFont="1" applyBorder="1" applyAlignment="1">
      <alignment horizontal="center" vertical="top" wrapText="1"/>
    </xf>
    <xf numFmtId="0" fontId="174" fillId="0" borderId="44" xfId="0" applyFont="1" applyBorder="1" applyAlignment="1">
      <alignment horizontal="center" vertical="top" wrapText="1"/>
    </xf>
    <xf numFmtId="0" fontId="172" fillId="0" borderId="44" xfId="27" applyNumberFormat="1" applyFont="1" applyBorder="1" applyAlignment="1">
      <alignment horizontal="justify" vertical="justify"/>
    </xf>
    <xf numFmtId="0" fontId="172" fillId="0" borderId="44" xfId="27" applyNumberFormat="1" applyFont="1" applyFill="1" applyBorder="1" applyAlignment="1" applyProtection="1">
      <alignment horizontal="justify" vertical="justify"/>
    </xf>
    <xf numFmtId="171" fontId="174" fillId="8" borderId="44" xfId="0" applyNumberFormat="1" applyFont="1" applyFill="1" applyBorder="1" applyAlignment="1">
      <alignment horizontal="justify" vertical="center"/>
    </xf>
    <xf numFmtId="0" fontId="170" fillId="0" borderId="44" xfId="0" applyFont="1" applyBorder="1" applyAlignment="1">
      <alignment horizontal="center" vertical="center"/>
    </xf>
    <xf numFmtId="41" fontId="171" fillId="8" borderId="44" xfId="0" applyNumberFormat="1" applyFont="1" applyFill="1" applyBorder="1" applyAlignment="1" applyProtection="1">
      <alignment horizontal="center" vertical="center" wrapText="1"/>
      <protection locked="0"/>
    </xf>
    <xf numFmtId="172" fontId="171" fillId="0" borderId="44" xfId="0" applyNumberFormat="1" applyFont="1" applyBorder="1" applyAlignment="1">
      <alignment horizontal="center" vertical="center"/>
    </xf>
    <xf numFmtId="0" fontId="170" fillId="8" borderId="44" xfId="0" applyFont="1" applyFill="1" applyBorder="1" applyAlignment="1" applyProtection="1">
      <alignment vertical="center"/>
      <protection locked="0"/>
    </xf>
    <xf numFmtId="0" fontId="172" fillId="0" borderId="0" xfId="0" applyFont="1" applyAlignment="1" applyProtection="1">
      <alignment horizontal="left" wrapText="1"/>
      <protection locked="0"/>
    </xf>
    <xf numFmtId="0" fontId="170" fillId="0" borderId="0" xfId="0" applyFont="1" applyAlignment="1" applyProtection="1">
      <alignment horizontal="center"/>
      <protection locked="0"/>
    </xf>
    <xf numFmtId="0" fontId="172" fillId="0" borderId="0" xfId="0" applyFont="1" applyAlignment="1" applyProtection="1">
      <alignment horizontal="center"/>
      <protection locked="0"/>
    </xf>
    <xf numFmtId="0" fontId="172" fillId="0" borderId="0" xfId="0" applyFont="1" applyAlignment="1" applyProtection="1">
      <alignment horizontal="right" vertical="center"/>
      <protection locked="0"/>
    </xf>
    <xf numFmtId="166" fontId="170" fillId="0" borderId="0" xfId="7" applyNumberFormat="1" applyFont="1" applyProtection="1">
      <protection locked="0"/>
    </xf>
    <xf numFmtId="0" fontId="171" fillId="0" borderId="72" xfId="0" applyFont="1" applyBorder="1" applyAlignment="1">
      <alignment horizontal="left" vertical="top"/>
    </xf>
    <xf numFmtId="0" fontId="171" fillId="61" borderId="3" xfId="0" applyFont="1" applyFill="1" applyBorder="1" applyAlignment="1">
      <alignment horizontal="center" vertical="center" wrapText="1"/>
    </xf>
    <xf numFmtId="0" fontId="171" fillId="61" borderId="4" xfId="0" applyFont="1" applyFill="1" applyBorder="1" applyAlignment="1">
      <alignment horizontal="center" vertical="center" wrapText="1"/>
    </xf>
    <xf numFmtId="166" fontId="171" fillId="61" borderId="4" xfId="7" applyNumberFormat="1" applyFont="1" applyFill="1" applyBorder="1" applyAlignment="1">
      <alignment horizontal="right" vertical="center" wrapText="1"/>
    </xf>
    <xf numFmtId="166" fontId="174" fillId="0" borderId="69" xfId="7" applyNumberFormat="1" applyFont="1" applyBorder="1"/>
    <xf numFmtId="0" fontId="171" fillId="13" borderId="44" xfId="0" applyFont="1" applyFill="1" applyBorder="1" applyAlignment="1">
      <alignment horizontal="center" vertical="center" wrapText="1"/>
    </xf>
    <xf numFmtId="0" fontId="171" fillId="13" borderId="44" xfId="0" applyFont="1" applyFill="1" applyBorder="1" applyAlignment="1">
      <alignment horizontal="left" vertical="center" wrapText="1"/>
    </xf>
    <xf numFmtId="166" fontId="174" fillId="13" borderId="44" xfId="7" applyNumberFormat="1" applyFont="1" applyFill="1" applyBorder="1" applyAlignment="1" applyProtection="1">
      <alignment horizontal="center" vertical="center"/>
      <protection locked="0"/>
    </xf>
    <xf numFmtId="43" fontId="171" fillId="0" borderId="0" xfId="0" applyNumberFormat="1" applyFont="1" applyAlignment="1">
      <alignment horizontal="center" vertical="center"/>
    </xf>
    <xf numFmtId="0" fontId="174" fillId="13" borderId="44" xfId="0" applyFont="1" applyFill="1" applyBorder="1" applyAlignment="1">
      <alignment horizontal="right"/>
    </xf>
    <xf numFmtId="0" fontId="171" fillId="13" borderId="44" xfId="0" applyFont="1" applyFill="1" applyBorder="1"/>
    <xf numFmtId="0" fontId="174" fillId="64" borderId="44" xfId="0" applyFont="1" applyFill="1" applyBorder="1" applyAlignment="1">
      <alignment horizontal="right"/>
    </xf>
    <xf numFmtId="0" fontId="171" fillId="64" borderId="44" xfId="0" applyFont="1" applyFill="1" applyBorder="1"/>
    <xf numFmtId="166" fontId="171" fillId="64" borderId="44" xfId="2" applyNumberFormat="1" applyFont="1" applyFill="1" applyBorder="1"/>
    <xf numFmtId="0" fontId="172" fillId="0" borderId="0" xfId="13" applyFont="1" applyProtection="1">
      <protection locked="0"/>
    </xf>
    <xf numFmtId="0" fontId="174" fillId="8" borderId="0" xfId="13" applyFont="1" applyFill="1" applyProtection="1">
      <protection locked="0"/>
    </xf>
    <xf numFmtId="0" fontId="176" fillId="0" borderId="0" xfId="0" applyFont="1" applyAlignment="1" applyProtection="1">
      <alignment horizontal="left" vertical="center"/>
      <protection locked="0"/>
    </xf>
    <xf numFmtId="0" fontId="176" fillId="0" borderId="0" xfId="13" applyFont="1" applyProtection="1">
      <protection locked="0"/>
    </xf>
    <xf numFmtId="0" fontId="176" fillId="0" borderId="0" xfId="13" applyFont="1" applyAlignment="1" applyProtection="1">
      <alignment vertical="center"/>
      <protection locked="0"/>
    </xf>
    <xf numFmtId="0" fontId="176" fillId="8" borderId="0" xfId="13" applyFont="1" applyFill="1" applyProtection="1">
      <protection locked="0"/>
    </xf>
    <xf numFmtId="0" fontId="176" fillId="0" borderId="0" xfId="13" applyFont="1" applyAlignment="1" applyProtection="1">
      <alignment vertical="top"/>
      <protection locked="0"/>
    </xf>
    <xf numFmtId="0" fontId="182" fillId="0" borderId="0" xfId="0" applyFont="1"/>
    <xf numFmtId="0" fontId="176" fillId="0" borderId="0" xfId="19" applyFont="1" applyProtection="1">
      <protection locked="0"/>
    </xf>
    <xf numFmtId="0" fontId="176" fillId="0" borderId="0" xfId="0" applyFont="1"/>
    <xf numFmtId="43" fontId="4" fillId="0" borderId="44" xfId="0" applyNumberFormat="1" applyFont="1" applyBorder="1"/>
    <xf numFmtId="0" fontId="0" fillId="0" borderId="1" xfId="0" applyFill="1" applyBorder="1" applyAlignment="1">
      <alignment vertical="center"/>
    </xf>
    <xf numFmtId="0" fontId="171" fillId="8" borderId="44" xfId="0" applyFont="1" applyFill="1" applyBorder="1" applyAlignment="1">
      <alignment horizontal="center" vertical="center" wrapText="1"/>
    </xf>
    <xf numFmtId="43" fontId="0" fillId="0" borderId="44" xfId="1" applyFont="1" applyBorder="1" applyAlignment="1">
      <alignment vertical="center"/>
    </xf>
    <xf numFmtId="43" fontId="4" fillId="0" borderId="1" xfId="1" applyFont="1" applyFill="1" applyBorder="1" applyAlignment="1">
      <alignment vertical="center"/>
    </xf>
    <xf numFmtId="0" fontId="0" fillId="0" borderId="44" xfId="0" applyBorder="1" applyAlignment="1">
      <alignment vertical="center" wrapText="1"/>
    </xf>
    <xf numFmtId="0" fontId="30" fillId="0" borderId="44" xfId="0" applyFont="1" applyFill="1" applyBorder="1" applyAlignment="1">
      <alignment horizontal="center" vertical="center"/>
    </xf>
    <xf numFmtId="0" fontId="30" fillId="10" borderId="44" xfId="0" applyFont="1" applyFill="1" applyBorder="1" applyAlignment="1">
      <alignment vertical="center"/>
    </xf>
    <xf numFmtId="0" fontId="31" fillId="0" borderId="44" xfId="0" applyFont="1" applyFill="1" applyBorder="1" applyAlignment="1">
      <alignment horizontal="center" vertical="center"/>
    </xf>
    <xf numFmtId="1" fontId="30" fillId="10" borderId="44" xfId="59" applyNumberFormat="1" applyFont="1" applyFill="1" applyBorder="1" applyAlignment="1" applyProtection="1">
      <alignment horizontal="center" vertical="center"/>
      <protection locked="0"/>
    </xf>
    <xf numFmtId="166" fontId="30" fillId="10" borderId="44" xfId="27" applyNumberFormat="1" applyFont="1" applyFill="1" applyBorder="1" applyAlignment="1" applyProtection="1">
      <alignment horizontal="center" vertical="center"/>
      <protection locked="0"/>
    </xf>
    <xf numFmtId="166" fontId="30" fillId="11" borderId="44" xfId="27" applyNumberFormat="1" applyFont="1" applyFill="1" applyBorder="1" applyAlignment="1" applyProtection="1">
      <alignment horizontal="center" vertical="center" wrapText="1"/>
      <protection locked="0"/>
    </xf>
    <xf numFmtId="0" fontId="70" fillId="0" borderId="44" xfId="0" applyFont="1" applyBorder="1" applyAlignment="1">
      <alignment horizontal="center" vertical="center"/>
    </xf>
    <xf numFmtId="0" fontId="67" fillId="10" borderId="44" xfId="0" applyFont="1" applyFill="1" applyBorder="1" applyAlignment="1">
      <alignment vertical="center"/>
    </xf>
    <xf numFmtId="3" fontId="30" fillId="0" borderId="44" xfId="19" applyNumberFormat="1" applyFont="1" applyFill="1" applyBorder="1" applyAlignment="1">
      <alignment horizontal="center" vertical="center" wrapText="1"/>
    </xf>
    <xf numFmtId="3" fontId="30" fillId="10" borderId="44" xfId="19" applyNumberFormat="1" applyFont="1" applyFill="1" applyBorder="1" applyAlignment="1">
      <alignment horizontal="center" vertical="center" wrapText="1"/>
    </xf>
    <xf numFmtId="0" fontId="31" fillId="0" borderId="44" xfId="0" applyFont="1" applyBorder="1" applyAlignment="1">
      <alignment horizontal="center" vertical="center"/>
    </xf>
    <xf numFmtId="10" fontId="42" fillId="4" borderId="44" xfId="2" applyNumberFormat="1" applyFont="1" applyFill="1" applyBorder="1"/>
    <xf numFmtId="166" fontId="42" fillId="4" borderId="44" xfId="27" applyNumberFormat="1" applyFont="1" applyFill="1" applyBorder="1" applyAlignment="1" applyProtection="1">
      <alignment horizontal="center" vertical="center"/>
      <protection locked="0"/>
    </xf>
    <xf numFmtId="0" fontId="30" fillId="9" borderId="44" xfId="27" applyNumberFormat="1" applyFont="1" applyFill="1" applyBorder="1" applyAlignment="1" applyProtection="1">
      <alignment horizontal="center" vertical="center" wrapText="1"/>
    </xf>
    <xf numFmtId="165" fontId="30" fillId="9" borderId="44" xfId="35" applyFont="1" applyFill="1" applyBorder="1" applyAlignment="1" applyProtection="1">
      <alignment horizontal="center" vertical="center" wrapText="1"/>
    </xf>
    <xf numFmtId="43" fontId="171" fillId="8" borderId="44" xfId="1" applyFont="1" applyFill="1" applyBorder="1" applyAlignment="1">
      <alignment horizontal="center" vertical="center" wrapText="1"/>
    </xf>
    <xf numFmtId="0" fontId="0" fillId="0" borderId="44" xfId="0" applyFill="1" applyBorder="1" applyAlignment="1">
      <alignment vertical="center"/>
    </xf>
    <xf numFmtId="0" fontId="3" fillId="0" borderId="44" xfId="0" applyFont="1" applyBorder="1"/>
    <xf numFmtId="173" fontId="33" fillId="13" borderId="22" xfId="12" applyNumberFormat="1" applyFont="1" applyFill="1" applyBorder="1" applyAlignment="1">
      <alignment vertical="center"/>
    </xf>
    <xf numFmtId="173" fontId="33" fillId="13" borderId="23" xfId="12" applyNumberFormat="1" applyFont="1" applyFill="1" applyBorder="1" applyAlignment="1">
      <alignment vertical="center"/>
    </xf>
    <xf numFmtId="173" fontId="33" fillId="13" borderId="24" xfId="12" applyNumberFormat="1" applyFont="1" applyFill="1" applyBorder="1" applyAlignment="1">
      <alignment vertical="center"/>
    </xf>
    <xf numFmtId="43" fontId="10" fillId="0" borderId="0" xfId="1" applyFont="1"/>
    <xf numFmtId="43" fontId="10" fillId="0" borderId="0" xfId="0" applyNumberFormat="1" applyFont="1"/>
    <xf numFmtId="0" fontId="5" fillId="2" borderId="1" xfId="0" applyFont="1" applyFill="1" applyBorder="1" applyAlignment="1">
      <alignment horizontal="center" vertical="center"/>
    </xf>
    <xf numFmtId="172" fontId="42" fillId="12" borderId="44" xfId="0" applyNumberFormat="1" applyFont="1" applyFill="1" applyBorder="1" applyAlignment="1" applyProtection="1">
      <alignment horizontal="center" vertical="center"/>
      <protection locked="0"/>
    </xf>
    <xf numFmtId="43" fontId="0" fillId="0" borderId="0" xfId="0" applyNumberFormat="1"/>
    <xf numFmtId="43" fontId="4" fillId="0" borderId="44" xfId="1" applyFont="1" applyFill="1" applyBorder="1" applyAlignment="1">
      <alignment vertical="center"/>
    </xf>
    <xf numFmtId="0" fontId="4" fillId="0" borderId="44" xfId="0" applyFont="1" applyFill="1" applyBorder="1" applyAlignment="1">
      <alignment vertical="center"/>
    </xf>
    <xf numFmtId="9" fontId="0" fillId="0" borderId="0" xfId="2" applyFont="1"/>
    <xf numFmtId="0" fontId="66" fillId="0" borderId="44" xfId="0" applyFont="1" applyBorder="1" applyAlignment="1">
      <alignment vertical="center" wrapText="1"/>
    </xf>
    <xf numFmtId="0" fontId="0" fillId="0" borderId="44" xfId="0" applyBorder="1" applyAlignment="1">
      <alignment wrapText="1"/>
    </xf>
    <xf numFmtId="0" fontId="0" fillId="0" borderId="0" xfId="0" applyAlignment="1">
      <alignment vertical="center"/>
    </xf>
    <xf numFmtId="0" fontId="0" fillId="0" borderId="44" xfId="0" applyBorder="1" applyAlignment="1">
      <alignment vertical="center"/>
    </xf>
    <xf numFmtId="0" fontId="0" fillId="0" borderId="44" xfId="0" applyBorder="1" applyAlignment="1">
      <alignment wrapText="1"/>
    </xf>
    <xf numFmtId="0" fontId="0" fillId="0" borderId="0" xfId="0"/>
    <xf numFmtId="0" fontId="0" fillId="0" borderId="0" xfId="0" applyAlignment="1">
      <alignment vertical="center"/>
    </xf>
    <xf numFmtId="0" fontId="0" fillId="0" borderId="44" xfId="0" applyBorder="1" applyAlignment="1">
      <alignment vertical="center"/>
    </xf>
    <xf numFmtId="0" fontId="4" fillId="0" borderId="44" xfId="0" applyFont="1" applyBorder="1" applyAlignment="1">
      <alignment vertical="center"/>
    </xf>
    <xf numFmtId="0" fontId="4" fillId="0" borderId="0" xfId="0" applyFont="1" applyAlignment="1">
      <alignment vertical="center"/>
    </xf>
    <xf numFmtId="2" fontId="4" fillId="0" borderId="1" xfId="0" applyNumberFormat="1" applyFont="1" applyBorder="1" applyAlignment="1">
      <alignment horizontal="center" vertical="center"/>
    </xf>
    <xf numFmtId="0" fontId="5" fillId="4" borderId="44" xfId="0" applyFont="1" applyFill="1" applyBorder="1" applyAlignment="1">
      <alignment horizontal="center" vertical="center"/>
    </xf>
    <xf numFmtId="43" fontId="5" fillId="4" borderId="44" xfId="1" applyFont="1" applyFill="1" applyBorder="1" applyAlignment="1">
      <alignment horizontal="center" vertical="center"/>
    </xf>
    <xf numFmtId="2" fontId="4" fillId="0" borderId="0" xfId="0" applyNumberFormat="1" applyFont="1" applyAlignment="1">
      <alignment vertical="center"/>
    </xf>
    <xf numFmtId="1" fontId="56" fillId="0" borderId="44" xfId="15" applyNumberFormat="1" applyFont="1" applyFill="1" applyBorder="1" applyAlignment="1" applyProtection="1">
      <alignment horizontal="center" vertical="center"/>
    </xf>
    <xf numFmtId="1" fontId="56" fillId="0" borderId="44" xfId="33" applyNumberFormat="1" applyFont="1" applyFill="1" applyBorder="1" applyAlignment="1" applyProtection="1">
      <alignment horizontal="center" vertical="center"/>
    </xf>
    <xf numFmtId="171" fontId="47" fillId="0" borderId="44" xfId="15" applyNumberFormat="1" applyFont="1" applyFill="1" applyBorder="1" applyAlignment="1">
      <alignment horizontal="center" vertical="center"/>
    </xf>
    <xf numFmtId="0" fontId="56" fillId="0" borderId="44" xfId="0" applyFont="1" applyFill="1" applyBorder="1" applyAlignment="1">
      <alignment vertical="center"/>
    </xf>
    <xf numFmtId="1" fontId="56" fillId="0" borderId="44" xfId="15" applyNumberFormat="1" applyFont="1" applyFill="1" applyBorder="1" applyAlignment="1">
      <alignment horizontal="center" vertical="center"/>
    </xf>
    <xf numFmtId="1" fontId="43" fillId="0" borderId="44" xfId="0" applyNumberFormat="1" applyFont="1" applyBorder="1" applyAlignment="1">
      <alignment horizontal="center" vertical="center"/>
    </xf>
    <xf numFmtId="0" fontId="22" fillId="0" borderId="44" xfId="0" applyFont="1" applyFill="1" applyBorder="1" applyAlignment="1" applyProtection="1">
      <alignment horizontal="center" vertical="center" wrapText="1"/>
    </xf>
    <xf numFmtId="1" fontId="22" fillId="0" borderId="44" xfId="0" applyNumberFormat="1" applyFont="1" applyFill="1" applyBorder="1" applyAlignment="1" applyProtection="1">
      <alignment horizontal="center" vertical="center" wrapText="1"/>
    </xf>
    <xf numFmtId="0" fontId="42" fillId="4" borderId="44" xfId="0" applyFont="1" applyFill="1" applyBorder="1" applyAlignment="1">
      <alignment horizontal="center" vertical="top" wrapText="1"/>
    </xf>
    <xf numFmtId="0" fontId="43" fillId="4" borderId="44" xfId="0" applyFont="1" applyFill="1" applyBorder="1" applyAlignment="1">
      <alignment horizontal="center" vertical="center"/>
    </xf>
    <xf numFmtId="0" fontId="184" fillId="0" borderId="44" xfId="0" applyFont="1" applyBorder="1" applyAlignment="1">
      <alignment horizontal="left" vertical="center"/>
    </xf>
    <xf numFmtId="0" fontId="185" fillId="0" borderId="0" xfId="0" applyFont="1" applyAlignment="1">
      <alignment vertical="top"/>
    </xf>
    <xf numFmtId="0" fontId="187" fillId="0" borderId="0" xfId="0" applyFont="1" applyAlignment="1">
      <alignment horizontal="center" vertical="center"/>
    </xf>
    <xf numFmtId="203" fontId="186" fillId="65" borderId="44" xfId="1" applyNumberFormat="1" applyFont="1" applyFill="1" applyBorder="1" applyAlignment="1">
      <alignment horizontal="center" vertical="center" wrapText="1"/>
    </xf>
    <xf numFmtId="0" fontId="23" fillId="0" borderId="44" xfId="0" applyFont="1" applyBorder="1" applyAlignment="1">
      <alignment horizontal="center" vertical="center"/>
    </xf>
    <xf numFmtId="0" fontId="22" fillId="0" borderId="44" xfId="0" applyFont="1" applyBorder="1" applyAlignment="1">
      <alignment horizontal="left" vertical="center" wrapText="1"/>
    </xf>
    <xf numFmtId="0" fontId="65" fillId="0" borderId="44" xfId="0" applyFont="1" applyBorder="1" applyAlignment="1">
      <alignment vertical="center"/>
    </xf>
    <xf numFmtId="0" fontId="65" fillId="0" borderId="44" xfId="0" applyFont="1" applyBorder="1" applyAlignment="1">
      <alignment horizontal="center" vertical="center"/>
    </xf>
    <xf numFmtId="1" fontId="47" fillId="0" borderId="44" xfId="37278" applyNumberFormat="1" applyFont="1" applyFill="1" applyBorder="1" applyAlignment="1">
      <alignment horizontal="center" vertical="center"/>
    </xf>
    <xf numFmtId="44" fontId="56" fillId="0" borderId="44" xfId="87" applyFont="1" applyBorder="1" applyAlignment="1">
      <alignment horizontal="center" vertical="center"/>
    </xf>
    <xf numFmtId="44" fontId="44" fillId="0" borderId="44" xfId="87" applyFont="1" applyBorder="1" applyAlignment="1">
      <alignment horizontal="center" vertical="center" wrapText="1"/>
    </xf>
    <xf numFmtId="0" fontId="56" fillId="0" borderId="0" xfId="0" applyFont="1" applyAlignment="1">
      <alignment vertical="top"/>
    </xf>
    <xf numFmtId="0" fontId="22" fillId="8" borderId="44" xfId="0" applyFont="1" applyFill="1" applyBorder="1" applyAlignment="1">
      <alignment horizontal="left" vertical="center" wrapText="1"/>
    </xf>
    <xf numFmtId="0" fontId="22" fillId="0" borderId="44" xfId="0" applyFont="1" applyBorder="1" applyAlignment="1">
      <alignment horizontal="justify" vertical="center" wrapText="1"/>
    </xf>
    <xf numFmtId="0" fontId="22" fillId="0" borderId="44" xfId="0" applyFont="1" applyBorder="1" applyAlignment="1">
      <alignment horizontal="center" vertical="center"/>
    </xf>
    <xf numFmtId="0" fontId="56" fillId="4" borderId="44" xfId="0" applyFont="1" applyFill="1" applyBorder="1" applyAlignment="1">
      <alignment horizontal="center" vertical="center" wrapText="1"/>
    </xf>
    <xf numFmtId="44" fontId="189" fillId="4" borderId="44" xfId="87" applyFont="1" applyFill="1" applyBorder="1" applyAlignment="1">
      <alignment horizontal="center" vertical="center" wrapText="1"/>
    </xf>
    <xf numFmtId="0" fontId="184" fillId="4" borderId="0" xfId="0" applyFont="1" applyFill="1" applyAlignment="1">
      <alignment horizontal="center" vertical="center"/>
    </xf>
    <xf numFmtId="0" fontId="184" fillId="4" borderId="0" xfId="0" applyFont="1" applyFill="1" applyAlignment="1">
      <alignment horizontal="justify" vertical="center"/>
    </xf>
    <xf numFmtId="0" fontId="184" fillId="4" borderId="0" xfId="0" applyFont="1" applyFill="1" applyAlignment="1">
      <alignment vertical="center"/>
    </xf>
    <xf numFmtId="43" fontId="184" fillId="4" borderId="0" xfId="1" applyFont="1" applyFill="1" applyAlignment="1">
      <alignment horizontal="center" vertical="center"/>
    </xf>
    <xf numFmtId="0" fontId="60" fillId="0" borderId="0" xfId="0" applyFont="1" applyAlignment="1">
      <alignment vertical="top"/>
    </xf>
    <xf numFmtId="0" fontId="60" fillId="0" borderId="0" xfId="0" applyFont="1" applyAlignment="1">
      <alignment horizontal="center" vertical="center"/>
    </xf>
    <xf numFmtId="0" fontId="60" fillId="0" borderId="0" xfId="0" applyFont="1" applyAlignment="1">
      <alignment horizontal="justify" vertical="center"/>
    </xf>
    <xf numFmtId="0" fontId="60" fillId="0" borderId="0" xfId="0" applyFont="1" applyAlignment="1">
      <alignment vertical="center"/>
    </xf>
    <xf numFmtId="43" fontId="60" fillId="0" borderId="0" xfId="1" applyFont="1" applyAlignment="1">
      <alignment horizontal="center" vertical="center"/>
    </xf>
    <xf numFmtId="1" fontId="30" fillId="9" borderId="44" xfId="0" applyNumberFormat="1" applyFont="1" applyFill="1" applyBorder="1" applyAlignment="1">
      <alignment horizontal="center" vertical="center"/>
    </xf>
    <xf numFmtId="0" fontId="30" fillId="9" borderId="44" xfId="0" applyFont="1" applyFill="1" applyBorder="1" applyAlignment="1">
      <alignment horizontal="center" vertical="center"/>
    </xf>
    <xf numFmtId="0" fontId="30" fillId="11" borderId="44" xfId="0" applyFont="1" applyFill="1" applyBorder="1" applyAlignment="1" applyProtection="1">
      <alignment horizontal="center" vertical="center" wrapText="1"/>
    </xf>
    <xf numFmtId="0" fontId="67" fillId="9" borderId="44" xfId="0" applyFont="1" applyFill="1" applyBorder="1" applyAlignment="1">
      <alignment horizontal="center" vertical="center"/>
    </xf>
    <xf numFmtId="3" fontId="30" fillId="9" borderId="44" xfId="19" applyNumberFormat="1" applyFont="1" applyFill="1" applyBorder="1" applyAlignment="1">
      <alignment horizontal="center" vertical="center" wrapText="1"/>
    </xf>
    <xf numFmtId="1" fontId="190" fillId="9" borderId="44" xfId="0" applyNumberFormat="1" applyFont="1" applyFill="1" applyBorder="1" applyAlignment="1">
      <alignment horizontal="center" vertical="center"/>
    </xf>
    <xf numFmtId="0" fontId="30" fillId="0" borderId="44" xfId="0" applyFont="1" applyFill="1" applyBorder="1" applyAlignment="1">
      <alignment horizontal="left" vertical="center" wrapText="1"/>
    </xf>
    <xf numFmtId="1" fontId="30" fillId="0" borderId="44" xfId="15" applyNumberFormat="1" applyFont="1" applyFill="1" applyBorder="1" applyAlignment="1">
      <alignment horizontal="center" vertical="center"/>
    </xf>
    <xf numFmtId="0" fontId="31" fillId="0" borderId="44" xfId="0" applyFont="1" applyFill="1" applyBorder="1" applyAlignment="1">
      <alignment horizontal="left" vertical="center" wrapText="1"/>
    </xf>
    <xf numFmtId="1" fontId="31" fillId="0" borderId="44" xfId="15" applyNumberFormat="1" applyFont="1" applyFill="1" applyBorder="1" applyAlignment="1">
      <alignment horizontal="center" vertical="center"/>
    </xf>
    <xf numFmtId="0" fontId="31" fillId="0" borderId="44" xfId="0" applyFont="1" applyFill="1" applyBorder="1" applyAlignment="1">
      <alignment horizontal="justify" vertical="center" wrapText="1"/>
    </xf>
    <xf numFmtId="0" fontId="31" fillId="0" borderId="44" xfId="0" applyFont="1" applyBorder="1" applyAlignment="1">
      <alignment horizontal="justify" vertical="center" wrapText="1"/>
    </xf>
    <xf numFmtId="0" fontId="31" fillId="0" borderId="44" xfId="0" applyFont="1" applyBorder="1" applyAlignment="1">
      <alignment vertical="center" wrapText="1"/>
    </xf>
    <xf numFmtId="0" fontId="31" fillId="0" borderId="44" xfId="0" applyFont="1" applyFill="1" applyBorder="1" applyAlignment="1">
      <alignment vertical="center" wrapText="1"/>
    </xf>
    <xf numFmtId="1" fontId="31" fillId="0" borderId="44" xfId="0" applyNumberFormat="1" applyFont="1" applyFill="1" applyBorder="1" applyAlignment="1">
      <alignment horizontal="left" vertical="center" wrapText="1"/>
    </xf>
    <xf numFmtId="1" fontId="31" fillId="0" borderId="44" xfId="0" applyNumberFormat="1" applyFont="1" applyFill="1" applyBorder="1" applyAlignment="1">
      <alignment horizontal="justify" vertical="center" wrapText="1"/>
    </xf>
    <xf numFmtId="49" fontId="31" fillId="0" borderId="45" xfId="15" applyNumberFormat="1" applyFont="1" applyFill="1" applyBorder="1" applyAlignment="1">
      <alignment horizontal="center" vertical="center" wrapText="1"/>
    </xf>
    <xf numFmtId="0" fontId="69" fillId="0" borderId="44" xfId="38" applyFont="1" applyFill="1" applyBorder="1" applyAlignment="1">
      <alignment horizontal="left" vertical="center" wrapText="1"/>
    </xf>
    <xf numFmtId="0" fontId="31" fillId="0" borderId="46" xfId="0" applyFont="1" applyFill="1" applyBorder="1" applyAlignment="1">
      <alignment vertical="center"/>
    </xf>
    <xf numFmtId="2" fontId="30" fillId="11" borderId="44" xfId="0" applyNumberFormat="1" applyFont="1" applyFill="1" applyBorder="1" applyAlignment="1" applyProtection="1">
      <alignment horizontal="center" vertical="center"/>
    </xf>
    <xf numFmtId="0" fontId="30" fillId="11" borderId="44" xfId="0" applyFont="1" applyFill="1" applyBorder="1" applyAlignment="1" applyProtection="1">
      <alignment horizontal="justify" vertical="center" wrapText="1"/>
    </xf>
    <xf numFmtId="0" fontId="30" fillId="11" borderId="44" xfId="0" applyFont="1" applyFill="1" applyBorder="1" applyAlignment="1" applyProtection="1">
      <alignment horizontal="center" vertical="center"/>
    </xf>
    <xf numFmtId="171" fontId="31" fillId="0" borderId="44" xfId="15" applyNumberFormat="1" applyFont="1" applyFill="1" applyBorder="1" applyAlignment="1">
      <alignment horizontal="justify" vertical="center" wrapText="1"/>
    </xf>
    <xf numFmtId="0" fontId="30" fillId="0" borderId="44" xfId="0" applyFont="1" applyFill="1" applyBorder="1" applyAlignment="1">
      <alignment horizontal="justify" vertical="center" wrapText="1"/>
    </xf>
    <xf numFmtId="0" fontId="67" fillId="0" borderId="44" xfId="0" applyFont="1" applyBorder="1" applyAlignment="1" applyProtection="1">
      <alignment horizontal="center" vertical="center"/>
      <protection locked="0"/>
    </xf>
    <xf numFmtId="0" fontId="30" fillId="8" borderId="44" xfId="0" applyFont="1" applyFill="1" applyBorder="1" applyAlignment="1">
      <alignment vertical="center" wrapText="1"/>
    </xf>
    <xf numFmtId="0" fontId="30" fillId="0" borderId="44" xfId="0" applyFont="1" applyBorder="1" applyAlignment="1">
      <alignment vertical="center" wrapText="1"/>
    </xf>
    <xf numFmtId="0" fontId="31" fillId="0" borderId="44" xfId="0" applyFont="1" applyBorder="1" applyAlignment="1">
      <alignment horizontal="left" vertical="center" wrapText="1"/>
    </xf>
    <xf numFmtId="0" fontId="31" fillId="0" borderId="44" xfId="0" quotePrefix="1" applyFont="1" applyBorder="1" applyAlignment="1">
      <alignment horizontal="left" vertical="center" wrapText="1"/>
    </xf>
    <xf numFmtId="0" fontId="70" fillId="0" borderId="44" xfId="0" applyFont="1" applyBorder="1" applyAlignment="1">
      <alignment horizontal="center"/>
    </xf>
    <xf numFmtId="0" fontId="67" fillId="0" borderId="44" xfId="0" applyFont="1" applyBorder="1" applyAlignment="1" applyProtection="1">
      <alignment horizontal="center"/>
      <protection locked="0"/>
    </xf>
    <xf numFmtId="0" fontId="70" fillId="0" borderId="44" xfId="0" applyFont="1" applyBorder="1"/>
    <xf numFmtId="0" fontId="31" fillId="0" borderId="44" xfId="38" applyFont="1" applyFill="1" applyBorder="1" applyAlignment="1">
      <alignment horizontal="left" vertical="center" wrapText="1"/>
    </xf>
    <xf numFmtId="3" fontId="30" fillId="0" borderId="44" xfId="19" applyNumberFormat="1" applyFont="1" applyFill="1" applyBorder="1" applyAlignment="1">
      <alignment horizontal="justify" vertical="center" wrapText="1"/>
    </xf>
    <xf numFmtId="0" fontId="31" fillId="0" borderId="44" xfId="60" applyFont="1" applyBorder="1" applyAlignment="1">
      <alignment horizontal="left" vertical="center" wrapText="1"/>
    </xf>
    <xf numFmtId="0" fontId="31" fillId="0" borderId="44" xfId="0" applyFont="1" applyBorder="1" applyAlignment="1" applyProtection="1">
      <alignment horizontal="center" vertical="center"/>
      <protection locked="0"/>
    </xf>
    <xf numFmtId="0" fontId="31" fillId="0" borderId="44" xfId="39" applyFont="1" applyBorder="1" applyAlignment="1">
      <alignment horizontal="justify" vertical="center" wrapText="1"/>
    </xf>
    <xf numFmtId="0" fontId="31" fillId="0" borderId="44" xfId="0" applyFont="1" applyBorder="1" applyAlignment="1">
      <alignment vertical="center"/>
    </xf>
    <xf numFmtId="1" fontId="31" fillId="0" borderId="44" xfId="61" applyNumberFormat="1" applyFont="1" applyBorder="1" applyAlignment="1">
      <alignment horizontal="center" vertical="center"/>
    </xf>
    <xf numFmtId="0" fontId="31" fillId="0" borderId="45" xfId="0" applyFont="1" applyBorder="1" applyAlignment="1">
      <alignment horizontal="center" vertical="center"/>
    </xf>
    <xf numFmtId="0" fontId="31" fillId="0" borderId="46" xfId="0" applyFont="1" applyBorder="1" applyAlignment="1">
      <alignment vertical="center"/>
    </xf>
    <xf numFmtId="0" fontId="70" fillId="0" borderId="44" xfId="0" applyFont="1" applyBorder="1" applyAlignment="1">
      <alignment vertical="center"/>
    </xf>
    <xf numFmtId="49" fontId="191" fillId="0" borderId="11" xfId="15" applyNumberFormat="1" applyFont="1" applyFill="1" applyBorder="1" applyAlignment="1">
      <alignment horizontal="center" vertical="center" wrapText="1"/>
    </xf>
    <xf numFmtId="1" fontId="191" fillId="0" borderId="44" xfId="0" applyNumberFormat="1" applyFont="1" applyFill="1" applyBorder="1" applyAlignment="1">
      <alignment horizontal="justify" vertical="center" wrapText="1"/>
    </xf>
    <xf numFmtId="1" fontId="191" fillId="0" borderId="44" xfId="61" applyNumberFormat="1" applyFont="1" applyBorder="1" applyAlignment="1">
      <alignment horizontal="center" vertical="center"/>
    </xf>
    <xf numFmtId="166" fontId="190" fillId="10" borderId="44" xfId="27" applyNumberFormat="1" applyFont="1" applyFill="1" applyBorder="1" applyAlignment="1" applyProtection="1">
      <alignment horizontal="center" vertical="center"/>
      <protection locked="0"/>
    </xf>
    <xf numFmtId="0" fontId="191" fillId="0" borderId="25" xfId="0" applyFont="1" applyFill="1" applyBorder="1" applyAlignment="1">
      <alignment vertical="center"/>
    </xf>
    <xf numFmtId="0" fontId="191" fillId="0" borderId="11" xfId="0" applyFont="1" applyBorder="1" applyAlignment="1">
      <alignment horizontal="center" vertical="center"/>
    </xf>
    <xf numFmtId="0" fontId="191" fillId="0" borderId="44" xfId="0" applyFont="1" applyFill="1" applyBorder="1" applyAlignment="1">
      <alignment horizontal="left" vertical="center" wrapText="1"/>
    </xf>
    <xf numFmtId="0" fontId="70" fillId="0" borderId="45" xfId="0" applyFont="1" applyBorder="1" applyAlignment="1">
      <alignment horizontal="center" vertical="center"/>
    </xf>
    <xf numFmtId="2" fontId="30" fillId="11" borderId="103" xfId="0" applyNumberFormat="1" applyFont="1" applyFill="1" applyBorder="1" applyAlignment="1" applyProtection="1">
      <alignment horizontal="center" vertical="top"/>
    </xf>
    <xf numFmtId="0" fontId="30" fillId="11" borderId="103" xfId="0" applyFont="1" applyFill="1" applyBorder="1" applyAlignment="1" applyProtection="1">
      <alignment horizontal="justify" vertical="top" wrapText="1"/>
    </xf>
    <xf numFmtId="0" fontId="30" fillId="11" borderId="103" xfId="0" applyFont="1" applyFill="1" applyBorder="1" applyAlignment="1" applyProtection="1">
      <alignment horizontal="center" vertical="center"/>
    </xf>
    <xf numFmtId="0" fontId="30" fillId="11" borderId="103" xfId="0" applyFont="1" applyFill="1" applyBorder="1" applyAlignment="1" applyProtection="1">
      <alignment horizontal="center" vertical="center" wrapText="1"/>
    </xf>
    <xf numFmtId="166" fontId="30" fillId="11" borderId="103" xfId="27" applyNumberFormat="1" applyFont="1" applyFill="1" applyBorder="1" applyAlignment="1" applyProtection="1">
      <alignment horizontal="center" vertical="center" wrapText="1"/>
      <protection locked="0"/>
    </xf>
    <xf numFmtId="0" fontId="42" fillId="4" borderId="44" xfId="0" applyFont="1" applyFill="1" applyBorder="1" applyAlignment="1"/>
    <xf numFmtId="0" fontId="30" fillId="9" borderId="103" xfId="27" applyNumberFormat="1" applyFont="1" applyFill="1" applyBorder="1" applyAlignment="1" applyProtection="1">
      <alignment horizontal="center" vertical="center" wrapText="1"/>
    </xf>
    <xf numFmtId="1" fontId="73" fillId="9" borderId="44" xfId="0" applyNumberFormat="1" applyFont="1" applyFill="1" applyBorder="1" applyAlignment="1">
      <alignment horizontal="center" vertical="center" wrapText="1"/>
    </xf>
    <xf numFmtId="1" fontId="73" fillId="9" borderId="103" xfId="0" applyNumberFormat="1" applyFont="1" applyFill="1" applyBorder="1" applyAlignment="1">
      <alignment horizontal="center" vertical="center" wrapText="1"/>
    </xf>
    <xf numFmtId="0" fontId="181" fillId="0" borderId="0" xfId="0" applyFont="1"/>
    <xf numFmtId="164" fontId="181" fillId="0" borderId="0" xfId="18" applyNumberFormat="1" applyFont="1" applyAlignment="1" applyProtection="1">
      <alignment vertical="center"/>
      <protection locked="0"/>
    </xf>
    <xf numFmtId="0" fontId="180" fillId="0" borderId="0" xfId="0" applyFont="1" applyAlignment="1" applyProtection="1">
      <alignment horizontal="left" vertical="center"/>
      <protection locked="0"/>
    </xf>
    <xf numFmtId="0" fontId="192" fillId="8" borderId="0" xfId="966" applyFont="1" applyFill="1" applyAlignment="1" applyProtection="1">
      <alignment vertical="center" wrapText="1"/>
      <protection locked="0"/>
    </xf>
    <xf numFmtId="9" fontId="180" fillId="0" borderId="0" xfId="0" applyNumberFormat="1" applyFont="1" applyAlignment="1" applyProtection="1">
      <alignment horizontal="left" vertical="center"/>
      <protection locked="0"/>
    </xf>
    <xf numFmtId="165" fontId="181" fillId="0" borderId="0" xfId="12" applyFont="1" applyFill="1" applyBorder="1" applyAlignment="1" applyProtection="1">
      <alignment vertical="center"/>
      <protection locked="0"/>
    </xf>
    <xf numFmtId="165" fontId="181" fillId="0" borderId="0" xfId="12" applyFont="1" applyFill="1" applyBorder="1" applyAlignment="1" applyProtection="1">
      <alignment vertical="center" wrapText="1"/>
      <protection locked="0"/>
    </xf>
    <xf numFmtId="166" fontId="181" fillId="0" borderId="0" xfId="7" applyNumberFormat="1" applyFont="1" applyFill="1" applyBorder="1" applyAlignment="1">
      <alignment horizontal="center" wrapText="1"/>
    </xf>
    <xf numFmtId="165" fontId="181" fillId="0" borderId="0" xfId="12" applyFont="1" applyFill="1" applyBorder="1" applyAlignment="1" applyProtection="1">
      <alignment horizontal="right" vertical="center"/>
      <protection locked="0"/>
    </xf>
    <xf numFmtId="0" fontId="192" fillId="61" borderId="3" xfId="966" applyFont="1" applyFill="1" applyBorder="1" applyAlignment="1" applyProtection="1">
      <alignment horizontal="center" vertical="center"/>
      <protection locked="0"/>
    </xf>
    <xf numFmtId="0" fontId="192" fillId="61" borderId="4" xfId="966" applyFont="1" applyFill="1" applyBorder="1" applyAlignment="1" applyProtection="1">
      <alignment horizontal="center" vertical="center" wrapText="1"/>
      <protection locked="0"/>
    </xf>
    <xf numFmtId="0" fontId="192" fillId="61" borderId="4" xfId="966" applyFont="1" applyFill="1" applyBorder="1" applyAlignment="1" applyProtection="1">
      <alignment horizontal="center" vertical="center"/>
      <protection locked="0"/>
    </xf>
    <xf numFmtId="166" fontId="192" fillId="61" borderId="4" xfId="35" applyNumberFormat="1" applyFont="1" applyFill="1" applyBorder="1" applyAlignment="1" applyProtection="1">
      <alignment horizontal="center" vertical="center" wrapText="1"/>
      <protection locked="0"/>
    </xf>
    <xf numFmtId="0" fontId="192" fillId="61" borderId="6" xfId="966" applyFont="1" applyFill="1" applyBorder="1" applyAlignment="1" applyProtection="1">
      <alignment horizontal="center" vertical="center" wrapText="1"/>
      <protection locked="0"/>
    </xf>
    <xf numFmtId="0" fontId="181" fillId="0" borderId="44" xfId="0" applyFont="1" applyBorder="1" applyAlignment="1">
      <alignment horizontal="center"/>
    </xf>
    <xf numFmtId="0" fontId="181" fillId="0" borderId="44" xfId="0" applyFont="1" applyBorder="1" applyAlignment="1">
      <alignment horizontal="justify" vertical="top"/>
    </xf>
    <xf numFmtId="0" fontId="181" fillId="0" borderId="44" xfId="0" applyFont="1" applyBorder="1" applyAlignment="1">
      <alignment horizontal="center" vertical="center"/>
    </xf>
    <xf numFmtId="0" fontId="181" fillId="8" borderId="44" xfId="0" applyFont="1" applyFill="1" applyBorder="1" applyAlignment="1">
      <alignment horizontal="center" vertical="center" wrapText="1"/>
    </xf>
    <xf numFmtId="166" fontId="181" fillId="8" borderId="44" xfId="7" applyNumberFormat="1" applyFont="1" applyFill="1" applyBorder="1" applyAlignment="1" applyProtection="1">
      <alignment horizontal="center" vertical="center"/>
      <protection locked="0"/>
    </xf>
    <xf numFmtId="0" fontId="181" fillId="0" borderId="44" xfId="0" applyFont="1" applyBorder="1" applyAlignment="1">
      <alignment horizontal="center" vertical="top"/>
    </xf>
    <xf numFmtId="0" fontId="180" fillId="0" borderId="44" xfId="0" applyFont="1" applyBorder="1" applyAlignment="1">
      <alignment horizontal="justify" vertical="top"/>
    </xf>
    <xf numFmtId="2" fontId="181" fillId="0" borderId="44" xfId="0" applyNumberFormat="1" applyFont="1" applyBorder="1" applyAlignment="1">
      <alignment horizontal="justify" vertical="top" wrapText="1"/>
    </xf>
    <xf numFmtId="2" fontId="180" fillId="0" borderId="44" xfId="0" applyNumberFormat="1" applyFont="1" applyBorder="1" applyAlignment="1">
      <alignment horizontal="justify" vertical="top" wrapText="1"/>
    </xf>
    <xf numFmtId="0" fontId="181" fillId="0" borderId="44" xfId="19" applyFont="1" applyBorder="1" applyAlignment="1">
      <alignment horizontal="center" vertical="top"/>
    </xf>
    <xf numFmtId="0" fontId="181" fillId="2" borderId="69" xfId="0" applyFont="1" applyFill="1" applyBorder="1" applyAlignment="1">
      <alignment horizontal="justify" vertical="top" wrapText="1"/>
    </xf>
    <xf numFmtId="164" fontId="192" fillId="62" borderId="68" xfId="0" applyNumberFormat="1" applyFont="1" applyFill="1" applyBorder="1" applyAlignment="1">
      <alignment horizontal="center" vertical="top" wrapText="1"/>
    </xf>
    <xf numFmtId="0" fontId="192" fillId="62" borderId="7" xfId="0" applyFont="1" applyFill="1" applyBorder="1" applyAlignment="1">
      <alignment horizontal="justify" vertical="top" wrapText="1"/>
    </xf>
    <xf numFmtId="2" fontId="181" fillId="0" borderId="44" xfId="0" applyNumberFormat="1" applyFont="1" applyBorder="1" applyAlignment="1">
      <alignment horizontal="center" vertical="top"/>
    </xf>
    <xf numFmtId="164" fontId="181" fillId="0" borderId="44" xfId="0" applyNumberFormat="1" applyFont="1" applyBorder="1" applyAlignment="1">
      <alignment horizontal="center" vertical="top"/>
    </xf>
    <xf numFmtId="166" fontId="181" fillId="8" borderId="44" xfId="7" applyNumberFormat="1" applyFont="1" applyFill="1" applyBorder="1" applyAlignment="1" applyProtection="1">
      <alignment horizontal="right" vertical="center"/>
      <protection locked="0"/>
    </xf>
    <xf numFmtId="2" fontId="180" fillId="0" borderId="44" xfId="0" applyNumberFormat="1" applyFont="1" applyBorder="1" applyAlignment="1">
      <alignment horizontal="center" vertical="top"/>
    </xf>
    <xf numFmtId="2" fontId="181" fillId="0" borderId="8" xfId="0" applyNumberFormat="1" applyFont="1" applyBorder="1" applyAlignment="1">
      <alignment horizontal="center" vertical="top"/>
    </xf>
    <xf numFmtId="0" fontId="180" fillId="0" borderId="7" xfId="0" applyFont="1" applyBorder="1" applyAlignment="1">
      <alignment horizontal="justify" vertical="top"/>
    </xf>
    <xf numFmtId="0" fontId="181" fillId="8" borderId="44" xfId="0" applyFont="1" applyFill="1" applyBorder="1" applyAlignment="1">
      <alignment horizontal="center" vertical="center"/>
    </xf>
    <xf numFmtId="164" fontId="181" fillId="8" borderId="44" xfId="0" applyNumberFormat="1" applyFont="1" applyFill="1" applyBorder="1" applyAlignment="1">
      <alignment horizontal="center" vertical="top"/>
    </xf>
    <xf numFmtId="0" fontId="180" fillId="8" borderId="44" xfId="0" applyFont="1" applyFill="1" applyBorder="1" applyAlignment="1">
      <alignment horizontal="justify" vertical="top"/>
    </xf>
    <xf numFmtId="2" fontId="181" fillId="63" borderId="44" xfId="0" applyNumberFormat="1" applyFont="1" applyFill="1" applyBorder="1" applyAlignment="1">
      <alignment horizontal="center" vertical="top"/>
    </xf>
    <xf numFmtId="0" fontId="181" fillId="63" borderId="44" xfId="0" applyFont="1" applyFill="1" applyBorder="1" applyAlignment="1">
      <alignment horizontal="justify" vertical="top" wrapText="1"/>
    </xf>
    <xf numFmtId="0" fontId="181" fillId="63" borderId="44" xfId="0" applyFont="1" applyFill="1" applyBorder="1" applyAlignment="1">
      <alignment horizontal="center" vertical="center"/>
    </xf>
    <xf numFmtId="0" fontId="181" fillId="63" borderId="44" xfId="0" applyFont="1" applyFill="1" applyBorder="1" applyAlignment="1">
      <alignment horizontal="center" vertical="center" wrapText="1"/>
    </xf>
    <xf numFmtId="166" fontId="181" fillId="63" borderId="44" xfId="7" applyNumberFormat="1" applyFont="1" applyFill="1" applyBorder="1" applyAlignment="1" applyProtection="1">
      <alignment horizontal="center" vertical="center" wrapText="1"/>
      <protection locked="0"/>
    </xf>
    <xf numFmtId="2" fontId="181" fillId="8" borderId="44" xfId="0" applyNumberFormat="1" applyFont="1" applyFill="1" applyBorder="1" applyAlignment="1">
      <alignment horizontal="center" vertical="top"/>
    </xf>
    <xf numFmtId="0" fontId="181" fillId="8" borderId="44" xfId="0" applyFont="1" applyFill="1" applyBorder="1" applyAlignment="1">
      <alignment horizontal="justify" vertical="top" wrapText="1"/>
    </xf>
    <xf numFmtId="166" fontId="181" fillId="8" borderId="44" xfId="7" applyNumberFormat="1" applyFont="1" applyFill="1" applyBorder="1" applyAlignment="1" applyProtection="1">
      <alignment horizontal="center" vertical="center" wrapText="1"/>
      <protection locked="0"/>
    </xf>
    <xf numFmtId="0" fontId="181" fillId="8" borderId="69" xfId="0" applyFont="1" applyFill="1" applyBorder="1" applyAlignment="1">
      <alignment horizontal="center" vertical="center"/>
    </xf>
    <xf numFmtId="166" fontId="180" fillId="8" borderId="69" xfId="0" applyNumberFormat="1" applyFont="1" applyFill="1" applyBorder="1" applyAlignment="1" applyProtection="1">
      <alignment horizontal="right" vertical="center"/>
      <protection locked="0"/>
    </xf>
    <xf numFmtId="166" fontId="180" fillId="8" borderId="69" xfId="27" applyNumberFormat="1" applyFont="1" applyFill="1" applyBorder="1" applyAlignment="1" applyProtection="1">
      <alignment horizontal="right" vertical="center"/>
      <protection locked="0"/>
    </xf>
    <xf numFmtId="0" fontId="181" fillId="8" borderId="69" xfId="0" applyFont="1" applyFill="1" applyBorder="1" applyAlignment="1">
      <alignment horizontal="center" vertical="center" wrapText="1"/>
    </xf>
    <xf numFmtId="164" fontId="181" fillId="8" borderId="68" xfId="0" applyNumberFormat="1" applyFont="1" applyFill="1" applyBorder="1" applyAlignment="1">
      <alignment horizontal="center" vertical="top"/>
    </xf>
    <xf numFmtId="171" fontId="180" fillId="8" borderId="69" xfId="0" applyNumberFormat="1" applyFont="1" applyFill="1" applyBorder="1" applyAlignment="1">
      <alignment horizontal="justify" vertical="top" wrapText="1"/>
    </xf>
    <xf numFmtId="171" fontId="181" fillId="8" borderId="69" xfId="0" applyNumberFormat="1" applyFont="1" applyFill="1" applyBorder="1" applyAlignment="1">
      <alignment horizontal="justify" vertical="top" wrapText="1"/>
    </xf>
    <xf numFmtId="164" fontId="181" fillId="8" borderId="8" xfId="0" applyNumberFormat="1" applyFont="1" applyFill="1" applyBorder="1" applyAlignment="1">
      <alignment horizontal="center" vertical="top"/>
    </xf>
    <xf numFmtId="171" fontId="181" fillId="8" borderId="7" xfId="0" applyNumberFormat="1" applyFont="1" applyFill="1" applyBorder="1" applyAlignment="1">
      <alignment horizontal="justify" vertical="top" wrapText="1"/>
    </xf>
    <xf numFmtId="0" fontId="180" fillId="0" borderId="44" xfId="37270" applyFont="1" applyBorder="1" applyAlignment="1">
      <alignment horizontal="justify" vertical="top" wrapText="1"/>
    </xf>
    <xf numFmtId="0" fontId="180" fillId="8" borderId="44" xfId="37270" applyFont="1" applyFill="1" applyBorder="1" applyAlignment="1">
      <alignment horizontal="justify" vertical="top"/>
    </xf>
    <xf numFmtId="171" fontId="181" fillId="8" borderId="69" xfId="0" applyNumberFormat="1" applyFont="1" applyFill="1" applyBorder="1" applyAlignment="1">
      <alignment horizontal="justify" vertical="top"/>
    </xf>
    <xf numFmtId="0" fontId="180" fillId="0" borderId="69" xfId="37270" applyFont="1" applyBorder="1" applyAlignment="1">
      <alignment horizontal="justify" vertical="top"/>
    </xf>
    <xf numFmtId="0" fontId="180" fillId="8" borderId="69" xfId="37270" applyFont="1" applyFill="1" applyBorder="1" applyAlignment="1">
      <alignment horizontal="justify" vertical="top"/>
    </xf>
    <xf numFmtId="0" fontId="181" fillId="8" borderId="44" xfId="37270" applyFont="1" applyFill="1" applyBorder="1" applyAlignment="1">
      <alignment horizontal="justify" vertical="top"/>
    </xf>
    <xf numFmtId="1" fontId="181" fillId="8" borderId="44" xfId="0" applyNumberFormat="1" applyFont="1" applyFill="1" applyBorder="1" applyAlignment="1">
      <alignment horizontal="center" vertical="top"/>
    </xf>
    <xf numFmtId="0" fontId="181" fillId="8" borderId="44" xfId="0" applyFont="1" applyFill="1" applyBorder="1" applyAlignment="1">
      <alignment horizontal="justify" vertical="top"/>
    </xf>
    <xf numFmtId="0" fontId="192" fillId="8" borderId="44" xfId="0" applyFont="1" applyFill="1" applyBorder="1" applyAlignment="1">
      <alignment horizontal="justify" vertical="top"/>
    </xf>
    <xf numFmtId="0" fontId="183" fillId="8" borderId="44" xfId="37270" applyFont="1" applyFill="1" applyBorder="1" applyAlignment="1">
      <alignment horizontal="justify" vertical="top"/>
    </xf>
    <xf numFmtId="1" fontId="181" fillId="8" borderId="8" xfId="0" applyNumberFormat="1" applyFont="1" applyFill="1" applyBorder="1" applyAlignment="1">
      <alignment horizontal="center" vertical="top"/>
    </xf>
    <xf numFmtId="0" fontId="183" fillId="8" borderId="7" xfId="37270" applyFont="1" applyFill="1" applyBorder="1" applyAlignment="1">
      <alignment horizontal="justify" vertical="top"/>
    </xf>
    <xf numFmtId="164" fontId="181" fillId="8" borderId="44" xfId="0" applyNumberFormat="1" applyFont="1" applyFill="1" applyBorder="1" applyAlignment="1" applyProtection="1">
      <alignment horizontal="center" vertical="top"/>
      <protection locked="0"/>
    </xf>
    <xf numFmtId="2" fontId="193" fillId="8" borderId="44" xfId="0" applyNumberFormat="1" applyFont="1" applyFill="1" applyBorder="1" applyAlignment="1">
      <alignment horizontal="justify" vertical="top" wrapText="1"/>
    </xf>
    <xf numFmtId="2" fontId="181" fillId="0" borderId="44" xfId="0" applyNumberFormat="1" applyFont="1" applyBorder="1" applyAlignment="1" applyProtection="1">
      <alignment horizontal="center" vertical="top"/>
      <protection locked="0"/>
    </xf>
    <xf numFmtId="2" fontId="193" fillId="0" borderId="44" xfId="0" applyNumberFormat="1" applyFont="1" applyBorder="1" applyAlignment="1">
      <alignment horizontal="justify" vertical="top" wrapText="1"/>
    </xf>
    <xf numFmtId="0" fontId="180" fillId="0" borderId="44" xfId="0" applyFont="1" applyBorder="1" applyAlignment="1">
      <alignment horizontal="justify" vertical="top" wrapText="1"/>
    </xf>
    <xf numFmtId="164" fontId="192" fillId="62" borderId="44" xfId="0" applyNumberFormat="1" applyFont="1" applyFill="1" applyBorder="1" applyAlignment="1">
      <alignment horizontal="center" vertical="top" wrapText="1"/>
    </xf>
    <xf numFmtId="0" fontId="192" fillId="62" borderId="44" xfId="0" applyFont="1" applyFill="1" applyBorder="1" applyAlignment="1">
      <alignment horizontal="justify" vertical="top" wrapText="1"/>
    </xf>
    <xf numFmtId="2" fontId="181" fillId="8" borderId="44" xfId="0" applyNumberFormat="1" applyFont="1" applyFill="1" applyBorder="1" applyAlignment="1" applyProtection="1">
      <alignment horizontal="center" vertical="top"/>
      <protection locked="0"/>
    </xf>
    <xf numFmtId="164" fontId="181" fillId="8" borderId="8" xfId="0" applyNumberFormat="1" applyFont="1" applyFill="1" applyBorder="1" applyAlignment="1" applyProtection="1">
      <alignment horizontal="center" vertical="top"/>
      <protection locked="0"/>
    </xf>
    <xf numFmtId="0" fontId="181" fillId="63" borderId="44" xfId="19" applyFont="1" applyFill="1" applyBorder="1" applyAlignment="1">
      <alignment horizontal="center" vertical="top"/>
    </xf>
    <xf numFmtId="0" fontId="181" fillId="63" borderId="44" xfId="37270" applyFont="1" applyFill="1" applyBorder="1" applyAlignment="1">
      <alignment horizontal="justify" vertical="top"/>
    </xf>
    <xf numFmtId="166" fontId="181" fillId="63" borderId="44" xfId="7" applyNumberFormat="1" applyFont="1" applyFill="1" applyBorder="1" applyAlignment="1" applyProtection="1">
      <alignment horizontal="center" vertical="center"/>
      <protection locked="0"/>
    </xf>
    <xf numFmtId="0" fontId="181" fillId="8" borderId="44" xfId="19" applyFont="1" applyFill="1" applyBorder="1" applyAlignment="1">
      <alignment horizontal="center" vertical="top"/>
    </xf>
    <xf numFmtId="0" fontId="181" fillId="0" borderId="44" xfId="0" applyFont="1" applyBorder="1" applyAlignment="1">
      <alignment horizontal="justify" vertical="top" wrapText="1"/>
    </xf>
    <xf numFmtId="3" fontId="181" fillId="8" borderId="44" xfId="0" applyNumberFormat="1" applyFont="1" applyFill="1" applyBorder="1" applyAlignment="1">
      <alignment horizontal="justify" vertical="top" wrapText="1"/>
    </xf>
    <xf numFmtId="3" fontId="180" fillId="8" borderId="44" xfId="0" applyNumberFormat="1" applyFont="1" applyFill="1" applyBorder="1" applyAlignment="1">
      <alignment horizontal="justify" vertical="top" wrapText="1"/>
    </xf>
    <xf numFmtId="0" fontId="181" fillId="8" borderId="44" xfId="0" applyFont="1" applyFill="1" applyBorder="1" applyAlignment="1">
      <alignment horizontal="left" vertical="center" wrapText="1"/>
    </xf>
    <xf numFmtId="0" fontId="180" fillId="0" borderId="44" xfId="0" applyFont="1" applyBorder="1" applyAlignment="1">
      <alignment horizontal="center" vertical="center"/>
    </xf>
    <xf numFmtId="166" fontId="181" fillId="8" borderId="44" xfId="27" applyNumberFormat="1" applyFont="1" applyFill="1" applyBorder="1" applyAlignment="1" applyProtection="1">
      <alignment horizontal="center" vertical="center"/>
      <protection locked="0"/>
    </xf>
    <xf numFmtId="166" fontId="181" fillId="8" borderId="69" xfId="27" applyNumberFormat="1" applyFont="1" applyFill="1" applyBorder="1" applyAlignment="1" applyProtection="1">
      <alignment horizontal="center" vertical="center"/>
      <protection locked="0"/>
    </xf>
    <xf numFmtId="166" fontId="181" fillId="8" borderId="44" xfId="27" applyNumberFormat="1" applyFont="1" applyFill="1" applyBorder="1" applyAlignment="1" applyProtection="1">
      <alignment horizontal="right" vertical="center"/>
      <protection locked="0"/>
    </xf>
    <xf numFmtId="0" fontId="180" fillId="0" borderId="44" xfId="0" applyFont="1" applyBorder="1" applyAlignment="1">
      <alignment horizontal="left" vertical="top" wrapText="1"/>
    </xf>
    <xf numFmtId="0" fontId="180" fillId="0" borderId="44" xfId="0" applyFont="1" applyBorder="1" applyAlignment="1">
      <alignment horizontal="left" vertical="center" wrapText="1"/>
    </xf>
    <xf numFmtId="164" fontId="181" fillId="0" borderId="44" xfId="0" applyNumberFormat="1" applyFont="1" applyBorder="1" applyAlignment="1">
      <alignment horizontal="justify" vertical="top"/>
    </xf>
    <xf numFmtId="2" fontId="181" fillId="8" borderId="44" xfId="0" applyNumberFormat="1" applyFont="1" applyFill="1" applyBorder="1" applyAlignment="1">
      <alignment horizontal="center" vertical="center"/>
    </xf>
    <xf numFmtId="1" fontId="181" fillId="8" borderId="44" xfId="0" applyNumberFormat="1" applyFont="1" applyFill="1" applyBorder="1" applyAlignment="1">
      <alignment horizontal="center" vertical="center" wrapText="1"/>
    </xf>
    <xf numFmtId="164" fontId="181" fillId="0" borderId="44" xfId="19" applyNumberFormat="1" applyFont="1" applyBorder="1" applyAlignment="1">
      <alignment horizontal="center" vertical="top"/>
    </xf>
    <xf numFmtId="0" fontId="181" fillId="0" borderId="44" xfId="37" applyFont="1" applyBorder="1" applyAlignment="1">
      <alignment horizontal="justify" vertical="top"/>
    </xf>
    <xf numFmtId="0" fontId="181" fillId="8" borderId="44" xfId="37" applyFont="1" applyFill="1" applyBorder="1" applyAlignment="1">
      <alignment horizontal="justify" vertical="top"/>
    </xf>
    <xf numFmtId="2" fontId="180" fillId="8" borderId="44" xfId="0" applyNumberFormat="1" applyFont="1" applyFill="1" applyBorder="1" applyAlignment="1">
      <alignment horizontal="center" vertical="top"/>
    </xf>
    <xf numFmtId="164" fontId="181" fillId="8" borderId="44" xfId="19" applyNumberFormat="1" applyFont="1" applyFill="1" applyBorder="1" applyAlignment="1">
      <alignment horizontal="center" vertical="top"/>
    </xf>
    <xf numFmtId="0" fontId="181" fillId="8" borderId="44" xfId="19" applyFont="1" applyFill="1" applyBorder="1" applyAlignment="1">
      <alignment horizontal="center" vertical="center"/>
    </xf>
    <xf numFmtId="0" fontId="181" fillId="8" borderId="44" xfId="37" applyFont="1" applyFill="1" applyBorder="1" applyAlignment="1">
      <alignment horizontal="justify" vertical="center"/>
    </xf>
    <xf numFmtId="0" fontId="180" fillId="8" borderId="44" xfId="0" applyFont="1" applyFill="1" applyBorder="1" applyAlignment="1">
      <alignment horizontal="center" vertical="center"/>
    </xf>
    <xf numFmtId="0" fontId="180" fillId="0" borderId="44" xfId="0" applyFont="1" applyBorder="1" applyProtection="1">
      <protection locked="0"/>
    </xf>
    <xf numFmtId="0" fontId="183" fillId="8" borderId="44" xfId="0" applyFont="1" applyFill="1" applyBorder="1" applyAlignment="1">
      <alignment horizontal="center" vertical="center"/>
    </xf>
    <xf numFmtId="0" fontId="183" fillId="8" borderId="44" xfId="0" applyFont="1" applyFill="1" applyBorder="1" applyAlignment="1">
      <alignment vertical="top" wrapText="1"/>
    </xf>
    <xf numFmtId="0" fontId="183" fillId="0" borderId="44" xfId="0" applyFont="1" applyBorder="1" applyAlignment="1">
      <alignment horizontal="center" vertical="center"/>
    </xf>
    <xf numFmtId="0" fontId="183" fillId="0" borderId="44" xfId="0" applyFont="1" applyBorder="1" applyAlignment="1">
      <alignment vertical="top" wrapText="1"/>
    </xf>
    <xf numFmtId="166" fontId="180" fillId="8" borderId="44" xfId="7" applyNumberFormat="1" applyFont="1" applyFill="1" applyBorder="1" applyAlignment="1" applyProtection="1">
      <alignment horizontal="center" vertical="center"/>
      <protection locked="0"/>
    </xf>
    <xf numFmtId="0" fontId="180" fillId="8" borderId="44" xfId="0" applyFont="1" applyFill="1" applyBorder="1" applyProtection="1">
      <protection locked="0"/>
    </xf>
    <xf numFmtId="166" fontId="180" fillId="8" borderId="44" xfId="7" applyNumberFormat="1" applyFont="1" applyFill="1" applyBorder="1" applyAlignment="1" applyProtection="1">
      <alignment horizontal="right" vertical="center"/>
      <protection locked="0"/>
    </xf>
    <xf numFmtId="1" fontId="181" fillId="0" borderId="44" xfId="0" applyNumberFormat="1" applyFont="1" applyBorder="1" applyAlignment="1">
      <alignment horizontal="center" vertical="top"/>
    </xf>
    <xf numFmtId="0" fontId="180" fillId="0" borderId="44" xfId="37270" applyFont="1" applyBorder="1" applyAlignment="1">
      <alignment horizontal="justify" vertical="top"/>
    </xf>
    <xf numFmtId="166" fontId="181" fillId="8" borderId="44" xfId="0" applyNumberFormat="1" applyFont="1" applyFill="1" applyBorder="1" applyAlignment="1" applyProtection="1">
      <alignment horizontal="right" vertical="center"/>
      <protection locked="0"/>
    </xf>
    <xf numFmtId="0" fontId="181" fillId="0" borderId="44" xfId="37" applyFont="1" applyBorder="1" applyAlignment="1">
      <alignment horizontal="justify" vertical="top" wrapText="1"/>
    </xf>
    <xf numFmtId="0" fontId="181" fillId="0" borderId="44" xfId="37270" applyFont="1" applyBorder="1" applyAlignment="1">
      <alignment horizontal="justify" vertical="top"/>
    </xf>
    <xf numFmtId="171" fontId="181" fillId="8" borderId="44" xfId="0" applyNumberFormat="1" applyFont="1" applyFill="1" applyBorder="1" applyAlignment="1">
      <alignment horizontal="justify" vertical="top" wrapText="1"/>
    </xf>
    <xf numFmtId="166" fontId="180" fillId="8" borderId="44" xfId="7" quotePrefix="1" applyNumberFormat="1" applyFont="1" applyFill="1" applyBorder="1" applyAlignment="1" applyProtection="1">
      <alignment horizontal="center" vertical="center"/>
      <protection locked="0"/>
    </xf>
    <xf numFmtId="2" fontId="181" fillId="8" borderId="44" xfId="19" applyNumberFormat="1" applyFont="1" applyFill="1" applyBorder="1" applyAlignment="1">
      <alignment horizontal="center" vertical="top"/>
    </xf>
    <xf numFmtId="0" fontId="181" fillId="0" borderId="44" xfId="37270" applyFont="1" applyBorder="1" applyAlignment="1">
      <alignment horizontal="justify" vertical="top" wrapText="1"/>
    </xf>
    <xf numFmtId="2" fontId="181" fillId="0" borderId="44" xfId="19" applyNumberFormat="1" applyFont="1" applyBorder="1" applyAlignment="1">
      <alignment horizontal="center" vertical="top"/>
    </xf>
    <xf numFmtId="2" fontId="181" fillId="8" borderId="8" xfId="19" applyNumberFormat="1" applyFont="1" applyFill="1" applyBorder="1" applyAlignment="1">
      <alignment horizontal="center" vertical="top"/>
    </xf>
    <xf numFmtId="0" fontId="181" fillId="8" borderId="7" xfId="0" applyFont="1" applyFill="1" applyBorder="1" applyAlignment="1">
      <alignment horizontal="justify" vertical="top"/>
    </xf>
    <xf numFmtId="0" fontId="181" fillId="8" borderId="7" xfId="0" applyFont="1" applyFill="1" applyBorder="1" applyAlignment="1">
      <alignment horizontal="center" vertical="center"/>
    </xf>
    <xf numFmtId="0" fontId="181" fillId="8" borderId="7" xfId="0" applyFont="1" applyFill="1" applyBorder="1" applyAlignment="1">
      <alignment horizontal="center" vertical="center" wrapText="1"/>
    </xf>
    <xf numFmtId="166" fontId="181" fillId="8" borderId="7" xfId="7" applyNumberFormat="1" applyFont="1" applyFill="1" applyBorder="1" applyAlignment="1" applyProtection="1">
      <alignment horizontal="right" vertical="center"/>
      <protection locked="0"/>
    </xf>
    <xf numFmtId="166" fontId="181" fillId="8" borderId="7" xfId="7" applyNumberFormat="1" applyFont="1" applyFill="1" applyBorder="1" applyAlignment="1" applyProtection="1">
      <alignment horizontal="center" vertical="center"/>
      <protection locked="0"/>
    </xf>
    <xf numFmtId="0" fontId="180" fillId="8" borderId="7" xfId="0" applyFont="1" applyFill="1" applyBorder="1" applyProtection="1">
      <protection locked="0"/>
    </xf>
    <xf numFmtId="2" fontId="181" fillId="8" borderId="68" xfId="0" applyNumberFormat="1" applyFont="1" applyFill="1" applyBorder="1" applyAlignment="1">
      <alignment horizontal="center" vertical="top"/>
    </xf>
    <xf numFmtId="0" fontId="181" fillId="0" borderId="69" xfId="0" applyFont="1" applyBorder="1" applyAlignment="1">
      <alignment horizontal="justify" vertical="top"/>
    </xf>
    <xf numFmtId="0" fontId="180" fillId="0" borderId="69" xfId="0" applyFont="1" applyBorder="1" applyAlignment="1">
      <alignment horizontal="center" vertical="center"/>
    </xf>
    <xf numFmtId="2" fontId="181" fillId="8" borderId="68" xfId="19" applyNumberFormat="1" applyFont="1" applyFill="1" applyBorder="1" applyAlignment="1">
      <alignment horizontal="center" vertical="top"/>
    </xf>
    <xf numFmtId="0" fontId="180" fillId="0" borderId="44" xfId="0" applyFont="1" applyBorder="1" applyAlignment="1">
      <alignment horizontal="left" vertical="top"/>
    </xf>
    <xf numFmtId="0" fontId="180" fillId="8" borderId="44" xfId="0" applyFont="1" applyFill="1" applyBorder="1" applyAlignment="1">
      <alignment horizontal="justify" vertical="top" wrapText="1"/>
    </xf>
    <xf numFmtId="0" fontId="180" fillId="8" borderId="44" xfId="88" applyFont="1" applyFill="1" applyBorder="1" applyAlignment="1">
      <alignment horizontal="left" vertical="center" wrapText="1"/>
    </xf>
    <xf numFmtId="2" fontId="181" fillId="8" borderId="44" xfId="19" applyNumberFormat="1" applyFont="1" applyFill="1" applyBorder="1" applyAlignment="1">
      <alignment horizontal="center" vertical="center"/>
    </xf>
    <xf numFmtId="164" fontId="181" fillId="8" borderId="68" xfId="19" applyNumberFormat="1" applyFont="1" applyFill="1" applyBorder="1" applyAlignment="1">
      <alignment horizontal="center" vertical="top"/>
    </xf>
    <xf numFmtId="0" fontId="181" fillId="0" borderId="69" xfId="37270" applyFont="1" applyBorder="1" applyAlignment="1">
      <alignment horizontal="justify" vertical="top"/>
    </xf>
    <xf numFmtId="1" fontId="181" fillId="8" borderId="68" xfId="0" applyNumberFormat="1" applyFont="1" applyFill="1" applyBorder="1" applyAlignment="1">
      <alignment horizontal="center" vertical="top"/>
    </xf>
    <xf numFmtId="0" fontId="181" fillId="0" borderId="68" xfId="19" applyFont="1" applyBorder="1" applyAlignment="1">
      <alignment horizontal="center" vertical="top"/>
    </xf>
    <xf numFmtId="0" fontId="180" fillId="0" borderId="7" xfId="37270" applyFont="1" applyBorder="1" applyAlignment="1">
      <alignment horizontal="justify" vertical="top"/>
    </xf>
    <xf numFmtId="0" fontId="194" fillId="8" borderId="44" xfId="0" applyFont="1" applyFill="1" applyBorder="1" applyAlignment="1">
      <alignment horizontal="justify" vertical="top"/>
    </xf>
    <xf numFmtId="0" fontId="181" fillId="8" borderId="69" xfId="0" applyFont="1" applyFill="1" applyBorder="1" applyAlignment="1">
      <alignment horizontal="justify" vertical="top" wrapText="1"/>
    </xf>
    <xf numFmtId="0" fontId="180" fillId="8" borderId="69" xfId="0" applyFont="1" applyFill="1" applyBorder="1" applyAlignment="1">
      <alignment horizontal="justify" vertical="top"/>
    </xf>
    <xf numFmtId="0" fontId="180" fillId="0" borderId="8" xfId="0" applyFont="1" applyBorder="1" applyAlignment="1">
      <alignment horizontal="center" vertical="center" wrapText="1"/>
    </xf>
    <xf numFmtId="0" fontId="181" fillId="0" borderId="7" xfId="37270" applyFont="1" applyBorder="1" applyAlignment="1">
      <alignment horizontal="justify" vertical="top"/>
    </xf>
    <xf numFmtId="1" fontId="181" fillId="8" borderId="44" xfId="0" applyNumberFormat="1" applyFont="1" applyFill="1" applyBorder="1" applyAlignment="1">
      <alignment horizontal="center" vertical="center"/>
    </xf>
    <xf numFmtId="164" fontId="180" fillId="0" borderId="44" xfId="680" applyNumberFormat="1" applyFont="1" applyBorder="1" applyAlignment="1">
      <alignment horizontal="center" vertical="top"/>
    </xf>
    <xf numFmtId="0" fontId="181" fillId="0" borderId="44" xfId="680" applyFont="1" applyBorder="1" applyAlignment="1">
      <alignment horizontal="left" vertical="top" wrapText="1"/>
    </xf>
    <xf numFmtId="0" fontId="180" fillId="0" borderId="44" xfId="680" applyFont="1" applyBorder="1" applyAlignment="1">
      <alignment horizontal="left" vertical="top" wrapText="1"/>
    </xf>
    <xf numFmtId="165" fontId="181" fillId="8" borderId="44" xfId="35" applyFont="1" applyFill="1" applyBorder="1" applyAlignment="1" applyProtection="1">
      <alignment horizontal="center" vertical="center"/>
      <protection locked="0"/>
    </xf>
    <xf numFmtId="0" fontId="181" fillId="8" borderId="44" xfId="0" applyFont="1" applyFill="1" applyBorder="1" applyAlignment="1" applyProtection="1">
      <alignment horizontal="center" vertical="center"/>
      <protection locked="0"/>
    </xf>
    <xf numFmtId="0" fontId="181" fillId="0" borderId="44" xfId="0" applyFont="1" applyBorder="1" applyAlignment="1">
      <alignment vertical="center" wrapText="1"/>
    </xf>
    <xf numFmtId="164" fontId="181" fillId="0" borderId="44" xfId="0" applyNumberFormat="1" applyFont="1" applyBorder="1" applyAlignment="1">
      <alignment horizontal="center"/>
    </xf>
    <xf numFmtId="0" fontId="181" fillId="0" borderId="44" xfId="0" applyFont="1" applyBorder="1" applyAlignment="1">
      <alignment horizontal="center" vertical="center" wrapText="1"/>
    </xf>
    <xf numFmtId="0" fontId="181" fillId="8" borderId="8" xfId="19" applyFont="1" applyFill="1" applyBorder="1" applyAlignment="1">
      <alignment horizontal="center" vertical="top"/>
    </xf>
    <xf numFmtId="0" fontId="181" fillId="8" borderId="7" xfId="37270" applyFont="1" applyFill="1" applyBorder="1" applyAlignment="1">
      <alignment horizontal="justify" vertical="top"/>
    </xf>
    <xf numFmtId="0" fontId="183" fillId="8" borderId="69" xfId="89" applyFont="1" applyFill="1" applyBorder="1" applyAlignment="1">
      <alignment horizontal="center" vertical="center"/>
    </xf>
    <xf numFmtId="0" fontId="183" fillId="8" borderId="69" xfId="89" applyFont="1" applyFill="1" applyBorder="1" applyAlignment="1">
      <alignment horizontal="justify" vertical="center" wrapText="1"/>
    </xf>
    <xf numFmtId="0" fontId="183" fillId="0" borderId="69" xfId="89" applyFont="1" applyBorder="1" applyAlignment="1">
      <alignment horizontal="center" vertical="center"/>
    </xf>
    <xf numFmtId="0" fontId="183" fillId="8" borderId="69" xfId="89" applyFont="1" applyFill="1" applyBorder="1" applyAlignment="1">
      <alignment vertical="center" wrapText="1"/>
    </xf>
    <xf numFmtId="0" fontId="192" fillId="8" borderId="69" xfId="89" applyFont="1" applyFill="1" applyBorder="1" applyAlignment="1">
      <alignment vertical="center" wrapText="1"/>
    </xf>
    <xf numFmtId="0" fontId="181" fillId="12" borderId="44" xfId="19" applyFont="1" applyFill="1" applyBorder="1" applyAlignment="1" applyProtection="1">
      <alignment horizontal="center" vertical="center"/>
      <protection locked="0"/>
    </xf>
    <xf numFmtId="171" fontId="181" fillId="12" borderId="44" xfId="0" applyNumberFormat="1" applyFont="1" applyFill="1" applyBorder="1" applyAlignment="1" applyProtection="1">
      <alignment horizontal="justify" vertical="center"/>
      <protection locked="0"/>
    </xf>
    <xf numFmtId="0" fontId="181" fillId="12" borderId="44" xfId="0" applyFont="1" applyFill="1" applyBorder="1" applyAlignment="1" applyProtection="1">
      <alignment horizontal="center" vertical="center"/>
      <protection locked="0"/>
    </xf>
    <xf numFmtId="172" fontId="181" fillId="12" borderId="44" xfId="0" applyNumberFormat="1" applyFont="1" applyFill="1" applyBorder="1" applyAlignment="1" applyProtection="1">
      <alignment horizontal="center" vertical="center"/>
      <protection locked="0"/>
    </xf>
    <xf numFmtId="166" fontId="181" fillId="12" borderId="44" xfId="7" applyNumberFormat="1" applyFont="1" applyFill="1" applyBorder="1" applyAlignment="1" applyProtection="1">
      <alignment horizontal="center" vertical="center"/>
      <protection locked="0"/>
    </xf>
    <xf numFmtId="0" fontId="181" fillId="12" borderId="44" xfId="0" applyFont="1" applyFill="1" applyBorder="1" applyAlignment="1">
      <alignment horizontal="right"/>
    </xf>
    <xf numFmtId="0" fontId="181" fillId="12" borderId="44" xfId="0" applyFont="1" applyFill="1" applyBorder="1"/>
    <xf numFmtId="10" fontId="181" fillId="12" borderId="44" xfId="2" applyNumberFormat="1" applyFont="1" applyFill="1" applyBorder="1"/>
    <xf numFmtId="0" fontId="181" fillId="4" borderId="44" xfId="0" applyFont="1" applyFill="1" applyBorder="1" applyAlignment="1">
      <alignment horizontal="right"/>
    </xf>
    <xf numFmtId="0" fontId="181" fillId="4" borderId="44" xfId="0" applyFont="1" applyFill="1" applyBorder="1"/>
    <xf numFmtId="10" fontId="181" fillId="4" borderId="44" xfId="2" applyNumberFormat="1" applyFont="1" applyFill="1" applyBorder="1"/>
    <xf numFmtId="166" fontId="181" fillId="4" borderId="44" xfId="2" applyNumberFormat="1" applyFont="1" applyFill="1" applyBorder="1"/>
    <xf numFmtId="0" fontId="181" fillId="0" borderId="0" xfId="0" applyFont="1" applyAlignment="1" applyProtection="1">
      <alignment horizontal="center" vertical="center"/>
      <protection locked="0"/>
    </xf>
    <xf numFmtId="1" fontId="181" fillId="0" borderId="0" xfId="0" applyNumberFormat="1" applyFont="1" applyAlignment="1" applyProtection="1">
      <alignment horizontal="left" wrapText="1" shrinkToFit="1"/>
      <protection locked="0"/>
    </xf>
    <xf numFmtId="166" fontId="181" fillId="0" borderId="0" xfId="7" applyNumberFormat="1" applyFont="1" applyFill="1" applyBorder="1" applyAlignment="1" applyProtection="1">
      <alignment horizontal="left" vertical="center" wrapText="1" shrinkToFit="1"/>
      <protection locked="0"/>
    </xf>
    <xf numFmtId="0" fontId="180" fillId="0" borderId="0" xfId="0" applyFont="1" applyAlignment="1" applyProtection="1">
      <alignment vertical="center"/>
      <protection locked="0"/>
    </xf>
    <xf numFmtId="0" fontId="192" fillId="0" borderId="0" xfId="0" applyFont="1" applyAlignment="1" applyProtection="1">
      <alignment horizontal="center" vertical="center"/>
      <protection locked="0"/>
    </xf>
    <xf numFmtId="0" fontId="183" fillId="0" borderId="0" xfId="0" applyFont="1" applyAlignment="1" applyProtection="1">
      <alignment vertical="center"/>
      <protection locked="0"/>
    </xf>
    <xf numFmtId="0" fontId="181" fillId="0" borderId="0" xfId="0" applyFont="1" applyAlignment="1" applyProtection="1">
      <alignment horizontal="center"/>
      <protection locked="0"/>
    </xf>
    <xf numFmtId="0" fontId="180" fillId="0" borderId="0" xfId="0" applyFont="1" applyAlignment="1" applyProtection="1">
      <alignment horizontal="justify" vertical="top"/>
      <protection locked="0"/>
    </xf>
    <xf numFmtId="0" fontId="181" fillId="0" borderId="0" xfId="0" applyFont="1" applyAlignment="1" applyProtection="1">
      <alignment vertical="center" wrapText="1"/>
      <protection locked="0"/>
    </xf>
    <xf numFmtId="166" fontId="181" fillId="0" borderId="0" xfId="7" applyNumberFormat="1" applyFont="1" applyAlignment="1" applyProtection="1">
      <alignment horizontal="center" vertical="center"/>
      <protection locked="0"/>
    </xf>
    <xf numFmtId="166" fontId="181" fillId="0" borderId="0" xfId="0" applyNumberFormat="1" applyFont="1" applyAlignment="1" applyProtection="1">
      <alignment horizontal="center" vertical="center"/>
      <protection locked="0"/>
    </xf>
    <xf numFmtId="0" fontId="181" fillId="8" borderId="44" xfId="0" applyFont="1" applyFill="1" applyBorder="1" applyAlignment="1">
      <alignment horizontal="center" vertical="center" wrapText="1"/>
    </xf>
    <xf numFmtId="0" fontId="67" fillId="8" borderId="0" xfId="966" applyFont="1" applyFill="1" applyAlignment="1" applyProtection="1">
      <alignment vertical="center"/>
      <protection locked="0"/>
    </xf>
    <xf numFmtId="0" fontId="30" fillId="0" borderId="0" xfId="0" applyFont="1"/>
    <xf numFmtId="164" fontId="30" fillId="0" borderId="0" xfId="18" applyNumberFormat="1" applyFont="1" applyAlignment="1" applyProtection="1">
      <alignment vertical="center"/>
      <protection locked="0"/>
    </xf>
    <xf numFmtId="0" fontId="30" fillId="0" borderId="0" xfId="0" applyFont="1" applyAlignment="1" applyProtection="1">
      <alignment horizontal="left" vertical="center"/>
      <protection locked="0"/>
    </xf>
    <xf numFmtId="0" fontId="67" fillId="8" borderId="0" xfId="966" applyFont="1" applyFill="1" applyAlignment="1" applyProtection="1">
      <alignment vertical="center" wrapText="1"/>
      <protection locked="0"/>
    </xf>
    <xf numFmtId="9" fontId="31" fillId="0" borderId="0" xfId="0" applyNumberFormat="1" applyFont="1" applyAlignment="1" applyProtection="1">
      <alignment horizontal="left" vertical="center"/>
      <protection locked="0"/>
    </xf>
    <xf numFmtId="0" fontId="70" fillId="0" borderId="0" xfId="13" applyFont="1" applyProtection="1">
      <protection locked="0"/>
    </xf>
    <xf numFmtId="0" fontId="32" fillId="7" borderId="66" xfId="13" applyFont="1" applyFill="1" applyBorder="1" applyAlignment="1" applyProtection="1">
      <alignment horizontal="center" vertical="center" wrapText="1"/>
      <protection locked="0"/>
    </xf>
    <xf numFmtId="0" fontId="32" fillId="7" borderId="67" xfId="13" applyFont="1" applyFill="1" applyBorder="1" applyAlignment="1" applyProtection="1">
      <alignment horizontal="center" vertical="center"/>
      <protection locked="0"/>
    </xf>
    <xf numFmtId="0" fontId="32" fillId="7" borderId="67" xfId="13" applyFont="1" applyFill="1" applyBorder="1" applyAlignment="1" applyProtection="1">
      <alignment horizontal="center" vertical="center" wrapText="1"/>
      <protection locked="0"/>
    </xf>
    <xf numFmtId="0" fontId="30" fillId="0" borderId="68" xfId="13" applyFont="1" applyBorder="1" applyAlignment="1">
      <alignment horizontal="center" vertical="top"/>
    </xf>
    <xf numFmtId="165" fontId="31" fillId="8" borderId="69" xfId="35" applyFont="1" applyFill="1" applyBorder="1" applyAlignment="1" applyProtection="1">
      <alignment horizontal="center" vertical="center"/>
    </xf>
    <xf numFmtId="166" fontId="30" fillId="66" borderId="79" xfId="7" applyNumberFormat="1" applyFont="1" applyFill="1" applyBorder="1" applyProtection="1">
      <protection locked="0"/>
    </xf>
    <xf numFmtId="166" fontId="30" fillId="0" borderId="80" xfId="7" applyNumberFormat="1" applyFont="1" applyFill="1" applyBorder="1" applyProtection="1">
      <protection locked="0"/>
    </xf>
    <xf numFmtId="166" fontId="30" fillId="0" borderId="76" xfId="7" applyNumberFormat="1" applyFont="1" applyFill="1" applyBorder="1" applyProtection="1">
      <protection locked="0"/>
    </xf>
    <xf numFmtId="166" fontId="30" fillId="4" borderId="82" xfId="7" applyNumberFormat="1" applyFont="1" applyFill="1" applyBorder="1" applyProtection="1">
      <protection locked="0"/>
    </xf>
    <xf numFmtId="166" fontId="31" fillId="8" borderId="83" xfId="35" applyNumberFormat="1" applyFont="1" applyFill="1" applyBorder="1" applyAlignment="1" applyProtection="1">
      <alignment horizontal="center" vertical="center"/>
      <protection locked="0"/>
    </xf>
    <xf numFmtId="164" fontId="31" fillId="8" borderId="68" xfId="13" applyNumberFormat="1" applyFont="1" applyFill="1" applyBorder="1" applyAlignment="1">
      <alignment horizontal="center" vertical="center"/>
    </xf>
    <xf numFmtId="166" fontId="30" fillId="8" borderId="80" xfId="7" applyNumberFormat="1" applyFont="1" applyFill="1" applyBorder="1" applyProtection="1">
      <protection locked="0"/>
    </xf>
    <xf numFmtId="166" fontId="30" fillId="8" borderId="81" xfId="7" applyNumberFormat="1" applyFont="1" applyFill="1" applyBorder="1" applyProtection="1">
      <protection locked="0"/>
    </xf>
    <xf numFmtId="165" fontId="31" fillId="0" borderId="69" xfId="35" applyFont="1" applyFill="1" applyBorder="1" applyAlignment="1" applyProtection="1">
      <alignment vertical="center"/>
    </xf>
    <xf numFmtId="166" fontId="30" fillId="66" borderId="79" xfId="7" applyNumberFormat="1" applyFont="1" applyFill="1" applyBorder="1" applyAlignment="1" applyProtection="1">
      <alignment vertical="center"/>
      <protection locked="0"/>
    </xf>
    <xf numFmtId="166" fontId="30" fillId="0" borderId="80" xfId="7" applyNumberFormat="1" applyFont="1" applyFill="1" applyBorder="1" applyAlignment="1" applyProtection="1">
      <alignment vertical="center"/>
      <protection locked="0"/>
    </xf>
    <xf numFmtId="166" fontId="30" fillId="0" borderId="81" xfId="7" applyNumberFormat="1" applyFont="1" applyFill="1" applyBorder="1" applyAlignment="1" applyProtection="1">
      <alignment vertical="center"/>
      <protection locked="0"/>
    </xf>
    <xf numFmtId="166" fontId="30" fillId="4" borderId="82" xfId="7" applyNumberFormat="1" applyFont="1" applyFill="1" applyBorder="1" applyAlignment="1" applyProtection="1">
      <alignment vertical="center"/>
      <protection locked="0"/>
    </xf>
    <xf numFmtId="166" fontId="31" fillId="0" borderId="83" xfId="35" applyNumberFormat="1" applyFont="1" applyFill="1" applyBorder="1" applyAlignment="1" applyProtection="1">
      <alignment horizontal="center" vertical="center"/>
      <protection locked="0"/>
    </xf>
    <xf numFmtId="0" fontId="30" fillId="0" borderId="69" xfId="0" applyFont="1" applyBorder="1" applyAlignment="1">
      <alignment horizontal="left" vertical="center" wrapText="1"/>
    </xf>
    <xf numFmtId="0" fontId="31" fillId="0" borderId="69" xfId="0" applyFont="1" applyBorder="1" applyAlignment="1">
      <alignment horizontal="left" vertical="center" wrapText="1"/>
    </xf>
    <xf numFmtId="0" fontId="31" fillId="0" borderId="69" xfId="0" applyFont="1" applyBorder="1" applyAlignment="1">
      <alignment vertical="center" wrapText="1"/>
    </xf>
    <xf numFmtId="0" fontId="31" fillId="0" borderId="69" xfId="0" applyFont="1" applyBorder="1" applyAlignment="1">
      <alignment horizontal="justify" vertical="center" wrapText="1"/>
    </xf>
    <xf numFmtId="0" fontId="31" fillId="0" borderId="68" xfId="0" quotePrefix="1" applyFont="1" applyBorder="1" applyAlignment="1">
      <alignment horizontal="center" vertical="center" wrapText="1"/>
    </xf>
    <xf numFmtId="165" fontId="31" fillId="0" borderId="69" xfId="35" applyFont="1" applyFill="1" applyBorder="1" applyAlignment="1" applyProtection="1">
      <alignment horizontal="center" vertical="center"/>
    </xf>
    <xf numFmtId="164" fontId="31" fillId="0" borderId="68" xfId="13" applyNumberFormat="1" applyFont="1" applyBorder="1" applyAlignment="1">
      <alignment horizontal="center" vertical="center"/>
    </xf>
    <xf numFmtId="0" fontId="30" fillId="0" borderId="69" xfId="13" applyFont="1" applyBorder="1" applyAlignment="1">
      <alignment horizontal="left" vertical="center" wrapText="1"/>
    </xf>
    <xf numFmtId="0" fontId="67" fillId="0" borderId="69" xfId="0" applyFont="1" applyBorder="1" applyAlignment="1">
      <alignment horizontal="left" vertical="top" wrapText="1"/>
    </xf>
    <xf numFmtId="0" fontId="67" fillId="0" borderId="69" xfId="0" applyFont="1" applyBorder="1" applyAlignment="1">
      <alignment horizontal="justify" vertical="top" wrapText="1"/>
    </xf>
    <xf numFmtId="3" fontId="70" fillId="0" borderId="69" xfId="99" applyNumberFormat="1" applyFont="1" applyBorder="1" applyAlignment="1">
      <alignment horizontal="justify" vertical="center"/>
    </xf>
    <xf numFmtId="0" fontId="70" fillId="0" borderId="69" xfId="0" applyFont="1" applyBorder="1" applyAlignment="1">
      <alignment horizontal="left" vertical="center" wrapText="1"/>
    </xf>
    <xf numFmtId="3" fontId="70" fillId="0" borderId="69" xfId="99" applyNumberFormat="1" applyFont="1" applyBorder="1" applyAlignment="1">
      <alignment horizontal="justify" vertical="center" wrapText="1"/>
    </xf>
    <xf numFmtId="0" fontId="30" fillId="0" borderId="69" xfId="0" applyFont="1" applyBorder="1" applyAlignment="1">
      <alignment horizontal="justify" vertical="top" wrapText="1"/>
    </xf>
    <xf numFmtId="0" fontId="31" fillId="0" borderId="69" xfId="0" applyFont="1" applyBorder="1" applyAlignment="1">
      <alignment horizontal="center" vertical="center" wrapText="1"/>
    </xf>
    <xf numFmtId="0" fontId="31" fillId="0" borderId="68" xfId="13" applyFont="1" applyBorder="1" applyAlignment="1">
      <alignment horizontal="center" vertical="top"/>
    </xf>
    <xf numFmtId="1" fontId="31" fillId="0" borderId="69" xfId="13" applyNumberFormat="1" applyFont="1" applyBorder="1" applyAlignment="1">
      <alignment horizontal="center" vertical="center" wrapText="1"/>
    </xf>
    <xf numFmtId="0" fontId="30" fillId="0" borderId="69" xfId="0" applyFont="1" applyBorder="1" applyAlignment="1">
      <alignment horizontal="justify" vertical="center" wrapText="1"/>
    </xf>
    <xf numFmtId="0" fontId="31" fillId="0" borderId="69" xfId="0" applyFont="1" applyBorder="1" applyAlignment="1">
      <alignment horizontal="left" vertical="top" wrapText="1"/>
    </xf>
    <xf numFmtId="1" fontId="30" fillId="66" borderId="79" xfId="35" applyNumberFormat="1" applyFont="1" applyFill="1" applyBorder="1" applyAlignment="1" applyProtection="1">
      <alignment horizontal="center" vertical="center"/>
    </xf>
    <xf numFmtId="166" fontId="31" fillId="0" borderId="83" xfId="35" applyNumberFormat="1" applyFont="1" applyFill="1" applyBorder="1" applyAlignment="1" applyProtection="1">
      <alignment horizontal="center" vertical="center" wrapText="1"/>
      <protection locked="0"/>
    </xf>
    <xf numFmtId="166" fontId="30" fillId="0" borderId="85" xfId="7" applyNumberFormat="1" applyFont="1" applyFill="1" applyBorder="1" applyAlignment="1" applyProtection="1">
      <alignment vertical="center"/>
      <protection locked="0"/>
    </xf>
    <xf numFmtId="166" fontId="30" fillId="0" borderId="88" xfId="7" applyNumberFormat="1" applyFont="1" applyFill="1" applyBorder="1" applyAlignment="1" applyProtection="1">
      <alignment vertical="center"/>
      <protection locked="0"/>
    </xf>
    <xf numFmtId="0" fontId="198" fillId="0" borderId="69" xfId="0" applyFont="1" applyBorder="1" applyAlignment="1">
      <alignment horizontal="left" vertical="center" wrapText="1"/>
    </xf>
    <xf numFmtId="164" fontId="31" fillId="0" borderId="68" xfId="0" quotePrefix="1" applyNumberFormat="1" applyFont="1" applyBorder="1" applyAlignment="1">
      <alignment horizontal="center" vertical="center" wrapText="1"/>
    </xf>
    <xf numFmtId="0" fontId="30" fillId="8" borderId="69" xfId="0" applyFont="1" applyFill="1" applyBorder="1" applyAlignment="1">
      <alignment horizontal="left" vertical="center" wrapText="1"/>
    </xf>
    <xf numFmtId="0" fontId="30" fillId="8" borderId="69" xfId="0" applyFont="1" applyFill="1" applyBorder="1" applyAlignment="1">
      <alignment horizontal="justify" vertical="center" wrapText="1"/>
    </xf>
    <xf numFmtId="0" fontId="31" fillId="8" borderId="69" xfId="0" applyFont="1" applyFill="1" applyBorder="1" applyAlignment="1">
      <alignment horizontal="left" vertical="top" wrapText="1"/>
    </xf>
    <xf numFmtId="0" fontId="31" fillId="8" borderId="69" xfId="0" applyFont="1" applyFill="1" applyBorder="1" applyAlignment="1">
      <alignment horizontal="center" vertical="center" wrapText="1"/>
    </xf>
    <xf numFmtId="0" fontId="31" fillId="8" borderId="69" xfId="0" applyFont="1" applyFill="1" applyBorder="1" applyAlignment="1">
      <alignment horizontal="left" vertical="center" wrapText="1"/>
    </xf>
    <xf numFmtId="0" fontId="198" fillId="8" borderId="69" xfId="0" applyFont="1" applyFill="1" applyBorder="1" applyAlignment="1">
      <alignment horizontal="left" vertical="center" wrapText="1"/>
    </xf>
    <xf numFmtId="0" fontId="30" fillId="0" borderId="69" xfId="0" applyFont="1" applyBorder="1" applyAlignment="1">
      <alignment horizontal="left" vertical="top" wrapText="1"/>
    </xf>
    <xf numFmtId="0" fontId="31" fillId="0" borderId="69" xfId="13" applyFont="1" applyBorder="1" applyAlignment="1">
      <alignment horizontal="left" vertical="top" wrapText="1"/>
    </xf>
    <xf numFmtId="0" fontId="31" fillId="0" borderId="68" xfId="0" quotePrefix="1" applyFont="1" applyBorder="1" applyAlignment="1">
      <alignment horizontal="center" vertical="center"/>
    </xf>
    <xf numFmtId="0" fontId="199" fillId="0" borderId="99" xfId="0" applyFont="1" applyBorder="1" applyAlignment="1">
      <alignment wrapText="1"/>
    </xf>
    <xf numFmtId="164" fontId="31" fillId="0" borderId="68" xfId="0" quotePrefix="1" applyNumberFormat="1" applyFont="1" applyBorder="1" applyAlignment="1">
      <alignment horizontal="center" vertical="center"/>
    </xf>
    <xf numFmtId="0" fontId="198" fillId="0" borderId="69" xfId="0" applyFont="1" applyBorder="1" applyAlignment="1">
      <alignment vertical="center" wrapText="1"/>
    </xf>
    <xf numFmtId="0" fontId="202" fillId="0" borderId="99" xfId="0" applyFont="1" applyBorder="1" applyAlignment="1">
      <alignment wrapText="1"/>
    </xf>
    <xf numFmtId="166" fontId="30" fillId="0" borderId="100" xfId="7" applyNumberFormat="1" applyFont="1" applyFill="1" applyBorder="1" applyAlignment="1" applyProtection="1">
      <alignment vertical="center"/>
      <protection locked="0"/>
    </xf>
    <xf numFmtId="166" fontId="30" fillId="0" borderId="101" xfId="7" applyNumberFormat="1" applyFont="1" applyFill="1" applyBorder="1" applyAlignment="1" applyProtection="1">
      <alignment vertical="center"/>
      <protection locked="0"/>
    </xf>
    <xf numFmtId="0" fontId="31" fillId="0" borderId="69" xfId="13" applyFont="1" applyBorder="1" applyAlignment="1">
      <alignment horizontal="left" vertical="center" wrapText="1"/>
    </xf>
    <xf numFmtId="166" fontId="31" fillId="0" borderId="83" xfId="35" applyNumberFormat="1" applyFont="1" applyFill="1" applyBorder="1" applyAlignment="1" applyProtection="1">
      <alignment horizontal="center" vertical="center"/>
      <protection locked="0" hidden="1"/>
    </xf>
    <xf numFmtId="0" fontId="30" fillId="0" borderId="69" xfId="13" applyFont="1" applyBorder="1" applyAlignment="1">
      <alignment horizontal="left" vertical="top" wrapText="1"/>
    </xf>
    <xf numFmtId="0" fontId="31" fillId="0" borderId="69" xfId="13" applyFont="1" applyBorder="1" applyAlignment="1">
      <alignment vertical="top" wrapText="1"/>
    </xf>
    <xf numFmtId="0" fontId="31" fillId="0" borderId="68" xfId="0" quotePrefix="1" applyFont="1" applyBorder="1" applyAlignment="1">
      <alignment horizontal="center" vertical="top"/>
    </xf>
    <xf numFmtId="166" fontId="30" fillId="8" borderId="80" xfId="7" applyNumberFormat="1" applyFont="1" applyFill="1" applyBorder="1" applyAlignment="1" applyProtection="1">
      <alignment vertical="center"/>
      <protection locked="0"/>
    </xf>
    <xf numFmtId="166" fontId="30" fillId="8" borderId="81" xfId="7" applyNumberFormat="1" applyFont="1" applyFill="1" applyBorder="1" applyAlignment="1" applyProtection="1">
      <alignment vertical="center"/>
      <protection locked="0"/>
    </xf>
    <xf numFmtId="166" fontId="31" fillId="8" borderId="83" xfId="35" applyNumberFormat="1" applyFont="1" applyFill="1" applyBorder="1" applyAlignment="1" applyProtection="1">
      <alignment horizontal="center" vertical="center"/>
      <protection locked="0" hidden="1"/>
    </xf>
    <xf numFmtId="165" fontId="31" fillId="8" borderId="69" xfId="35" applyFont="1" applyFill="1" applyBorder="1" applyAlignment="1" applyProtection="1">
      <alignment horizontal="center" vertical="center"/>
    </xf>
    <xf numFmtId="1" fontId="31" fillId="0" borderId="68" xfId="0" quotePrefix="1" applyNumberFormat="1" applyFont="1" applyBorder="1" applyAlignment="1">
      <alignment horizontal="center" vertical="center"/>
    </xf>
    <xf numFmtId="0" fontId="31" fillId="0" borderId="69" xfId="0" applyFont="1" applyBorder="1" applyAlignment="1">
      <alignment horizontal="left" vertical="top"/>
    </xf>
    <xf numFmtId="0" fontId="70" fillId="8" borderId="69" xfId="13" applyFont="1" applyFill="1" applyBorder="1" applyAlignment="1">
      <alignment horizontal="center" vertical="center"/>
    </xf>
    <xf numFmtId="166" fontId="70" fillId="8" borderId="83" xfId="35" applyNumberFormat="1" applyFont="1" applyFill="1" applyBorder="1" applyAlignment="1" applyProtection="1">
      <alignment horizontal="center" vertical="center"/>
      <protection locked="0"/>
    </xf>
    <xf numFmtId="0" fontId="32" fillId="67" borderId="68" xfId="13" applyFont="1" applyFill="1" applyBorder="1" applyAlignment="1" applyProtection="1">
      <alignment horizontal="center" vertical="center"/>
      <protection locked="0"/>
    </xf>
    <xf numFmtId="0" fontId="32" fillId="67" borderId="69" xfId="13" applyFont="1" applyFill="1" applyBorder="1" applyAlignment="1" applyProtection="1">
      <alignment horizontal="center" vertical="center"/>
      <protection locked="0"/>
    </xf>
    <xf numFmtId="166" fontId="32" fillId="67" borderId="79" xfId="7" applyNumberFormat="1" applyFont="1" applyFill="1" applyBorder="1" applyAlignment="1" applyProtection="1">
      <alignment vertical="center"/>
      <protection locked="0"/>
    </xf>
    <xf numFmtId="166" fontId="203" fillId="67" borderId="80" xfId="7" applyNumberFormat="1" applyFont="1" applyFill="1" applyBorder="1" applyAlignment="1" applyProtection="1">
      <alignment vertical="center"/>
      <protection locked="0"/>
    </xf>
    <xf numFmtId="166" fontId="203" fillId="67" borderId="81" xfId="7" applyNumberFormat="1" applyFont="1" applyFill="1" applyBorder="1" applyAlignment="1" applyProtection="1">
      <alignment vertical="center"/>
      <protection locked="0"/>
    </xf>
    <xf numFmtId="166" fontId="203" fillId="67" borderId="82" xfId="7" applyNumberFormat="1" applyFont="1" applyFill="1" applyBorder="1" applyAlignment="1" applyProtection="1">
      <alignment vertical="center"/>
      <protection locked="0"/>
    </xf>
    <xf numFmtId="166" fontId="32" fillId="67" borderId="83" xfId="35" applyNumberFormat="1" applyFont="1" applyFill="1" applyBorder="1" applyAlignment="1" applyProtection="1">
      <alignment vertical="center"/>
      <protection locked="0"/>
    </xf>
    <xf numFmtId="0" fontId="204" fillId="8" borderId="44" xfId="13" applyFont="1" applyFill="1" applyBorder="1" applyAlignment="1" applyProtection="1">
      <alignment horizontal="center" vertical="top"/>
      <protection locked="0"/>
    </xf>
    <xf numFmtId="166" fontId="30" fillId="8" borderId="0" xfId="7" applyNumberFormat="1" applyFont="1" applyFill="1" applyBorder="1" applyProtection="1">
      <protection locked="0"/>
    </xf>
    <xf numFmtId="166" fontId="31" fillId="8" borderId="0" xfId="7" applyNumberFormat="1" applyFont="1" applyFill="1" applyBorder="1" applyProtection="1">
      <protection locked="0"/>
    </xf>
    <xf numFmtId="166" fontId="204" fillId="8" borderId="0" xfId="35" applyNumberFormat="1" applyFont="1" applyFill="1" applyBorder="1" applyAlignment="1" applyProtection="1">
      <alignment horizontal="center" vertical="center"/>
      <protection locked="0"/>
    </xf>
    <xf numFmtId="0" fontId="31" fillId="8" borderId="44" xfId="13" applyFont="1" applyFill="1" applyBorder="1" applyAlignment="1" applyProtection="1">
      <alignment horizontal="center" vertical="center"/>
      <protection locked="0"/>
    </xf>
    <xf numFmtId="0" fontId="204" fillId="8" borderId="0" xfId="13" applyFont="1" applyFill="1" applyAlignment="1" applyProtection="1">
      <alignment horizontal="center" vertical="top"/>
      <protection locked="0"/>
    </xf>
    <xf numFmtId="0" fontId="205" fillId="8" borderId="0" xfId="13" applyFont="1" applyFill="1" applyAlignment="1" applyProtection="1">
      <alignment horizontal="center" vertical="top"/>
      <protection locked="0"/>
    </xf>
    <xf numFmtId="0" fontId="204" fillId="8" borderId="0" xfId="13" applyFont="1" applyFill="1" applyAlignment="1" applyProtection="1">
      <alignment horizontal="center" vertical="center"/>
      <protection locked="0"/>
    </xf>
    <xf numFmtId="0" fontId="31" fillId="8" borderId="0" xfId="13" applyFont="1" applyFill="1" applyAlignment="1" applyProtection="1">
      <alignment horizontal="center"/>
      <protection locked="0"/>
    </xf>
    <xf numFmtId="0" fontId="31" fillId="8" borderId="0" xfId="13" applyFont="1" applyFill="1" applyAlignment="1" applyProtection="1">
      <alignment horizontal="left"/>
      <protection locked="0"/>
    </xf>
    <xf numFmtId="0" fontId="31" fillId="8" borderId="0" xfId="13" applyFont="1" applyFill="1" applyProtection="1">
      <protection locked="0"/>
    </xf>
    <xf numFmtId="0" fontId="31" fillId="8" borderId="0" xfId="13" applyFont="1" applyFill="1" applyAlignment="1" applyProtection="1">
      <alignment horizontal="center" vertical="center"/>
      <protection locked="0"/>
    </xf>
    <xf numFmtId="166" fontId="31" fillId="8" borderId="0" xfId="35" applyNumberFormat="1" applyFont="1" applyFill="1" applyBorder="1" applyAlignment="1" applyProtection="1">
      <alignment horizontal="center" vertical="center"/>
      <protection locked="0"/>
    </xf>
    <xf numFmtId="16" fontId="31" fillId="8" borderId="0" xfId="13" applyNumberFormat="1" applyFont="1" applyFill="1" applyAlignment="1" applyProtection="1">
      <alignment horizontal="center"/>
      <protection locked="0"/>
    </xf>
    <xf numFmtId="166" fontId="31" fillId="8" borderId="0" xfId="35" applyNumberFormat="1" applyFont="1" applyFill="1" applyBorder="1" applyProtection="1">
      <protection locked="0"/>
    </xf>
    <xf numFmtId="0" fontId="31" fillId="0" borderId="0" xfId="13" applyFont="1" applyAlignment="1" applyProtection="1">
      <alignment horizontal="center"/>
      <protection locked="0"/>
    </xf>
    <xf numFmtId="0" fontId="31" fillId="0" borderId="0" xfId="13" applyFont="1" applyProtection="1">
      <protection locked="0"/>
    </xf>
    <xf numFmtId="0" fontId="31" fillId="0" borderId="0" xfId="13" applyFont="1" applyAlignment="1" applyProtection="1">
      <alignment horizontal="center" vertical="center"/>
      <protection locked="0"/>
    </xf>
    <xf numFmtId="166" fontId="30" fillId="0" borderId="0" xfId="7" applyNumberFormat="1" applyFont="1" applyFill="1" applyBorder="1" applyProtection="1">
      <protection locked="0"/>
    </xf>
    <xf numFmtId="166" fontId="31" fillId="0" borderId="0" xfId="7" applyNumberFormat="1" applyFont="1" applyFill="1" applyBorder="1" applyProtection="1">
      <protection locked="0"/>
    </xf>
    <xf numFmtId="166" fontId="31" fillId="0" borderId="0" xfId="35" applyNumberFormat="1" applyFont="1" applyFill="1" applyBorder="1" applyProtection="1">
      <protection locked="0"/>
    </xf>
    <xf numFmtId="0" fontId="31" fillId="0" borderId="0" xfId="13" applyFont="1" applyAlignment="1" applyProtection="1">
      <alignment horizontal="left"/>
      <protection locked="0"/>
    </xf>
    <xf numFmtId="166" fontId="31" fillId="0" borderId="0" xfId="35" applyNumberFormat="1" applyFont="1" applyFill="1" applyBorder="1" applyAlignment="1" applyProtection="1">
      <alignment horizontal="center" vertical="center"/>
      <protection locked="0"/>
    </xf>
    <xf numFmtId="166" fontId="30" fillId="0" borderId="89" xfId="7" applyNumberFormat="1" applyFont="1" applyFill="1" applyBorder="1" applyAlignment="1" applyProtection="1">
      <alignment vertical="center"/>
      <protection locked="0"/>
    </xf>
    <xf numFmtId="166" fontId="30" fillId="0" borderId="90" xfId="7" applyNumberFormat="1" applyFont="1" applyFill="1" applyBorder="1" applyAlignment="1" applyProtection="1">
      <alignment vertical="center"/>
      <protection locked="0"/>
    </xf>
    <xf numFmtId="166" fontId="30" fillId="0" borderId="75" xfId="7" applyNumberFormat="1" applyFont="1" applyFill="1" applyBorder="1" applyAlignment="1" applyProtection="1">
      <alignment vertical="center"/>
      <protection locked="0"/>
    </xf>
    <xf numFmtId="166" fontId="30" fillId="0" borderId="76" xfId="7" applyNumberFormat="1" applyFont="1" applyFill="1" applyBorder="1" applyAlignment="1" applyProtection="1">
      <alignment vertical="center"/>
      <protection locked="0"/>
    </xf>
    <xf numFmtId="1" fontId="30" fillId="66" borderId="79" xfId="35" applyNumberFormat="1" applyFont="1" applyFill="1" applyBorder="1" applyAlignment="1" applyProtection="1">
      <alignment vertical="center"/>
    </xf>
    <xf numFmtId="166" fontId="30" fillId="4" borderId="93" xfId="7" applyNumberFormat="1" applyFont="1" applyFill="1" applyBorder="1" applyAlignment="1" applyProtection="1">
      <alignment vertical="center"/>
      <protection locked="0"/>
    </xf>
    <xf numFmtId="166" fontId="30" fillId="4" borderId="77" xfId="7" applyNumberFormat="1" applyFont="1" applyFill="1" applyBorder="1" applyAlignment="1" applyProtection="1">
      <alignment vertical="center"/>
      <protection locked="0"/>
    </xf>
    <xf numFmtId="166" fontId="30" fillId="4" borderId="8" xfId="7" applyNumberFormat="1" applyFont="1" applyFill="1" applyBorder="1" applyAlignment="1" applyProtection="1">
      <alignment vertical="center"/>
      <protection locked="0"/>
    </xf>
    <xf numFmtId="166" fontId="30" fillId="4" borderId="95" xfId="7" applyNumberFormat="1" applyFont="1" applyFill="1" applyBorder="1" applyAlignment="1" applyProtection="1">
      <alignment vertical="center"/>
      <protection locked="0"/>
    </xf>
    <xf numFmtId="166" fontId="30" fillId="4" borderId="97" xfId="7" applyNumberFormat="1" applyFont="1" applyFill="1" applyBorder="1" applyAlignment="1" applyProtection="1">
      <alignment vertical="center"/>
      <protection locked="0"/>
    </xf>
    <xf numFmtId="1" fontId="30" fillId="66" borderId="94" xfId="35" applyNumberFormat="1" applyFont="1" applyFill="1" applyBorder="1" applyAlignment="1" applyProtection="1">
      <alignment vertical="center"/>
    </xf>
    <xf numFmtId="1" fontId="30" fillId="66" borderId="96" xfId="35" applyNumberFormat="1" applyFont="1" applyFill="1" applyBorder="1" applyAlignment="1" applyProtection="1">
      <alignment vertical="center"/>
    </xf>
    <xf numFmtId="1" fontId="30" fillId="66" borderId="84" xfId="35" applyNumberFormat="1" applyFont="1" applyFill="1" applyBorder="1" applyAlignment="1" applyProtection="1">
      <alignment vertical="center"/>
    </xf>
    <xf numFmtId="1" fontId="30" fillId="66" borderId="74" xfId="35" applyNumberFormat="1" applyFont="1" applyFill="1" applyBorder="1" applyAlignment="1" applyProtection="1">
      <alignment vertical="center"/>
    </xf>
    <xf numFmtId="1" fontId="30" fillId="66" borderId="12" xfId="35" applyNumberFormat="1" applyFont="1" applyFill="1" applyBorder="1" applyAlignment="1" applyProtection="1">
      <alignment vertical="center"/>
    </xf>
    <xf numFmtId="166" fontId="30" fillId="4" borderId="86" xfId="7" applyNumberFormat="1" applyFont="1" applyFill="1" applyBorder="1" applyAlignment="1" applyProtection="1">
      <alignment vertical="center"/>
      <protection locked="0"/>
    </xf>
    <xf numFmtId="166" fontId="30" fillId="4" borderId="91" xfId="7" applyNumberFormat="1" applyFont="1" applyFill="1" applyBorder="1" applyAlignment="1" applyProtection="1">
      <alignment vertical="center"/>
      <protection locked="0"/>
    </xf>
    <xf numFmtId="166" fontId="30" fillId="4" borderId="92" xfId="7" applyNumberFormat="1" applyFont="1" applyFill="1" applyBorder="1" applyAlignment="1" applyProtection="1">
      <alignment vertical="center"/>
      <protection locked="0"/>
    </xf>
    <xf numFmtId="166" fontId="30" fillId="66" borderId="79" xfId="7" applyNumberFormat="1" applyFont="1" applyFill="1" applyBorder="1" applyAlignment="1" applyProtection="1">
      <protection locked="0"/>
    </xf>
    <xf numFmtId="0" fontId="30" fillId="0" borderId="0" xfId="0" applyFont="1" applyAlignment="1" applyProtection="1">
      <alignment vertical="center"/>
      <protection locked="0"/>
    </xf>
    <xf numFmtId="0" fontId="30" fillId="0" borderId="68" xfId="13" applyFont="1" applyBorder="1" applyAlignment="1">
      <alignment horizontal="center" vertical="center"/>
    </xf>
    <xf numFmtId="0" fontId="31" fillId="0" borderId="69" xfId="13" applyFont="1" applyBorder="1" applyAlignment="1" applyProtection="1">
      <alignment vertical="center"/>
      <protection locked="0"/>
    </xf>
    <xf numFmtId="0" fontId="31" fillId="0" borderId="83" xfId="13" applyFont="1" applyBorder="1" applyAlignment="1" applyProtection="1">
      <alignment vertical="center"/>
      <protection locked="0"/>
    </xf>
    <xf numFmtId="0" fontId="31" fillId="0" borderId="69" xfId="13" applyFont="1" applyBorder="1" applyProtection="1">
      <protection locked="0"/>
    </xf>
    <xf numFmtId="0" fontId="31" fillId="0" borderId="83" xfId="13" applyFont="1" applyBorder="1" applyProtection="1">
      <protection locked="0"/>
    </xf>
    <xf numFmtId="164" fontId="31" fillId="8" borderId="68" xfId="13" quotePrefix="1" applyNumberFormat="1" applyFont="1" applyFill="1" applyBorder="1" applyAlignment="1">
      <alignment horizontal="center" vertical="center"/>
    </xf>
    <xf numFmtId="0" fontId="31" fillId="8" borderId="69" xfId="13" applyFont="1" applyFill="1" applyBorder="1" applyProtection="1">
      <protection locked="0"/>
    </xf>
    <xf numFmtId="0" fontId="31" fillId="8" borderId="83" xfId="13" applyFont="1" applyFill="1" applyBorder="1" applyProtection="1">
      <protection locked="0"/>
    </xf>
    <xf numFmtId="164" fontId="31" fillId="8" borderId="68" xfId="13" quotePrefix="1" applyNumberFormat="1" applyFont="1" applyFill="1" applyBorder="1" applyAlignment="1">
      <alignment horizontal="center" vertical="top"/>
    </xf>
    <xf numFmtId="0" fontId="31" fillId="8" borderId="68" xfId="13" applyFont="1" applyFill="1" applyBorder="1" applyAlignment="1">
      <alignment horizontal="center" vertical="top"/>
    </xf>
    <xf numFmtId="166" fontId="31" fillId="0" borderId="69" xfId="35" applyNumberFormat="1" applyFont="1" applyFill="1" applyBorder="1" applyAlignment="1" applyProtection="1">
      <alignment horizontal="center" vertical="center"/>
      <protection locked="0"/>
    </xf>
    <xf numFmtId="166" fontId="31" fillId="0" borderId="69" xfId="35" applyNumberFormat="1" applyFont="1" applyFill="1" applyBorder="1" applyAlignment="1" applyProtection="1">
      <alignment horizontal="center" vertical="center"/>
      <protection locked="0" hidden="1"/>
    </xf>
    <xf numFmtId="0" fontId="31" fillId="0" borderId="68" xfId="13" applyFont="1" applyBorder="1" applyAlignment="1">
      <alignment horizontal="center" vertical="center"/>
    </xf>
    <xf numFmtId="1" fontId="31" fillId="0" borderId="69" xfId="13" applyNumberFormat="1" applyFont="1" applyBorder="1" applyAlignment="1" applyProtection="1">
      <alignment horizontal="center" vertical="center" wrapText="1"/>
      <protection locked="0"/>
    </xf>
    <xf numFmtId="1" fontId="31" fillId="0" borderId="68" xfId="13" quotePrefix="1" applyNumberFormat="1" applyFont="1" applyBorder="1" applyAlignment="1">
      <alignment horizontal="center" vertical="center"/>
    </xf>
    <xf numFmtId="0" fontId="31" fillId="0" borderId="69" xfId="13" applyFont="1" applyBorder="1" applyAlignment="1">
      <alignment horizontal="left" vertical="top"/>
    </xf>
    <xf numFmtId="0" fontId="31" fillId="0" borderId="69" xfId="13" applyFont="1" applyBorder="1" applyAlignment="1">
      <alignment horizontal="left" vertical="center"/>
    </xf>
    <xf numFmtId="165" fontId="31" fillId="0" borderId="5" xfId="35" applyFont="1" applyFill="1" applyBorder="1" applyAlignment="1" applyProtection="1">
      <alignment horizontal="center" vertical="center"/>
    </xf>
    <xf numFmtId="166" fontId="31" fillId="0" borderId="5" xfId="35" applyNumberFormat="1" applyFont="1" applyFill="1" applyBorder="1" applyAlignment="1" applyProtection="1">
      <alignment horizontal="center" vertical="center"/>
      <protection locked="0"/>
    </xf>
    <xf numFmtId="166" fontId="31" fillId="0" borderId="5" xfId="35" applyNumberFormat="1" applyFont="1" applyFill="1" applyBorder="1" applyAlignment="1" applyProtection="1">
      <alignment horizontal="center" vertical="center"/>
      <protection locked="0" hidden="1"/>
    </xf>
    <xf numFmtId="0" fontId="31" fillId="0" borderId="78" xfId="13" applyFont="1" applyBorder="1" applyAlignment="1" applyProtection="1">
      <alignment horizontal="center"/>
      <protection locked="0"/>
    </xf>
    <xf numFmtId="1" fontId="31" fillId="0" borderId="69" xfId="35" applyNumberFormat="1" applyFont="1" applyFill="1" applyBorder="1" applyAlignment="1" applyProtection="1">
      <alignment horizontal="center" vertical="center"/>
    </xf>
    <xf numFmtId="164" fontId="30" fillId="0" borderId="68" xfId="13" applyNumberFormat="1" applyFont="1" applyBorder="1" applyAlignment="1">
      <alignment horizontal="center" vertical="top"/>
    </xf>
    <xf numFmtId="166" fontId="31" fillId="8" borderId="69" xfId="35" applyNumberFormat="1" applyFont="1" applyFill="1" applyBorder="1" applyAlignment="1" applyProtection="1">
      <alignment horizontal="center" vertical="center"/>
      <protection locked="0"/>
    </xf>
    <xf numFmtId="164" fontId="31" fillId="0" borderId="68" xfId="13" applyNumberFormat="1" applyFont="1" applyBorder="1" applyAlignment="1">
      <alignment horizontal="center" vertical="top"/>
    </xf>
    <xf numFmtId="165" fontId="31" fillId="0" borderId="71" xfId="35" applyFont="1" applyFill="1" applyBorder="1" applyAlignment="1" applyProtection="1">
      <alignment vertical="center"/>
    </xf>
    <xf numFmtId="166" fontId="31" fillId="0" borderId="71" xfId="35" applyNumberFormat="1" applyFont="1" applyFill="1" applyBorder="1" applyAlignment="1" applyProtection="1">
      <alignment vertical="center"/>
      <protection locked="0"/>
    </xf>
    <xf numFmtId="166" fontId="31" fillId="0" borderId="71" xfId="35" applyNumberFormat="1" applyFont="1" applyFill="1" applyBorder="1" applyAlignment="1" applyProtection="1">
      <alignment vertical="center"/>
      <protection locked="0" hidden="1"/>
    </xf>
    <xf numFmtId="166" fontId="31" fillId="0" borderId="7" xfId="35" applyNumberFormat="1" applyFont="1" applyFill="1" applyBorder="1" applyAlignment="1" applyProtection="1">
      <alignment vertical="center"/>
      <protection locked="0"/>
    </xf>
    <xf numFmtId="166" fontId="31" fillId="0" borderId="7" xfId="35" applyNumberFormat="1" applyFont="1" applyFill="1" applyBorder="1" applyAlignment="1" applyProtection="1">
      <alignment vertical="center"/>
      <protection locked="0" hidden="1"/>
    </xf>
    <xf numFmtId="0" fontId="31" fillId="0" borderId="87" xfId="13" applyFont="1" applyBorder="1" applyAlignment="1" applyProtection="1">
      <alignment horizontal="center"/>
      <protection locked="0"/>
    </xf>
    <xf numFmtId="0" fontId="31" fillId="0" borderId="69" xfId="13" applyFont="1" applyBorder="1" applyAlignment="1">
      <alignment horizontal="center" vertical="center"/>
    </xf>
    <xf numFmtId="164" fontId="31" fillId="8" borderId="68" xfId="13" applyNumberFormat="1" applyFont="1" applyFill="1" applyBorder="1" applyAlignment="1">
      <alignment horizontal="center" vertical="top"/>
    </xf>
    <xf numFmtId="1" fontId="32" fillId="67" borderId="69" xfId="13" applyNumberFormat="1" applyFont="1" applyFill="1" applyBorder="1" applyAlignment="1" applyProtection="1">
      <alignment vertical="center"/>
      <protection locked="0"/>
    </xf>
    <xf numFmtId="166" fontId="32" fillId="67" borderId="69" xfId="7" applyNumberFormat="1" applyFont="1" applyFill="1" applyBorder="1" applyAlignment="1" applyProtection="1">
      <alignment vertical="center"/>
      <protection locked="0"/>
    </xf>
    <xf numFmtId="0" fontId="31" fillId="67" borderId="83" xfId="13" applyFont="1" applyFill="1" applyBorder="1" applyProtection="1">
      <protection locked="0"/>
    </xf>
    <xf numFmtId="0" fontId="67" fillId="8" borderId="68" xfId="0" applyFont="1" applyFill="1" applyBorder="1" applyAlignment="1" applyProtection="1">
      <alignment wrapText="1"/>
      <protection locked="0"/>
    </xf>
    <xf numFmtId="0" fontId="67" fillId="8" borderId="69" xfId="0" applyFont="1" applyFill="1" applyBorder="1" applyAlignment="1" applyProtection="1">
      <alignment wrapText="1"/>
      <protection locked="0"/>
    </xf>
    <xf numFmtId="1" fontId="30" fillId="8" borderId="69" xfId="13" applyNumberFormat="1" applyFont="1" applyFill="1" applyBorder="1" applyAlignment="1" applyProtection="1">
      <alignment vertical="center"/>
      <protection locked="0"/>
    </xf>
    <xf numFmtId="166" fontId="31" fillId="8" borderId="69" xfId="7" applyNumberFormat="1" applyFont="1" applyFill="1" applyBorder="1" applyProtection="1">
      <protection locked="0"/>
    </xf>
    <xf numFmtId="164" fontId="30" fillId="8" borderId="68" xfId="0" applyNumberFormat="1" applyFont="1" applyFill="1" applyBorder="1" applyAlignment="1" applyProtection="1">
      <alignment horizontal="center" vertical="center"/>
      <protection locked="0"/>
    </xf>
    <xf numFmtId="1" fontId="30" fillId="8" borderId="0" xfId="13" applyNumberFormat="1" applyFont="1" applyFill="1" applyAlignment="1" applyProtection="1">
      <alignment vertical="center"/>
      <protection locked="0"/>
    </xf>
    <xf numFmtId="1" fontId="30" fillId="8" borderId="0" xfId="13" applyNumberFormat="1" applyFont="1" applyFill="1" applyProtection="1">
      <protection locked="0"/>
    </xf>
    <xf numFmtId="1" fontId="30" fillId="0" borderId="0" xfId="13" applyNumberFormat="1" applyFont="1" applyProtection="1">
      <protection locked="0"/>
    </xf>
    <xf numFmtId="1" fontId="30" fillId="0" borderId="0" xfId="13" applyNumberFormat="1" applyFont="1" applyAlignment="1" applyProtection="1">
      <alignment vertical="center"/>
      <protection locked="0"/>
    </xf>
    <xf numFmtId="0" fontId="174" fillId="0" borderId="8" xfId="0" applyFont="1" applyBorder="1" applyAlignment="1">
      <alignment horizontal="center"/>
    </xf>
    <xf numFmtId="0" fontId="174" fillId="0" borderId="7" xfId="0" applyFont="1" applyBorder="1" applyAlignment="1">
      <alignment vertical="center"/>
    </xf>
    <xf numFmtId="166" fontId="174" fillId="0" borderId="7" xfId="7" applyNumberFormat="1" applyFont="1" applyBorder="1"/>
    <xf numFmtId="0" fontId="5" fillId="2" borderId="44" xfId="0" applyFont="1" applyFill="1" applyBorder="1" applyAlignment="1">
      <alignment vertical="center"/>
    </xf>
    <xf numFmtId="0" fontId="5" fillId="2" borderId="44" xfId="0" applyFont="1" applyFill="1" applyBorder="1" applyAlignment="1">
      <alignment horizontal="center" vertical="center"/>
    </xf>
    <xf numFmtId="0" fontId="3" fillId="0" borderId="44" xfId="0" applyFont="1" applyBorder="1" applyAlignment="1">
      <alignment vertical="center"/>
    </xf>
    <xf numFmtId="0" fontId="0" fillId="6" borderId="44" xfId="0" applyFill="1" applyBorder="1" applyAlignment="1">
      <alignment vertical="center"/>
    </xf>
    <xf numFmtId="0" fontId="0" fillId="0" borderId="44" xfId="0" applyBorder="1" applyAlignment="1">
      <alignment horizontal="center" vertical="center" wrapText="1"/>
    </xf>
    <xf numFmtId="43" fontId="37" fillId="0" borderId="44" xfId="1" applyFont="1" applyBorder="1" applyAlignment="1">
      <alignment horizontal="center" vertical="center" wrapText="1"/>
    </xf>
    <xf numFmtId="43" fontId="37" fillId="0" borderId="44" xfId="1" applyFont="1" applyFill="1" applyBorder="1" applyAlignment="1">
      <alignment horizontal="center" vertical="center"/>
    </xf>
    <xf numFmtId="0" fontId="5" fillId="0" borderId="1" xfId="0" applyFont="1" applyFill="1" applyBorder="1" applyAlignment="1">
      <alignment vertical="center"/>
    </xf>
    <xf numFmtId="0" fontId="4" fillId="0" borderId="1" xfId="0" applyFont="1" applyFill="1" applyBorder="1" applyAlignment="1">
      <alignment horizontal="center" vertical="center"/>
    </xf>
    <xf numFmtId="2" fontId="10" fillId="0" borderId="1" xfId="1" applyNumberFormat="1" applyFont="1" applyFill="1" applyBorder="1" applyAlignment="1" applyProtection="1">
      <alignment horizontal="center" vertical="center"/>
    </xf>
    <xf numFmtId="0" fontId="10" fillId="0" borderId="1" xfId="0" applyFont="1" applyFill="1" applyBorder="1" applyAlignment="1">
      <alignment horizontal="justify" vertical="center" wrapText="1"/>
    </xf>
    <xf numFmtId="0" fontId="9" fillId="0" borderId="1" xfId="0" applyFont="1" applyFill="1" applyBorder="1" applyAlignment="1">
      <alignment horizontal="center" vertical="center"/>
    </xf>
    <xf numFmtId="2" fontId="10" fillId="0" borderId="1" xfId="0" applyNumberFormat="1" applyFont="1" applyFill="1" applyBorder="1" applyAlignment="1">
      <alignment horizontal="center" vertical="center"/>
    </xf>
    <xf numFmtId="0" fontId="9" fillId="0" borderId="1" xfId="0" applyFont="1" applyFill="1" applyBorder="1" applyAlignment="1">
      <alignment horizontal="justify" vertical="center" wrapText="1" shrinkToFit="1"/>
    </xf>
    <xf numFmtId="165" fontId="9" fillId="0" borderId="1" xfId="5" applyFont="1" applyFill="1" applyBorder="1" applyAlignment="1" applyProtection="1">
      <alignment horizontal="center" vertical="center"/>
    </xf>
    <xf numFmtId="166" fontId="9" fillId="0" borderId="1" xfId="5" applyNumberFormat="1" applyFont="1" applyFill="1" applyBorder="1" applyAlignment="1" applyProtection="1">
      <alignment horizontal="center" vertical="center" wrapText="1"/>
    </xf>
    <xf numFmtId="43" fontId="9" fillId="0" borderId="1" xfId="1" applyFont="1" applyFill="1" applyBorder="1" applyAlignment="1" applyProtection="1">
      <alignment horizontal="justify" vertical="center"/>
    </xf>
    <xf numFmtId="166" fontId="9" fillId="0" borderId="44" xfId="5" applyNumberFormat="1" applyFont="1" applyBorder="1" applyAlignment="1" applyProtection="1">
      <alignment horizontal="center" vertical="center"/>
    </xf>
    <xf numFmtId="166" fontId="9" fillId="0" borderId="44" xfId="0" applyNumberFormat="1" applyFont="1" applyFill="1" applyBorder="1" applyAlignment="1">
      <alignment vertical="center" wrapText="1"/>
    </xf>
    <xf numFmtId="172" fontId="42" fillId="12" borderId="44" xfId="0" applyNumberFormat="1" applyFont="1" applyFill="1" applyBorder="1" applyAlignment="1" applyProtection="1">
      <alignment horizontal="center" vertical="center"/>
      <protection locked="0"/>
    </xf>
    <xf numFmtId="0" fontId="64" fillId="13" borderId="59" xfId="0" applyFont="1" applyFill="1" applyBorder="1" applyAlignment="1">
      <alignment horizontal="center" vertical="center" wrapText="1"/>
    </xf>
    <xf numFmtId="0" fontId="64" fillId="13" borderId="19" xfId="0" applyFont="1" applyFill="1" applyBorder="1" applyAlignment="1">
      <alignment horizontal="center" vertical="center" wrapText="1"/>
    </xf>
    <xf numFmtId="0" fontId="64" fillId="13" borderId="25" xfId="0" applyFont="1" applyFill="1" applyBorder="1" applyAlignment="1">
      <alignment horizontal="center" vertical="center" wrapText="1"/>
    </xf>
    <xf numFmtId="43" fontId="42" fillId="10" borderId="59" xfId="1" applyFont="1" applyFill="1" applyBorder="1" applyAlignment="1" applyProtection="1">
      <alignment horizontal="center" vertical="center"/>
    </xf>
    <xf numFmtId="43" fontId="42" fillId="10" borderId="25" xfId="1" applyFont="1" applyFill="1" applyBorder="1" applyAlignment="1" applyProtection="1">
      <alignment horizontal="center" vertical="center"/>
    </xf>
    <xf numFmtId="0" fontId="23" fillId="0" borderId="59" xfId="0" applyFont="1" applyFill="1" applyBorder="1" applyAlignment="1" applyProtection="1">
      <alignment horizontal="left" vertical="center" wrapText="1"/>
    </xf>
    <xf numFmtId="43" fontId="23" fillId="10" borderId="25" xfId="1" applyFont="1" applyFill="1" applyBorder="1" applyAlignment="1" applyProtection="1">
      <alignment horizontal="left" vertical="center"/>
    </xf>
    <xf numFmtId="43" fontId="23" fillId="10" borderId="59" xfId="1" applyFont="1" applyFill="1" applyBorder="1" applyAlignment="1" applyProtection="1">
      <alignment horizontal="center" vertical="center"/>
    </xf>
    <xf numFmtId="0" fontId="181" fillId="8" borderId="44" xfId="0" applyFont="1" applyFill="1" applyBorder="1" applyAlignment="1">
      <alignment horizontal="center" vertical="center"/>
    </xf>
    <xf numFmtId="0" fontId="181" fillId="8" borderId="44" xfId="0" applyFont="1" applyFill="1" applyBorder="1" applyAlignment="1">
      <alignment horizontal="center" vertical="center" wrapText="1"/>
    </xf>
    <xf numFmtId="166" fontId="181" fillId="8" borderId="44" xfId="7" applyNumberFormat="1" applyFont="1" applyFill="1" applyBorder="1" applyAlignment="1" applyProtection="1">
      <alignment horizontal="center" vertical="center"/>
      <protection locked="0"/>
    </xf>
    <xf numFmtId="165" fontId="31" fillId="0" borderId="69" xfId="35" applyFont="1" applyFill="1" applyBorder="1" applyAlignment="1" applyProtection="1">
      <alignment horizontal="center" vertical="center"/>
    </xf>
    <xf numFmtId="0" fontId="180" fillId="0" borderId="0" xfId="0" applyFont="1" applyProtection="1">
      <protection locked="0"/>
    </xf>
    <xf numFmtId="164" fontId="170" fillId="0" borderId="44" xfId="0" applyNumberFormat="1" applyFont="1" applyFill="1" applyBorder="1" applyAlignment="1">
      <alignment horizontal="center" vertical="top" wrapText="1"/>
    </xf>
    <xf numFmtId="0" fontId="170" fillId="0" borderId="44" xfId="0" applyFont="1" applyFill="1" applyBorder="1" applyAlignment="1">
      <alignment horizontal="justify" vertical="top" wrapText="1"/>
    </xf>
    <xf numFmtId="172" fontId="171" fillId="0" borderId="44" xfId="0" applyNumberFormat="1" applyFont="1" applyFill="1" applyBorder="1" applyAlignment="1">
      <alignment horizontal="center" vertical="center"/>
    </xf>
    <xf numFmtId="0" fontId="170" fillId="0" borderId="44" xfId="0" applyFont="1" applyFill="1" applyBorder="1" applyAlignment="1">
      <alignment horizontal="center" vertical="center"/>
    </xf>
    <xf numFmtId="166" fontId="171" fillId="0" borderId="44" xfId="7" applyNumberFormat="1" applyFont="1" applyFill="1" applyBorder="1" applyAlignment="1" applyProtection="1">
      <alignment horizontal="right" vertical="center"/>
      <protection locked="0"/>
    </xf>
    <xf numFmtId="0" fontId="171" fillId="0" borderId="44" xfId="0" applyFont="1" applyFill="1" applyBorder="1" applyAlignment="1">
      <alignment horizontal="center" vertical="center" wrapText="1"/>
    </xf>
    <xf numFmtId="0" fontId="170" fillId="0" borderId="44" xfId="0" applyFont="1" applyFill="1" applyBorder="1" applyAlignment="1" applyProtection="1">
      <alignment vertical="center"/>
      <protection locked="0"/>
    </xf>
    <xf numFmtId="164" fontId="171" fillId="0" borderId="44" xfId="0" applyNumberFormat="1" applyFont="1" applyFill="1" applyBorder="1" applyAlignment="1">
      <alignment horizontal="center" vertical="top" wrapText="1"/>
    </xf>
    <xf numFmtId="0" fontId="174" fillId="0" borderId="44" xfId="0" applyFont="1" applyFill="1" applyBorder="1" applyAlignment="1">
      <alignment horizontal="left" vertical="top" wrapText="1"/>
    </xf>
    <xf numFmtId="43" fontId="44" fillId="0" borderId="44" xfId="1" applyFont="1" applyFill="1" applyBorder="1" applyAlignment="1">
      <alignment vertical="center"/>
    </xf>
    <xf numFmtId="0" fontId="207" fillId="0" borderId="0" xfId="0" applyFont="1"/>
    <xf numFmtId="0" fontId="45" fillId="0" borderId="44" xfId="0" applyFont="1" applyFill="1" applyBorder="1" applyAlignment="1">
      <alignment vertical="center" wrapText="1"/>
    </xf>
    <xf numFmtId="0" fontId="5" fillId="2" borderId="14" xfId="0" applyFont="1" applyFill="1" applyBorder="1" applyAlignment="1">
      <alignment horizontal="center"/>
    </xf>
    <xf numFmtId="0" fontId="5" fillId="2" borderId="15" xfId="0" applyFont="1" applyFill="1" applyBorder="1" applyAlignment="1">
      <alignment horizontal="center"/>
    </xf>
    <xf numFmtId="0" fontId="5" fillId="2" borderId="1" xfId="0" applyFont="1" applyFill="1" applyBorder="1" applyAlignment="1">
      <alignment horizontal="center"/>
    </xf>
    <xf numFmtId="0" fontId="5" fillId="2" borderId="1" xfId="0" applyFont="1" applyFill="1" applyBorder="1" applyAlignment="1">
      <alignment horizontal="center" vertical="center"/>
    </xf>
    <xf numFmtId="0" fontId="5" fillId="2" borderId="14" xfId="0" applyFont="1" applyFill="1" applyBorder="1" applyAlignment="1">
      <alignment horizontal="center" vertical="center"/>
    </xf>
    <xf numFmtId="0" fontId="5" fillId="2" borderId="15" xfId="0" applyFont="1" applyFill="1" applyBorder="1" applyAlignment="1">
      <alignment horizontal="center" vertical="center"/>
    </xf>
    <xf numFmtId="171" fontId="41" fillId="0" borderId="46" xfId="15" applyNumberFormat="1" applyFont="1" applyBorder="1" applyAlignment="1">
      <alignment horizontal="left" vertical="center" wrapText="1"/>
    </xf>
    <xf numFmtId="171" fontId="41" fillId="0" borderId="52" xfId="15" applyNumberFormat="1" applyFont="1" applyBorder="1" applyAlignment="1">
      <alignment horizontal="left" vertical="center" wrapText="1"/>
    </xf>
    <xf numFmtId="171" fontId="41" fillId="0" borderId="60" xfId="15" applyNumberFormat="1" applyFont="1" applyBorder="1" applyAlignment="1">
      <alignment horizontal="left" vertical="center" wrapText="1"/>
    </xf>
    <xf numFmtId="0" fontId="35" fillId="13" borderId="18" xfId="14" applyFont="1" applyFill="1" applyBorder="1" applyAlignment="1">
      <alignment horizontal="center" vertical="center"/>
    </xf>
    <xf numFmtId="0" fontId="35" fillId="13" borderId="44" xfId="14" applyFont="1" applyFill="1" applyBorder="1" applyAlignment="1">
      <alignment horizontal="center" vertical="center"/>
    </xf>
    <xf numFmtId="0" fontId="35" fillId="13" borderId="18" xfId="14" applyFont="1" applyFill="1" applyBorder="1" applyAlignment="1">
      <alignment horizontal="center" vertical="center" wrapText="1"/>
    </xf>
    <xf numFmtId="0" fontId="35" fillId="13" borderId="44" xfId="14" applyFont="1" applyFill="1" applyBorder="1" applyAlignment="1">
      <alignment horizontal="center" vertical="center" wrapText="1"/>
    </xf>
    <xf numFmtId="0" fontId="35" fillId="13" borderId="17" xfId="14" applyFont="1" applyFill="1" applyBorder="1" applyAlignment="1">
      <alignment horizontal="center" vertical="center"/>
    </xf>
    <xf numFmtId="0" fontId="35" fillId="13" borderId="11" xfId="14" applyFont="1" applyFill="1" applyBorder="1" applyAlignment="1">
      <alignment horizontal="center" vertical="center"/>
    </xf>
    <xf numFmtId="0" fontId="35" fillId="13" borderId="19" xfId="14" applyFont="1" applyFill="1" applyBorder="1" applyAlignment="1">
      <alignment horizontal="center" vertical="center" wrapText="1"/>
    </xf>
    <xf numFmtId="0" fontId="35" fillId="13" borderId="25" xfId="14" applyFont="1" applyFill="1" applyBorder="1" applyAlignment="1">
      <alignment horizontal="center" vertical="center" wrapText="1"/>
    </xf>
    <xf numFmtId="172" fontId="42" fillId="12" borderId="44" xfId="0" applyNumberFormat="1" applyFont="1" applyFill="1" applyBorder="1" applyAlignment="1" applyProtection="1">
      <alignment horizontal="center" vertical="center" wrapText="1"/>
      <protection locked="0"/>
    </xf>
    <xf numFmtId="0" fontId="42" fillId="12" borderId="44" xfId="17" applyFont="1" applyFill="1" applyBorder="1" applyAlignment="1" applyProtection="1">
      <alignment horizontal="center" vertical="center" wrapText="1"/>
      <protection locked="0"/>
    </xf>
    <xf numFmtId="0" fontId="42" fillId="4" borderId="44" xfId="0" applyFont="1" applyFill="1" applyBorder="1" applyAlignment="1">
      <alignment horizontal="left" vertical="center" wrapText="1"/>
    </xf>
    <xf numFmtId="0" fontId="42" fillId="12" borderId="44" xfId="17" applyFont="1" applyFill="1" applyBorder="1" applyAlignment="1" applyProtection="1">
      <alignment horizontal="center" vertical="center"/>
      <protection locked="0"/>
    </xf>
    <xf numFmtId="172" fontId="42" fillId="12" borderId="44" xfId="0" applyNumberFormat="1" applyFont="1" applyFill="1" applyBorder="1" applyAlignment="1" applyProtection="1">
      <alignment horizontal="center" vertical="center"/>
      <protection locked="0"/>
    </xf>
    <xf numFmtId="165" fontId="42" fillId="12" borderId="44" xfId="35" applyFont="1" applyFill="1" applyBorder="1" applyAlignment="1">
      <alignment horizontal="center" vertical="center" wrapText="1"/>
    </xf>
    <xf numFmtId="0" fontId="43" fillId="12" borderId="44" xfId="0" applyFont="1" applyFill="1" applyBorder="1" applyAlignment="1">
      <alignment horizontal="center" vertical="center" wrapText="1"/>
    </xf>
    <xf numFmtId="165" fontId="49" fillId="13" borderId="19" xfId="12" applyFont="1" applyFill="1" applyBorder="1" applyAlignment="1">
      <alignment horizontal="center" vertical="center" wrapText="1"/>
    </xf>
    <xf numFmtId="0" fontId="51" fillId="13" borderId="25" xfId="0" applyFont="1" applyFill="1" applyBorder="1" applyAlignment="1">
      <alignment horizontal="center" vertical="center" wrapText="1"/>
    </xf>
    <xf numFmtId="0" fontId="49" fillId="13" borderId="17" xfId="0" applyFont="1" applyFill="1" applyBorder="1" applyAlignment="1">
      <alignment horizontal="center" vertical="center" wrapText="1"/>
    </xf>
    <xf numFmtId="0" fontId="51" fillId="13" borderId="11" xfId="0" applyFont="1" applyFill="1" applyBorder="1" applyAlignment="1">
      <alignment horizontal="center" vertical="center" wrapText="1"/>
    </xf>
    <xf numFmtId="0" fontId="50" fillId="13" borderId="18" xfId="0" applyFont="1" applyFill="1" applyBorder="1" applyAlignment="1">
      <alignment horizontal="center" vertical="center" wrapText="1"/>
    </xf>
    <xf numFmtId="0" fontId="48" fillId="13" borderId="44" xfId="0" applyFont="1" applyFill="1" applyBorder="1" applyAlignment="1">
      <alignment vertical="center" wrapText="1"/>
    </xf>
    <xf numFmtId="165" fontId="49" fillId="13" borderId="18" xfId="12" applyFont="1" applyFill="1" applyBorder="1" applyAlignment="1">
      <alignment horizontal="center" vertical="center" wrapText="1"/>
    </xf>
    <xf numFmtId="0" fontId="51" fillId="13" borderId="44" xfId="0" applyFont="1" applyFill="1" applyBorder="1" applyAlignment="1">
      <alignment horizontal="center" vertical="center" wrapText="1"/>
    </xf>
    <xf numFmtId="172" fontId="50" fillId="13" borderId="18" xfId="0" applyNumberFormat="1" applyFont="1" applyFill="1" applyBorder="1" applyAlignment="1" applyProtection="1">
      <alignment horizontal="center" vertical="center"/>
      <protection locked="0"/>
    </xf>
    <xf numFmtId="0" fontId="52" fillId="0" borderId="27" xfId="0" applyFont="1" applyBorder="1" applyAlignment="1">
      <alignment horizontal="center" vertical="center"/>
    </xf>
    <xf numFmtId="0" fontId="52" fillId="0" borderId="10" xfId="0" applyFont="1" applyBorder="1" applyAlignment="1">
      <alignment horizontal="center" vertical="center"/>
    </xf>
    <xf numFmtId="0" fontId="52" fillId="0" borderId="28" xfId="0" applyFont="1" applyBorder="1" applyAlignment="1">
      <alignment horizontal="center" vertical="center"/>
    </xf>
    <xf numFmtId="0" fontId="53" fillId="13" borderId="18" xfId="0" applyFont="1" applyFill="1" applyBorder="1" applyAlignment="1">
      <alignment horizontal="center" vertical="center" wrapText="1"/>
    </xf>
    <xf numFmtId="1" fontId="56" fillId="8" borderId="25" xfId="15" applyNumberFormat="1" applyFont="1" applyFill="1" applyBorder="1" applyAlignment="1" applyProtection="1">
      <alignment horizontal="center" vertical="center"/>
    </xf>
    <xf numFmtId="0" fontId="59" fillId="0" borderId="64" xfId="0" applyFont="1" applyFill="1" applyBorder="1" applyAlignment="1">
      <alignment horizontal="center" vertical="center" wrapText="1"/>
    </xf>
    <xf numFmtId="0" fontId="59" fillId="0" borderId="13" xfId="0" applyFont="1" applyFill="1" applyBorder="1" applyAlignment="1">
      <alignment horizontal="center" vertical="center" wrapText="1"/>
    </xf>
    <xf numFmtId="0" fontId="59" fillId="0" borderId="30" xfId="0" applyFont="1" applyFill="1" applyBorder="1" applyAlignment="1">
      <alignment horizontal="center" vertical="center" wrapText="1"/>
    </xf>
    <xf numFmtId="0" fontId="64" fillId="13" borderId="18" xfId="0" applyFont="1" applyFill="1" applyBorder="1" applyAlignment="1">
      <alignment horizontal="center" vertical="center" wrapText="1"/>
    </xf>
    <xf numFmtId="0" fontId="63" fillId="0" borderId="3" xfId="0" applyFont="1" applyBorder="1" applyAlignment="1">
      <alignment horizontal="center" vertical="center"/>
    </xf>
    <xf numFmtId="0" fontId="63" fillId="0" borderId="4" xfId="0" applyFont="1" applyBorder="1" applyAlignment="1">
      <alignment horizontal="center" vertical="center"/>
    </xf>
    <xf numFmtId="0" fontId="63" fillId="0" borderId="6" xfId="0" applyFont="1" applyBorder="1" applyAlignment="1">
      <alignment horizontal="center" vertical="center"/>
    </xf>
    <xf numFmtId="0" fontId="23" fillId="13" borderId="17" xfId="0" applyFont="1" applyFill="1" applyBorder="1" applyAlignment="1">
      <alignment horizontal="center" vertical="center" wrapText="1"/>
    </xf>
    <xf numFmtId="0" fontId="23" fillId="13" borderId="11" xfId="0" applyFont="1" applyFill="1" applyBorder="1" applyAlignment="1">
      <alignment horizontal="center" vertical="center" wrapText="1"/>
    </xf>
    <xf numFmtId="0" fontId="64" fillId="13" borderId="59" xfId="0" applyFont="1" applyFill="1" applyBorder="1" applyAlignment="1">
      <alignment horizontal="center" vertical="center" wrapText="1"/>
    </xf>
    <xf numFmtId="0" fontId="63" fillId="0" borderId="31" xfId="0" applyFont="1" applyBorder="1" applyAlignment="1">
      <alignment horizontal="center" vertical="center"/>
    </xf>
    <xf numFmtId="0" fontId="63" fillId="0" borderId="32" xfId="0" applyFont="1" applyBorder="1" applyAlignment="1">
      <alignment horizontal="center" vertical="center"/>
    </xf>
    <xf numFmtId="0" fontId="63" fillId="0" borderId="33" xfId="0" applyFont="1" applyBorder="1" applyAlignment="1">
      <alignment horizontal="center" vertical="center"/>
    </xf>
    <xf numFmtId="0" fontId="64" fillId="13" borderId="19" xfId="0" applyFont="1" applyFill="1" applyBorder="1" applyAlignment="1">
      <alignment horizontal="center" vertical="center" wrapText="1"/>
    </xf>
    <xf numFmtId="0" fontId="64" fillId="13" borderId="25" xfId="0" applyFont="1" applyFill="1" applyBorder="1" applyAlignment="1">
      <alignment horizontal="center" vertical="center" wrapText="1"/>
    </xf>
    <xf numFmtId="203" fontId="186" fillId="65" borderId="44" xfId="1" applyNumberFormat="1" applyFont="1" applyFill="1" applyBorder="1" applyAlignment="1">
      <alignment horizontal="center" vertical="center" wrapText="1"/>
    </xf>
    <xf numFmtId="0" fontId="188" fillId="4" borderId="44" xfId="0" applyFont="1" applyFill="1" applyBorder="1" applyAlignment="1">
      <alignment horizontal="right" vertical="center" wrapText="1"/>
    </xf>
    <xf numFmtId="0" fontId="184" fillId="0" borderId="44" xfId="0" applyFont="1" applyBorder="1" applyAlignment="1">
      <alignment horizontal="left" vertical="center"/>
    </xf>
    <xf numFmtId="0" fontId="186" fillId="65" borderId="44" xfId="35" applyNumberFormat="1" applyFont="1" applyFill="1" applyBorder="1" applyAlignment="1">
      <alignment horizontal="center" vertical="center" wrapText="1"/>
    </xf>
    <xf numFmtId="1" fontId="181" fillId="0" borderId="0" xfId="0" applyNumberFormat="1" applyFont="1" applyAlignment="1" applyProtection="1">
      <alignment horizontal="left" wrapText="1" shrinkToFit="1"/>
      <protection locked="0"/>
    </xf>
    <xf numFmtId="1" fontId="181" fillId="0" borderId="0" xfId="0" applyNumberFormat="1" applyFont="1" applyAlignment="1" applyProtection="1">
      <alignment horizontal="left" vertical="top" wrapText="1" shrinkToFit="1"/>
      <protection locked="0"/>
    </xf>
    <xf numFmtId="1" fontId="192" fillId="0" borderId="0" xfId="0" applyNumberFormat="1" applyFont="1" applyAlignment="1" applyProtection="1">
      <alignment horizontal="left" vertical="top" wrapText="1" shrinkToFit="1"/>
      <protection locked="0"/>
    </xf>
    <xf numFmtId="0" fontId="181" fillId="8" borderId="44" xfId="0" applyFont="1" applyFill="1" applyBorder="1" applyAlignment="1">
      <alignment horizontal="center" vertical="center"/>
    </xf>
    <xf numFmtId="0" fontId="181" fillId="8" borderId="44" xfId="0" applyFont="1" applyFill="1" applyBorder="1" applyAlignment="1">
      <alignment horizontal="center" vertical="center" wrapText="1"/>
    </xf>
    <xf numFmtId="166" fontId="181" fillId="8" borderId="44" xfId="7" applyNumberFormat="1" applyFont="1" applyFill="1" applyBorder="1" applyAlignment="1" applyProtection="1">
      <alignment horizontal="center" vertical="center"/>
      <protection locked="0"/>
    </xf>
    <xf numFmtId="0" fontId="180" fillId="8" borderId="103" xfId="0" applyFont="1" applyFill="1" applyBorder="1" applyAlignment="1" applyProtection="1">
      <alignment horizontal="center"/>
      <protection locked="0"/>
    </xf>
    <xf numFmtId="0" fontId="180" fillId="8" borderId="9" xfId="0" applyFont="1" applyFill="1" applyBorder="1" applyAlignment="1" applyProtection="1">
      <alignment horizontal="center"/>
      <protection locked="0"/>
    </xf>
    <xf numFmtId="1" fontId="171" fillId="0" borderId="0" xfId="0" applyNumberFormat="1" applyFont="1" applyAlignment="1" applyProtection="1">
      <alignment horizontal="left" wrapText="1" shrinkToFit="1"/>
      <protection locked="0"/>
    </xf>
    <xf numFmtId="1" fontId="170" fillId="0" borderId="0" xfId="0" applyNumberFormat="1" applyFont="1" applyAlignment="1" applyProtection="1">
      <alignment horizontal="left" vertical="top" wrapText="1" shrinkToFit="1"/>
      <protection locked="0"/>
    </xf>
    <xf numFmtId="1" fontId="170" fillId="0" borderId="0" xfId="0" applyNumberFormat="1" applyFont="1" applyAlignment="1" applyProtection="1">
      <alignment horizontal="left" wrapText="1" shrinkToFit="1"/>
      <protection locked="0"/>
    </xf>
    <xf numFmtId="0" fontId="32" fillId="7" borderId="67" xfId="13" applyFont="1" applyFill="1" applyBorder="1" applyAlignment="1" applyProtection="1">
      <alignment horizontal="center" vertical="center" wrapText="1"/>
      <protection locked="0"/>
    </xf>
    <xf numFmtId="0" fontId="30" fillId="0" borderId="69" xfId="13" applyFont="1" applyBorder="1" applyAlignment="1">
      <alignment horizontal="center" vertical="top" wrapText="1"/>
    </xf>
    <xf numFmtId="0" fontId="30" fillId="0" borderId="69" xfId="13" applyFont="1" applyBorder="1" applyAlignment="1">
      <alignment horizontal="left" vertical="center" wrapText="1"/>
    </xf>
    <xf numFmtId="164" fontId="31" fillId="0" borderId="68" xfId="0" applyNumberFormat="1" applyFont="1" applyBorder="1" applyAlignment="1">
      <alignment horizontal="center" vertical="center"/>
    </xf>
    <xf numFmtId="166" fontId="31" fillId="0" borderId="87" xfId="35" applyNumberFormat="1" applyFont="1" applyFill="1" applyBorder="1" applyAlignment="1" applyProtection="1">
      <alignment horizontal="center" vertical="center" wrapText="1"/>
      <protection locked="0"/>
    </xf>
    <xf numFmtId="166" fontId="31" fillId="0" borderId="13" xfId="35" applyNumberFormat="1" applyFont="1" applyFill="1" applyBorder="1" applyAlignment="1" applyProtection="1">
      <alignment horizontal="center" vertical="center" wrapText="1"/>
      <protection locked="0"/>
    </xf>
    <xf numFmtId="166" fontId="31" fillId="0" borderId="78" xfId="35" applyNumberFormat="1" applyFont="1" applyFill="1" applyBorder="1" applyAlignment="1" applyProtection="1">
      <alignment horizontal="center" vertical="center" wrapText="1"/>
      <protection locked="0"/>
    </xf>
    <xf numFmtId="0" fontId="31" fillId="0" borderId="69" xfId="0" applyFont="1" applyBorder="1" applyAlignment="1">
      <alignment horizontal="left" vertical="center" wrapText="1"/>
    </xf>
    <xf numFmtId="165" fontId="31" fillId="0" borderId="71" xfId="35" applyFont="1" applyFill="1" applyBorder="1" applyAlignment="1" applyProtection="1">
      <alignment horizontal="center" vertical="center"/>
    </xf>
    <xf numFmtId="165" fontId="31" fillId="0" borderId="5" xfId="35" applyFont="1" applyFill="1" applyBorder="1" applyAlignment="1" applyProtection="1">
      <alignment horizontal="center" vertical="center"/>
    </xf>
    <xf numFmtId="164" fontId="70" fillId="0" borderId="68" xfId="0" applyNumberFormat="1" applyFont="1" applyBorder="1" applyAlignment="1">
      <alignment horizontal="center" vertical="center"/>
    </xf>
    <xf numFmtId="0" fontId="70" fillId="0" borderId="69" xfId="0" applyFont="1" applyBorder="1" applyAlignment="1">
      <alignment horizontal="left" vertical="center" wrapText="1"/>
    </xf>
    <xf numFmtId="164" fontId="31" fillId="0" borderId="68" xfId="0" quotePrefix="1" applyNumberFormat="1" applyFont="1" applyBorder="1" applyAlignment="1">
      <alignment horizontal="center" vertical="center"/>
    </xf>
    <xf numFmtId="165" fontId="31" fillId="0" borderId="7" xfId="35" applyFont="1" applyFill="1" applyBorder="1" applyAlignment="1" applyProtection="1">
      <alignment horizontal="center" vertical="center"/>
    </xf>
    <xf numFmtId="164" fontId="31" fillId="0" borderId="68" xfId="0" quotePrefix="1" applyNumberFormat="1" applyFont="1" applyBorder="1" applyAlignment="1">
      <alignment horizontal="center" vertical="center" wrapText="1"/>
    </xf>
    <xf numFmtId="0" fontId="31" fillId="0" borderId="71" xfId="0" applyFont="1" applyBorder="1" applyAlignment="1">
      <alignment horizontal="center" vertical="center" wrapText="1"/>
    </xf>
    <xf numFmtId="0" fontId="31" fillId="0" borderId="7" xfId="0" applyFont="1" applyBorder="1" applyAlignment="1">
      <alignment horizontal="center" vertical="center" wrapText="1"/>
    </xf>
    <xf numFmtId="0" fontId="31" fillId="0" borderId="5" xfId="0" applyFont="1" applyBorder="1" applyAlignment="1">
      <alignment horizontal="center" vertical="center" wrapText="1"/>
    </xf>
    <xf numFmtId="165" fontId="30" fillId="8" borderId="8" xfId="12" applyFont="1" applyFill="1" applyBorder="1" applyAlignment="1" applyProtection="1">
      <alignment horizontal="left" vertical="center"/>
      <protection locked="0"/>
    </xf>
    <xf numFmtId="0" fontId="31" fillId="8" borderId="7" xfId="13" applyFont="1" applyFill="1" applyBorder="1" applyAlignment="1" applyProtection="1">
      <alignment horizontal="left"/>
      <protection locked="0"/>
    </xf>
    <xf numFmtId="166" fontId="30" fillId="0" borderId="23" xfId="7" applyNumberFormat="1" applyFont="1" applyFill="1" applyBorder="1" applyAlignment="1">
      <alignment horizontal="center" wrapText="1"/>
    </xf>
    <xf numFmtId="166" fontId="30" fillId="0" borderId="0" xfId="7" applyNumberFormat="1" applyFont="1" applyFill="1" applyBorder="1" applyAlignment="1">
      <alignment horizontal="center" wrapText="1"/>
    </xf>
    <xf numFmtId="0" fontId="31" fillId="0" borderId="69" xfId="0" applyFont="1" applyBorder="1" applyAlignment="1">
      <alignment horizontal="left" vertical="top" wrapText="1"/>
    </xf>
    <xf numFmtId="165" fontId="31" fillId="8" borderId="69" xfId="35" applyFont="1" applyFill="1" applyBorder="1" applyAlignment="1" applyProtection="1">
      <alignment horizontal="center" vertical="center"/>
    </xf>
    <xf numFmtId="0" fontId="31" fillId="0" borderId="69" xfId="0" applyFont="1" applyBorder="1" applyAlignment="1">
      <alignment horizontal="left" vertical="top"/>
    </xf>
    <xf numFmtId="0" fontId="31" fillId="0" borderId="69" xfId="25" applyFont="1" applyBorder="1" applyAlignment="1">
      <alignment horizontal="center" vertical="center" wrapText="1"/>
    </xf>
    <xf numFmtId="164" fontId="31" fillId="0" borderId="70" xfId="0" quotePrefix="1" applyNumberFormat="1" applyFont="1" applyBorder="1" applyAlignment="1">
      <alignment horizontal="center" vertical="center"/>
    </xf>
    <xf numFmtId="164" fontId="31" fillId="0" borderId="98" xfId="0" quotePrefix="1" applyNumberFormat="1" applyFont="1" applyBorder="1" applyAlignment="1">
      <alignment horizontal="center" vertical="center"/>
    </xf>
    <xf numFmtId="164" fontId="31" fillId="0" borderId="73" xfId="0" quotePrefix="1" applyNumberFormat="1" applyFont="1" applyBorder="1" applyAlignment="1">
      <alignment horizontal="center" vertical="center"/>
    </xf>
    <xf numFmtId="164" fontId="31" fillId="8" borderId="70" xfId="0" quotePrefix="1" applyNumberFormat="1" applyFont="1" applyFill="1" applyBorder="1" applyAlignment="1">
      <alignment horizontal="center" vertical="center" wrapText="1"/>
    </xf>
    <xf numFmtId="164" fontId="31" fillId="8" borderId="98" xfId="0" quotePrefix="1" applyNumberFormat="1" applyFont="1" applyFill="1" applyBorder="1" applyAlignment="1">
      <alignment horizontal="center" vertical="center" wrapText="1"/>
    </xf>
    <xf numFmtId="164" fontId="31" fillId="8" borderId="73" xfId="0" quotePrefix="1" applyNumberFormat="1" applyFont="1" applyFill="1" applyBorder="1" applyAlignment="1">
      <alignment horizontal="center" vertical="center" wrapText="1"/>
    </xf>
    <xf numFmtId="0" fontId="31" fillId="8" borderId="79" xfId="0" applyFont="1" applyFill="1" applyBorder="1" applyAlignment="1">
      <alignment horizontal="left" vertical="top" wrapText="1"/>
    </xf>
    <xf numFmtId="0" fontId="31" fillId="8" borderId="102" xfId="0" applyFont="1" applyFill="1" applyBorder="1" applyAlignment="1">
      <alignment horizontal="left" vertical="top" wrapText="1"/>
    </xf>
    <xf numFmtId="0" fontId="31" fillId="8" borderId="82" xfId="0" applyFont="1" applyFill="1" applyBorder="1" applyAlignment="1">
      <alignment horizontal="left" vertical="top" wrapText="1"/>
    </xf>
    <xf numFmtId="165" fontId="31" fillId="0" borderId="69" xfId="35" applyFont="1" applyFill="1" applyBorder="1" applyAlignment="1" applyProtection="1">
      <alignment horizontal="center" vertical="center"/>
    </xf>
    <xf numFmtId="166" fontId="31" fillId="0" borderId="83" xfId="35" applyNumberFormat="1" applyFont="1" applyFill="1" applyBorder="1" applyAlignment="1" applyProtection="1">
      <alignment horizontal="center" vertical="center" wrapText="1"/>
      <protection locked="0"/>
    </xf>
    <xf numFmtId="0" fontId="31" fillId="0" borderId="69" xfId="0" applyFont="1" applyBorder="1" applyAlignment="1">
      <alignment horizontal="center" vertical="top"/>
    </xf>
    <xf numFmtId="0" fontId="32" fillId="67" borderId="69" xfId="13" applyFont="1" applyFill="1" applyBorder="1" applyAlignment="1" applyProtection="1">
      <alignment horizontal="left" vertical="center"/>
      <protection locked="0"/>
    </xf>
    <xf numFmtId="0" fontId="30" fillId="8" borderId="46" xfId="13" applyFont="1" applyFill="1" applyBorder="1" applyAlignment="1" applyProtection="1">
      <alignment horizontal="left" vertical="center"/>
      <protection locked="0"/>
    </xf>
    <xf numFmtId="0" fontId="30" fillId="8" borderId="52" xfId="13" applyFont="1" applyFill="1" applyBorder="1" applyAlignment="1" applyProtection="1">
      <alignment horizontal="left" vertical="center"/>
      <protection locked="0"/>
    </xf>
    <xf numFmtId="0" fontId="30" fillId="8" borderId="45" xfId="13" applyFont="1" applyFill="1" applyBorder="1" applyAlignment="1" applyProtection="1">
      <alignment horizontal="left" vertical="center"/>
      <protection locked="0"/>
    </xf>
    <xf numFmtId="0" fontId="30" fillId="8" borderId="12" xfId="13" applyFont="1" applyFill="1" applyBorder="1" applyAlignment="1" applyProtection="1">
      <alignment horizontal="left" vertical="center"/>
      <protection locked="0"/>
    </xf>
    <xf numFmtId="0" fontId="30" fillId="8" borderId="0" xfId="13" applyFont="1" applyFill="1" applyAlignment="1" applyProtection="1">
      <alignment horizontal="left" vertical="center"/>
      <protection locked="0"/>
    </xf>
    <xf numFmtId="0" fontId="31" fillId="8" borderId="69" xfId="13" applyFont="1" applyFill="1" applyBorder="1" applyAlignment="1">
      <alignment horizontal="left" vertical="top" wrapText="1"/>
    </xf>
    <xf numFmtId="0" fontId="70" fillId="8" borderId="69" xfId="13" applyFont="1" applyFill="1" applyBorder="1"/>
    <xf numFmtId="0" fontId="31" fillId="8" borderId="69" xfId="13" applyFont="1" applyFill="1" applyBorder="1" applyAlignment="1">
      <alignment horizontal="left" vertical="top"/>
    </xf>
    <xf numFmtId="0" fontId="31" fillId="8" borderId="69" xfId="13" applyFont="1" applyFill="1" applyBorder="1" applyAlignment="1">
      <alignment horizontal="center" vertical="top"/>
    </xf>
    <xf numFmtId="0" fontId="30" fillId="8" borderId="69" xfId="13" applyFont="1" applyFill="1" applyBorder="1" applyAlignment="1">
      <alignment horizontal="left" vertical="top"/>
    </xf>
    <xf numFmtId="0" fontId="30" fillId="0" borderId="69" xfId="13" applyFont="1" applyBorder="1" applyAlignment="1">
      <alignment horizontal="center" vertical="top"/>
    </xf>
    <xf numFmtId="0" fontId="30" fillId="0" borderId="69" xfId="13" applyFont="1" applyBorder="1" applyAlignment="1">
      <alignment horizontal="left" vertical="top"/>
    </xf>
    <xf numFmtId="0" fontId="31" fillId="0" borderId="69" xfId="13" applyFont="1" applyBorder="1" applyAlignment="1">
      <alignment horizontal="left" vertical="top" wrapText="1"/>
    </xf>
    <xf numFmtId="0" fontId="31" fillId="0" borderId="69" xfId="13" applyFont="1" applyBorder="1" applyAlignment="1">
      <alignment horizontal="center" vertical="top"/>
    </xf>
    <xf numFmtId="0" fontId="31" fillId="0" borderId="69" xfId="13" applyFont="1" applyBorder="1" applyAlignment="1">
      <alignment horizontal="left" vertical="top"/>
    </xf>
    <xf numFmtId="0" fontId="31" fillId="0" borderId="69" xfId="13" applyFont="1" applyBorder="1" applyAlignment="1">
      <alignment horizontal="left" vertical="center" wrapText="1"/>
    </xf>
    <xf numFmtId="0" fontId="31" fillId="0" borderId="69" xfId="13" applyFont="1" applyBorder="1" applyAlignment="1">
      <alignment horizontal="left" vertical="center"/>
    </xf>
    <xf numFmtId="0" fontId="31" fillId="0" borderId="69" xfId="13" applyFont="1" applyBorder="1" applyAlignment="1">
      <alignment horizontal="center" vertical="center"/>
    </xf>
    <xf numFmtId="0" fontId="31" fillId="0" borderId="69" xfId="13" applyFont="1" applyBorder="1" applyAlignment="1">
      <alignment horizontal="center"/>
    </xf>
    <xf numFmtId="0" fontId="31" fillId="0" borderId="69" xfId="13" applyFont="1" applyBorder="1" applyAlignment="1">
      <alignment horizontal="left"/>
    </xf>
    <xf numFmtId="0" fontId="31" fillId="0" borderId="87" xfId="13" applyFont="1" applyBorder="1" applyAlignment="1" applyProtection="1">
      <alignment horizontal="center"/>
      <protection locked="0"/>
    </xf>
    <xf numFmtId="0" fontId="31" fillId="0" borderId="13" xfId="13" applyFont="1" applyBorder="1" applyAlignment="1" applyProtection="1">
      <alignment horizontal="center"/>
      <protection locked="0"/>
    </xf>
    <xf numFmtId="0" fontId="31" fillId="0" borderId="78" xfId="13" applyFont="1" applyBorder="1" applyAlignment="1" applyProtection="1">
      <alignment horizontal="center"/>
      <protection locked="0"/>
    </xf>
    <xf numFmtId="0" fontId="31" fillId="0" borderId="79" xfId="13" applyFont="1" applyBorder="1" applyAlignment="1">
      <alignment horizontal="left" vertical="center" wrapText="1"/>
    </xf>
    <xf numFmtId="0" fontId="31" fillId="0" borderId="102" xfId="13" applyFont="1" applyBorder="1" applyAlignment="1">
      <alignment horizontal="left" vertical="center" wrapText="1"/>
    </xf>
    <xf numFmtId="0" fontId="31" fillId="0" borderId="82" xfId="13" applyFont="1" applyBorder="1" applyAlignment="1">
      <alignment horizontal="left" vertical="center" wrapText="1"/>
    </xf>
    <xf numFmtId="0" fontId="206" fillId="0" borderId="79" xfId="0" applyFont="1" applyBorder="1" applyAlignment="1">
      <alignment horizontal="left" vertical="top" wrapText="1"/>
    </xf>
    <xf numFmtId="0" fontId="206" fillId="0" borderId="102" xfId="0" applyFont="1" applyBorder="1" applyAlignment="1">
      <alignment horizontal="left" vertical="top" wrapText="1"/>
    </xf>
    <xf numFmtId="0" fontId="206" fillId="0" borderId="82" xfId="0" applyFont="1" applyBorder="1" applyAlignment="1">
      <alignment horizontal="left" vertical="top" wrapText="1"/>
    </xf>
    <xf numFmtId="0" fontId="30" fillId="0" borderId="69" xfId="13" applyFont="1" applyBorder="1" applyAlignment="1">
      <alignment horizontal="left" vertical="top" wrapText="1"/>
    </xf>
    <xf numFmtId="0" fontId="31" fillId="8" borderId="69" xfId="0" applyFont="1" applyFill="1" applyBorder="1" applyAlignment="1">
      <alignment horizontal="left" vertical="top" wrapText="1"/>
    </xf>
    <xf numFmtId="0" fontId="30" fillId="8" borderId="69" xfId="0" applyFont="1" applyFill="1" applyBorder="1" applyAlignment="1">
      <alignment horizontal="left" vertical="top" wrapText="1"/>
    </xf>
    <xf numFmtId="0" fontId="30" fillId="8" borderId="69" xfId="0" applyFont="1" applyFill="1" applyBorder="1" applyAlignment="1" applyProtection="1">
      <alignment horizontal="left" vertical="center" wrapText="1"/>
      <protection locked="0"/>
    </xf>
    <xf numFmtId="0" fontId="31" fillId="0" borderId="68" xfId="13" applyFont="1" applyBorder="1" applyAlignment="1">
      <alignment horizontal="center" vertical="center"/>
    </xf>
    <xf numFmtId="0" fontId="30" fillId="0" borderId="79" xfId="13" applyFont="1" applyBorder="1" applyAlignment="1">
      <alignment horizontal="left" wrapText="1"/>
    </xf>
    <xf numFmtId="0" fontId="30" fillId="0" borderId="102" xfId="13" applyFont="1" applyBorder="1" applyAlignment="1">
      <alignment horizontal="left" wrapText="1"/>
    </xf>
    <xf numFmtId="0" fontId="30" fillId="0" borderId="82" xfId="13" applyFont="1" applyBorder="1" applyAlignment="1">
      <alignment horizontal="left" wrapText="1"/>
    </xf>
    <xf numFmtId="0" fontId="31" fillId="0" borderId="69" xfId="13" applyFont="1" applyBorder="1" applyAlignment="1">
      <alignment horizontal="center" vertical="top" wrapText="1"/>
    </xf>
    <xf numFmtId="1" fontId="43" fillId="0" borderId="44" xfId="0" applyNumberFormat="1" applyFont="1" applyFill="1" applyBorder="1" applyAlignment="1">
      <alignment horizontal="center" vertical="center"/>
    </xf>
    <xf numFmtId="41" fontId="43" fillId="0" borderId="25" xfId="0" applyNumberFormat="1" applyFont="1" applyFill="1" applyBorder="1" applyAlignment="1" applyProtection="1">
      <alignment horizontal="center" vertical="center" wrapText="1"/>
      <protection locked="0"/>
    </xf>
    <xf numFmtId="0" fontId="22" fillId="0" borderId="59" xfId="0" applyFont="1" applyFill="1" applyBorder="1" applyAlignment="1" applyProtection="1">
      <alignment horizontal="center" vertical="center" wrapText="1"/>
    </xf>
    <xf numFmtId="0" fontId="22" fillId="0" borderId="44" xfId="0" applyFont="1" applyFill="1" applyBorder="1" applyAlignment="1" applyProtection="1">
      <alignment horizontal="center" vertical="center" wrapText="1"/>
    </xf>
    <xf numFmtId="0" fontId="22" fillId="0" borderId="103" xfId="0" applyFont="1" applyFill="1" applyBorder="1" applyAlignment="1" applyProtection="1">
      <alignment horizontal="center" vertical="center" wrapText="1"/>
    </xf>
    <xf numFmtId="1" fontId="22" fillId="0" borderId="59" xfId="1" applyNumberFormat="1" applyFont="1" applyFill="1" applyBorder="1" applyAlignment="1" applyProtection="1">
      <alignment horizontal="center" vertical="center"/>
      <protection locked="0"/>
    </xf>
    <xf numFmtId="165" fontId="22" fillId="0" borderId="25" xfId="0" applyNumberFormat="1" applyFont="1" applyFill="1" applyBorder="1" applyAlignment="1" applyProtection="1">
      <alignment horizontal="center" vertical="center" wrapText="1"/>
      <protection locked="0"/>
    </xf>
    <xf numFmtId="0" fontId="22" fillId="0" borderId="9" xfId="0" applyFont="1" applyFill="1" applyBorder="1" applyAlignment="1" applyProtection="1">
      <alignment horizontal="center" vertical="center" wrapText="1"/>
    </xf>
    <xf numFmtId="165" fontId="22" fillId="0" borderId="25" xfId="0" applyNumberFormat="1" applyFont="1" applyFill="1" applyBorder="1" applyAlignment="1" applyProtection="1">
      <alignment horizontal="center" vertical="center" wrapText="1"/>
      <protection locked="0"/>
    </xf>
    <xf numFmtId="3" fontId="39" fillId="0" borderId="25" xfId="0" applyNumberFormat="1" applyFont="1" applyFill="1" applyBorder="1" applyAlignment="1">
      <alignment vertical="center"/>
    </xf>
    <xf numFmtId="0" fontId="34" fillId="0" borderId="25" xfId="0" applyFont="1" applyFill="1" applyBorder="1" applyAlignment="1">
      <alignment vertical="center" wrapText="1"/>
    </xf>
  </cellXfs>
  <cellStyles count="37279">
    <cellStyle name="%" xfId="37239" xr:uid="{00000000-0005-0000-0000-000000000000}"/>
    <cellStyle name="." xfId="989" xr:uid="{00000000-0005-0000-0000-000001000000}"/>
    <cellStyle name="??" xfId="990" xr:uid="{00000000-0005-0000-0000-000002000000}"/>
    <cellStyle name="?? [0.00]_laroux" xfId="991" xr:uid="{00000000-0005-0000-0000-000003000000}"/>
    <cellStyle name="???? [0.00]_laroux" xfId="992" xr:uid="{00000000-0005-0000-0000-000004000000}"/>
    <cellStyle name="????_laroux" xfId="993" xr:uid="{00000000-0005-0000-0000-000005000000}"/>
    <cellStyle name="??[0]_770 Detail (2)_770 Sum (2)81" xfId="994" xr:uid="{00000000-0005-0000-0000-000006000000}"/>
    <cellStyle name="??_??" xfId="995" xr:uid="{00000000-0005-0000-0000-000007000000}"/>
    <cellStyle name="_05.08.12_BOQ HIAL" xfId="996" xr:uid="{00000000-0005-0000-0000-000008000000}"/>
    <cellStyle name="_Area Statement 0705017" xfId="997" xr:uid="{00000000-0005-0000-0000-000009000000}"/>
    <cellStyle name="_BOQ-Fire Alarm" xfId="37240" xr:uid="{00000000-0005-0000-0000-00000A000000}"/>
    <cellStyle name="_BOQ-FIRE EXTINGUSHERS" xfId="37241" xr:uid="{00000000-0005-0000-0000-00000B000000}"/>
    <cellStyle name="_Break UP - Final" xfId="111" xr:uid="{00000000-0005-0000-0000-000000000000}"/>
    <cellStyle name="_External Works BOQ's" xfId="998" xr:uid="{00000000-0005-0000-0000-00000D000000}"/>
    <cellStyle name="_RA_CIVIL-st-ext_BOQ1" xfId="999" xr:uid="{00000000-0005-0000-0000-00000E000000}"/>
    <cellStyle name="_RA_Marketcity" xfId="1000" xr:uid="{00000000-0005-0000-0000-00000F000000}"/>
    <cellStyle name="_Recons-Fire Fighting" xfId="1001" xr:uid="{00000000-0005-0000-0000-000010000000}"/>
    <cellStyle name="_Recons-Fire Fighting 2" xfId="1002" xr:uid="{00000000-0005-0000-0000-000011000000}"/>
    <cellStyle name="_Recons-Fire Fighting 3" xfId="1003" xr:uid="{00000000-0005-0000-0000-000012000000}"/>
    <cellStyle name="_Recons-Fire Fighting 4" xfId="1004" xr:uid="{00000000-0005-0000-0000-000013000000}"/>
    <cellStyle name="_Recons-Fire Fighting 5" xfId="1005" xr:uid="{00000000-0005-0000-0000-000014000000}"/>
    <cellStyle name="_Recons-Fire Fighting 6" xfId="1006" xr:uid="{00000000-0005-0000-0000-000015000000}"/>
    <cellStyle name="_Recons-Fire Fighting 7" xfId="1007" xr:uid="{00000000-0005-0000-0000-000016000000}"/>
    <cellStyle name="_Recons-Fire Fighting 8" xfId="1008" xr:uid="{00000000-0005-0000-0000-000017000000}"/>
    <cellStyle name="•W_Electrical" xfId="1009" xr:uid="{00000000-0005-0000-0000-000018000000}"/>
    <cellStyle name="0,0_x000a__x000a_NA_x000a__x000a_" xfId="37242" xr:uid="{00000000-0005-0000-0000-000019000000}"/>
    <cellStyle name="0,0_x000d__x000a_NA_x000d__x000a_" xfId="30" xr:uid="{00000000-0005-0000-0000-000000000000}"/>
    <cellStyle name="0,0_x000d__x000a_NA_x000d__x000a_ 2" xfId="31" xr:uid="{00000000-0005-0000-0000-000001000000}"/>
    <cellStyle name="20% - Accent1 2" xfId="112" xr:uid="{00000000-0005-0000-0000-000002000000}"/>
    <cellStyle name="20% - Accent1 2 10" xfId="1010" xr:uid="{00000000-0005-0000-0000-00001D000000}"/>
    <cellStyle name="20% - Accent1 2 11" xfId="1011" xr:uid="{00000000-0005-0000-0000-00001E000000}"/>
    <cellStyle name="20% - Accent1 2 12" xfId="1012" xr:uid="{00000000-0005-0000-0000-00001F000000}"/>
    <cellStyle name="20% - Accent1 2 13" xfId="1013" xr:uid="{00000000-0005-0000-0000-000020000000}"/>
    <cellStyle name="20% - Accent1 2 14" xfId="1014" xr:uid="{00000000-0005-0000-0000-000021000000}"/>
    <cellStyle name="20% - Accent1 2 15" xfId="1015" xr:uid="{00000000-0005-0000-0000-000022000000}"/>
    <cellStyle name="20% - Accent1 2 16" xfId="1016" xr:uid="{00000000-0005-0000-0000-000023000000}"/>
    <cellStyle name="20% - Accent1 2 17" xfId="1017" xr:uid="{00000000-0005-0000-0000-000024000000}"/>
    <cellStyle name="20% - Accent1 2 18" xfId="1018" xr:uid="{00000000-0005-0000-0000-000025000000}"/>
    <cellStyle name="20% - Accent1 2 19" xfId="1019" xr:uid="{00000000-0005-0000-0000-000026000000}"/>
    <cellStyle name="20% - Accent1 2 2" xfId="1020" xr:uid="{00000000-0005-0000-0000-000027000000}"/>
    <cellStyle name="20% - Accent1 2 2 2" xfId="1021" xr:uid="{00000000-0005-0000-0000-000028000000}"/>
    <cellStyle name="20% - Accent1 2 2 3" xfId="1022" xr:uid="{00000000-0005-0000-0000-000029000000}"/>
    <cellStyle name="20% - Accent1 2 2 4" xfId="1023" xr:uid="{00000000-0005-0000-0000-00002A000000}"/>
    <cellStyle name="20% - Accent1 2 2 5" xfId="1024" xr:uid="{00000000-0005-0000-0000-00002B000000}"/>
    <cellStyle name="20% - Accent1 2 20" xfId="1025" xr:uid="{00000000-0005-0000-0000-00002C000000}"/>
    <cellStyle name="20% - Accent1 2 21" xfId="1026" xr:uid="{00000000-0005-0000-0000-00002D000000}"/>
    <cellStyle name="20% - Accent1 2 22" xfId="1027" xr:uid="{00000000-0005-0000-0000-00002E000000}"/>
    <cellStyle name="20% - Accent1 2 23" xfId="1028" xr:uid="{00000000-0005-0000-0000-00002F000000}"/>
    <cellStyle name="20% - Accent1 2 3" xfId="1029" xr:uid="{00000000-0005-0000-0000-000030000000}"/>
    <cellStyle name="20% - Accent1 2 3 2" xfId="1030" xr:uid="{00000000-0005-0000-0000-000031000000}"/>
    <cellStyle name="20% - Accent1 2 3 3" xfId="1031" xr:uid="{00000000-0005-0000-0000-000032000000}"/>
    <cellStyle name="20% - Accent1 2 3 4" xfId="1032" xr:uid="{00000000-0005-0000-0000-000033000000}"/>
    <cellStyle name="20% - Accent1 2 3 5" xfId="1033" xr:uid="{00000000-0005-0000-0000-000034000000}"/>
    <cellStyle name="20% - Accent1 2 4" xfId="1034" xr:uid="{00000000-0005-0000-0000-000035000000}"/>
    <cellStyle name="20% - Accent1 2 4 2" xfId="1035" xr:uid="{00000000-0005-0000-0000-000036000000}"/>
    <cellStyle name="20% - Accent1 2 4 3" xfId="1036" xr:uid="{00000000-0005-0000-0000-000037000000}"/>
    <cellStyle name="20% - Accent1 2 4 4" xfId="1037" xr:uid="{00000000-0005-0000-0000-000038000000}"/>
    <cellStyle name="20% - Accent1 2 4 5" xfId="1038" xr:uid="{00000000-0005-0000-0000-000039000000}"/>
    <cellStyle name="20% - Accent1 2 5" xfId="1039" xr:uid="{00000000-0005-0000-0000-00003A000000}"/>
    <cellStyle name="20% - Accent1 2 6" xfId="1040" xr:uid="{00000000-0005-0000-0000-00003B000000}"/>
    <cellStyle name="20% - Accent1 2 7" xfId="1041" xr:uid="{00000000-0005-0000-0000-00003C000000}"/>
    <cellStyle name="20% - Accent1 2 8" xfId="1042" xr:uid="{00000000-0005-0000-0000-00003D000000}"/>
    <cellStyle name="20% - Accent1 2 9" xfId="1043" xr:uid="{00000000-0005-0000-0000-00003E000000}"/>
    <cellStyle name="20% - Accent1 3" xfId="1044" xr:uid="{00000000-0005-0000-0000-00003F000000}"/>
    <cellStyle name="20% - Accent1 4" xfId="1045" xr:uid="{00000000-0005-0000-0000-000040000000}"/>
    <cellStyle name="20% - Accent1 5" xfId="1046" xr:uid="{00000000-0005-0000-0000-000041000000}"/>
    <cellStyle name="20% - Accent1 5 2" xfId="1047" xr:uid="{00000000-0005-0000-0000-000042000000}"/>
    <cellStyle name="20% - Accent2 2" xfId="113" xr:uid="{00000000-0005-0000-0000-000003000000}"/>
    <cellStyle name="20% - Accent2 2 10" xfId="1048" xr:uid="{00000000-0005-0000-0000-000044000000}"/>
    <cellStyle name="20% - Accent2 2 11" xfId="1049" xr:uid="{00000000-0005-0000-0000-000045000000}"/>
    <cellStyle name="20% - Accent2 2 12" xfId="1050" xr:uid="{00000000-0005-0000-0000-000046000000}"/>
    <cellStyle name="20% - Accent2 2 13" xfId="1051" xr:uid="{00000000-0005-0000-0000-000047000000}"/>
    <cellStyle name="20% - Accent2 2 14" xfId="1052" xr:uid="{00000000-0005-0000-0000-000048000000}"/>
    <cellStyle name="20% - Accent2 2 15" xfId="1053" xr:uid="{00000000-0005-0000-0000-000049000000}"/>
    <cellStyle name="20% - Accent2 2 16" xfId="1054" xr:uid="{00000000-0005-0000-0000-00004A000000}"/>
    <cellStyle name="20% - Accent2 2 17" xfId="1055" xr:uid="{00000000-0005-0000-0000-00004B000000}"/>
    <cellStyle name="20% - Accent2 2 18" xfId="1056" xr:uid="{00000000-0005-0000-0000-00004C000000}"/>
    <cellStyle name="20% - Accent2 2 19" xfId="1057" xr:uid="{00000000-0005-0000-0000-00004D000000}"/>
    <cellStyle name="20% - Accent2 2 2" xfId="1058" xr:uid="{00000000-0005-0000-0000-00004E000000}"/>
    <cellStyle name="20% - Accent2 2 2 2" xfId="1059" xr:uid="{00000000-0005-0000-0000-00004F000000}"/>
    <cellStyle name="20% - Accent2 2 2 3" xfId="1060" xr:uid="{00000000-0005-0000-0000-000050000000}"/>
    <cellStyle name="20% - Accent2 2 2 4" xfId="1061" xr:uid="{00000000-0005-0000-0000-000051000000}"/>
    <cellStyle name="20% - Accent2 2 2 5" xfId="1062" xr:uid="{00000000-0005-0000-0000-000052000000}"/>
    <cellStyle name="20% - Accent2 2 20" xfId="1063" xr:uid="{00000000-0005-0000-0000-000053000000}"/>
    <cellStyle name="20% - Accent2 2 21" xfId="1064" xr:uid="{00000000-0005-0000-0000-000054000000}"/>
    <cellStyle name="20% - Accent2 2 22" xfId="1065" xr:uid="{00000000-0005-0000-0000-000055000000}"/>
    <cellStyle name="20% - Accent2 2 23" xfId="1066" xr:uid="{00000000-0005-0000-0000-000056000000}"/>
    <cellStyle name="20% - Accent2 2 3" xfId="1067" xr:uid="{00000000-0005-0000-0000-000057000000}"/>
    <cellStyle name="20% - Accent2 2 3 2" xfId="1068" xr:uid="{00000000-0005-0000-0000-000058000000}"/>
    <cellStyle name="20% - Accent2 2 3 3" xfId="1069" xr:uid="{00000000-0005-0000-0000-000059000000}"/>
    <cellStyle name="20% - Accent2 2 3 4" xfId="1070" xr:uid="{00000000-0005-0000-0000-00005A000000}"/>
    <cellStyle name="20% - Accent2 2 3 5" xfId="1071" xr:uid="{00000000-0005-0000-0000-00005B000000}"/>
    <cellStyle name="20% - Accent2 2 4" xfId="1072" xr:uid="{00000000-0005-0000-0000-00005C000000}"/>
    <cellStyle name="20% - Accent2 2 4 2" xfId="1073" xr:uid="{00000000-0005-0000-0000-00005D000000}"/>
    <cellStyle name="20% - Accent2 2 4 3" xfId="1074" xr:uid="{00000000-0005-0000-0000-00005E000000}"/>
    <cellStyle name="20% - Accent2 2 4 4" xfId="1075" xr:uid="{00000000-0005-0000-0000-00005F000000}"/>
    <cellStyle name="20% - Accent2 2 4 5" xfId="1076" xr:uid="{00000000-0005-0000-0000-000060000000}"/>
    <cellStyle name="20% - Accent2 2 5" xfId="1077" xr:uid="{00000000-0005-0000-0000-000061000000}"/>
    <cellStyle name="20% - Accent2 2 6" xfId="1078" xr:uid="{00000000-0005-0000-0000-000062000000}"/>
    <cellStyle name="20% - Accent2 2 7" xfId="1079" xr:uid="{00000000-0005-0000-0000-000063000000}"/>
    <cellStyle name="20% - Accent2 2 8" xfId="1080" xr:uid="{00000000-0005-0000-0000-000064000000}"/>
    <cellStyle name="20% - Accent2 2 9" xfId="1081" xr:uid="{00000000-0005-0000-0000-000065000000}"/>
    <cellStyle name="20% - Accent2 3" xfId="1082" xr:uid="{00000000-0005-0000-0000-000066000000}"/>
    <cellStyle name="20% - Accent2 4" xfId="1083" xr:uid="{00000000-0005-0000-0000-000067000000}"/>
    <cellStyle name="20% - Accent2 5" xfId="1084" xr:uid="{00000000-0005-0000-0000-000068000000}"/>
    <cellStyle name="20% - Accent2 5 2" xfId="1085" xr:uid="{00000000-0005-0000-0000-000069000000}"/>
    <cellStyle name="20% - Accent3 2" xfId="114" xr:uid="{00000000-0005-0000-0000-000004000000}"/>
    <cellStyle name="20% - Accent3 2 10" xfId="1086" xr:uid="{00000000-0005-0000-0000-00006B000000}"/>
    <cellStyle name="20% - Accent3 2 11" xfId="1087" xr:uid="{00000000-0005-0000-0000-00006C000000}"/>
    <cellStyle name="20% - Accent3 2 12" xfId="1088" xr:uid="{00000000-0005-0000-0000-00006D000000}"/>
    <cellStyle name="20% - Accent3 2 13" xfId="1089" xr:uid="{00000000-0005-0000-0000-00006E000000}"/>
    <cellStyle name="20% - Accent3 2 14" xfId="1090" xr:uid="{00000000-0005-0000-0000-00006F000000}"/>
    <cellStyle name="20% - Accent3 2 15" xfId="1091" xr:uid="{00000000-0005-0000-0000-000070000000}"/>
    <cellStyle name="20% - Accent3 2 16" xfId="1092" xr:uid="{00000000-0005-0000-0000-000071000000}"/>
    <cellStyle name="20% - Accent3 2 17" xfId="1093" xr:uid="{00000000-0005-0000-0000-000072000000}"/>
    <cellStyle name="20% - Accent3 2 18" xfId="1094" xr:uid="{00000000-0005-0000-0000-000073000000}"/>
    <cellStyle name="20% - Accent3 2 19" xfId="1095" xr:uid="{00000000-0005-0000-0000-000074000000}"/>
    <cellStyle name="20% - Accent3 2 2" xfId="1096" xr:uid="{00000000-0005-0000-0000-000075000000}"/>
    <cellStyle name="20% - Accent3 2 2 2" xfId="1097" xr:uid="{00000000-0005-0000-0000-000076000000}"/>
    <cellStyle name="20% - Accent3 2 2 3" xfId="1098" xr:uid="{00000000-0005-0000-0000-000077000000}"/>
    <cellStyle name="20% - Accent3 2 2 4" xfId="1099" xr:uid="{00000000-0005-0000-0000-000078000000}"/>
    <cellStyle name="20% - Accent3 2 2 5" xfId="1100" xr:uid="{00000000-0005-0000-0000-000079000000}"/>
    <cellStyle name="20% - Accent3 2 20" xfId="1101" xr:uid="{00000000-0005-0000-0000-00007A000000}"/>
    <cellStyle name="20% - Accent3 2 21" xfId="1102" xr:uid="{00000000-0005-0000-0000-00007B000000}"/>
    <cellStyle name="20% - Accent3 2 22" xfId="1103" xr:uid="{00000000-0005-0000-0000-00007C000000}"/>
    <cellStyle name="20% - Accent3 2 23" xfId="1104" xr:uid="{00000000-0005-0000-0000-00007D000000}"/>
    <cellStyle name="20% - Accent3 2 24" xfId="37259" xr:uid="{00000000-0005-0000-0000-00007E000000}"/>
    <cellStyle name="20% - Accent3 2 3" xfId="1105" xr:uid="{00000000-0005-0000-0000-00007F000000}"/>
    <cellStyle name="20% - Accent3 2 3 2" xfId="1106" xr:uid="{00000000-0005-0000-0000-000080000000}"/>
    <cellStyle name="20% - Accent3 2 3 3" xfId="1107" xr:uid="{00000000-0005-0000-0000-000081000000}"/>
    <cellStyle name="20% - Accent3 2 3 4" xfId="1108" xr:uid="{00000000-0005-0000-0000-000082000000}"/>
    <cellStyle name="20% - Accent3 2 3 5" xfId="1109" xr:uid="{00000000-0005-0000-0000-000083000000}"/>
    <cellStyle name="20% - Accent3 2 4" xfId="1110" xr:uid="{00000000-0005-0000-0000-000084000000}"/>
    <cellStyle name="20% - Accent3 2 4 2" xfId="1111" xr:uid="{00000000-0005-0000-0000-000085000000}"/>
    <cellStyle name="20% - Accent3 2 4 3" xfId="1112" xr:uid="{00000000-0005-0000-0000-000086000000}"/>
    <cellStyle name="20% - Accent3 2 4 4" xfId="1113" xr:uid="{00000000-0005-0000-0000-000087000000}"/>
    <cellStyle name="20% - Accent3 2 4 5" xfId="1114" xr:uid="{00000000-0005-0000-0000-000088000000}"/>
    <cellStyle name="20% - Accent3 2 5" xfId="1115" xr:uid="{00000000-0005-0000-0000-000089000000}"/>
    <cellStyle name="20% - Accent3 2 6" xfId="1116" xr:uid="{00000000-0005-0000-0000-00008A000000}"/>
    <cellStyle name="20% - Accent3 2 7" xfId="1117" xr:uid="{00000000-0005-0000-0000-00008B000000}"/>
    <cellStyle name="20% - Accent3 2 8" xfId="1118" xr:uid="{00000000-0005-0000-0000-00008C000000}"/>
    <cellStyle name="20% - Accent3 2 9" xfId="1119" xr:uid="{00000000-0005-0000-0000-00008D000000}"/>
    <cellStyle name="20% - Accent3 3" xfId="1120" xr:uid="{00000000-0005-0000-0000-00008E000000}"/>
    <cellStyle name="20% - Accent3 4" xfId="1121" xr:uid="{00000000-0005-0000-0000-00008F000000}"/>
    <cellStyle name="20% - Accent3 5" xfId="1122" xr:uid="{00000000-0005-0000-0000-000090000000}"/>
    <cellStyle name="20% - Accent3 5 2" xfId="1123" xr:uid="{00000000-0005-0000-0000-000091000000}"/>
    <cellStyle name="20% - Accent4 2" xfId="115" xr:uid="{00000000-0005-0000-0000-000005000000}"/>
    <cellStyle name="20% - Accent4 2 10" xfId="1124" xr:uid="{00000000-0005-0000-0000-000093000000}"/>
    <cellStyle name="20% - Accent4 2 11" xfId="1125" xr:uid="{00000000-0005-0000-0000-000094000000}"/>
    <cellStyle name="20% - Accent4 2 12" xfId="1126" xr:uid="{00000000-0005-0000-0000-000095000000}"/>
    <cellStyle name="20% - Accent4 2 13" xfId="1127" xr:uid="{00000000-0005-0000-0000-000096000000}"/>
    <cellStyle name="20% - Accent4 2 14" xfId="1128" xr:uid="{00000000-0005-0000-0000-000097000000}"/>
    <cellStyle name="20% - Accent4 2 15" xfId="1129" xr:uid="{00000000-0005-0000-0000-000098000000}"/>
    <cellStyle name="20% - Accent4 2 16" xfId="1130" xr:uid="{00000000-0005-0000-0000-000099000000}"/>
    <cellStyle name="20% - Accent4 2 17" xfId="1131" xr:uid="{00000000-0005-0000-0000-00009A000000}"/>
    <cellStyle name="20% - Accent4 2 18" xfId="1132" xr:uid="{00000000-0005-0000-0000-00009B000000}"/>
    <cellStyle name="20% - Accent4 2 19" xfId="1133" xr:uid="{00000000-0005-0000-0000-00009C000000}"/>
    <cellStyle name="20% - Accent4 2 2" xfId="1134" xr:uid="{00000000-0005-0000-0000-00009D000000}"/>
    <cellStyle name="20% - Accent4 2 2 2" xfId="1135" xr:uid="{00000000-0005-0000-0000-00009E000000}"/>
    <cellStyle name="20% - Accent4 2 2 3" xfId="1136" xr:uid="{00000000-0005-0000-0000-00009F000000}"/>
    <cellStyle name="20% - Accent4 2 2 4" xfId="1137" xr:uid="{00000000-0005-0000-0000-0000A0000000}"/>
    <cellStyle name="20% - Accent4 2 2 5" xfId="1138" xr:uid="{00000000-0005-0000-0000-0000A1000000}"/>
    <cellStyle name="20% - Accent4 2 20" xfId="1139" xr:uid="{00000000-0005-0000-0000-0000A2000000}"/>
    <cellStyle name="20% - Accent4 2 21" xfId="1140" xr:uid="{00000000-0005-0000-0000-0000A3000000}"/>
    <cellStyle name="20% - Accent4 2 22" xfId="1141" xr:uid="{00000000-0005-0000-0000-0000A4000000}"/>
    <cellStyle name="20% - Accent4 2 23" xfId="1142" xr:uid="{00000000-0005-0000-0000-0000A5000000}"/>
    <cellStyle name="20% - Accent4 2 3" xfId="1143" xr:uid="{00000000-0005-0000-0000-0000A6000000}"/>
    <cellStyle name="20% - Accent4 2 3 2" xfId="1144" xr:uid="{00000000-0005-0000-0000-0000A7000000}"/>
    <cellStyle name="20% - Accent4 2 3 3" xfId="1145" xr:uid="{00000000-0005-0000-0000-0000A8000000}"/>
    <cellStyle name="20% - Accent4 2 3 4" xfId="1146" xr:uid="{00000000-0005-0000-0000-0000A9000000}"/>
    <cellStyle name="20% - Accent4 2 3 5" xfId="1147" xr:uid="{00000000-0005-0000-0000-0000AA000000}"/>
    <cellStyle name="20% - Accent4 2 4" xfId="1148" xr:uid="{00000000-0005-0000-0000-0000AB000000}"/>
    <cellStyle name="20% - Accent4 2 4 2" xfId="1149" xr:uid="{00000000-0005-0000-0000-0000AC000000}"/>
    <cellStyle name="20% - Accent4 2 4 3" xfId="1150" xr:uid="{00000000-0005-0000-0000-0000AD000000}"/>
    <cellStyle name="20% - Accent4 2 4 4" xfId="1151" xr:uid="{00000000-0005-0000-0000-0000AE000000}"/>
    <cellStyle name="20% - Accent4 2 4 5" xfId="1152" xr:uid="{00000000-0005-0000-0000-0000AF000000}"/>
    <cellStyle name="20% - Accent4 2 5" xfId="1153" xr:uid="{00000000-0005-0000-0000-0000B0000000}"/>
    <cellStyle name="20% - Accent4 2 6" xfId="1154" xr:uid="{00000000-0005-0000-0000-0000B1000000}"/>
    <cellStyle name="20% - Accent4 2 7" xfId="1155" xr:uid="{00000000-0005-0000-0000-0000B2000000}"/>
    <cellStyle name="20% - Accent4 2 8" xfId="1156" xr:uid="{00000000-0005-0000-0000-0000B3000000}"/>
    <cellStyle name="20% - Accent4 2 9" xfId="1157" xr:uid="{00000000-0005-0000-0000-0000B4000000}"/>
    <cellStyle name="20% - Accent4 3" xfId="1158" xr:uid="{00000000-0005-0000-0000-0000B5000000}"/>
    <cellStyle name="20% - Accent4 4" xfId="1159" xr:uid="{00000000-0005-0000-0000-0000B6000000}"/>
    <cellStyle name="20% - Accent4 5" xfId="1160" xr:uid="{00000000-0005-0000-0000-0000B7000000}"/>
    <cellStyle name="20% - Accent4 5 2" xfId="1161" xr:uid="{00000000-0005-0000-0000-0000B8000000}"/>
    <cellStyle name="20% - Accent5 2" xfId="116" xr:uid="{00000000-0005-0000-0000-000006000000}"/>
    <cellStyle name="20% - Accent5 2 10" xfId="1162" xr:uid="{00000000-0005-0000-0000-0000BA000000}"/>
    <cellStyle name="20% - Accent5 2 11" xfId="1163" xr:uid="{00000000-0005-0000-0000-0000BB000000}"/>
    <cellStyle name="20% - Accent5 2 12" xfId="1164" xr:uid="{00000000-0005-0000-0000-0000BC000000}"/>
    <cellStyle name="20% - Accent5 2 13" xfId="1165" xr:uid="{00000000-0005-0000-0000-0000BD000000}"/>
    <cellStyle name="20% - Accent5 2 14" xfId="1166" xr:uid="{00000000-0005-0000-0000-0000BE000000}"/>
    <cellStyle name="20% - Accent5 2 15" xfId="1167" xr:uid="{00000000-0005-0000-0000-0000BF000000}"/>
    <cellStyle name="20% - Accent5 2 16" xfId="1168" xr:uid="{00000000-0005-0000-0000-0000C0000000}"/>
    <cellStyle name="20% - Accent5 2 17" xfId="1169" xr:uid="{00000000-0005-0000-0000-0000C1000000}"/>
    <cellStyle name="20% - Accent5 2 18" xfId="1170" xr:uid="{00000000-0005-0000-0000-0000C2000000}"/>
    <cellStyle name="20% - Accent5 2 19" xfId="1171" xr:uid="{00000000-0005-0000-0000-0000C3000000}"/>
    <cellStyle name="20% - Accent5 2 2" xfId="1172" xr:uid="{00000000-0005-0000-0000-0000C4000000}"/>
    <cellStyle name="20% - Accent5 2 2 2" xfId="1173" xr:uid="{00000000-0005-0000-0000-0000C5000000}"/>
    <cellStyle name="20% - Accent5 2 2 3" xfId="1174" xr:uid="{00000000-0005-0000-0000-0000C6000000}"/>
    <cellStyle name="20% - Accent5 2 2 4" xfId="1175" xr:uid="{00000000-0005-0000-0000-0000C7000000}"/>
    <cellStyle name="20% - Accent5 2 2 5" xfId="1176" xr:uid="{00000000-0005-0000-0000-0000C8000000}"/>
    <cellStyle name="20% - Accent5 2 20" xfId="1177" xr:uid="{00000000-0005-0000-0000-0000C9000000}"/>
    <cellStyle name="20% - Accent5 2 21" xfId="1178" xr:uid="{00000000-0005-0000-0000-0000CA000000}"/>
    <cellStyle name="20% - Accent5 2 22" xfId="1179" xr:uid="{00000000-0005-0000-0000-0000CB000000}"/>
    <cellStyle name="20% - Accent5 2 23" xfId="1180" xr:uid="{00000000-0005-0000-0000-0000CC000000}"/>
    <cellStyle name="20% - Accent5 2 3" xfId="1181" xr:uid="{00000000-0005-0000-0000-0000CD000000}"/>
    <cellStyle name="20% - Accent5 2 3 2" xfId="1182" xr:uid="{00000000-0005-0000-0000-0000CE000000}"/>
    <cellStyle name="20% - Accent5 2 3 3" xfId="1183" xr:uid="{00000000-0005-0000-0000-0000CF000000}"/>
    <cellStyle name="20% - Accent5 2 3 4" xfId="1184" xr:uid="{00000000-0005-0000-0000-0000D0000000}"/>
    <cellStyle name="20% - Accent5 2 3 5" xfId="1185" xr:uid="{00000000-0005-0000-0000-0000D1000000}"/>
    <cellStyle name="20% - Accent5 2 4" xfId="1186" xr:uid="{00000000-0005-0000-0000-0000D2000000}"/>
    <cellStyle name="20% - Accent5 2 4 2" xfId="1187" xr:uid="{00000000-0005-0000-0000-0000D3000000}"/>
    <cellStyle name="20% - Accent5 2 4 3" xfId="1188" xr:uid="{00000000-0005-0000-0000-0000D4000000}"/>
    <cellStyle name="20% - Accent5 2 4 4" xfId="1189" xr:uid="{00000000-0005-0000-0000-0000D5000000}"/>
    <cellStyle name="20% - Accent5 2 4 5" xfId="1190" xr:uid="{00000000-0005-0000-0000-0000D6000000}"/>
    <cellStyle name="20% - Accent5 2 5" xfId="1191" xr:uid="{00000000-0005-0000-0000-0000D7000000}"/>
    <cellStyle name="20% - Accent5 2 6" xfId="1192" xr:uid="{00000000-0005-0000-0000-0000D8000000}"/>
    <cellStyle name="20% - Accent5 2 7" xfId="1193" xr:uid="{00000000-0005-0000-0000-0000D9000000}"/>
    <cellStyle name="20% - Accent5 2 8" xfId="1194" xr:uid="{00000000-0005-0000-0000-0000DA000000}"/>
    <cellStyle name="20% - Accent5 2 9" xfId="1195" xr:uid="{00000000-0005-0000-0000-0000DB000000}"/>
    <cellStyle name="20% - Accent5 3" xfId="1196" xr:uid="{00000000-0005-0000-0000-0000DC000000}"/>
    <cellStyle name="20% - Accent5 4" xfId="1197" xr:uid="{00000000-0005-0000-0000-0000DD000000}"/>
    <cellStyle name="20% - Accent5 5" xfId="1198" xr:uid="{00000000-0005-0000-0000-0000DE000000}"/>
    <cellStyle name="20% - Accent5 5 2" xfId="1199" xr:uid="{00000000-0005-0000-0000-0000DF000000}"/>
    <cellStyle name="20% - Accent6 2" xfId="117" xr:uid="{00000000-0005-0000-0000-000007000000}"/>
    <cellStyle name="20% - Accent6 2 10" xfId="1200" xr:uid="{00000000-0005-0000-0000-0000E1000000}"/>
    <cellStyle name="20% - Accent6 2 11" xfId="1201" xr:uid="{00000000-0005-0000-0000-0000E2000000}"/>
    <cellStyle name="20% - Accent6 2 12" xfId="1202" xr:uid="{00000000-0005-0000-0000-0000E3000000}"/>
    <cellStyle name="20% - Accent6 2 13" xfId="1203" xr:uid="{00000000-0005-0000-0000-0000E4000000}"/>
    <cellStyle name="20% - Accent6 2 14" xfId="1204" xr:uid="{00000000-0005-0000-0000-0000E5000000}"/>
    <cellStyle name="20% - Accent6 2 15" xfId="1205" xr:uid="{00000000-0005-0000-0000-0000E6000000}"/>
    <cellStyle name="20% - Accent6 2 16" xfId="1206" xr:uid="{00000000-0005-0000-0000-0000E7000000}"/>
    <cellStyle name="20% - Accent6 2 17" xfId="1207" xr:uid="{00000000-0005-0000-0000-0000E8000000}"/>
    <cellStyle name="20% - Accent6 2 18" xfId="1208" xr:uid="{00000000-0005-0000-0000-0000E9000000}"/>
    <cellStyle name="20% - Accent6 2 19" xfId="1209" xr:uid="{00000000-0005-0000-0000-0000EA000000}"/>
    <cellStyle name="20% - Accent6 2 2" xfId="1210" xr:uid="{00000000-0005-0000-0000-0000EB000000}"/>
    <cellStyle name="20% - Accent6 2 2 2" xfId="1211" xr:uid="{00000000-0005-0000-0000-0000EC000000}"/>
    <cellStyle name="20% - Accent6 2 2 3" xfId="1212" xr:uid="{00000000-0005-0000-0000-0000ED000000}"/>
    <cellStyle name="20% - Accent6 2 2 4" xfId="1213" xr:uid="{00000000-0005-0000-0000-0000EE000000}"/>
    <cellStyle name="20% - Accent6 2 2 5" xfId="1214" xr:uid="{00000000-0005-0000-0000-0000EF000000}"/>
    <cellStyle name="20% - Accent6 2 20" xfId="1215" xr:uid="{00000000-0005-0000-0000-0000F0000000}"/>
    <cellStyle name="20% - Accent6 2 21" xfId="1216" xr:uid="{00000000-0005-0000-0000-0000F1000000}"/>
    <cellStyle name="20% - Accent6 2 22" xfId="1217" xr:uid="{00000000-0005-0000-0000-0000F2000000}"/>
    <cellStyle name="20% - Accent6 2 23" xfId="1218" xr:uid="{00000000-0005-0000-0000-0000F3000000}"/>
    <cellStyle name="20% - Accent6 2 3" xfId="1219" xr:uid="{00000000-0005-0000-0000-0000F4000000}"/>
    <cellStyle name="20% - Accent6 2 3 2" xfId="1220" xr:uid="{00000000-0005-0000-0000-0000F5000000}"/>
    <cellStyle name="20% - Accent6 2 3 3" xfId="1221" xr:uid="{00000000-0005-0000-0000-0000F6000000}"/>
    <cellStyle name="20% - Accent6 2 3 4" xfId="1222" xr:uid="{00000000-0005-0000-0000-0000F7000000}"/>
    <cellStyle name="20% - Accent6 2 3 5" xfId="1223" xr:uid="{00000000-0005-0000-0000-0000F8000000}"/>
    <cellStyle name="20% - Accent6 2 4" xfId="1224" xr:uid="{00000000-0005-0000-0000-0000F9000000}"/>
    <cellStyle name="20% - Accent6 2 4 2" xfId="1225" xr:uid="{00000000-0005-0000-0000-0000FA000000}"/>
    <cellStyle name="20% - Accent6 2 4 3" xfId="1226" xr:uid="{00000000-0005-0000-0000-0000FB000000}"/>
    <cellStyle name="20% - Accent6 2 4 4" xfId="1227" xr:uid="{00000000-0005-0000-0000-0000FC000000}"/>
    <cellStyle name="20% - Accent6 2 4 5" xfId="1228" xr:uid="{00000000-0005-0000-0000-0000FD000000}"/>
    <cellStyle name="20% - Accent6 2 5" xfId="1229" xr:uid="{00000000-0005-0000-0000-0000FE000000}"/>
    <cellStyle name="20% - Accent6 2 6" xfId="1230" xr:uid="{00000000-0005-0000-0000-0000FF000000}"/>
    <cellStyle name="20% - Accent6 2 7" xfId="1231" xr:uid="{00000000-0005-0000-0000-000000010000}"/>
    <cellStyle name="20% - Accent6 2 8" xfId="1232" xr:uid="{00000000-0005-0000-0000-000001010000}"/>
    <cellStyle name="20% - Accent6 2 9" xfId="1233" xr:uid="{00000000-0005-0000-0000-000002010000}"/>
    <cellStyle name="20% - Accent6 3" xfId="1234" xr:uid="{00000000-0005-0000-0000-000003010000}"/>
    <cellStyle name="20% - Accent6 4" xfId="1235" xr:uid="{00000000-0005-0000-0000-000004010000}"/>
    <cellStyle name="20% - Accent6 5" xfId="1236" xr:uid="{00000000-0005-0000-0000-000005010000}"/>
    <cellStyle name="20% - Accent6 5 2" xfId="1237" xr:uid="{00000000-0005-0000-0000-000006010000}"/>
    <cellStyle name="40% - Accent1 2" xfId="118" xr:uid="{00000000-0005-0000-0000-000008000000}"/>
    <cellStyle name="40% - Accent1 2 10" xfId="1238" xr:uid="{00000000-0005-0000-0000-000008010000}"/>
    <cellStyle name="40% - Accent1 2 11" xfId="1239" xr:uid="{00000000-0005-0000-0000-000009010000}"/>
    <cellStyle name="40% - Accent1 2 12" xfId="1240" xr:uid="{00000000-0005-0000-0000-00000A010000}"/>
    <cellStyle name="40% - Accent1 2 13" xfId="1241" xr:uid="{00000000-0005-0000-0000-00000B010000}"/>
    <cellStyle name="40% - Accent1 2 14" xfId="1242" xr:uid="{00000000-0005-0000-0000-00000C010000}"/>
    <cellStyle name="40% - Accent1 2 15" xfId="1243" xr:uid="{00000000-0005-0000-0000-00000D010000}"/>
    <cellStyle name="40% - Accent1 2 16" xfId="1244" xr:uid="{00000000-0005-0000-0000-00000E010000}"/>
    <cellStyle name="40% - Accent1 2 17" xfId="979" xr:uid="{00000000-0005-0000-0000-00000F010000}"/>
    <cellStyle name="40% - Accent1 2 17 2" xfId="1245" xr:uid="{00000000-0005-0000-0000-000010010000}"/>
    <cellStyle name="40% - Accent1 2 18" xfId="1246" xr:uid="{00000000-0005-0000-0000-000011010000}"/>
    <cellStyle name="40% - Accent1 2 19" xfId="1247" xr:uid="{00000000-0005-0000-0000-000012010000}"/>
    <cellStyle name="40% - Accent1 2 2" xfId="1248" xr:uid="{00000000-0005-0000-0000-000013010000}"/>
    <cellStyle name="40% - Accent1 2 2 2" xfId="1249" xr:uid="{00000000-0005-0000-0000-000014010000}"/>
    <cellStyle name="40% - Accent1 2 2 3" xfId="1250" xr:uid="{00000000-0005-0000-0000-000015010000}"/>
    <cellStyle name="40% - Accent1 2 2 4" xfId="1251" xr:uid="{00000000-0005-0000-0000-000016010000}"/>
    <cellStyle name="40% - Accent1 2 2 5" xfId="1252" xr:uid="{00000000-0005-0000-0000-000017010000}"/>
    <cellStyle name="40% - Accent1 2 20" xfId="1253" xr:uid="{00000000-0005-0000-0000-000018010000}"/>
    <cellStyle name="40% - Accent1 2 21" xfId="1254" xr:uid="{00000000-0005-0000-0000-000019010000}"/>
    <cellStyle name="40% - Accent1 2 22" xfId="1255" xr:uid="{00000000-0005-0000-0000-00001A010000}"/>
    <cellStyle name="40% - Accent1 2 23" xfId="1256" xr:uid="{00000000-0005-0000-0000-00001B010000}"/>
    <cellStyle name="40% - Accent1 2 3" xfId="1257" xr:uid="{00000000-0005-0000-0000-00001C010000}"/>
    <cellStyle name="40% - Accent1 2 3 2" xfId="1258" xr:uid="{00000000-0005-0000-0000-00001D010000}"/>
    <cellStyle name="40% - Accent1 2 3 3" xfId="1259" xr:uid="{00000000-0005-0000-0000-00001E010000}"/>
    <cellStyle name="40% - Accent1 2 3 4" xfId="1260" xr:uid="{00000000-0005-0000-0000-00001F010000}"/>
    <cellStyle name="40% - Accent1 2 3 5" xfId="1261" xr:uid="{00000000-0005-0000-0000-000020010000}"/>
    <cellStyle name="40% - Accent1 2 4" xfId="1262" xr:uid="{00000000-0005-0000-0000-000021010000}"/>
    <cellStyle name="40% - Accent1 2 4 2" xfId="1263" xr:uid="{00000000-0005-0000-0000-000022010000}"/>
    <cellStyle name="40% - Accent1 2 4 3" xfId="1264" xr:uid="{00000000-0005-0000-0000-000023010000}"/>
    <cellStyle name="40% - Accent1 2 4 4" xfId="1265" xr:uid="{00000000-0005-0000-0000-000024010000}"/>
    <cellStyle name="40% - Accent1 2 4 5" xfId="1266" xr:uid="{00000000-0005-0000-0000-000025010000}"/>
    <cellStyle name="40% - Accent1 2 5" xfId="1267" xr:uid="{00000000-0005-0000-0000-000026010000}"/>
    <cellStyle name="40% - Accent1 2 6" xfId="1268" xr:uid="{00000000-0005-0000-0000-000027010000}"/>
    <cellStyle name="40% - Accent1 2 7" xfId="1269" xr:uid="{00000000-0005-0000-0000-000028010000}"/>
    <cellStyle name="40% - Accent1 2 8" xfId="1270" xr:uid="{00000000-0005-0000-0000-000029010000}"/>
    <cellStyle name="40% - Accent1 2 9" xfId="1271" xr:uid="{00000000-0005-0000-0000-00002A010000}"/>
    <cellStyle name="40% - Accent1 3" xfId="1272" xr:uid="{00000000-0005-0000-0000-00002B010000}"/>
    <cellStyle name="40% - Accent1 4" xfId="1273" xr:uid="{00000000-0005-0000-0000-00002C010000}"/>
    <cellStyle name="40% - Accent1 5" xfId="1274" xr:uid="{00000000-0005-0000-0000-00002D010000}"/>
    <cellStyle name="40% - Accent1 5 2" xfId="1275" xr:uid="{00000000-0005-0000-0000-00002E010000}"/>
    <cellStyle name="40% - Accent2 2" xfId="119" xr:uid="{00000000-0005-0000-0000-000009000000}"/>
    <cellStyle name="40% - Accent2 2 10" xfId="1276" xr:uid="{00000000-0005-0000-0000-000030010000}"/>
    <cellStyle name="40% - Accent2 2 11" xfId="1277" xr:uid="{00000000-0005-0000-0000-000031010000}"/>
    <cellStyle name="40% - Accent2 2 12" xfId="1278" xr:uid="{00000000-0005-0000-0000-000032010000}"/>
    <cellStyle name="40% - Accent2 2 13" xfId="1279" xr:uid="{00000000-0005-0000-0000-000033010000}"/>
    <cellStyle name="40% - Accent2 2 14" xfId="1280" xr:uid="{00000000-0005-0000-0000-000034010000}"/>
    <cellStyle name="40% - Accent2 2 15" xfId="1281" xr:uid="{00000000-0005-0000-0000-000035010000}"/>
    <cellStyle name="40% - Accent2 2 16" xfId="1282" xr:uid="{00000000-0005-0000-0000-000036010000}"/>
    <cellStyle name="40% - Accent2 2 17" xfId="1283" xr:uid="{00000000-0005-0000-0000-000037010000}"/>
    <cellStyle name="40% - Accent2 2 18" xfId="1284" xr:uid="{00000000-0005-0000-0000-000038010000}"/>
    <cellStyle name="40% - Accent2 2 19" xfId="1285" xr:uid="{00000000-0005-0000-0000-000039010000}"/>
    <cellStyle name="40% - Accent2 2 2" xfId="1286" xr:uid="{00000000-0005-0000-0000-00003A010000}"/>
    <cellStyle name="40% - Accent2 2 2 2" xfId="1287" xr:uid="{00000000-0005-0000-0000-00003B010000}"/>
    <cellStyle name="40% - Accent2 2 2 3" xfId="1288" xr:uid="{00000000-0005-0000-0000-00003C010000}"/>
    <cellStyle name="40% - Accent2 2 2 4" xfId="1289" xr:uid="{00000000-0005-0000-0000-00003D010000}"/>
    <cellStyle name="40% - Accent2 2 2 5" xfId="1290" xr:uid="{00000000-0005-0000-0000-00003E010000}"/>
    <cellStyle name="40% - Accent2 2 20" xfId="1291" xr:uid="{00000000-0005-0000-0000-00003F010000}"/>
    <cellStyle name="40% - Accent2 2 21" xfId="1292" xr:uid="{00000000-0005-0000-0000-000040010000}"/>
    <cellStyle name="40% - Accent2 2 22" xfId="1293" xr:uid="{00000000-0005-0000-0000-000041010000}"/>
    <cellStyle name="40% - Accent2 2 23" xfId="1294" xr:uid="{00000000-0005-0000-0000-000042010000}"/>
    <cellStyle name="40% - Accent2 2 3" xfId="1295" xr:uid="{00000000-0005-0000-0000-000043010000}"/>
    <cellStyle name="40% - Accent2 2 3 2" xfId="1296" xr:uid="{00000000-0005-0000-0000-000044010000}"/>
    <cellStyle name="40% - Accent2 2 3 3" xfId="1297" xr:uid="{00000000-0005-0000-0000-000045010000}"/>
    <cellStyle name="40% - Accent2 2 3 4" xfId="1298" xr:uid="{00000000-0005-0000-0000-000046010000}"/>
    <cellStyle name="40% - Accent2 2 3 5" xfId="1299" xr:uid="{00000000-0005-0000-0000-000047010000}"/>
    <cellStyle name="40% - Accent2 2 4" xfId="1300" xr:uid="{00000000-0005-0000-0000-000048010000}"/>
    <cellStyle name="40% - Accent2 2 4 2" xfId="1301" xr:uid="{00000000-0005-0000-0000-000049010000}"/>
    <cellStyle name="40% - Accent2 2 4 3" xfId="1302" xr:uid="{00000000-0005-0000-0000-00004A010000}"/>
    <cellStyle name="40% - Accent2 2 4 4" xfId="1303" xr:uid="{00000000-0005-0000-0000-00004B010000}"/>
    <cellStyle name="40% - Accent2 2 4 5" xfId="1304" xr:uid="{00000000-0005-0000-0000-00004C010000}"/>
    <cellStyle name="40% - Accent2 2 5" xfId="1305" xr:uid="{00000000-0005-0000-0000-00004D010000}"/>
    <cellStyle name="40% - Accent2 2 6" xfId="1306" xr:uid="{00000000-0005-0000-0000-00004E010000}"/>
    <cellStyle name="40% - Accent2 2 7" xfId="1307" xr:uid="{00000000-0005-0000-0000-00004F010000}"/>
    <cellStyle name="40% - Accent2 2 8" xfId="1308" xr:uid="{00000000-0005-0000-0000-000050010000}"/>
    <cellStyle name="40% - Accent2 2 9" xfId="1309" xr:uid="{00000000-0005-0000-0000-000051010000}"/>
    <cellStyle name="40% - Accent2 3" xfId="1310" xr:uid="{00000000-0005-0000-0000-000052010000}"/>
    <cellStyle name="40% - Accent2 4" xfId="1311" xr:uid="{00000000-0005-0000-0000-000053010000}"/>
    <cellStyle name="40% - Accent2 5" xfId="1312" xr:uid="{00000000-0005-0000-0000-000054010000}"/>
    <cellStyle name="40% - Accent2 5 2" xfId="1313" xr:uid="{00000000-0005-0000-0000-000055010000}"/>
    <cellStyle name="40% - Accent3 2" xfId="120" xr:uid="{00000000-0005-0000-0000-00000A000000}"/>
    <cellStyle name="40% - Accent3 2 10" xfId="1314" xr:uid="{00000000-0005-0000-0000-000057010000}"/>
    <cellStyle name="40% - Accent3 2 11" xfId="1315" xr:uid="{00000000-0005-0000-0000-000058010000}"/>
    <cellStyle name="40% - Accent3 2 12" xfId="1316" xr:uid="{00000000-0005-0000-0000-000059010000}"/>
    <cellStyle name="40% - Accent3 2 13" xfId="1317" xr:uid="{00000000-0005-0000-0000-00005A010000}"/>
    <cellStyle name="40% - Accent3 2 14" xfId="1318" xr:uid="{00000000-0005-0000-0000-00005B010000}"/>
    <cellStyle name="40% - Accent3 2 15" xfId="1319" xr:uid="{00000000-0005-0000-0000-00005C010000}"/>
    <cellStyle name="40% - Accent3 2 16" xfId="1320" xr:uid="{00000000-0005-0000-0000-00005D010000}"/>
    <cellStyle name="40% - Accent3 2 17" xfId="1321" xr:uid="{00000000-0005-0000-0000-00005E010000}"/>
    <cellStyle name="40% - Accent3 2 18" xfId="1322" xr:uid="{00000000-0005-0000-0000-00005F010000}"/>
    <cellStyle name="40% - Accent3 2 19" xfId="1323" xr:uid="{00000000-0005-0000-0000-000060010000}"/>
    <cellStyle name="40% - Accent3 2 2" xfId="1324" xr:uid="{00000000-0005-0000-0000-000061010000}"/>
    <cellStyle name="40% - Accent3 2 2 2" xfId="1325" xr:uid="{00000000-0005-0000-0000-000062010000}"/>
    <cellStyle name="40% - Accent3 2 2 3" xfId="1326" xr:uid="{00000000-0005-0000-0000-000063010000}"/>
    <cellStyle name="40% - Accent3 2 2 4" xfId="1327" xr:uid="{00000000-0005-0000-0000-000064010000}"/>
    <cellStyle name="40% - Accent3 2 2 5" xfId="1328" xr:uid="{00000000-0005-0000-0000-000065010000}"/>
    <cellStyle name="40% - Accent3 2 20" xfId="1329" xr:uid="{00000000-0005-0000-0000-000066010000}"/>
    <cellStyle name="40% - Accent3 2 21" xfId="1330" xr:uid="{00000000-0005-0000-0000-000067010000}"/>
    <cellStyle name="40% - Accent3 2 22" xfId="1331" xr:uid="{00000000-0005-0000-0000-000068010000}"/>
    <cellStyle name="40% - Accent3 2 23" xfId="1332" xr:uid="{00000000-0005-0000-0000-000069010000}"/>
    <cellStyle name="40% - Accent3 2 3" xfId="1333" xr:uid="{00000000-0005-0000-0000-00006A010000}"/>
    <cellStyle name="40% - Accent3 2 3 2" xfId="1334" xr:uid="{00000000-0005-0000-0000-00006B010000}"/>
    <cellStyle name="40% - Accent3 2 3 3" xfId="1335" xr:uid="{00000000-0005-0000-0000-00006C010000}"/>
    <cellStyle name="40% - Accent3 2 3 4" xfId="1336" xr:uid="{00000000-0005-0000-0000-00006D010000}"/>
    <cellStyle name="40% - Accent3 2 3 5" xfId="1337" xr:uid="{00000000-0005-0000-0000-00006E010000}"/>
    <cellStyle name="40% - Accent3 2 4" xfId="1338" xr:uid="{00000000-0005-0000-0000-00006F010000}"/>
    <cellStyle name="40% - Accent3 2 4 2" xfId="1339" xr:uid="{00000000-0005-0000-0000-000070010000}"/>
    <cellStyle name="40% - Accent3 2 4 3" xfId="1340" xr:uid="{00000000-0005-0000-0000-000071010000}"/>
    <cellStyle name="40% - Accent3 2 4 4" xfId="1341" xr:uid="{00000000-0005-0000-0000-000072010000}"/>
    <cellStyle name="40% - Accent3 2 4 5" xfId="1342" xr:uid="{00000000-0005-0000-0000-000073010000}"/>
    <cellStyle name="40% - Accent3 2 5" xfId="1343" xr:uid="{00000000-0005-0000-0000-000074010000}"/>
    <cellStyle name="40% - Accent3 2 6" xfId="1344" xr:uid="{00000000-0005-0000-0000-000075010000}"/>
    <cellStyle name="40% - Accent3 2 7" xfId="1345" xr:uid="{00000000-0005-0000-0000-000076010000}"/>
    <cellStyle name="40% - Accent3 2 8" xfId="1346" xr:uid="{00000000-0005-0000-0000-000077010000}"/>
    <cellStyle name="40% - Accent3 2 9" xfId="1347" xr:uid="{00000000-0005-0000-0000-000078010000}"/>
    <cellStyle name="40% - Accent3 3" xfId="1348" xr:uid="{00000000-0005-0000-0000-000079010000}"/>
    <cellStyle name="40% - Accent3 4" xfId="1349" xr:uid="{00000000-0005-0000-0000-00007A010000}"/>
    <cellStyle name="40% - Accent3 5" xfId="1350" xr:uid="{00000000-0005-0000-0000-00007B010000}"/>
    <cellStyle name="40% - Accent3 5 2" xfId="1351" xr:uid="{00000000-0005-0000-0000-00007C010000}"/>
    <cellStyle name="40% - Accent4 2" xfId="121" xr:uid="{00000000-0005-0000-0000-00000B000000}"/>
    <cellStyle name="40% - Accent4 2 10" xfId="1352" xr:uid="{00000000-0005-0000-0000-00007E010000}"/>
    <cellStyle name="40% - Accent4 2 11" xfId="1353" xr:uid="{00000000-0005-0000-0000-00007F010000}"/>
    <cellStyle name="40% - Accent4 2 12" xfId="1354" xr:uid="{00000000-0005-0000-0000-000080010000}"/>
    <cellStyle name="40% - Accent4 2 13" xfId="1355" xr:uid="{00000000-0005-0000-0000-000081010000}"/>
    <cellStyle name="40% - Accent4 2 14" xfId="1356" xr:uid="{00000000-0005-0000-0000-000082010000}"/>
    <cellStyle name="40% - Accent4 2 15" xfId="1357" xr:uid="{00000000-0005-0000-0000-000083010000}"/>
    <cellStyle name="40% - Accent4 2 16" xfId="1358" xr:uid="{00000000-0005-0000-0000-000084010000}"/>
    <cellStyle name="40% - Accent4 2 17" xfId="1359" xr:uid="{00000000-0005-0000-0000-000085010000}"/>
    <cellStyle name="40% - Accent4 2 18" xfId="1360" xr:uid="{00000000-0005-0000-0000-000086010000}"/>
    <cellStyle name="40% - Accent4 2 19" xfId="1361" xr:uid="{00000000-0005-0000-0000-000087010000}"/>
    <cellStyle name="40% - Accent4 2 2" xfId="1362" xr:uid="{00000000-0005-0000-0000-000088010000}"/>
    <cellStyle name="40% - Accent4 2 2 2" xfId="1363" xr:uid="{00000000-0005-0000-0000-000089010000}"/>
    <cellStyle name="40% - Accent4 2 2 3" xfId="1364" xr:uid="{00000000-0005-0000-0000-00008A010000}"/>
    <cellStyle name="40% - Accent4 2 2 4" xfId="1365" xr:uid="{00000000-0005-0000-0000-00008B010000}"/>
    <cellStyle name="40% - Accent4 2 2 5" xfId="1366" xr:uid="{00000000-0005-0000-0000-00008C010000}"/>
    <cellStyle name="40% - Accent4 2 20" xfId="1367" xr:uid="{00000000-0005-0000-0000-00008D010000}"/>
    <cellStyle name="40% - Accent4 2 21" xfId="1368" xr:uid="{00000000-0005-0000-0000-00008E010000}"/>
    <cellStyle name="40% - Accent4 2 22" xfId="1369" xr:uid="{00000000-0005-0000-0000-00008F010000}"/>
    <cellStyle name="40% - Accent4 2 23" xfId="1370" xr:uid="{00000000-0005-0000-0000-000090010000}"/>
    <cellStyle name="40% - Accent4 2 3" xfId="1371" xr:uid="{00000000-0005-0000-0000-000091010000}"/>
    <cellStyle name="40% - Accent4 2 3 2" xfId="1372" xr:uid="{00000000-0005-0000-0000-000092010000}"/>
    <cellStyle name="40% - Accent4 2 3 3" xfId="1373" xr:uid="{00000000-0005-0000-0000-000093010000}"/>
    <cellStyle name="40% - Accent4 2 3 4" xfId="1374" xr:uid="{00000000-0005-0000-0000-000094010000}"/>
    <cellStyle name="40% - Accent4 2 3 5" xfId="1375" xr:uid="{00000000-0005-0000-0000-000095010000}"/>
    <cellStyle name="40% - Accent4 2 4" xfId="1376" xr:uid="{00000000-0005-0000-0000-000096010000}"/>
    <cellStyle name="40% - Accent4 2 4 2" xfId="1377" xr:uid="{00000000-0005-0000-0000-000097010000}"/>
    <cellStyle name="40% - Accent4 2 4 3" xfId="1378" xr:uid="{00000000-0005-0000-0000-000098010000}"/>
    <cellStyle name="40% - Accent4 2 4 4" xfId="1379" xr:uid="{00000000-0005-0000-0000-000099010000}"/>
    <cellStyle name="40% - Accent4 2 4 5" xfId="1380" xr:uid="{00000000-0005-0000-0000-00009A010000}"/>
    <cellStyle name="40% - Accent4 2 5" xfId="1381" xr:uid="{00000000-0005-0000-0000-00009B010000}"/>
    <cellStyle name="40% - Accent4 2 6" xfId="1382" xr:uid="{00000000-0005-0000-0000-00009C010000}"/>
    <cellStyle name="40% - Accent4 2 7" xfId="1383" xr:uid="{00000000-0005-0000-0000-00009D010000}"/>
    <cellStyle name="40% - Accent4 2 8" xfId="1384" xr:uid="{00000000-0005-0000-0000-00009E010000}"/>
    <cellStyle name="40% - Accent4 2 9" xfId="1385" xr:uid="{00000000-0005-0000-0000-00009F010000}"/>
    <cellStyle name="40% - Accent4 3" xfId="1386" xr:uid="{00000000-0005-0000-0000-0000A0010000}"/>
    <cellStyle name="40% - Accent4 4" xfId="1387" xr:uid="{00000000-0005-0000-0000-0000A1010000}"/>
    <cellStyle name="40% - Accent4 5" xfId="1388" xr:uid="{00000000-0005-0000-0000-0000A2010000}"/>
    <cellStyle name="40% - Accent4 5 2" xfId="1389" xr:uid="{00000000-0005-0000-0000-0000A3010000}"/>
    <cellStyle name="40% - Accent5 2" xfId="122" xr:uid="{00000000-0005-0000-0000-00000C000000}"/>
    <cellStyle name="40% - Accent5 2 10" xfId="1390" xr:uid="{00000000-0005-0000-0000-0000A5010000}"/>
    <cellStyle name="40% - Accent5 2 11" xfId="1391" xr:uid="{00000000-0005-0000-0000-0000A6010000}"/>
    <cellStyle name="40% - Accent5 2 12" xfId="1392" xr:uid="{00000000-0005-0000-0000-0000A7010000}"/>
    <cellStyle name="40% - Accent5 2 13" xfId="1393" xr:uid="{00000000-0005-0000-0000-0000A8010000}"/>
    <cellStyle name="40% - Accent5 2 14" xfId="1394" xr:uid="{00000000-0005-0000-0000-0000A9010000}"/>
    <cellStyle name="40% - Accent5 2 15" xfId="1395" xr:uid="{00000000-0005-0000-0000-0000AA010000}"/>
    <cellStyle name="40% - Accent5 2 16" xfId="1396" xr:uid="{00000000-0005-0000-0000-0000AB010000}"/>
    <cellStyle name="40% - Accent5 2 17" xfId="1397" xr:uid="{00000000-0005-0000-0000-0000AC010000}"/>
    <cellStyle name="40% - Accent5 2 18" xfId="1398" xr:uid="{00000000-0005-0000-0000-0000AD010000}"/>
    <cellStyle name="40% - Accent5 2 19" xfId="1399" xr:uid="{00000000-0005-0000-0000-0000AE010000}"/>
    <cellStyle name="40% - Accent5 2 2" xfId="1400" xr:uid="{00000000-0005-0000-0000-0000AF010000}"/>
    <cellStyle name="40% - Accent5 2 2 2" xfId="1401" xr:uid="{00000000-0005-0000-0000-0000B0010000}"/>
    <cellStyle name="40% - Accent5 2 2 3" xfId="1402" xr:uid="{00000000-0005-0000-0000-0000B1010000}"/>
    <cellStyle name="40% - Accent5 2 2 4" xfId="1403" xr:uid="{00000000-0005-0000-0000-0000B2010000}"/>
    <cellStyle name="40% - Accent5 2 2 5" xfId="1404" xr:uid="{00000000-0005-0000-0000-0000B3010000}"/>
    <cellStyle name="40% - Accent5 2 20" xfId="1405" xr:uid="{00000000-0005-0000-0000-0000B4010000}"/>
    <cellStyle name="40% - Accent5 2 21" xfId="1406" xr:uid="{00000000-0005-0000-0000-0000B5010000}"/>
    <cellStyle name="40% - Accent5 2 22" xfId="1407" xr:uid="{00000000-0005-0000-0000-0000B6010000}"/>
    <cellStyle name="40% - Accent5 2 23" xfId="1408" xr:uid="{00000000-0005-0000-0000-0000B7010000}"/>
    <cellStyle name="40% - Accent5 2 3" xfId="1409" xr:uid="{00000000-0005-0000-0000-0000B8010000}"/>
    <cellStyle name="40% - Accent5 2 3 2" xfId="1410" xr:uid="{00000000-0005-0000-0000-0000B9010000}"/>
    <cellStyle name="40% - Accent5 2 3 3" xfId="1411" xr:uid="{00000000-0005-0000-0000-0000BA010000}"/>
    <cellStyle name="40% - Accent5 2 3 4" xfId="1412" xr:uid="{00000000-0005-0000-0000-0000BB010000}"/>
    <cellStyle name="40% - Accent5 2 3 5" xfId="1413" xr:uid="{00000000-0005-0000-0000-0000BC010000}"/>
    <cellStyle name="40% - Accent5 2 4" xfId="1414" xr:uid="{00000000-0005-0000-0000-0000BD010000}"/>
    <cellStyle name="40% - Accent5 2 4 2" xfId="1415" xr:uid="{00000000-0005-0000-0000-0000BE010000}"/>
    <cellStyle name="40% - Accent5 2 4 3" xfId="1416" xr:uid="{00000000-0005-0000-0000-0000BF010000}"/>
    <cellStyle name="40% - Accent5 2 4 4" xfId="1417" xr:uid="{00000000-0005-0000-0000-0000C0010000}"/>
    <cellStyle name="40% - Accent5 2 4 5" xfId="1418" xr:uid="{00000000-0005-0000-0000-0000C1010000}"/>
    <cellStyle name="40% - Accent5 2 5" xfId="1419" xr:uid="{00000000-0005-0000-0000-0000C2010000}"/>
    <cellStyle name="40% - Accent5 2 6" xfId="1420" xr:uid="{00000000-0005-0000-0000-0000C3010000}"/>
    <cellStyle name="40% - Accent5 2 7" xfId="1421" xr:uid="{00000000-0005-0000-0000-0000C4010000}"/>
    <cellStyle name="40% - Accent5 2 8" xfId="1422" xr:uid="{00000000-0005-0000-0000-0000C5010000}"/>
    <cellStyle name="40% - Accent5 2 9" xfId="1423" xr:uid="{00000000-0005-0000-0000-0000C6010000}"/>
    <cellStyle name="40% - Accent5 3" xfId="1424" xr:uid="{00000000-0005-0000-0000-0000C7010000}"/>
    <cellStyle name="40% - Accent5 4" xfId="1425" xr:uid="{00000000-0005-0000-0000-0000C8010000}"/>
    <cellStyle name="40% - Accent5 5" xfId="1426" xr:uid="{00000000-0005-0000-0000-0000C9010000}"/>
    <cellStyle name="40% - Accent5 5 2" xfId="1427" xr:uid="{00000000-0005-0000-0000-0000CA010000}"/>
    <cellStyle name="40% - Accent6 2" xfId="123" xr:uid="{00000000-0005-0000-0000-00000D000000}"/>
    <cellStyle name="40% - Accent6 2 10" xfId="1428" xr:uid="{00000000-0005-0000-0000-0000CC010000}"/>
    <cellStyle name="40% - Accent6 2 11" xfId="1429" xr:uid="{00000000-0005-0000-0000-0000CD010000}"/>
    <cellStyle name="40% - Accent6 2 12" xfId="1430" xr:uid="{00000000-0005-0000-0000-0000CE010000}"/>
    <cellStyle name="40% - Accent6 2 13" xfId="1431" xr:uid="{00000000-0005-0000-0000-0000CF010000}"/>
    <cellStyle name="40% - Accent6 2 14" xfId="1432" xr:uid="{00000000-0005-0000-0000-0000D0010000}"/>
    <cellStyle name="40% - Accent6 2 15" xfId="1433" xr:uid="{00000000-0005-0000-0000-0000D1010000}"/>
    <cellStyle name="40% - Accent6 2 16" xfId="1434" xr:uid="{00000000-0005-0000-0000-0000D2010000}"/>
    <cellStyle name="40% - Accent6 2 17" xfId="1435" xr:uid="{00000000-0005-0000-0000-0000D3010000}"/>
    <cellStyle name="40% - Accent6 2 18" xfId="1436" xr:uid="{00000000-0005-0000-0000-0000D4010000}"/>
    <cellStyle name="40% - Accent6 2 19" xfId="1437" xr:uid="{00000000-0005-0000-0000-0000D5010000}"/>
    <cellStyle name="40% - Accent6 2 2" xfId="1438" xr:uid="{00000000-0005-0000-0000-0000D6010000}"/>
    <cellStyle name="40% - Accent6 2 2 2" xfId="1439" xr:uid="{00000000-0005-0000-0000-0000D7010000}"/>
    <cellStyle name="40% - Accent6 2 2 3" xfId="1440" xr:uid="{00000000-0005-0000-0000-0000D8010000}"/>
    <cellStyle name="40% - Accent6 2 2 4" xfId="1441" xr:uid="{00000000-0005-0000-0000-0000D9010000}"/>
    <cellStyle name="40% - Accent6 2 2 5" xfId="1442" xr:uid="{00000000-0005-0000-0000-0000DA010000}"/>
    <cellStyle name="40% - Accent6 2 20" xfId="1443" xr:uid="{00000000-0005-0000-0000-0000DB010000}"/>
    <cellStyle name="40% - Accent6 2 21" xfId="1444" xr:uid="{00000000-0005-0000-0000-0000DC010000}"/>
    <cellStyle name="40% - Accent6 2 22" xfId="1445" xr:uid="{00000000-0005-0000-0000-0000DD010000}"/>
    <cellStyle name="40% - Accent6 2 23" xfId="1446" xr:uid="{00000000-0005-0000-0000-0000DE010000}"/>
    <cellStyle name="40% - Accent6 2 3" xfId="1447" xr:uid="{00000000-0005-0000-0000-0000DF010000}"/>
    <cellStyle name="40% - Accent6 2 3 2" xfId="1448" xr:uid="{00000000-0005-0000-0000-0000E0010000}"/>
    <cellStyle name="40% - Accent6 2 3 3" xfId="1449" xr:uid="{00000000-0005-0000-0000-0000E1010000}"/>
    <cellStyle name="40% - Accent6 2 3 4" xfId="1450" xr:uid="{00000000-0005-0000-0000-0000E2010000}"/>
    <cellStyle name="40% - Accent6 2 3 5" xfId="1451" xr:uid="{00000000-0005-0000-0000-0000E3010000}"/>
    <cellStyle name="40% - Accent6 2 4" xfId="1452" xr:uid="{00000000-0005-0000-0000-0000E4010000}"/>
    <cellStyle name="40% - Accent6 2 4 2" xfId="1453" xr:uid="{00000000-0005-0000-0000-0000E5010000}"/>
    <cellStyle name="40% - Accent6 2 4 3" xfId="1454" xr:uid="{00000000-0005-0000-0000-0000E6010000}"/>
    <cellStyle name="40% - Accent6 2 4 4" xfId="1455" xr:uid="{00000000-0005-0000-0000-0000E7010000}"/>
    <cellStyle name="40% - Accent6 2 4 5" xfId="1456" xr:uid="{00000000-0005-0000-0000-0000E8010000}"/>
    <cellStyle name="40% - Accent6 2 5" xfId="1457" xr:uid="{00000000-0005-0000-0000-0000E9010000}"/>
    <cellStyle name="40% - Accent6 2 6" xfId="1458" xr:uid="{00000000-0005-0000-0000-0000EA010000}"/>
    <cellStyle name="40% - Accent6 2 7" xfId="1459" xr:uid="{00000000-0005-0000-0000-0000EB010000}"/>
    <cellStyle name="40% - Accent6 2 8" xfId="1460" xr:uid="{00000000-0005-0000-0000-0000EC010000}"/>
    <cellStyle name="40% - Accent6 2 9" xfId="1461" xr:uid="{00000000-0005-0000-0000-0000ED010000}"/>
    <cellStyle name="40% - Accent6 3" xfId="1462" xr:uid="{00000000-0005-0000-0000-0000EE010000}"/>
    <cellStyle name="40% - Accent6 4" xfId="1463" xr:uid="{00000000-0005-0000-0000-0000EF010000}"/>
    <cellStyle name="40% - Accent6 5" xfId="1464" xr:uid="{00000000-0005-0000-0000-0000F0010000}"/>
    <cellStyle name="40% - Accent6 5 2" xfId="1465" xr:uid="{00000000-0005-0000-0000-0000F1010000}"/>
    <cellStyle name="60% - Accent1 2" xfId="124" xr:uid="{00000000-0005-0000-0000-00000E000000}"/>
    <cellStyle name="60% - Accent1 2 10" xfId="1466" xr:uid="{00000000-0005-0000-0000-0000F3010000}"/>
    <cellStyle name="60% - Accent1 2 11" xfId="1467" xr:uid="{00000000-0005-0000-0000-0000F4010000}"/>
    <cellStyle name="60% - Accent1 2 12" xfId="1468" xr:uid="{00000000-0005-0000-0000-0000F5010000}"/>
    <cellStyle name="60% - Accent1 2 13" xfId="1469" xr:uid="{00000000-0005-0000-0000-0000F6010000}"/>
    <cellStyle name="60% - Accent1 2 14" xfId="1470" xr:uid="{00000000-0005-0000-0000-0000F7010000}"/>
    <cellStyle name="60% - Accent1 2 15" xfId="1471" xr:uid="{00000000-0005-0000-0000-0000F8010000}"/>
    <cellStyle name="60% - Accent1 2 16" xfId="1472" xr:uid="{00000000-0005-0000-0000-0000F9010000}"/>
    <cellStyle name="60% - Accent1 2 2" xfId="1473" xr:uid="{00000000-0005-0000-0000-0000FA010000}"/>
    <cellStyle name="60% - Accent1 2 2 10" xfId="1474" xr:uid="{00000000-0005-0000-0000-0000FB010000}"/>
    <cellStyle name="60% - Accent1 2 2 11" xfId="1475" xr:uid="{00000000-0005-0000-0000-0000FC010000}"/>
    <cellStyle name="60% - Accent1 2 2 12" xfId="1476" xr:uid="{00000000-0005-0000-0000-0000FD010000}"/>
    <cellStyle name="60% - Accent1 2 2 13" xfId="1477" xr:uid="{00000000-0005-0000-0000-0000FE010000}"/>
    <cellStyle name="60% - Accent1 2 2 14" xfId="1478" xr:uid="{00000000-0005-0000-0000-0000FF010000}"/>
    <cellStyle name="60% - Accent1 2 2 2" xfId="1479" xr:uid="{00000000-0005-0000-0000-000000020000}"/>
    <cellStyle name="60% - Accent1 2 2 3" xfId="1480" xr:uid="{00000000-0005-0000-0000-000001020000}"/>
    <cellStyle name="60% - Accent1 2 2 4" xfId="1481" xr:uid="{00000000-0005-0000-0000-000002020000}"/>
    <cellStyle name="60% - Accent1 2 2 5" xfId="1482" xr:uid="{00000000-0005-0000-0000-000003020000}"/>
    <cellStyle name="60% - Accent1 2 2 6" xfId="1483" xr:uid="{00000000-0005-0000-0000-000004020000}"/>
    <cellStyle name="60% - Accent1 2 2 7" xfId="1484" xr:uid="{00000000-0005-0000-0000-000005020000}"/>
    <cellStyle name="60% - Accent1 2 2 8" xfId="1485" xr:uid="{00000000-0005-0000-0000-000006020000}"/>
    <cellStyle name="60% - Accent1 2 2 9" xfId="1486" xr:uid="{00000000-0005-0000-0000-000007020000}"/>
    <cellStyle name="60% - Accent1 2 3" xfId="1487" xr:uid="{00000000-0005-0000-0000-000008020000}"/>
    <cellStyle name="60% - Accent1 2 4" xfId="1488" xr:uid="{00000000-0005-0000-0000-000009020000}"/>
    <cellStyle name="60% - Accent1 2 5" xfId="1489" xr:uid="{00000000-0005-0000-0000-00000A020000}"/>
    <cellStyle name="60% - Accent1 2 6" xfId="1490" xr:uid="{00000000-0005-0000-0000-00000B020000}"/>
    <cellStyle name="60% - Accent1 2 7" xfId="1491" xr:uid="{00000000-0005-0000-0000-00000C020000}"/>
    <cellStyle name="60% - Accent1 2 8" xfId="1492" xr:uid="{00000000-0005-0000-0000-00000D020000}"/>
    <cellStyle name="60% - Accent1 2 9" xfId="1493" xr:uid="{00000000-0005-0000-0000-00000E020000}"/>
    <cellStyle name="60% - Accent1 3" xfId="1494" xr:uid="{00000000-0005-0000-0000-00000F020000}"/>
    <cellStyle name="60% - Accent1 4" xfId="1495" xr:uid="{00000000-0005-0000-0000-000010020000}"/>
    <cellStyle name="60% - Accent1 5" xfId="1496" xr:uid="{00000000-0005-0000-0000-000011020000}"/>
    <cellStyle name="60% - Accent2 2" xfId="125" xr:uid="{00000000-0005-0000-0000-00000F000000}"/>
    <cellStyle name="60% - Accent2 2 10" xfId="1497" xr:uid="{00000000-0005-0000-0000-000013020000}"/>
    <cellStyle name="60% - Accent2 2 11" xfId="1498" xr:uid="{00000000-0005-0000-0000-000014020000}"/>
    <cellStyle name="60% - Accent2 2 12" xfId="1499" xr:uid="{00000000-0005-0000-0000-000015020000}"/>
    <cellStyle name="60% - Accent2 2 13" xfId="1500" xr:uid="{00000000-0005-0000-0000-000016020000}"/>
    <cellStyle name="60% - Accent2 2 14" xfId="1501" xr:uid="{00000000-0005-0000-0000-000017020000}"/>
    <cellStyle name="60% - Accent2 2 15" xfId="1502" xr:uid="{00000000-0005-0000-0000-000018020000}"/>
    <cellStyle name="60% - Accent2 2 16" xfId="1503" xr:uid="{00000000-0005-0000-0000-000019020000}"/>
    <cellStyle name="60% - Accent2 2 2" xfId="1504" xr:uid="{00000000-0005-0000-0000-00001A020000}"/>
    <cellStyle name="60% - Accent2 2 2 10" xfId="1505" xr:uid="{00000000-0005-0000-0000-00001B020000}"/>
    <cellStyle name="60% - Accent2 2 2 11" xfId="1506" xr:uid="{00000000-0005-0000-0000-00001C020000}"/>
    <cellStyle name="60% - Accent2 2 2 12" xfId="1507" xr:uid="{00000000-0005-0000-0000-00001D020000}"/>
    <cellStyle name="60% - Accent2 2 2 13" xfId="1508" xr:uid="{00000000-0005-0000-0000-00001E020000}"/>
    <cellStyle name="60% - Accent2 2 2 14" xfId="1509" xr:uid="{00000000-0005-0000-0000-00001F020000}"/>
    <cellStyle name="60% - Accent2 2 2 2" xfId="1510" xr:uid="{00000000-0005-0000-0000-000020020000}"/>
    <cellStyle name="60% - Accent2 2 2 3" xfId="1511" xr:uid="{00000000-0005-0000-0000-000021020000}"/>
    <cellStyle name="60% - Accent2 2 2 4" xfId="1512" xr:uid="{00000000-0005-0000-0000-000022020000}"/>
    <cellStyle name="60% - Accent2 2 2 5" xfId="1513" xr:uid="{00000000-0005-0000-0000-000023020000}"/>
    <cellStyle name="60% - Accent2 2 2 6" xfId="1514" xr:uid="{00000000-0005-0000-0000-000024020000}"/>
    <cellStyle name="60% - Accent2 2 2 7" xfId="1515" xr:uid="{00000000-0005-0000-0000-000025020000}"/>
    <cellStyle name="60% - Accent2 2 2 8" xfId="1516" xr:uid="{00000000-0005-0000-0000-000026020000}"/>
    <cellStyle name="60% - Accent2 2 2 9" xfId="1517" xr:uid="{00000000-0005-0000-0000-000027020000}"/>
    <cellStyle name="60% - Accent2 2 3" xfId="1518" xr:uid="{00000000-0005-0000-0000-000028020000}"/>
    <cellStyle name="60% - Accent2 2 4" xfId="1519" xr:uid="{00000000-0005-0000-0000-000029020000}"/>
    <cellStyle name="60% - Accent2 2 5" xfId="1520" xr:uid="{00000000-0005-0000-0000-00002A020000}"/>
    <cellStyle name="60% - Accent2 2 6" xfId="1521" xr:uid="{00000000-0005-0000-0000-00002B020000}"/>
    <cellStyle name="60% - Accent2 2 7" xfId="1522" xr:uid="{00000000-0005-0000-0000-00002C020000}"/>
    <cellStyle name="60% - Accent2 2 8" xfId="1523" xr:uid="{00000000-0005-0000-0000-00002D020000}"/>
    <cellStyle name="60% - Accent2 2 9" xfId="1524" xr:uid="{00000000-0005-0000-0000-00002E020000}"/>
    <cellStyle name="60% - Accent2 3" xfId="1525" xr:uid="{00000000-0005-0000-0000-00002F020000}"/>
    <cellStyle name="60% - Accent2 4" xfId="1526" xr:uid="{00000000-0005-0000-0000-000030020000}"/>
    <cellStyle name="60% - Accent2 5" xfId="1527" xr:uid="{00000000-0005-0000-0000-000031020000}"/>
    <cellStyle name="60% - Accent3 2" xfId="126" xr:uid="{00000000-0005-0000-0000-000010000000}"/>
    <cellStyle name="60% - Accent3 2 10" xfId="1528" xr:uid="{00000000-0005-0000-0000-000033020000}"/>
    <cellStyle name="60% - Accent3 2 11" xfId="1529" xr:uid="{00000000-0005-0000-0000-000034020000}"/>
    <cellStyle name="60% - Accent3 2 12" xfId="1530" xr:uid="{00000000-0005-0000-0000-000035020000}"/>
    <cellStyle name="60% - Accent3 2 13" xfId="1531" xr:uid="{00000000-0005-0000-0000-000036020000}"/>
    <cellStyle name="60% - Accent3 2 14" xfId="1532" xr:uid="{00000000-0005-0000-0000-000037020000}"/>
    <cellStyle name="60% - Accent3 2 15" xfId="1533" xr:uid="{00000000-0005-0000-0000-000038020000}"/>
    <cellStyle name="60% - Accent3 2 16" xfId="1534" xr:uid="{00000000-0005-0000-0000-000039020000}"/>
    <cellStyle name="60% - Accent3 2 2" xfId="1535" xr:uid="{00000000-0005-0000-0000-00003A020000}"/>
    <cellStyle name="60% - Accent3 2 2 10" xfId="1536" xr:uid="{00000000-0005-0000-0000-00003B020000}"/>
    <cellStyle name="60% - Accent3 2 2 11" xfId="1537" xr:uid="{00000000-0005-0000-0000-00003C020000}"/>
    <cellStyle name="60% - Accent3 2 2 12" xfId="1538" xr:uid="{00000000-0005-0000-0000-00003D020000}"/>
    <cellStyle name="60% - Accent3 2 2 13" xfId="1539" xr:uid="{00000000-0005-0000-0000-00003E020000}"/>
    <cellStyle name="60% - Accent3 2 2 14" xfId="1540" xr:uid="{00000000-0005-0000-0000-00003F020000}"/>
    <cellStyle name="60% - Accent3 2 2 2" xfId="1541" xr:uid="{00000000-0005-0000-0000-000040020000}"/>
    <cellStyle name="60% - Accent3 2 2 3" xfId="1542" xr:uid="{00000000-0005-0000-0000-000041020000}"/>
    <cellStyle name="60% - Accent3 2 2 4" xfId="1543" xr:uid="{00000000-0005-0000-0000-000042020000}"/>
    <cellStyle name="60% - Accent3 2 2 5" xfId="1544" xr:uid="{00000000-0005-0000-0000-000043020000}"/>
    <cellStyle name="60% - Accent3 2 2 6" xfId="1545" xr:uid="{00000000-0005-0000-0000-000044020000}"/>
    <cellStyle name="60% - Accent3 2 2 7" xfId="1546" xr:uid="{00000000-0005-0000-0000-000045020000}"/>
    <cellStyle name="60% - Accent3 2 2 8" xfId="1547" xr:uid="{00000000-0005-0000-0000-000046020000}"/>
    <cellStyle name="60% - Accent3 2 2 9" xfId="1548" xr:uid="{00000000-0005-0000-0000-000047020000}"/>
    <cellStyle name="60% - Accent3 2 3" xfId="1549" xr:uid="{00000000-0005-0000-0000-000048020000}"/>
    <cellStyle name="60% - Accent3 2 4" xfId="1550" xr:uid="{00000000-0005-0000-0000-000049020000}"/>
    <cellStyle name="60% - Accent3 2 5" xfId="1551" xr:uid="{00000000-0005-0000-0000-00004A020000}"/>
    <cellStyle name="60% - Accent3 2 6" xfId="1552" xr:uid="{00000000-0005-0000-0000-00004B020000}"/>
    <cellStyle name="60% - Accent3 2 7" xfId="1553" xr:uid="{00000000-0005-0000-0000-00004C020000}"/>
    <cellStyle name="60% - Accent3 2 8" xfId="1554" xr:uid="{00000000-0005-0000-0000-00004D020000}"/>
    <cellStyle name="60% - Accent3 2 9" xfId="1555" xr:uid="{00000000-0005-0000-0000-00004E020000}"/>
    <cellStyle name="60% - Accent3 3" xfId="1556" xr:uid="{00000000-0005-0000-0000-00004F020000}"/>
    <cellStyle name="60% - Accent3 4" xfId="1557" xr:uid="{00000000-0005-0000-0000-000050020000}"/>
    <cellStyle name="60% - Accent3 5" xfId="1558" xr:uid="{00000000-0005-0000-0000-000051020000}"/>
    <cellStyle name="60% - Accent4 2" xfId="127" xr:uid="{00000000-0005-0000-0000-000011000000}"/>
    <cellStyle name="60% - Accent4 2 10" xfId="1559" xr:uid="{00000000-0005-0000-0000-000053020000}"/>
    <cellStyle name="60% - Accent4 2 11" xfId="1560" xr:uid="{00000000-0005-0000-0000-000054020000}"/>
    <cellStyle name="60% - Accent4 2 12" xfId="1561" xr:uid="{00000000-0005-0000-0000-000055020000}"/>
    <cellStyle name="60% - Accent4 2 13" xfId="1562" xr:uid="{00000000-0005-0000-0000-000056020000}"/>
    <cellStyle name="60% - Accent4 2 14" xfId="1563" xr:uid="{00000000-0005-0000-0000-000057020000}"/>
    <cellStyle name="60% - Accent4 2 15" xfId="1564" xr:uid="{00000000-0005-0000-0000-000058020000}"/>
    <cellStyle name="60% - Accent4 2 16" xfId="1565" xr:uid="{00000000-0005-0000-0000-000059020000}"/>
    <cellStyle name="60% - Accent4 2 2" xfId="1566" xr:uid="{00000000-0005-0000-0000-00005A020000}"/>
    <cellStyle name="60% - Accent4 2 2 10" xfId="1567" xr:uid="{00000000-0005-0000-0000-00005B020000}"/>
    <cellStyle name="60% - Accent4 2 2 11" xfId="1568" xr:uid="{00000000-0005-0000-0000-00005C020000}"/>
    <cellStyle name="60% - Accent4 2 2 12" xfId="1569" xr:uid="{00000000-0005-0000-0000-00005D020000}"/>
    <cellStyle name="60% - Accent4 2 2 13" xfId="1570" xr:uid="{00000000-0005-0000-0000-00005E020000}"/>
    <cellStyle name="60% - Accent4 2 2 14" xfId="1571" xr:uid="{00000000-0005-0000-0000-00005F020000}"/>
    <cellStyle name="60% - Accent4 2 2 2" xfId="1572" xr:uid="{00000000-0005-0000-0000-000060020000}"/>
    <cellStyle name="60% - Accent4 2 2 3" xfId="1573" xr:uid="{00000000-0005-0000-0000-000061020000}"/>
    <cellStyle name="60% - Accent4 2 2 4" xfId="1574" xr:uid="{00000000-0005-0000-0000-000062020000}"/>
    <cellStyle name="60% - Accent4 2 2 5" xfId="1575" xr:uid="{00000000-0005-0000-0000-000063020000}"/>
    <cellStyle name="60% - Accent4 2 2 6" xfId="1576" xr:uid="{00000000-0005-0000-0000-000064020000}"/>
    <cellStyle name="60% - Accent4 2 2 7" xfId="1577" xr:uid="{00000000-0005-0000-0000-000065020000}"/>
    <cellStyle name="60% - Accent4 2 2 8" xfId="1578" xr:uid="{00000000-0005-0000-0000-000066020000}"/>
    <cellStyle name="60% - Accent4 2 2 9" xfId="1579" xr:uid="{00000000-0005-0000-0000-000067020000}"/>
    <cellStyle name="60% - Accent4 2 3" xfId="1580" xr:uid="{00000000-0005-0000-0000-000068020000}"/>
    <cellStyle name="60% - Accent4 2 4" xfId="1581" xr:uid="{00000000-0005-0000-0000-000069020000}"/>
    <cellStyle name="60% - Accent4 2 5" xfId="1582" xr:uid="{00000000-0005-0000-0000-00006A020000}"/>
    <cellStyle name="60% - Accent4 2 6" xfId="1583" xr:uid="{00000000-0005-0000-0000-00006B020000}"/>
    <cellStyle name="60% - Accent4 2 7" xfId="1584" xr:uid="{00000000-0005-0000-0000-00006C020000}"/>
    <cellStyle name="60% - Accent4 2 8" xfId="1585" xr:uid="{00000000-0005-0000-0000-00006D020000}"/>
    <cellStyle name="60% - Accent4 2 9" xfId="1586" xr:uid="{00000000-0005-0000-0000-00006E020000}"/>
    <cellStyle name="60% - Accent4 3" xfId="1587" xr:uid="{00000000-0005-0000-0000-00006F020000}"/>
    <cellStyle name="60% - Accent4 4" xfId="1588" xr:uid="{00000000-0005-0000-0000-000070020000}"/>
    <cellStyle name="60% - Accent4 5" xfId="1589" xr:uid="{00000000-0005-0000-0000-000071020000}"/>
    <cellStyle name="60% - Accent5 2" xfId="128" xr:uid="{00000000-0005-0000-0000-000012000000}"/>
    <cellStyle name="60% - Accent5 2 10" xfId="1590" xr:uid="{00000000-0005-0000-0000-000073020000}"/>
    <cellStyle name="60% - Accent5 2 11" xfId="1591" xr:uid="{00000000-0005-0000-0000-000074020000}"/>
    <cellStyle name="60% - Accent5 2 12" xfId="1592" xr:uid="{00000000-0005-0000-0000-000075020000}"/>
    <cellStyle name="60% - Accent5 2 13" xfId="1593" xr:uid="{00000000-0005-0000-0000-000076020000}"/>
    <cellStyle name="60% - Accent5 2 14" xfId="1594" xr:uid="{00000000-0005-0000-0000-000077020000}"/>
    <cellStyle name="60% - Accent5 2 15" xfId="1595" xr:uid="{00000000-0005-0000-0000-000078020000}"/>
    <cellStyle name="60% - Accent5 2 16" xfId="1596" xr:uid="{00000000-0005-0000-0000-000079020000}"/>
    <cellStyle name="60% - Accent5 2 2" xfId="1597" xr:uid="{00000000-0005-0000-0000-00007A020000}"/>
    <cellStyle name="60% - Accent5 2 2 10" xfId="1598" xr:uid="{00000000-0005-0000-0000-00007B020000}"/>
    <cellStyle name="60% - Accent5 2 2 11" xfId="1599" xr:uid="{00000000-0005-0000-0000-00007C020000}"/>
    <cellStyle name="60% - Accent5 2 2 12" xfId="1600" xr:uid="{00000000-0005-0000-0000-00007D020000}"/>
    <cellStyle name="60% - Accent5 2 2 13" xfId="1601" xr:uid="{00000000-0005-0000-0000-00007E020000}"/>
    <cellStyle name="60% - Accent5 2 2 14" xfId="1602" xr:uid="{00000000-0005-0000-0000-00007F020000}"/>
    <cellStyle name="60% - Accent5 2 2 2" xfId="1603" xr:uid="{00000000-0005-0000-0000-000080020000}"/>
    <cellStyle name="60% - Accent5 2 2 3" xfId="1604" xr:uid="{00000000-0005-0000-0000-000081020000}"/>
    <cellStyle name="60% - Accent5 2 2 4" xfId="1605" xr:uid="{00000000-0005-0000-0000-000082020000}"/>
    <cellStyle name="60% - Accent5 2 2 5" xfId="1606" xr:uid="{00000000-0005-0000-0000-000083020000}"/>
    <cellStyle name="60% - Accent5 2 2 6" xfId="1607" xr:uid="{00000000-0005-0000-0000-000084020000}"/>
    <cellStyle name="60% - Accent5 2 2 7" xfId="1608" xr:uid="{00000000-0005-0000-0000-000085020000}"/>
    <cellStyle name="60% - Accent5 2 2 8" xfId="1609" xr:uid="{00000000-0005-0000-0000-000086020000}"/>
    <cellStyle name="60% - Accent5 2 2 9" xfId="1610" xr:uid="{00000000-0005-0000-0000-000087020000}"/>
    <cellStyle name="60% - Accent5 2 3" xfId="1611" xr:uid="{00000000-0005-0000-0000-000088020000}"/>
    <cellStyle name="60% - Accent5 2 4" xfId="1612" xr:uid="{00000000-0005-0000-0000-000089020000}"/>
    <cellStyle name="60% - Accent5 2 5" xfId="1613" xr:uid="{00000000-0005-0000-0000-00008A020000}"/>
    <cellStyle name="60% - Accent5 2 6" xfId="1614" xr:uid="{00000000-0005-0000-0000-00008B020000}"/>
    <cellStyle name="60% - Accent5 2 7" xfId="1615" xr:uid="{00000000-0005-0000-0000-00008C020000}"/>
    <cellStyle name="60% - Accent5 2 8" xfId="1616" xr:uid="{00000000-0005-0000-0000-00008D020000}"/>
    <cellStyle name="60% - Accent5 2 9" xfId="1617" xr:uid="{00000000-0005-0000-0000-00008E020000}"/>
    <cellStyle name="60% - Accent5 3" xfId="1618" xr:uid="{00000000-0005-0000-0000-00008F020000}"/>
    <cellStyle name="60% - Accent5 4" xfId="1619" xr:uid="{00000000-0005-0000-0000-000090020000}"/>
    <cellStyle name="60% - Accent5 5" xfId="1620" xr:uid="{00000000-0005-0000-0000-000091020000}"/>
    <cellStyle name="60% - Accent6 2" xfId="129" xr:uid="{00000000-0005-0000-0000-000013000000}"/>
    <cellStyle name="60% - Accent6 2 10" xfId="1621" xr:uid="{00000000-0005-0000-0000-000093020000}"/>
    <cellStyle name="60% - Accent6 2 11" xfId="1622" xr:uid="{00000000-0005-0000-0000-000094020000}"/>
    <cellStyle name="60% - Accent6 2 12" xfId="1623" xr:uid="{00000000-0005-0000-0000-000095020000}"/>
    <cellStyle name="60% - Accent6 2 13" xfId="1624" xr:uid="{00000000-0005-0000-0000-000096020000}"/>
    <cellStyle name="60% - Accent6 2 14" xfId="1625" xr:uid="{00000000-0005-0000-0000-000097020000}"/>
    <cellStyle name="60% - Accent6 2 15" xfId="1626" xr:uid="{00000000-0005-0000-0000-000098020000}"/>
    <cellStyle name="60% - Accent6 2 16" xfId="1627" xr:uid="{00000000-0005-0000-0000-000099020000}"/>
    <cellStyle name="60% - Accent6 2 2" xfId="1628" xr:uid="{00000000-0005-0000-0000-00009A020000}"/>
    <cellStyle name="60% - Accent6 2 2 10" xfId="1629" xr:uid="{00000000-0005-0000-0000-00009B020000}"/>
    <cellStyle name="60% - Accent6 2 2 11" xfId="1630" xr:uid="{00000000-0005-0000-0000-00009C020000}"/>
    <cellStyle name="60% - Accent6 2 2 12" xfId="1631" xr:uid="{00000000-0005-0000-0000-00009D020000}"/>
    <cellStyle name="60% - Accent6 2 2 13" xfId="1632" xr:uid="{00000000-0005-0000-0000-00009E020000}"/>
    <cellStyle name="60% - Accent6 2 2 14" xfId="1633" xr:uid="{00000000-0005-0000-0000-00009F020000}"/>
    <cellStyle name="60% - Accent6 2 2 2" xfId="1634" xr:uid="{00000000-0005-0000-0000-0000A0020000}"/>
    <cellStyle name="60% - Accent6 2 2 3" xfId="1635" xr:uid="{00000000-0005-0000-0000-0000A1020000}"/>
    <cellStyle name="60% - Accent6 2 2 4" xfId="1636" xr:uid="{00000000-0005-0000-0000-0000A2020000}"/>
    <cellStyle name="60% - Accent6 2 2 5" xfId="1637" xr:uid="{00000000-0005-0000-0000-0000A3020000}"/>
    <cellStyle name="60% - Accent6 2 2 6" xfId="1638" xr:uid="{00000000-0005-0000-0000-0000A4020000}"/>
    <cellStyle name="60% - Accent6 2 2 7" xfId="1639" xr:uid="{00000000-0005-0000-0000-0000A5020000}"/>
    <cellStyle name="60% - Accent6 2 2 8" xfId="1640" xr:uid="{00000000-0005-0000-0000-0000A6020000}"/>
    <cellStyle name="60% - Accent6 2 2 9" xfId="1641" xr:uid="{00000000-0005-0000-0000-0000A7020000}"/>
    <cellStyle name="60% - Accent6 2 3" xfId="1642" xr:uid="{00000000-0005-0000-0000-0000A8020000}"/>
    <cellStyle name="60% - Accent6 2 4" xfId="1643" xr:uid="{00000000-0005-0000-0000-0000A9020000}"/>
    <cellStyle name="60% - Accent6 2 5" xfId="1644" xr:uid="{00000000-0005-0000-0000-0000AA020000}"/>
    <cellStyle name="60% - Accent6 2 6" xfId="1645" xr:uid="{00000000-0005-0000-0000-0000AB020000}"/>
    <cellStyle name="60% - Accent6 2 7" xfId="1646" xr:uid="{00000000-0005-0000-0000-0000AC020000}"/>
    <cellStyle name="60% - Accent6 2 8" xfId="1647" xr:uid="{00000000-0005-0000-0000-0000AD020000}"/>
    <cellStyle name="60% - Accent6 2 9" xfId="1648" xr:uid="{00000000-0005-0000-0000-0000AE020000}"/>
    <cellStyle name="60% - Accent6 3" xfId="1649" xr:uid="{00000000-0005-0000-0000-0000AF020000}"/>
    <cellStyle name="60% - Accent6 4" xfId="1650" xr:uid="{00000000-0005-0000-0000-0000B0020000}"/>
    <cellStyle name="60% - Accent6 5" xfId="1651" xr:uid="{00000000-0005-0000-0000-0000B1020000}"/>
    <cellStyle name="75" xfId="1652" xr:uid="{00000000-0005-0000-0000-0000B2020000}"/>
    <cellStyle name="A" xfId="1653" xr:uid="{00000000-0005-0000-0000-0000B3020000}"/>
    <cellStyle name="Accent1 - 20%" xfId="1654" xr:uid="{00000000-0005-0000-0000-0000B4020000}"/>
    <cellStyle name="Accent1 - 20% 2" xfId="1655" xr:uid="{00000000-0005-0000-0000-0000B5020000}"/>
    <cellStyle name="Accent1 - 20% 3" xfId="1656" xr:uid="{00000000-0005-0000-0000-0000B6020000}"/>
    <cellStyle name="Accent1 - 20% 4" xfId="1657" xr:uid="{00000000-0005-0000-0000-0000B7020000}"/>
    <cellStyle name="Accent1 - 20% 5" xfId="1658" xr:uid="{00000000-0005-0000-0000-0000B8020000}"/>
    <cellStyle name="Accent1 - 40%" xfId="1659" xr:uid="{00000000-0005-0000-0000-0000B9020000}"/>
    <cellStyle name="Accent1 - 40% 2" xfId="1660" xr:uid="{00000000-0005-0000-0000-0000BA020000}"/>
    <cellStyle name="Accent1 - 40% 3" xfId="1661" xr:uid="{00000000-0005-0000-0000-0000BB020000}"/>
    <cellStyle name="Accent1 - 40% 4" xfId="1662" xr:uid="{00000000-0005-0000-0000-0000BC020000}"/>
    <cellStyle name="Accent1 - 40% 5" xfId="1663" xr:uid="{00000000-0005-0000-0000-0000BD020000}"/>
    <cellStyle name="Accent1 - 60%" xfId="1664" xr:uid="{00000000-0005-0000-0000-0000BE020000}"/>
    <cellStyle name="Accent1 2" xfId="130" xr:uid="{00000000-0005-0000-0000-000014000000}"/>
    <cellStyle name="Accent1 2 10" xfId="1665" xr:uid="{00000000-0005-0000-0000-0000C0020000}"/>
    <cellStyle name="Accent1 2 11" xfId="1666" xr:uid="{00000000-0005-0000-0000-0000C1020000}"/>
    <cellStyle name="Accent1 2 12" xfId="1667" xr:uid="{00000000-0005-0000-0000-0000C2020000}"/>
    <cellStyle name="Accent1 2 13" xfId="1668" xr:uid="{00000000-0005-0000-0000-0000C3020000}"/>
    <cellStyle name="Accent1 2 14" xfId="1669" xr:uid="{00000000-0005-0000-0000-0000C4020000}"/>
    <cellStyle name="Accent1 2 15" xfId="1670" xr:uid="{00000000-0005-0000-0000-0000C5020000}"/>
    <cellStyle name="Accent1 2 16" xfId="1671" xr:uid="{00000000-0005-0000-0000-0000C6020000}"/>
    <cellStyle name="Accent1 2 2" xfId="1672" xr:uid="{00000000-0005-0000-0000-0000C7020000}"/>
    <cellStyle name="Accent1 2 2 10" xfId="1673" xr:uid="{00000000-0005-0000-0000-0000C8020000}"/>
    <cellStyle name="Accent1 2 2 11" xfId="1674" xr:uid="{00000000-0005-0000-0000-0000C9020000}"/>
    <cellStyle name="Accent1 2 2 12" xfId="1675" xr:uid="{00000000-0005-0000-0000-0000CA020000}"/>
    <cellStyle name="Accent1 2 2 13" xfId="1676" xr:uid="{00000000-0005-0000-0000-0000CB020000}"/>
    <cellStyle name="Accent1 2 2 14" xfId="1677" xr:uid="{00000000-0005-0000-0000-0000CC020000}"/>
    <cellStyle name="Accent1 2 2 2" xfId="1678" xr:uid="{00000000-0005-0000-0000-0000CD020000}"/>
    <cellStyle name="Accent1 2 2 3" xfId="1679" xr:uid="{00000000-0005-0000-0000-0000CE020000}"/>
    <cellStyle name="Accent1 2 2 4" xfId="1680" xr:uid="{00000000-0005-0000-0000-0000CF020000}"/>
    <cellStyle name="Accent1 2 2 5" xfId="1681" xr:uid="{00000000-0005-0000-0000-0000D0020000}"/>
    <cellStyle name="Accent1 2 2 6" xfId="1682" xr:uid="{00000000-0005-0000-0000-0000D1020000}"/>
    <cellStyle name="Accent1 2 2 7" xfId="1683" xr:uid="{00000000-0005-0000-0000-0000D2020000}"/>
    <cellStyle name="Accent1 2 2 8" xfId="1684" xr:uid="{00000000-0005-0000-0000-0000D3020000}"/>
    <cellStyle name="Accent1 2 2 9" xfId="1685" xr:uid="{00000000-0005-0000-0000-0000D4020000}"/>
    <cellStyle name="Accent1 2 3" xfId="1686" xr:uid="{00000000-0005-0000-0000-0000D5020000}"/>
    <cellStyle name="Accent1 2 4" xfId="1687" xr:uid="{00000000-0005-0000-0000-0000D6020000}"/>
    <cellStyle name="Accent1 2 5" xfId="1688" xr:uid="{00000000-0005-0000-0000-0000D7020000}"/>
    <cellStyle name="Accent1 2 6" xfId="1689" xr:uid="{00000000-0005-0000-0000-0000D8020000}"/>
    <cellStyle name="Accent1 2 7" xfId="1690" xr:uid="{00000000-0005-0000-0000-0000D9020000}"/>
    <cellStyle name="Accent1 2 8" xfId="1691" xr:uid="{00000000-0005-0000-0000-0000DA020000}"/>
    <cellStyle name="Accent1 2 9" xfId="1692" xr:uid="{00000000-0005-0000-0000-0000DB020000}"/>
    <cellStyle name="Accent1 3" xfId="1693" xr:uid="{00000000-0005-0000-0000-0000DC020000}"/>
    <cellStyle name="Accent1 4" xfId="1694" xr:uid="{00000000-0005-0000-0000-0000DD020000}"/>
    <cellStyle name="Accent1 5" xfId="1695" xr:uid="{00000000-0005-0000-0000-0000DE020000}"/>
    <cellStyle name="Accent2 - 20%" xfId="1696" xr:uid="{00000000-0005-0000-0000-0000DF020000}"/>
    <cellStyle name="Accent2 - 20% 2" xfId="1697" xr:uid="{00000000-0005-0000-0000-0000E0020000}"/>
    <cellStyle name="Accent2 - 20% 3" xfId="1698" xr:uid="{00000000-0005-0000-0000-0000E1020000}"/>
    <cellStyle name="Accent2 - 20% 4" xfId="1699" xr:uid="{00000000-0005-0000-0000-0000E2020000}"/>
    <cellStyle name="Accent2 - 20% 5" xfId="1700" xr:uid="{00000000-0005-0000-0000-0000E3020000}"/>
    <cellStyle name="Accent2 - 40%" xfId="1701" xr:uid="{00000000-0005-0000-0000-0000E4020000}"/>
    <cellStyle name="Accent2 - 40% 2" xfId="1702" xr:uid="{00000000-0005-0000-0000-0000E5020000}"/>
    <cellStyle name="Accent2 - 40% 3" xfId="1703" xr:uid="{00000000-0005-0000-0000-0000E6020000}"/>
    <cellStyle name="Accent2 - 40% 4" xfId="1704" xr:uid="{00000000-0005-0000-0000-0000E7020000}"/>
    <cellStyle name="Accent2 - 40% 5" xfId="1705" xr:uid="{00000000-0005-0000-0000-0000E8020000}"/>
    <cellStyle name="Accent2 - 60%" xfId="1706" xr:uid="{00000000-0005-0000-0000-0000E9020000}"/>
    <cellStyle name="Accent2 2" xfId="131" xr:uid="{00000000-0005-0000-0000-000015000000}"/>
    <cellStyle name="Accent2 2 10" xfId="1707" xr:uid="{00000000-0005-0000-0000-0000EB020000}"/>
    <cellStyle name="Accent2 2 11" xfId="1708" xr:uid="{00000000-0005-0000-0000-0000EC020000}"/>
    <cellStyle name="Accent2 2 12" xfId="1709" xr:uid="{00000000-0005-0000-0000-0000ED020000}"/>
    <cellStyle name="Accent2 2 13" xfId="1710" xr:uid="{00000000-0005-0000-0000-0000EE020000}"/>
    <cellStyle name="Accent2 2 14" xfId="1711" xr:uid="{00000000-0005-0000-0000-0000EF020000}"/>
    <cellStyle name="Accent2 2 15" xfId="1712" xr:uid="{00000000-0005-0000-0000-0000F0020000}"/>
    <cellStyle name="Accent2 2 16" xfId="1713" xr:uid="{00000000-0005-0000-0000-0000F1020000}"/>
    <cellStyle name="Accent2 2 2" xfId="1714" xr:uid="{00000000-0005-0000-0000-0000F2020000}"/>
    <cellStyle name="Accent2 2 2 10" xfId="1715" xr:uid="{00000000-0005-0000-0000-0000F3020000}"/>
    <cellStyle name="Accent2 2 2 11" xfId="1716" xr:uid="{00000000-0005-0000-0000-0000F4020000}"/>
    <cellStyle name="Accent2 2 2 12" xfId="1717" xr:uid="{00000000-0005-0000-0000-0000F5020000}"/>
    <cellStyle name="Accent2 2 2 13" xfId="1718" xr:uid="{00000000-0005-0000-0000-0000F6020000}"/>
    <cellStyle name="Accent2 2 2 14" xfId="1719" xr:uid="{00000000-0005-0000-0000-0000F7020000}"/>
    <cellStyle name="Accent2 2 2 2" xfId="1720" xr:uid="{00000000-0005-0000-0000-0000F8020000}"/>
    <cellStyle name="Accent2 2 2 3" xfId="1721" xr:uid="{00000000-0005-0000-0000-0000F9020000}"/>
    <cellStyle name="Accent2 2 2 4" xfId="1722" xr:uid="{00000000-0005-0000-0000-0000FA020000}"/>
    <cellStyle name="Accent2 2 2 5" xfId="1723" xr:uid="{00000000-0005-0000-0000-0000FB020000}"/>
    <cellStyle name="Accent2 2 2 6" xfId="1724" xr:uid="{00000000-0005-0000-0000-0000FC020000}"/>
    <cellStyle name="Accent2 2 2 7" xfId="1725" xr:uid="{00000000-0005-0000-0000-0000FD020000}"/>
    <cellStyle name="Accent2 2 2 8" xfId="1726" xr:uid="{00000000-0005-0000-0000-0000FE020000}"/>
    <cellStyle name="Accent2 2 2 9" xfId="1727" xr:uid="{00000000-0005-0000-0000-0000FF020000}"/>
    <cellStyle name="Accent2 2 3" xfId="1728" xr:uid="{00000000-0005-0000-0000-000000030000}"/>
    <cellStyle name="Accent2 2 4" xfId="1729" xr:uid="{00000000-0005-0000-0000-000001030000}"/>
    <cellStyle name="Accent2 2 5" xfId="1730" xr:uid="{00000000-0005-0000-0000-000002030000}"/>
    <cellStyle name="Accent2 2 6" xfId="1731" xr:uid="{00000000-0005-0000-0000-000003030000}"/>
    <cellStyle name="Accent2 2 7" xfId="1732" xr:uid="{00000000-0005-0000-0000-000004030000}"/>
    <cellStyle name="Accent2 2 8" xfId="1733" xr:uid="{00000000-0005-0000-0000-000005030000}"/>
    <cellStyle name="Accent2 2 9" xfId="1734" xr:uid="{00000000-0005-0000-0000-000006030000}"/>
    <cellStyle name="Accent2 3" xfId="1735" xr:uid="{00000000-0005-0000-0000-000007030000}"/>
    <cellStyle name="Accent2 4" xfId="1736" xr:uid="{00000000-0005-0000-0000-000008030000}"/>
    <cellStyle name="Accent2 5" xfId="1737" xr:uid="{00000000-0005-0000-0000-000009030000}"/>
    <cellStyle name="Accent3 - 20%" xfId="1738" xr:uid="{00000000-0005-0000-0000-00000A030000}"/>
    <cellStyle name="Accent3 - 20% 2" xfId="1739" xr:uid="{00000000-0005-0000-0000-00000B030000}"/>
    <cellStyle name="Accent3 - 20% 3" xfId="1740" xr:uid="{00000000-0005-0000-0000-00000C030000}"/>
    <cellStyle name="Accent3 - 20% 4" xfId="1741" xr:uid="{00000000-0005-0000-0000-00000D030000}"/>
    <cellStyle name="Accent3 - 20% 5" xfId="1742" xr:uid="{00000000-0005-0000-0000-00000E030000}"/>
    <cellStyle name="Accent3 - 40%" xfId="1743" xr:uid="{00000000-0005-0000-0000-00000F030000}"/>
    <cellStyle name="Accent3 - 40% 2" xfId="1744" xr:uid="{00000000-0005-0000-0000-000010030000}"/>
    <cellStyle name="Accent3 - 40% 3" xfId="1745" xr:uid="{00000000-0005-0000-0000-000011030000}"/>
    <cellStyle name="Accent3 - 40% 4" xfId="1746" xr:uid="{00000000-0005-0000-0000-000012030000}"/>
    <cellStyle name="Accent3 - 40% 5" xfId="1747" xr:uid="{00000000-0005-0000-0000-000013030000}"/>
    <cellStyle name="Accent3 - 60%" xfId="1748" xr:uid="{00000000-0005-0000-0000-000014030000}"/>
    <cellStyle name="Accent3 2" xfId="132" xr:uid="{00000000-0005-0000-0000-000016000000}"/>
    <cellStyle name="Accent3 2 10" xfId="1749" xr:uid="{00000000-0005-0000-0000-000016030000}"/>
    <cellStyle name="Accent3 2 11" xfId="1750" xr:uid="{00000000-0005-0000-0000-000017030000}"/>
    <cellStyle name="Accent3 2 12" xfId="1751" xr:uid="{00000000-0005-0000-0000-000018030000}"/>
    <cellStyle name="Accent3 2 13" xfId="1752" xr:uid="{00000000-0005-0000-0000-000019030000}"/>
    <cellStyle name="Accent3 2 14" xfId="1753" xr:uid="{00000000-0005-0000-0000-00001A030000}"/>
    <cellStyle name="Accent3 2 15" xfId="1754" xr:uid="{00000000-0005-0000-0000-00001B030000}"/>
    <cellStyle name="Accent3 2 16" xfId="1755" xr:uid="{00000000-0005-0000-0000-00001C030000}"/>
    <cellStyle name="Accent3 2 2" xfId="1756" xr:uid="{00000000-0005-0000-0000-00001D030000}"/>
    <cellStyle name="Accent3 2 2 10" xfId="1757" xr:uid="{00000000-0005-0000-0000-00001E030000}"/>
    <cellStyle name="Accent3 2 2 11" xfId="1758" xr:uid="{00000000-0005-0000-0000-00001F030000}"/>
    <cellStyle name="Accent3 2 2 12" xfId="1759" xr:uid="{00000000-0005-0000-0000-000020030000}"/>
    <cellStyle name="Accent3 2 2 13" xfId="1760" xr:uid="{00000000-0005-0000-0000-000021030000}"/>
    <cellStyle name="Accent3 2 2 14" xfId="1761" xr:uid="{00000000-0005-0000-0000-000022030000}"/>
    <cellStyle name="Accent3 2 2 2" xfId="1762" xr:uid="{00000000-0005-0000-0000-000023030000}"/>
    <cellStyle name="Accent3 2 2 3" xfId="1763" xr:uid="{00000000-0005-0000-0000-000024030000}"/>
    <cellStyle name="Accent3 2 2 4" xfId="1764" xr:uid="{00000000-0005-0000-0000-000025030000}"/>
    <cellStyle name="Accent3 2 2 5" xfId="1765" xr:uid="{00000000-0005-0000-0000-000026030000}"/>
    <cellStyle name="Accent3 2 2 6" xfId="1766" xr:uid="{00000000-0005-0000-0000-000027030000}"/>
    <cellStyle name="Accent3 2 2 7" xfId="1767" xr:uid="{00000000-0005-0000-0000-000028030000}"/>
    <cellStyle name="Accent3 2 2 8" xfId="1768" xr:uid="{00000000-0005-0000-0000-000029030000}"/>
    <cellStyle name="Accent3 2 2 9" xfId="1769" xr:uid="{00000000-0005-0000-0000-00002A030000}"/>
    <cellStyle name="Accent3 2 3" xfId="1770" xr:uid="{00000000-0005-0000-0000-00002B030000}"/>
    <cellStyle name="Accent3 2 4" xfId="1771" xr:uid="{00000000-0005-0000-0000-00002C030000}"/>
    <cellStyle name="Accent3 2 5" xfId="1772" xr:uid="{00000000-0005-0000-0000-00002D030000}"/>
    <cellStyle name="Accent3 2 6" xfId="1773" xr:uid="{00000000-0005-0000-0000-00002E030000}"/>
    <cellStyle name="Accent3 2 7" xfId="1774" xr:uid="{00000000-0005-0000-0000-00002F030000}"/>
    <cellStyle name="Accent3 2 8" xfId="1775" xr:uid="{00000000-0005-0000-0000-000030030000}"/>
    <cellStyle name="Accent3 2 9" xfId="1776" xr:uid="{00000000-0005-0000-0000-000031030000}"/>
    <cellStyle name="Accent3 3" xfId="1777" xr:uid="{00000000-0005-0000-0000-000032030000}"/>
    <cellStyle name="Accent3 4" xfId="1778" xr:uid="{00000000-0005-0000-0000-000033030000}"/>
    <cellStyle name="Accent3 5" xfId="1779" xr:uid="{00000000-0005-0000-0000-000034030000}"/>
    <cellStyle name="Accent4 - 20%" xfId="1780" xr:uid="{00000000-0005-0000-0000-000035030000}"/>
    <cellStyle name="Accent4 - 20% 2" xfId="1781" xr:uid="{00000000-0005-0000-0000-000036030000}"/>
    <cellStyle name="Accent4 - 20% 3" xfId="1782" xr:uid="{00000000-0005-0000-0000-000037030000}"/>
    <cellStyle name="Accent4 - 20% 4" xfId="1783" xr:uid="{00000000-0005-0000-0000-000038030000}"/>
    <cellStyle name="Accent4 - 20% 5" xfId="1784" xr:uid="{00000000-0005-0000-0000-000039030000}"/>
    <cellStyle name="Accent4 - 40%" xfId="1785" xr:uid="{00000000-0005-0000-0000-00003A030000}"/>
    <cellStyle name="Accent4 - 40% 2" xfId="1786" xr:uid="{00000000-0005-0000-0000-00003B030000}"/>
    <cellStyle name="Accent4 - 40% 3" xfId="1787" xr:uid="{00000000-0005-0000-0000-00003C030000}"/>
    <cellStyle name="Accent4 - 40% 4" xfId="1788" xr:uid="{00000000-0005-0000-0000-00003D030000}"/>
    <cellStyle name="Accent4 - 40% 5" xfId="1789" xr:uid="{00000000-0005-0000-0000-00003E030000}"/>
    <cellStyle name="Accent4 - 60%" xfId="1790" xr:uid="{00000000-0005-0000-0000-00003F030000}"/>
    <cellStyle name="Accent4 2" xfId="133" xr:uid="{00000000-0005-0000-0000-000017000000}"/>
    <cellStyle name="Accent4 2 10" xfId="1791" xr:uid="{00000000-0005-0000-0000-000041030000}"/>
    <cellStyle name="Accent4 2 11" xfId="1792" xr:uid="{00000000-0005-0000-0000-000042030000}"/>
    <cellStyle name="Accent4 2 12" xfId="1793" xr:uid="{00000000-0005-0000-0000-000043030000}"/>
    <cellStyle name="Accent4 2 13" xfId="1794" xr:uid="{00000000-0005-0000-0000-000044030000}"/>
    <cellStyle name="Accent4 2 14" xfId="1795" xr:uid="{00000000-0005-0000-0000-000045030000}"/>
    <cellStyle name="Accent4 2 15" xfId="1796" xr:uid="{00000000-0005-0000-0000-000046030000}"/>
    <cellStyle name="Accent4 2 16" xfId="1797" xr:uid="{00000000-0005-0000-0000-000047030000}"/>
    <cellStyle name="Accent4 2 2" xfId="1798" xr:uid="{00000000-0005-0000-0000-000048030000}"/>
    <cellStyle name="Accent4 2 2 10" xfId="1799" xr:uid="{00000000-0005-0000-0000-000049030000}"/>
    <cellStyle name="Accent4 2 2 11" xfId="1800" xr:uid="{00000000-0005-0000-0000-00004A030000}"/>
    <cellStyle name="Accent4 2 2 12" xfId="1801" xr:uid="{00000000-0005-0000-0000-00004B030000}"/>
    <cellStyle name="Accent4 2 2 13" xfId="1802" xr:uid="{00000000-0005-0000-0000-00004C030000}"/>
    <cellStyle name="Accent4 2 2 14" xfId="1803" xr:uid="{00000000-0005-0000-0000-00004D030000}"/>
    <cellStyle name="Accent4 2 2 2" xfId="1804" xr:uid="{00000000-0005-0000-0000-00004E030000}"/>
    <cellStyle name="Accent4 2 2 3" xfId="1805" xr:uid="{00000000-0005-0000-0000-00004F030000}"/>
    <cellStyle name="Accent4 2 2 4" xfId="1806" xr:uid="{00000000-0005-0000-0000-000050030000}"/>
    <cellStyle name="Accent4 2 2 5" xfId="1807" xr:uid="{00000000-0005-0000-0000-000051030000}"/>
    <cellStyle name="Accent4 2 2 6" xfId="1808" xr:uid="{00000000-0005-0000-0000-000052030000}"/>
    <cellStyle name="Accent4 2 2 7" xfId="1809" xr:uid="{00000000-0005-0000-0000-000053030000}"/>
    <cellStyle name="Accent4 2 2 8" xfId="1810" xr:uid="{00000000-0005-0000-0000-000054030000}"/>
    <cellStyle name="Accent4 2 2 9" xfId="1811" xr:uid="{00000000-0005-0000-0000-000055030000}"/>
    <cellStyle name="Accent4 2 3" xfId="1812" xr:uid="{00000000-0005-0000-0000-000056030000}"/>
    <cellStyle name="Accent4 2 4" xfId="1813" xr:uid="{00000000-0005-0000-0000-000057030000}"/>
    <cellStyle name="Accent4 2 5" xfId="1814" xr:uid="{00000000-0005-0000-0000-000058030000}"/>
    <cellStyle name="Accent4 2 6" xfId="1815" xr:uid="{00000000-0005-0000-0000-000059030000}"/>
    <cellStyle name="Accent4 2 7" xfId="1816" xr:uid="{00000000-0005-0000-0000-00005A030000}"/>
    <cellStyle name="Accent4 2 8" xfId="1817" xr:uid="{00000000-0005-0000-0000-00005B030000}"/>
    <cellStyle name="Accent4 2 9" xfId="1818" xr:uid="{00000000-0005-0000-0000-00005C030000}"/>
    <cellStyle name="Accent4 3" xfId="1819" xr:uid="{00000000-0005-0000-0000-00005D030000}"/>
    <cellStyle name="Accent4 4" xfId="1820" xr:uid="{00000000-0005-0000-0000-00005E030000}"/>
    <cellStyle name="Accent4 5" xfId="1821" xr:uid="{00000000-0005-0000-0000-00005F030000}"/>
    <cellStyle name="Accent5 - 20%" xfId="1822" xr:uid="{00000000-0005-0000-0000-000060030000}"/>
    <cellStyle name="Accent5 - 20% 2" xfId="1823" xr:uid="{00000000-0005-0000-0000-000061030000}"/>
    <cellStyle name="Accent5 - 20% 3" xfId="1824" xr:uid="{00000000-0005-0000-0000-000062030000}"/>
    <cellStyle name="Accent5 - 20% 4" xfId="1825" xr:uid="{00000000-0005-0000-0000-000063030000}"/>
    <cellStyle name="Accent5 - 20% 5" xfId="1826" xr:uid="{00000000-0005-0000-0000-000064030000}"/>
    <cellStyle name="Accent5 - 40%" xfId="1827" xr:uid="{00000000-0005-0000-0000-000065030000}"/>
    <cellStyle name="Accent5 - 40% 2" xfId="1828" xr:uid="{00000000-0005-0000-0000-000066030000}"/>
    <cellStyle name="Accent5 - 40% 3" xfId="1829" xr:uid="{00000000-0005-0000-0000-000067030000}"/>
    <cellStyle name="Accent5 - 40% 4" xfId="1830" xr:uid="{00000000-0005-0000-0000-000068030000}"/>
    <cellStyle name="Accent5 - 40% 5" xfId="1831" xr:uid="{00000000-0005-0000-0000-000069030000}"/>
    <cellStyle name="Accent5 - 60%" xfId="1832" xr:uid="{00000000-0005-0000-0000-00006A030000}"/>
    <cellStyle name="Accent5 2" xfId="134" xr:uid="{00000000-0005-0000-0000-000018000000}"/>
    <cellStyle name="Accent5 2 10" xfId="1833" xr:uid="{00000000-0005-0000-0000-00006C030000}"/>
    <cellStyle name="Accent5 2 11" xfId="1834" xr:uid="{00000000-0005-0000-0000-00006D030000}"/>
    <cellStyle name="Accent5 2 12" xfId="1835" xr:uid="{00000000-0005-0000-0000-00006E030000}"/>
    <cellStyle name="Accent5 2 13" xfId="1836" xr:uid="{00000000-0005-0000-0000-00006F030000}"/>
    <cellStyle name="Accent5 2 14" xfId="1837" xr:uid="{00000000-0005-0000-0000-000070030000}"/>
    <cellStyle name="Accent5 2 15" xfId="1838" xr:uid="{00000000-0005-0000-0000-000071030000}"/>
    <cellStyle name="Accent5 2 16" xfId="1839" xr:uid="{00000000-0005-0000-0000-000072030000}"/>
    <cellStyle name="Accent5 2 2" xfId="1840" xr:uid="{00000000-0005-0000-0000-000073030000}"/>
    <cellStyle name="Accent5 2 2 10" xfId="1841" xr:uid="{00000000-0005-0000-0000-000074030000}"/>
    <cellStyle name="Accent5 2 2 11" xfId="1842" xr:uid="{00000000-0005-0000-0000-000075030000}"/>
    <cellStyle name="Accent5 2 2 12" xfId="1843" xr:uid="{00000000-0005-0000-0000-000076030000}"/>
    <cellStyle name="Accent5 2 2 13" xfId="1844" xr:uid="{00000000-0005-0000-0000-000077030000}"/>
    <cellStyle name="Accent5 2 2 14" xfId="1845" xr:uid="{00000000-0005-0000-0000-000078030000}"/>
    <cellStyle name="Accent5 2 2 2" xfId="1846" xr:uid="{00000000-0005-0000-0000-000079030000}"/>
    <cellStyle name="Accent5 2 2 3" xfId="1847" xr:uid="{00000000-0005-0000-0000-00007A030000}"/>
    <cellStyle name="Accent5 2 2 4" xfId="1848" xr:uid="{00000000-0005-0000-0000-00007B030000}"/>
    <cellStyle name="Accent5 2 2 5" xfId="1849" xr:uid="{00000000-0005-0000-0000-00007C030000}"/>
    <cellStyle name="Accent5 2 2 6" xfId="1850" xr:uid="{00000000-0005-0000-0000-00007D030000}"/>
    <cellStyle name="Accent5 2 2 7" xfId="1851" xr:uid="{00000000-0005-0000-0000-00007E030000}"/>
    <cellStyle name="Accent5 2 2 8" xfId="1852" xr:uid="{00000000-0005-0000-0000-00007F030000}"/>
    <cellStyle name="Accent5 2 2 9" xfId="1853" xr:uid="{00000000-0005-0000-0000-000080030000}"/>
    <cellStyle name="Accent5 2 3" xfId="1854" xr:uid="{00000000-0005-0000-0000-000081030000}"/>
    <cellStyle name="Accent5 2 4" xfId="1855" xr:uid="{00000000-0005-0000-0000-000082030000}"/>
    <cellStyle name="Accent5 2 5" xfId="1856" xr:uid="{00000000-0005-0000-0000-000083030000}"/>
    <cellStyle name="Accent5 2 6" xfId="1857" xr:uid="{00000000-0005-0000-0000-000084030000}"/>
    <cellStyle name="Accent5 2 7" xfId="1858" xr:uid="{00000000-0005-0000-0000-000085030000}"/>
    <cellStyle name="Accent5 2 8" xfId="1859" xr:uid="{00000000-0005-0000-0000-000086030000}"/>
    <cellStyle name="Accent5 2 9" xfId="1860" xr:uid="{00000000-0005-0000-0000-000087030000}"/>
    <cellStyle name="Accent5 3" xfId="1861" xr:uid="{00000000-0005-0000-0000-000088030000}"/>
    <cellStyle name="Accent5 4" xfId="1862" xr:uid="{00000000-0005-0000-0000-000089030000}"/>
    <cellStyle name="Accent5 5" xfId="1863" xr:uid="{00000000-0005-0000-0000-00008A030000}"/>
    <cellStyle name="Accent6 - 20%" xfId="1864" xr:uid="{00000000-0005-0000-0000-00008B030000}"/>
    <cellStyle name="Accent6 - 20% 2" xfId="1865" xr:uid="{00000000-0005-0000-0000-00008C030000}"/>
    <cellStyle name="Accent6 - 20% 3" xfId="1866" xr:uid="{00000000-0005-0000-0000-00008D030000}"/>
    <cellStyle name="Accent6 - 20% 4" xfId="1867" xr:uid="{00000000-0005-0000-0000-00008E030000}"/>
    <cellStyle name="Accent6 - 20% 5" xfId="1868" xr:uid="{00000000-0005-0000-0000-00008F030000}"/>
    <cellStyle name="Accent6 - 40%" xfId="1869" xr:uid="{00000000-0005-0000-0000-000090030000}"/>
    <cellStyle name="Accent6 - 40% 2" xfId="1870" xr:uid="{00000000-0005-0000-0000-000091030000}"/>
    <cellStyle name="Accent6 - 40% 3" xfId="1871" xr:uid="{00000000-0005-0000-0000-000092030000}"/>
    <cellStyle name="Accent6 - 40% 4" xfId="1872" xr:uid="{00000000-0005-0000-0000-000093030000}"/>
    <cellStyle name="Accent6 - 40% 5" xfId="1873" xr:uid="{00000000-0005-0000-0000-000094030000}"/>
    <cellStyle name="Accent6 - 60%" xfId="1874" xr:uid="{00000000-0005-0000-0000-000095030000}"/>
    <cellStyle name="Accent6 2" xfId="135" xr:uid="{00000000-0005-0000-0000-000019000000}"/>
    <cellStyle name="Accent6 2 10" xfId="1875" xr:uid="{00000000-0005-0000-0000-000097030000}"/>
    <cellStyle name="Accent6 2 11" xfId="1876" xr:uid="{00000000-0005-0000-0000-000098030000}"/>
    <cellStyle name="Accent6 2 12" xfId="1877" xr:uid="{00000000-0005-0000-0000-000099030000}"/>
    <cellStyle name="Accent6 2 13" xfId="1878" xr:uid="{00000000-0005-0000-0000-00009A030000}"/>
    <cellStyle name="Accent6 2 14" xfId="1879" xr:uid="{00000000-0005-0000-0000-00009B030000}"/>
    <cellStyle name="Accent6 2 15" xfId="1880" xr:uid="{00000000-0005-0000-0000-00009C030000}"/>
    <cellStyle name="Accent6 2 16" xfId="1881" xr:uid="{00000000-0005-0000-0000-00009D030000}"/>
    <cellStyle name="Accent6 2 2" xfId="1882" xr:uid="{00000000-0005-0000-0000-00009E030000}"/>
    <cellStyle name="Accent6 2 2 10" xfId="1883" xr:uid="{00000000-0005-0000-0000-00009F030000}"/>
    <cellStyle name="Accent6 2 2 11" xfId="1884" xr:uid="{00000000-0005-0000-0000-0000A0030000}"/>
    <cellStyle name="Accent6 2 2 12" xfId="1885" xr:uid="{00000000-0005-0000-0000-0000A1030000}"/>
    <cellStyle name="Accent6 2 2 13" xfId="1886" xr:uid="{00000000-0005-0000-0000-0000A2030000}"/>
    <cellStyle name="Accent6 2 2 14" xfId="1887" xr:uid="{00000000-0005-0000-0000-0000A3030000}"/>
    <cellStyle name="Accent6 2 2 2" xfId="1888" xr:uid="{00000000-0005-0000-0000-0000A4030000}"/>
    <cellStyle name="Accent6 2 2 3" xfId="1889" xr:uid="{00000000-0005-0000-0000-0000A5030000}"/>
    <cellStyle name="Accent6 2 2 4" xfId="1890" xr:uid="{00000000-0005-0000-0000-0000A6030000}"/>
    <cellStyle name="Accent6 2 2 5" xfId="1891" xr:uid="{00000000-0005-0000-0000-0000A7030000}"/>
    <cellStyle name="Accent6 2 2 6" xfId="1892" xr:uid="{00000000-0005-0000-0000-0000A8030000}"/>
    <cellStyle name="Accent6 2 2 7" xfId="1893" xr:uid="{00000000-0005-0000-0000-0000A9030000}"/>
    <cellStyle name="Accent6 2 2 8" xfId="1894" xr:uid="{00000000-0005-0000-0000-0000AA030000}"/>
    <cellStyle name="Accent6 2 2 9" xfId="1895" xr:uid="{00000000-0005-0000-0000-0000AB030000}"/>
    <cellStyle name="Accent6 2 3" xfId="1896" xr:uid="{00000000-0005-0000-0000-0000AC030000}"/>
    <cellStyle name="Accent6 2 4" xfId="1897" xr:uid="{00000000-0005-0000-0000-0000AD030000}"/>
    <cellStyle name="Accent6 2 5" xfId="1898" xr:uid="{00000000-0005-0000-0000-0000AE030000}"/>
    <cellStyle name="Accent6 2 6" xfId="1899" xr:uid="{00000000-0005-0000-0000-0000AF030000}"/>
    <cellStyle name="Accent6 2 7" xfId="1900" xr:uid="{00000000-0005-0000-0000-0000B0030000}"/>
    <cellStyle name="Accent6 2 8" xfId="1901" xr:uid="{00000000-0005-0000-0000-0000B1030000}"/>
    <cellStyle name="Accent6 2 9" xfId="1902" xr:uid="{00000000-0005-0000-0000-0000B2030000}"/>
    <cellStyle name="Accent6 3" xfId="1903" xr:uid="{00000000-0005-0000-0000-0000B3030000}"/>
    <cellStyle name="Accent6 4" xfId="1904" xr:uid="{00000000-0005-0000-0000-0000B4030000}"/>
    <cellStyle name="Accent6 5" xfId="1905" xr:uid="{00000000-0005-0000-0000-0000B5030000}"/>
    <cellStyle name="ÅëÈ­ [0]_±âÅ¸" xfId="1906" xr:uid="{00000000-0005-0000-0000-0000B6030000}"/>
    <cellStyle name="ÅëÈ­_±âÅ¸" xfId="1907" xr:uid="{00000000-0005-0000-0000-0000B7030000}"/>
    <cellStyle name="Arial1 - Style1" xfId="1908" xr:uid="{00000000-0005-0000-0000-0000B8030000}"/>
    <cellStyle name="Arial1 - Style2" xfId="1909" xr:uid="{00000000-0005-0000-0000-0000B9030000}"/>
    <cellStyle name="Arial10" xfId="1910" xr:uid="{00000000-0005-0000-0000-0000BA030000}"/>
    <cellStyle name="Arial10 2" xfId="1911" xr:uid="{00000000-0005-0000-0000-0000BB030000}"/>
    <cellStyle name="Arial10 3" xfId="1912" xr:uid="{00000000-0005-0000-0000-0000BC030000}"/>
    <cellStyle name="Arial10 4" xfId="1913" xr:uid="{00000000-0005-0000-0000-0000BD030000}"/>
    <cellStyle name="Arial10 5" xfId="1914" xr:uid="{00000000-0005-0000-0000-0000BE030000}"/>
    <cellStyle name="Arial10 6" xfId="1915" xr:uid="{00000000-0005-0000-0000-0000BF030000}"/>
    <cellStyle name="Arial10 7" xfId="1916" xr:uid="{00000000-0005-0000-0000-0000C0030000}"/>
    <cellStyle name="Arial10 8" xfId="1917" xr:uid="{00000000-0005-0000-0000-0000C1030000}"/>
    <cellStyle name="ÄÞ¸¶ [0]_±âÅ¸" xfId="1918" xr:uid="{00000000-0005-0000-0000-0000C2030000}"/>
    <cellStyle name="ÄÞ¸¶_±âÅ¸" xfId="1919" xr:uid="{00000000-0005-0000-0000-0000C3030000}"/>
    <cellStyle name="b1x" xfId="1920" xr:uid="{00000000-0005-0000-0000-0000C4030000}"/>
    <cellStyle name="Bad 2" xfId="136" xr:uid="{00000000-0005-0000-0000-00001A000000}"/>
    <cellStyle name="Bad 2 10" xfId="1921" xr:uid="{00000000-0005-0000-0000-0000C6030000}"/>
    <cellStyle name="Bad 2 11" xfId="1922" xr:uid="{00000000-0005-0000-0000-0000C7030000}"/>
    <cellStyle name="Bad 2 12" xfId="1923" xr:uid="{00000000-0005-0000-0000-0000C8030000}"/>
    <cellStyle name="Bad 2 13" xfId="1924" xr:uid="{00000000-0005-0000-0000-0000C9030000}"/>
    <cellStyle name="Bad 2 14" xfId="1925" xr:uid="{00000000-0005-0000-0000-0000CA030000}"/>
    <cellStyle name="Bad 2 15" xfId="1926" xr:uid="{00000000-0005-0000-0000-0000CB030000}"/>
    <cellStyle name="Bad 2 16" xfId="1927" xr:uid="{00000000-0005-0000-0000-0000CC030000}"/>
    <cellStyle name="Bad 2 2" xfId="1928" xr:uid="{00000000-0005-0000-0000-0000CD030000}"/>
    <cellStyle name="Bad 2 2 10" xfId="1929" xr:uid="{00000000-0005-0000-0000-0000CE030000}"/>
    <cellStyle name="Bad 2 2 11" xfId="1930" xr:uid="{00000000-0005-0000-0000-0000CF030000}"/>
    <cellStyle name="Bad 2 2 12" xfId="1931" xr:uid="{00000000-0005-0000-0000-0000D0030000}"/>
    <cellStyle name="Bad 2 2 13" xfId="1932" xr:uid="{00000000-0005-0000-0000-0000D1030000}"/>
    <cellStyle name="Bad 2 2 14" xfId="1933" xr:uid="{00000000-0005-0000-0000-0000D2030000}"/>
    <cellStyle name="Bad 2 2 2" xfId="1934" xr:uid="{00000000-0005-0000-0000-0000D3030000}"/>
    <cellStyle name="Bad 2 2 3" xfId="1935" xr:uid="{00000000-0005-0000-0000-0000D4030000}"/>
    <cellStyle name="Bad 2 2 4" xfId="1936" xr:uid="{00000000-0005-0000-0000-0000D5030000}"/>
    <cellStyle name="Bad 2 2 5" xfId="1937" xr:uid="{00000000-0005-0000-0000-0000D6030000}"/>
    <cellStyle name="Bad 2 2 6" xfId="1938" xr:uid="{00000000-0005-0000-0000-0000D7030000}"/>
    <cellStyle name="Bad 2 2 7" xfId="1939" xr:uid="{00000000-0005-0000-0000-0000D8030000}"/>
    <cellStyle name="Bad 2 2 8" xfId="1940" xr:uid="{00000000-0005-0000-0000-0000D9030000}"/>
    <cellStyle name="Bad 2 2 9" xfId="1941" xr:uid="{00000000-0005-0000-0000-0000DA030000}"/>
    <cellStyle name="Bad 2 3" xfId="1942" xr:uid="{00000000-0005-0000-0000-0000DB030000}"/>
    <cellStyle name="Bad 2 4" xfId="1943" xr:uid="{00000000-0005-0000-0000-0000DC030000}"/>
    <cellStyle name="Bad 2 5" xfId="1944" xr:uid="{00000000-0005-0000-0000-0000DD030000}"/>
    <cellStyle name="Bad 2 6" xfId="1945" xr:uid="{00000000-0005-0000-0000-0000DE030000}"/>
    <cellStyle name="Bad 2 7" xfId="1946" xr:uid="{00000000-0005-0000-0000-0000DF030000}"/>
    <cellStyle name="Bad 2 8" xfId="1947" xr:uid="{00000000-0005-0000-0000-0000E0030000}"/>
    <cellStyle name="Bad 2 9" xfId="1948" xr:uid="{00000000-0005-0000-0000-0000E1030000}"/>
    <cellStyle name="Bad 3" xfId="1949" xr:uid="{00000000-0005-0000-0000-0000E2030000}"/>
    <cellStyle name="Bad 4" xfId="1950" xr:uid="{00000000-0005-0000-0000-0000E3030000}"/>
    <cellStyle name="Bad 5" xfId="1951" xr:uid="{00000000-0005-0000-0000-0000E4030000}"/>
    <cellStyle name="Body" xfId="1952" xr:uid="{00000000-0005-0000-0000-0000E5030000}"/>
    <cellStyle name="Ç¥ÁØ_¿¬°£´©°è¿¹»ó" xfId="1953" xr:uid="{00000000-0005-0000-0000-0000E6030000}"/>
    <cellStyle name="Calc Currency (0)" xfId="1954" xr:uid="{00000000-0005-0000-0000-0000E7030000}"/>
    <cellStyle name="Calculation 11 2" xfId="978" xr:uid="{00000000-0005-0000-0000-0000E8030000}"/>
    <cellStyle name="Calculation 2" xfId="137" xr:uid="{00000000-0005-0000-0000-00001B000000}"/>
    <cellStyle name="Calculation 2 10" xfId="1956" xr:uid="{00000000-0005-0000-0000-0000EA030000}"/>
    <cellStyle name="Calculation 2 10 2" xfId="1957" xr:uid="{00000000-0005-0000-0000-0000EB030000}"/>
    <cellStyle name="Calculation 2 11" xfId="1958" xr:uid="{00000000-0005-0000-0000-0000EC030000}"/>
    <cellStyle name="Calculation 2 12" xfId="1959" xr:uid="{00000000-0005-0000-0000-0000ED030000}"/>
    <cellStyle name="Calculation 2 13" xfId="1960" xr:uid="{00000000-0005-0000-0000-0000EE030000}"/>
    <cellStyle name="Calculation 2 14" xfId="1961" xr:uid="{00000000-0005-0000-0000-0000EF030000}"/>
    <cellStyle name="Calculation 2 15" xfId="1962" xr:uid="{00000000-0005-0000-0000-0000F0030000}"/>
    <cellStyle name="Calculation 2 16" xfId="1963" xr:uid="{00000000-0005-0000-0000-0000F1030000}"/>
    <cellStyle name="Calculation 2 17" xfId="1964" xr:uid="{00000000-0005-0000-0000-0000F2030000}"/>
    <cellStyle name="Calculation 2 18" xfId="1965" xr:uid="{00000000-0005-0000-0000-0000F3030000}"/>
    <cellStyle name="Calculation 2 19" xfId="1966" xr:uid="{00000000-0005-0000-0000-0000F4030000}"/>
    <cellStyle name="Calculation 2 2" xfId="1967" xr:uid="{00000000-0005-0000-0000-0000F5030000}"/>
    <cellStyle name="Calculation 2 2 2" xfId="1968" xr:uid="{00000000-0005-0000-0000-0000F6030000}"/>
    <cellStyle name="Calculation 2 20" xfId="1969" xr:uid="{00000000-0005-0000-0000-0000F7030000}"/>
    <cellStyle name="Calculation 2 21" xfId="1970" xr:uid="{00000000-0005-0000-0000-0000F8030000}"/>
    <cellStyle name="Calculation 2 22" xfId="1971" xr:uid="{00000000-0005-0000-0000-0000F9030000}"/>
    <cellStyle name="Calculation 2 23" xfId="1972" xr:uid="{00000000-0005-0000-0000-0000FA030000}"/>
    <cellStyle name="Calculation 2 24" xfId="1973" xr:uid="{00000000-0005-0000-0000-0000FB030000}"/>
    <cellStyle name="Calculation 2 25" xfId="1974" xr:uid="{00000000-0005-0000-0000-0000FC030000}"/>
    <cellStyle name="Calculation 2 26" xfId="1975" xr:uid="{00000000-0005-0000-0000-0000FD030000}"/>
    <cellStyle name="Calculation 2 27" xfId="1976" xr:uid="{00000000-0005-0000-0000-0000FE030000}"/>
    <cellStyle name="Calculation 2 28" xfId="1955" xr:uid="{00000000-0005-0000-0000-0000FF030000}"/>
    <cellStyle name="Calculation 2 29" xfId="37261" xr:uid="{00000000-0005-0000-0000-000000040000}"/>
    <cellStyle name="Calculation 2 3" xfId="1977" xr:uid="{00000000-0005-0000-0000-000001040000}"/>
    <cellStyle name="Calculation 2 3 2" xfId="1978" xr:uid="{00000000-0005-0000-0000-000002040000}"/>
    <cellStyle name="Calculation 2 4" xfId="1979" xr:uid="{00000000-0005-0000-0000-000003040000}"/>
    <cellStyle name="Calculation 2 4 2" xfId="1980" xr:uid="{00000000-0005-0000-0000-000004040000}"/>
    <cellStyle name="Calculation 2 5" xfId="1981" xr:uid="{00000000-0005-0000-0000-000005040000}"/>
    <cellStyle name="Calculation 2 5 2" xfId="1982" xr:uid="{00000000-0005-0000-0000-000006040000}"/>
    <cellStyle name="Calculation 2 6" xfId="1983" xr:uid="{00000000-0005-0000-0000-000007040000}"/>
    <cellStyle name="Calculation 2 6 2" xfId="1984" xr:uid="{00000000-0005-0000-0000-000008040000}"/>
    <cellStyle name="Calculation 2 7" xfId="1985" xr:uid="{00000000-0005-0000-0000-000009040000}"/>
    <cellStyle name="Calculation 2 7 2" xfId="1986" xr:uid="{00000000-0005-0000-0000-00000A040000}"/>
    <cellStyle name="Calculation 2 8" xfId="1987" xr:uid="{00000000-0005-0000-0000-00000B040000}"/>
    <cellStyle name="Calculation 2 8 2" xfId="1988" xr:uid="{00000000-0005-0000-0000-00000C040000}"/>
    <cellStyle name="Calculation 2 9" xfId="1989" xr:uid="{00000000-0005-0000-0000-00000D040000}"/>
    <cellStyle name="Calculation 2 9 2" xfId="1990" xr:uid="{00000000-0005-0000-0000-00000E040000}"/>
    <cellStyle name="Calculation 3" xfId="1991" xr:uid="{00000000-0005-0000-0000-00000F040000}"/>
    <cellStyle name="Calculation 4" xfId="1992" xr:uid="{00000000-0005-0000-0000-000010040000}"/>
    <cellStyle name="Calculation 5" xfId="1993" xr:uid="{00000000-0005-0000-0000-000011040000}"/>
    <cellStyle name="category" xfId="1994" xr:uid="{00000000-0005-0000-0000-000012040000}"/>
    <cellStyle name="Check Cell 2" xfId="138" xr:uid="{00000000-0005-0000-0000-00001C000000}"/>
    <cellStyle name="Check Cell 2 10" xfId="1995" xr:uid="{00000000-0005-0000-0000-000014040000}"/>
    <cellStyle name="Check Cell 2 11" xfId="1996" xr:uid="{00000000-0005-0000-0000-000015040000}"/>
    <cellStyle name="Check Cell 2 12" xfId="1997" xr:uid="{00000000-0005-0000-0000-000016040000}"/>
    <cellStyle name="Check Cell 2 13" xfId="1998" xr:uid="{00000000-0005-0000-0000-000017040000}"/>
    <cellStyle name="Check Cell 2 14" xfId="1999" xr:uid="{00000000-0005-0000-0000-000018040000}"/>
    <cellStyle name="Check Cell 2 15" xfId="2000" xr:uid="{00000000-0005-0000-0000-000019040000}"/>
    <cellStyle name="Check Cell 2 16" xfId="2001" xr:uid="{00000000-0005-0000-0000-00001A040000}"/>
    <cellStyle name="Check Cell 2 2" xfId="2002" xr:uid="{00000000-0005-0000-0000-00001B040000}"/>
    <cellStyle name="Check Cell 2 2 10" xfId="2003" xr:uid="{00000000-0005-0000-0000-00001C040000}"/>
    <cellStyle name="Check Cell 2 2 11" xfId="2004" xr:uid="{00000000-0005-0000-0000-00001D040000}"/>
    <cellStyle name="Check Cell 2 2 12" xfId="2005" xr:uid="{00000000-0005-0000-0000-00001E040000}"/>
    <cellStyle name="Check Cell 2 2 13" xfId="2006" xr:uid="{00000000-0005-0000-0000-00001F040000}"/>
    <cellStyle name="Check Cell 2 2 14" xfId="2007" xr:uid="{00000000-0005-0000-0000-000020040000}"/>
    <cellStyle name="Check Cell 2 2 2" xfId="2008" xr:uid="{00000000-0005-0000-0000-000021040000}"/>
    <cellStyle name="Check Cell 2 2 3" xfId="2009" xr:uid="{00000000-0005-0000-0000-000022040000}"/>
    <cellStyle name="Check Cell 2 2 4" xfId="2010" xr:uid="{00000000-0005-0000-0000-000023040000}"/>
    <cellStyle name="Check Cell 2 2 5" xfId="2011" xr:uid="{00000000-0005-0000-0000-000024040000}"/>
    <cellStyle name="Check Cell 2 2 6" xfId="2012" xr:uid="{00000000-0005-0000-0000-000025040000}"/>
    <cellStyle name="Check Cell 2 2 7" xfId="2013" xr:uid="{00000000-0005-0000-0000-000026040000}"/>
    <cellStyle name="Check Cell 2 2 8" xfId="2014" xr:uid="{00000000-0005-0000-0000-000027040000}"/>
    <cellStyle name="Check Cell 2 2 9" xfId="2015" xr:uid="{00000000-0005-0000-0000-000028040000}"/>
    <cellStyle name="Check Cell 2 3" xfId="2016" xr:uid="{00000000-0005-0000-0000-000029040000}"/>
    <cellStyle name="Check Cell 2 4" xfId="2017" xr:uid="{00000000-0005-0000-0000-00002A040000}"/>
    <cellStyle name="Check Cell 2 5" xfId="2018" xr:uid="{00000000-0005-0000-0000-00002B040000}"/>
    <cellStyle name="Check Cell 2 6" xfId="2019" xr:uid="{00000000-0005-0000-0000-00002C040000}"/>
    <cellStyle name="Check Cell 2 7" xfId="2020" xr:uid="{00000000-0005-0000-0000-00002D040000}"/>
    <cellStyle name="Check Cell 2 8" xfId="2021" xr:uid="{00000000-0005-0000-0000-00002E040000}"/>
    <cellStyle name="Check Cell 2 9" xfId="2022" xr:uid="{00000000-0005-0000-0000-00002F040000}"/>
    <cellStyle name="Check Cell 3" xfId="2023" xr:uid="{00000000-0005-0000-0000-000030040000}"/>
    <cellStyle name="Check Cell 4" xfId="2024" xr:uid="{00000000-0005-0000-0000-000031040000}"/>
    <cellStyle name="Check Cell 5" xfId="2025" xr:uid="{00000000-0005-0000-0000-000032040000}"/>
    <cellStyle name="Comma" xfId="1" builtinId="3"/>
    <cellStyle name="Comma  - Style1" xfId="2026" xr:uid="{00000000-0005-0000-0000-000033040000}"/>
    <cellStyle name="Comma  - Style2" xfId="2027" xr:uid="{00000000-0005-0000-0000-000034040000}"/>
    <cellStyle name="Comma  - Style3" xfId="2028" xr:uid="{00000000-0005-0000-0000-000035040000}"/>
    <cellStyle name="Comma  - Style4" xfId="2029" xr:uid="{00000000-0005-0000-0000-000036040000}"/>
    <cellStyle name="Comma  - Style5" xfId="2030" xr:uid="{00000000-0005-0000-0000-000037040000}"/>
    <cellStyle name="Comma  - Style6" xfId="2031" xr:uid="{00000000-0005-0000-0000-000038040000}"/>
    <cellStyle name="Comma  - Style7" xfId="2032" xr:uid="{00000000-0005-0000-0000-000039040000}"/>
    <cellStyle name="Comma  - Style8" xfId="2033" xr:uid="{00000000-0005-0000-0000-00003A040000}"/>
    <cellStyle name="Comma 10" xfId="23" xr:uid="{00000000-0005-0000-0000-000003000000}"/>
    <cellStyle name="Comma 10 10" xfId="43" xr:uid="{00000000-0005-0000-0000-000004000000}"/>
    <cellStyle name="Comma 10 10 2" xfId="82" xr:uid="{00000000-0005-0000-0000-000004000000}"/>
    <cellStyle name="Comma 10 10 2 2" xfId="2036" xr:uid="{00000000-0005-0000-0000-00003D040000}"/>
    <cellStyle name="Comma 10 10 2 2 2" xfId="7" xr:uid="{00000000-0005-0000-0000-000005000000}"/>
    <cellStyle name="Comma 10 10 2 2 2 2" xfId="11" xr:uid="{00000000-0005-0000-0000-000006000000}"/>
    <cellStyle name="Comma 10 10 2 2 2 2 2" xfId="76" xr:uid="{00000000-0005-0000-0000-000006000000}"/>
    <cellStyle name="Comma 10 10 3" xfId="2037" xr:uid="{00000000-0005-0000-0000-00003E040000}"/>
    <cellStyle name="Comma 10 10 4" xfId="2038" xr:uid="{00000000-0005-0000-0000-00003F040000}"/>
    <cellStyle name="Comma 10 10 5" xfId="2039" xr:uid="{00000000-0005-0000-0000-000040040000}"/>
    <cellStyle name="Comma 10 10 6" xfId="2035" xr:uid="{00000000-0005-0000-0000-00003C040000}"/>
    <cellStyle name="Comma 10 11" xfId="2040" xr:uid="{00000000-0005-0000-0000-000041040000}"/>
    <cellStyle name="Comma 10 12" xfId="2041" xr:uid="{00000000-0005-0000-0000-000042040000}"/>
    <cellStyle name="Comma 10 13" xfId="2042" xr:uid="{00000000-0005-0000-0000-000043040000}"/>
    <cellStyle name="Comma 10 14" xfId="69" xr:uid="{1204302A-2472-4FC8-A9D2-A3B12E4AF63E}"/>
    <cellStyle name="Comma 10 14 2" xfId="2043" xr:uid="{00000000-0005-0000-0000-000044040000}"/>
    <cellStyle name="Comma 10 15" xfId="2044" xr:uid="{00000000-0005-0000-0000-000045040000}"/>
    <cellStyle name="Comma 10 16" xfId="2045" xr:uid="{00000000-0005-0000-0000-000046040000}"/>
    <cellStyle name="Comma 10 17" xfId="2046" xr:uid="{00000000-0005-0000-0000-000047040000}"/>
    <cellStyle name="Comma 10 18" xfId="2047" xr:uid="{00000000-0005-0000-0000-000048040000}"/>
    <cellStyle name="Comma 10 19" xfId="2048" xr:uid="{00000000-0005-0000-0000-000049040000}"/>
    <cellStyle name="Comma 10 2" xfId="897" xr:uid="{00000000-0005-0000-0000-00001F000000}"/>
    <cellStyle name="Comma 10 2 10" xfId="2050" xr:uid="{00000000-0005-0000-0000-00004B040000}"/>
    <cellStyle name="Comma 10 2 11" xfId="2051" xr:uid="{00000000-0005-0000-0000-00004C040000}"/>
    <cellStyle name="Comma 10 2 12" xfId="2052" xr:uid="{00000000-0005-0000-0000-00004D040000}"/>
    <cellStyle name="Comma 10 2 13" xfId="2049" xr:uid="{00000000-0005-0000-0000-00004A040000}"/>
    <cellStyle name="Comma 10 2 2" xfId="2053" xr:uid="{00000000-0005-0000-0000-00004E040000}"/>
    <cellStyle name="Comma 10 2 2 10" xfId="2054" xr:uid="{00000000-0005-0000-0000-00004F040000}"/>
    <cellStyle name="Comma 10 2 2 2" xfId="2055" xr:uid="{00000000-0005-0000-0000-000050040000}"/>
    <cellStyle name="Comma 10 2 2 2 2" xfId="2056" xr:uid="{00000000-0005-0000-0000-000051040000}"/>
    <cellStyle name="Comma 10 2 2 2 2 2" xfId="2057" xr:uid="{00000000-0005-0000-0000-000052040000}"/>
    <cellStyle name="Comma 10 2 2 2 2 2 2" xfId="2058" xr:uid="{00000000-0005-0000-0000-000053040000}"/>
    <cellStyle name="Comma 10 2 2 2 2 2 3" xfId="2059" xr:uid="{00000000-0005-0000-0000-000054040000}"/>
    <cellStyle name="Comma 10 2 2 2 2 2 4" xfId="2060" xr:uid="{00000000-0005-0000-0000-000055040000}"/>
    <cellStyle name="Comma 10 2 2 2 2 2 5" xfId="2061" xr:uid="{00000000-0005-0000-0000-000056040000}"/>
    <cellStyle name="Comma 10 2 2 2 2 3" xfId="2062" xr:uid="{00000000-0005-0000-0000-000057040000}"/>
    <cellStyle name="Comma 10 2 2 2 2 4" xfId="2063" xr:uid="{00000000-0005-0000-0000-000058040000}"/>
    <cellStyle name="Comma 10 2 2 2 2 5" xfId="2064" xr:uid="{00000000-0005-0000-0000-000059040000}"/>
    <cellStyle name="Comma 10 2 2 2 2 6" xfId="2065" xr:uid="{00000000-0005-0000-0000-00005A040000}"/>
    <cellStyle name="Comma 10 2 2 2 3" xfId="2066" xr:uid="{00000000-0005-0000-0000-00005B040000}"/>
    <cellStyle name="Comma 10 2 2 2 3 2" xfId="2067" xr:uid="{00000000-0005-0000-0000-00005C040000}"/>
    <cellStyle name="Comma 10 2 2 2 3 3" xfId="2068" xr:uid="{00000000-0005-0000-0000-00005D040000}"/>
    <cellStyle name="Comma 10 2 2 2 3 4" xfId="2069" xr:uid="{00000000-0005-0000-0000-00005E040000}"/>
    <cellStyle name="Comma 10 2 2 2 3 5" xfId="2070" xr:uid="{00000000-0005-0000-0000-00005F040000}"/>
    <cellStyle name="Comma 10 2 2 2 4" xfId="2071" xr:uid="{00000000-0005-0000-0000-000060040000}"/>
    <cellStyle name="Comma 10 2 2 2 4 2" xfId="2072" xr:uid="{00000000-0005-0000-0000-000061040000}"/>
    <cellStyle name="Comma 10 2 2 2 4 3" xfId="2073" xr:uid="{00000000-0005-0000-0000-000062040000}"/>
    <cellStyle name="Comma 10 2 2 2 4 4" xfId="2074" xr:uid="{00000000-0005-0000-0000-000063040000}"/>
    <cellStyle name="Comma 10 2 2 2 4 5" xfId="2075" xr:uid="{00000000-0005-0000-0000-000064040000}"/>
    <cellStyle name="Comma 10 2 2 2 5" xfId="2076" xr:uid="{00000000-0005-0000-0000-000065040000}"/>
    <cellStyle name="Comma 10 2 2 2 6" xfId="2077" xr:uid="{00000000-0005-0000-0000-000066040000}"/>
    <cellStyle name="Comma 10 2 2 2 7" xfId="2078" xr:uid="{00000000-0005-0000-0000-000067040000}"/>
    <cellStyle name="Comma 10 2 2 2 8" xfId="2079" xr:uid="{00000000-0005-0000-0000-000068040000}"/>
    <cellStyle name="Comma 10 2 2 2 9" xfId="2080" xr:uid="{00000000-0005-0000-0000-000069040000}"/>
    <cellStyle name="Comma 10 2 2 3" xfId="2081" xr:uid="{00000000-0005-0000-0000-00006A040000}"/>
    <cellStyle name="Comma 10 2 2 3 2" xfId="2082" xr:uid="{00000000-0005-0000-0000-00006B040000}"/>
    <cellStyle name="Comma 10 2 2 3 3" xfId="2083" xr:uid="{00000000-0005-0000-0000-00006C040000}"/>
    <cellStyle name="Comma 10 2 2 3 4" xfId="2084" xr:uid="{00000000-0005-0000-0000-00006D040000}"/>
    <cellStyle name="Comma 10 2 2 3 5" xfId="2085" xr:uid="{00000000-0005-0000-0000-00006E040000}"/>
    <cellStyle name="Comma 10 2 2 4" xfId="2086" xr:uid="{00000000-0005-0000-0000-00006F040000}"/>
    <cellStyle name="Comma 10 2 2 4 2" xfId="2087" xr:uid="{00000000-0005-0000-0000-000070040000}"/>
    <cellStyle name="Comma 10 2 2 4 3" xfId="2088" xr:uid="{00000000-0005-0000-0000-000071040000}"/>
    <cellStyle name="Comma 10 2 2 4 4" xfId="2089" xr:uid="{00000000-0005-0000-0000-000072040000}"/>
    <cellStyle name="Comma 10 2 2 4 5" xfId="2090" xr:uid="{00000000-0005-0000-0000-000073040000}"/>
    <cellStyle name="Comma 10 2 2 5" xfId="2091" xr:uid="{00000000-0005-0000-0000-000074040000}"/>
    <cellStyle name="Comma 10 2 2 5 2" xfId="2092" xr:uid="{00000000-0005-0000-0000-000075040000}"/>
    <cellStyle name="Comma 10 2 2 5 3" xfId="2093" xr:uid="{00000000-0005-0000-0000-000076040000}"/>
    <cellStyle name="Comma 10 2 2 5 4" xfId="2094" xr:uid="{00000000-0005-0000-0000-000077040000}"/>
    <cellStyle name="Comma 10 2 2 5 5" xfId="2095" xr:uid="{00000000-0005-0000-0000-000078040000}"/>
    <cellStyle name="Comma 10 2 2 6" xfId="2096" xr:uid="{00000000-0005-0000-0000-000079040000}"/>
    <cellStyle name="Comma 10 2 2 7" xfId="2097" xr:uid="{00000000-0005-0000-0000-00007A040000}"/>
    <cellStyle name="Comma 10 2 2 8" xfId="2098" xr:uid="{00000000-0005-0000-0000-00007B040000}"/>
    <cellStyle name="Comma 10 2 2 9" xfId="2099" xr:uid="{00000000-0005-0000-0000-00007C040000}"/>
    <cellStyle name="Comma 10 2 3" xfId="2100" xr:uid="{00000000-0005-0000-0000-00007D040000}"/>
    <cellStyle name="Comma 10 2 3 2" xfId="2101" xr:uid="{00000000-0005-0000-0000-00007E040000}"/>
    <cellStyle name="Comma 10 2 3 3" xfId="2102" xr:uid="{00000000-0005-0000-0000-00007F040000}"/>
    <cellStyle name="Comma 10 2 3 4" xfId="2103" xr:uid="{00000000-0005-0000-0000-000080040000}"/>
    <cellStyle name="Comma 10 2 3 5" xfId="2104" xr:uid="{00000000-0005-0000-0000-000081040000}"/>
    <cellStyle name="Comma 10 2 4" xfId="2105" xr:uid="{00000000-0005-0000-0000-000082040000}"/>
    <cellStyle name="Comma 10 2 4 2" xfId="2106" xr:uid="{00000000-0005-0000-0000-000083040000}"/>
    <cellStyle name="Comma 10 2 4 3" xfId="2107" xr:uid="{00000000-0005-0000-0000-000084040000}"/>
    <cellStyle name="Comma 10 2 4 4" xfId="2108" xr:uid="{00000000-0005-0000-0000-000085040000}"/>
    <cellStyle name="Comma 10 2 4 5" xfId="2109" xr:uid="{00000000-0005-0000-0000-000086040000}"/>
    <cellStyle name="Comma 10 2 5" xfId="2110" xr:uid="{00000000-0005-0000-0000-000087040000}"/>
    <cellStyle name="Comma 10 2 5 2" xfId="2111" xr:uid="{00000000-0005-0000-0000-000088040000}"/>
    <cellStyle name="Comma 10 2 5 3" xfId="2112" xr:uid="{00000000-0005-0000-0000-000089040000}"/>
    <cellStyle name="Comma 10 2 5 4" xfId="2113" xr:uid="{00000000-0005-0000-0000-00008A040000}"/>
    <cellStyle name="Comma 10 2 5 5" xfId="2114" xr:uid="{00000000-0005-0000-0000-00008B040000}"/>
    <cellStyle name="Comma 10 2 6" xfId="2115" xr:uid="{00000000-0005-0000-0000-00008C040000}"/>
    <cellStyle name="Comma 10 2 6 2" xfId="2116" xr:uid="{00000000-0005-0000-0000-00008D040000}"/>
    <cellStyle name="Comma 10 2 6 3" xfId="2117" xr:uid="{00000000-0005-0000-0000-00008E040000}"/>
    <cellStyle name="Comma 10 2 6 4" xfId="2118" xr:uid="{00000000-0005-0000-0000-00008F040000}"/>
    <cellStyle name="Comma 10 2 6 5" xfId="2119" xr:uid="{00000000-0005-0000-0000-000090040000}"/>
    <cellStyle name="Comma 10 2 7" xfId="2120" xr:uid="{00000000-0005-0000-0000-000091040000}"/>
    <cellStyle name="Comma 10 2 7 2" xfId="2121" xr:uid="{00000000-0005-0000-0000-000092040000}"/>
    <cellStyle name="Comma 10 2 7 3" xfId="2122" xr:uid="{00000000-0005-0000-0000-000093040000}"/>
    <cellStyle name="Comma 10 2 7 4" xfId="2123" xr:uid="{00000000-0005-0000-0000-000094040000}"/>
    <cellStyle name="Comma 10 2 7 5" xfId="2124" xr:uid="{00000000-0005-0000-0000-000095040000}"/>
    <cellStyle name="Comma 10 2 8" xfId="2125" xr:uid="{00000000-0005-0000-0000-000096040000}"/>
    <cellStyle name="Comma 10 2 9" xfId="2126" xr:uid="{00000000-0005-0000-0000-000097040000}"/>
    <cellStyle name="Comma 10 20" xfId="2127" xr:uid="{00000000-0005-0000-0000-000098040000}"/>
    <cellStyle name="Comma 10 21" xfId="2128" xr:uid="{00000000-0005-0000-0000-000099040000}"/>
    <cellStyle name="Comma 10 22" xfId="2034" xr:uid="{00000000-0005-0000-0000-00009A040000}"/>
    <cellStyle name="Comma 10 25" xfId="44" xr:uid="{00000000-0005-0000-0000-000007000000}"/>
    <cellStyle name="Comma 10 25 2" xfId="53" xr:uid="{00000000-0005-0000-0000-000008000000}"/>
    <cellStyle name="Comma 10 25 2 2" xfId="85" xr:uid="{00000000-0005-0000-0000-000008000000}"/>
    <cellStyle name="Comma 10 3" xfId="2129" xr:uid="{00000000-0005-0000-0000-00009B040000}"/>
    <cellStyle name="Comma 10 3 2" xfId="2130" xr:uid="{00000000-0005-0000-0000-00009C040000}"/>
    <cellStyle name="Comma 10 3 2 2" xfId="2131" xr:uid="{00000000-0005-0000-0000-00009D040000}"/>
    <cellStyle name="Comma 10 3 2 2 2" xfId="2132" xr:uid="{00000000-0005-0000-0000-00009E040000}"/>
    <cellStyle name="Comma 10 3 2 2 3" xfId="2133" xr:uid="{00000000-0005-0000-0000-00009F040000}"/>
    <cellStyle name="Comma 10 3 2 2 4" xfId="2134" xr:uid="{00000000-0005-0000-0000-0000A0040000}"/>
    <cellStyle name="Comma 10 3 2 2 5" xfId="2135" xr:uid="{00000000-0005-0000-0000-0000A1040000}"/>
    <cellStyle name="Comma 10 3 2 3" xfId="2136" xr:uid="{00000000-0005-0000-0000-0000A2040000}"/>
    <cellStyle name="Comma 10 3 2 3 2" xfId="2137" xr:uid="{00000000-0005-0000-0000-0000A3040000}"/>
    <cellStyle name="Comma 10 3 2 3 3" xfId="2138" xr:uid="{00000000-0005-0000-0000-0000A4040000}"/>
    <cellStyle name="Comma 10 3 2 3 4" xfId="2139" xr:uid="{00000000-0005-0000-0000-0000A5040000}"/>
    <cellStyle name="Comma 10 3 2 3 5" xfId="2140" xr:uid="{00000000-0005-0000-0000-0000A6040000}"/>
    <cellStyle name="Comma 10 3 2 4" xfId="2141" xr:uid="{00000000-0005-0000-0000-0000A7040000}"/>
    <cellStyle name="Comma 10 3 2 4 2" xfId="2142" xr:uid="{00000000-0005-0000-0000-0000A8040000}"/>
    <cellStyle name="Comma 10 3 2 4 3" xfId="2143" xr:uid="{00000000-0005-0000-0000-0000A9040000}"/>
    <cellStyle name="Comma 10 3 2 4 4" xfId="2144" xr:uid="{00000000-0005-0000-0000-0000AA040000}"/>
    <cellStyle name="Comma 10 3 2 4 5" xfId="2145" xr:uid="{00000000-0005-0000-0000-0000AB040000}"/>
    <cellStyle name="Comma 10 3 2 5" xfId="2146" xr:uid="{00000000-0005-0000-0000-0000AC040000}"/>
    <cellStyle name="Comma 10 3 2 6" xfId="2147" xr:uid="{00000000-0005-0000-0000-0000AD040000}"/>
    <cellStyle name="Comma 10 3 2 7" xfId="2148" xr:uid="{00000000-0005-0000-0000-0000AE040000}"/>
    <cellStyle name="Comma 10 3 2 8" xfId="2149" xr:uid="{00000000-0005-0000-0000-0000AF040000}"/>
    <cellStyle name="Comma 10 3 3" xfId="2150" xr:uid="{00000000-0005-0000-0000-0000B0040000}"/>
    <cellStyle name="Comma 10 3 3 2" xfId="2151" xr:uid="{00000000-0005-0000-0000-0000B1040000}"/>
    <cellStyle name="Comma 10 3 3 3" xfId="2152" xr:uid="{00000000-0005-0000-0000-0000B2040000}"/>
    <cellStyle name="Comma 10 3 3 4" xfId="2153" xr:uid="{00000000-0005-0000-0000-0000B3040000}"/>
    <cellStyle name="Comma 10 3 3 5" xfId="2154" xr:uid="{00000000-0005-0000-0000-0000B4040000}"/>
    <cellStyle name="Comma 10 3 4" xfId="2155" xr:uid="{00000000-0005-0000-0000-0000B5040000}"/>
    <cellStyle name="Comma 10 3 4 2" xfId="2156" xr:uid="{00000000-0005-0000-0000-0000B6040000}"/>
    <cellStyle name="Comma 10 3 4 3" xfId="2157" xr:uid="{00000000-0005-0000-0000-0000B7040000}"/>
    <cellStyle name="Comma 10 3 4 4" xfId="2158" xr:uid="{00000000-0005-0000-0000-0000B8040000}"/>
    <cellStyle name="Comma 10 3 4 5" xfId="2159" xr:uid="{00000000-0005-0000-0000-0000B9040000}"/>
    <cellStyle name="Comma 10 3 5" xfId="2160" xr:uid="{00000000-0005-0000-0000-0000BA040000}"/>
    <cellStyle name="Comma 10 3 5 2" xfId="2161" xr:uid="{00000000-0005-0000-0000-0000BB040000}"/>
    <cellStyle name="Comma 10 3 5 3" xfId="2162" xr:uid="{00000000-0005-0000-0000-0000BC040000}"/>
    <cellStyle name="Comma 10 3 5 4" xfId="2163" xr:uid="{00000000-0005-0000-0000-0000BD040000}"/>
    <cellStyle name="Comma 10 3 5 5" xfId="2164" xr:uid="{00000000-0005-0000-0000-0000BE040000}"/>
    <cellStyle name="Comma 10 3 6" xfId="2165" xr:uid="{00000000-0005-0000-0000-0000BF040000}"/>
    <cellStyle name="Comma 10 3 7" xfId="2166" xr:uid="{00000000-0005-0000-0000-0000C0040000}"/>
    <cellStyle name="Comma 10 3 8" xfId="2167" xr:uid="{00000000-0005-0000-0000-0000C1040000}"/>
    <cellStyle name="Comma 10 3 9" xfId="2168" xr:uid="{00000000-0005-0000-0000-0000C2040000}"/>
    <cellStyle name="Comma 10 4" xfId="2169" xr:uid="{00000000-0005-0000-0000-0000C3040000}"/>
    <cellStyle name="Comma 10 4 2" xfId="2170" xr:uid="{00000000-0005-0000-0000-0000C4040000}"/>
    <cellStyle name="Comma 10 4 3" xfId="2171" xr:uid="{00000000-0005-0000-0000-0000C5040000}"/>
    <cellStyle name="Comma 10 4 4" xfId="2172" xr:uid="{00000000-0005-0000-0000-0000C6040000}"/>
    <cellStyle name="Comma 10 4 5" xfId="2173" xr:uid="{00000000-0005-0000-0000-0000C7040000}"/>
    <cellStyle name="Comma 10 5" xfId="2174" xr:uid="{00000000-0005-0000-0000-0000C8040000}"/>
    <cellStyle name="Comma 10 5 2" xfId="2175" xr:uid="{00000000-0005-0000-0000-0000C9040000}"/>
    <cellStyle name="Comma 10 5 3" xfId="2176" xr:uid="{00000000-0005-0000-0000-0000CA040000}"/>
    <cellStyle name="Comma 10 5 4" xfId="2177" xr:uid="{00000000-0005-0000-0000-0000CB040000}"/>
    <cellStyle name="Comma 10 5 5" xfId="2178" xr:uid="{00000000-0005-0000-0000-0000CC040000}"/>
    <cellStyle name="Comma 10 6" xfId="2179" xr:uid="{00000000-0005-0000-0000-0000CD040000}"/>
    <cellStyle name="Comma 10 6 2" xfId="2180" xr:uid="{00000000-0005-0000-0000-0000CE040000}"/>
    <cellStyle name="Comma 10 6 3" xfId="2181" xr:uid="{00000000-0005-0000-0000-0000CF040000}"/>
    <cellStyle name="Comma 10 6 4" xfId="2182" xr:uid="{00000000-0005-0000-0000-0000D0040000}"/>
    <cellStyle name="Comma 10 6 5" xfId="2183" xr:uid="{00000000-0005-0000-0000-0000D1040000}"/>
    <cellStyle name="Comma 10 7" xfId="2184" xr:uid="{00000000-0005-0000-0000-0000D2040000}"/>
    <cellStyle name="Comma 10 7 2" xfId="2185" xr:uid="{00000000-0005-0000-0000-0000D3040000}"/>
    <cellStyle name="Comma 10 7 3" xfId="2186" xr:uid="{00000000-0005-0000-0000-0000D4040000}"/>
    <cellStyle name="Comma 10 7 4" xfId="2187" xr:uid="{00000000-0005-0000-0000-0000D5040000}"/>
    <cellStyle name="Comma 10 7 5" xfId="2188" xr:uid="{00000000-0005-0000-0000-0000D6040000}"/>
    <cellStyle name="Comma 10 8" xfId="2189" xr:uid="{00000000-0005-0000-0000-0000D7040000}"/>
    <cellStyle name="Comma 10 8 2" xfId="2190" xr:uid="{00000000-0005-0000-0000-0000D8040000}"/>
    <cellStyle name="Comma 10 8 3" xfId="2191" xr:uid="{00000000-0005-0000-0000-0000D9040000}"/>
    <cellStyle name="Comma 10 8 4" xfId="2192" xr:uid="{00000000-0005-0000-0000-0000DA040000}"/>
    <cellStyle name="Comma 10 8 5" xfId="2193" xr:uid="{00000000-0005-0000-0000-0000DB040000}"/>
    <cellStyle name="Comma 10 9" xfId="2194" xr:uid="{00000000-0005-0000-0000-0000DC040000}"/>
    <cellStyle name="Comma 10 9 2" xfId="2195" xr:uid="{00000000-0005-0000-0000-0000DD040000}"/>
    <cellStyle name="Comma 10 9 3" xfId="2196" xr:uid="{00000000-0005-0000-0000-0000DE040000}"/>
    <cellStyle name="Comma 10 9 4" xfId="2197" xr:uid="{00000000-0005-0000-0000-0000DF040000}"/>
    <cellStyle name="Comma 10 9 5" xfId="2198" xr:uid="{00000000-0005-0000-0000-0000E0040000}"/>
    <cellStyle name="Comma 11" xfId="957" xr:uid="{00000000-0005-0000-0000-000020000000}"/>
    <cellStyle name="Comma 11 10" xfId="2200" xr:uid="{00000000-0005-0000-0000-0000E2040000}"/>
    <cellStyle name="Comma 11 11" xfId="2201" xr:uid="{00000000-0005-0000-0000-0000E3040000}"/>
    <cellStyle name="Comma 11 12" xfId="2202" xr:uid="{00000000-0005-0000-0000-0000E4040000}"/>
    <cellStyle name="Comma 11 13" xfId="2203" xr:uid="{00000000-0005-0000-0000-0000E5040000}"/>
    <cellStyle name="Comma 11 14" xfId="2204" xr:uid="{00000000-0005-0000-0000-0000E6040000}"/>
    <cellStyle name="Comma 11 15" xfId="2205" xr:uid="{00000000-0005-0000-0000-0000E7040000}"/>
    <cellStyle name="Comma 11 16" xfId="2206" xr:uid="{00000000-0005-0000-0000-0000E8040000}"/>
    <cellStyle name="Comma 11 17" xfId="2199" xr:uid="{00000000-0005-0000-0000-0000E1040000}"/>
    <cellStyle name="Comma 11 2" xfId="2207" xr:uid="{00000000-0005-0000-0000-0000E9040000}"/>
    <cellStyle name="Comma 11 2 10" xfId="2208" xr:uid="{00000000-0005-0000-0000-0000EA040000}"/>
    <cellStyle name="Comma 11 2 2" xfId="2209" xr:uid="{00000000-0005-0000-0000-0000EB040000}"/>
    <cellStyle name="Comma 11 2 2 2" xfId="2210" xr:uid="{00000000-0005-0000-0000-0000EC040000}"/>
    <cellStyle name="Comma 11 2 2 2 2" xfId="2211" xr:uid="{00000000-0005-0000-0000-0000ED040000}"/>
    <cellStyle name="Comma 11 2 2 2 3" xfId="2212" xr:uid="{00000000-0005-0000-0000-0000EE040000}"/>
    <cellStyle name="Comma 11 2 2 2 4" xfId="2213" xr:uid="{00000000-0005-0000-0000-0000EF040000}"/>
    <cellStyle name="Comma 11 2 2 2 5" xfId="2214" xr:uid="{00000000-0005-0000-0000-0000F0040000}"/>
    <cellStyle name="Comma 11 2 2 3" xfId="2215" xr:uid="{00000000-0005-0000-0000-0000F1040000}"/>
    <cellStyle name="Comma 11 2 2 3 2" xfId="2216" xr:uid="{00000000-0005-0000-0000-0000F2040000}"/>
    <cellStyle name="Comma 11 2 2 3 3" xfId="2217" xr:uid="{00000000-0005-0000-0000-0000F3040000}"/>
    <cellStyle name="Comma 11 2 2 3 4" xfId="2218" xr:uid="{00000000-0005-0000-0000-0000F4040000}"/>
    <cellStyle name="Comma 11 2 2 3 5" xfId="2219" xr:uid="{00000000-0005-0000-0000-0000F5040000}"/>
    <cellStyle name="Comma 11 2 2 4" xfId="2220" xr:uid="{00000000-0005-0000-0000-0000F6040000}"/>
    <cellStyle name="Comma 11 2 2 4 2" xfId="2221" xr:uid="{00000000-0005-0000-0000-0000F7040000}"/>
    <cellStyle name="Comma 11 2 2 4 3" xfId="2222" xr:uid="{00000000-0005-0000-0000-0000F8040000}"/>
    <cellStyle name="Comma 11 2 2 4 4" xfId="2223" xr:uid="{00000000-0005-0000-0000-0000F9040000}"/>
    <cellStyle name="Comma 11 2 2 4 5" xfId="2224" xr:uid="{00000000-0005-0000-0000-0000FA040000}"/>
    <cellStyle name="Comma 11 2 2 5" xfId="2225" xr:uid="{00000000-0005-0000-0000-0000FB040000}"/>
    <cellStyle name="Comma 11 2 2 6" xfId="2226" xr:uid="{00000000-0005-0000-0000-0000FC040000}"/>
    <cellStyle name="Comma 11 2 2 7" xfId="2227" xr:uid="{00000000-0005-0000-0000-0000FD040000}"/>
    <cellStyle name="Comma 11 2 2 8" xfId="2228" xr:uid="{00000000-0005-0000-0000-0000FE040000}"/>
    <cellStyle name="Comma 11 2 2 9" xfId="2229" xr:uid="{00000000-0005-0000-0000-0000FF040000}"/>
    <cellStyle name="Comma 11 2 3" xfId="2230" xr:uid="{00000000-0005-0000-0000-000000050000}"/>
    <cellStyle name="Comma 11 2 3 2" xfId="2231" xr:uid="{00000000-0005-0000-0000-000001050000}"/>
    <cellStyle name="Comma 11 2 3 3" xfId="2232" xr:uid="{00000000-0005-0000-0000-000002050000}"/>
    <cellStyle name="Comma 11 2 3 4" xfId="2233" xr:uid="{00000000-0005-0000-0000-000003050000}"/>
    <cellStyle name="Comma 11 2 3 5" xfId="2234" xr:uid="{00000000-0005-0000-0000-000004050000}"/>
    <cellStyle name="Comma 11 2 4" xfId="2235" xr:uid="{00000000-0005-0000-0000-000005050000}"/>
    <cellStyle name="Comma 11 2 4 2" xfId="2236" xr:uid="{00000000-0005-0000-0000-000006050000}"/>
    <cellStyle name="Comma 11 2 4 3" xfId="2237" xr:uid="{00000000-0005-0000-0000-000007050000}"/>
    <cellStyle name="Comma 11 2 4 4" xfId="2238" xr:uid="{00000000-0005-0000-0000-000008050000}"/>
    <cellStyle name="Comma 11 2 4 5" xfId="2239" xr:uid="{00000000-0005-0000-0000-000009050000}"/>
    <cellStyle name="Comma 11 2 5" xfId="2240" xr:uid="{00000000-0005-0000-0000-00000A050000}"/>
    <cellStyle name="Comma 11 2 5 2" xfId="2241" xr:uid="{00000000-0005-0000-0000-00000B050000}"/>
    <cellStyle name="Comma 11 2 5 3" xfId="2242" xr:uid="{00000000-0005-0000-0000-00000C050000}"/>
    <cellStyle name="Comma 11 2 5 4" xfId="2243" xr:uid="{00000000-0005-0000-0000-00000D050000}"/>
    <cellStyle name="Comma 11 2 5 5" xfId="2244" xr:uid="{00000000-0005-0000-0000-00000E050000}"/>
    <cellStyle name="Comma 11 2 6" xfId="2245" xr:uid="{00000000-0005-0000-0000-00000F050000}"/>
    <cellStyle name="Comma 11 2 7" xfId="2246" xr:uid="{00000000-0005-0000-0000-000010050000}"/>
    <cellStyle name="Comma 11 2 8" xfId="2247" xr:uid="{00000000-0005-0000-0000-000011050000}"/>
    <cellStyle name="Comma 11 2 9" xfId="2248" xr:uid="{00000000-0005-0000-0000-000012050000}"/>
    <cellStyle name="Comma 11 3" xfId="2249" xr:uid="{00000000-0005-0000-0000-000013050000}"/>
    <cellStyle name="Comma 11 3 2" xfId="2250" xr:uid="{00000000-0005-0000-0000-000014050000}"/>
    <cellStyle name="Comma 11 3 3" xfId="2251" xr:uid="{00000000-0005-0000-0000-000015050000}"/>
    <cellStyle name="Comma 11 3 4" xfId="2252" xr:uid="{00000000-0005-0000-0000-000016050000}"/>
    <cellStyle name="Comma 11 3 5" xfId="2253" xr:uid="{00000000-0005-0000-0000-000017050000}"/>
    <cellStyle name="Comma 11 4" xfId="2254" xr:uid="{00000000-0005-0000-0000-000018050000}"/>
    <cellStyle name="Comma 11 4 2" xfId="2255" xr:uid="{00000000-0005-0000-0000-000019050000}"/>
    <cellStyle name="Comma 11 4 3" xfId="2256" xr:uid="{00000000-0005-0000-0000-00001A050000}"/>
    <cellStyle name="Comma 11 4 4" xfId="2257" xr:uid="{00000000-0005-0000-0000-00001B050000}"/>
    <cellStyle name="Comma 11 4 5" xfId="2258" xr:uid="{00000000-0005-0000-0000-00001C050000}"/>
    <cellStyle name="Comma 11 5" xfId="2259" xr:uid="{00000000-0005-0000-0000-00001D050000}"/>
    <cellStyle name="Comma 11 5 2" xfId="2260" xr:uid="{00000000-0005-0000-0000-00001E050000}"/>
    <cellStyle name="Comma 11 5 3" xfId="2261" xr:uid="{00000000-0005-0000-0000-00001F050000}"/>
    <cellStyle name="Comma 11 5 4" xfId="2262" xr:uid="{00000000-0005-0000-0000-000020050000}"/>
    <cellStyle name="Comma 11 5 5" xfId="2263" xr:uid="{00000000-0005-0000-0000-000021050000}"/>
    <cellStyle name="Comma 11 6" xfId="2264" xr:uid="{00000000-0005-0000-0000-000022050000}"/>
    <cellStyle name="Comma 11 7" xfId="2265" xr:uid="{00000000-0005-0000-0000-000023050000}"/>
    <cellStyle name="Comma 11 8" xfId="2266" xr:uid="{00000000-0005-0000-0000-000024050000}"/>
    <cellStyle name="Comma 11 9" xfId="2267" xr:uid="{00000000-0005-0000-0000-000025050000}"/>
    <cellStyle name="Comma 12" xfId="65" xr:uid="{80215FA3-7D1C-4991-AC98-27B21CEA003D}"/>
    <cellStyle name="Comma 12 10" xfId="2269" xr:uid="{00000000-0005-0000-0000-000027050000}"/>
    <cellStyle name="Comma 12 11" xfId="2270" xr:uid="{00000000-0005-0000-0000-000028050000}"/>
    <cellStyle name="Comma 12 12" xfId="2271" xr:uid="{00000000-0005-0000-0000-000029050000}"/>
    <cellStyle name="Comma 12 13" xfId="2268" xr:uid="{00000000-0005-0000-0000-000026050000}"/>
    <cellStyle name="Comma 12 2" xfId="2272" xr:uid="{00000000-0005-0000-0000-00002A050000}"/>
    <cellStyle name="Comma 12 2 2" xfId="2273" xr:uid="{00000000-0005-0000-0000-00002B050000}"/>
    <cellStyle name="Comma 12 2 3" xfId="2274" xr:uid="{00000000-0005-0000-0000-00002C050000}"/>
    <cellStyle name="Comma 12 2 4" xfId="2275" xr:uid="{00000000-0005-0000-0000-00002D050000}"/>
    <cellStyle name="Comma 12 2 5" xfId="2276" xr:uid="{00000000-0005-0000-0000-00002E050000}"/>
    <cellStyle name="Comma 12 3" xfId="2277" xr:uid="{00000000-0005-0000-0000-00002F050000}"/>
    <cellStyle name="Comma 12 3 2" xfId="2278" xr:uid="{00000000-0005-0000-0000-000030050000}"/>
    <cellStyle name="Comma 12 3 3" xfId="2279" xr:uid="{00000000-0005-0000-0000-000031050000}"/>
    <cellStyle name="Comma 12 3 4" xfId="2280" xr:uid="{00000000-0005-0000-0000-000032050000}"/>
    <cellStyle name="Comma 12 3 5" xfId="2281" xr:uid="{00000000-0005-0000-0000-000033050000}"/>
    <cellStyle name="Comma 12 4" xfId="2282" xr:uid="{00000000-0005-0000-0000-000034050000}"/>
    <cellStyle name="Comma 12 4 2" xfId="2283" xr:uid="{00000000-0005-0000-0000-000035050000}"/>
    <cellStyle name="Comma 12 4 3" xfId="2284" xr:uid="{00000000-0005-0000-0000-000036050000}"/>
    <cellStyle name="Comma 12 4 4" xfId="2285" xr:uid="{00000000-0005-0000-0000-000037050000}"/>
    <cellStyle name="Comma 12 4 5" xfId="2286" xr:uid="{00000000-0005-0000-0000-000038050000}"/>
    <cellStyle name="Comma 12 5" xfId="2287" xr:uid="{00000000-0005-0000-0000-000039050000}"/>
    <cellStyle name="Comma 12 6" xfId="2288" xr:uid="{00000000-0005-0000-0000-00003A050000}"/>
    <cellStyle name="Comma 12 7" xfId="2289" xr:uid="{00000000-0005-0000-0000-00003B050000}"/>
    <cellStyle name="Comma 12 8" xfId="2290" xr:uid="{00000000-0005-0000-0000-00003C050000}"/>
    <cellStyle name="Comma 12 9" xfId="2291" xr:uid="{00000000-0005-0000-0000-00003D050000}"/>
    <cellStyle name="Comma 13" xfId="2292" xr:uid="{00000000-0005-0000-0000-00003E050000}"/>
    <cellStyle name="Comma 13 10" xfId="2293" xr:uid="{00000000-0005-0000-0000-00003F050000}"/>
    <cellStyle name="Comma 13 11" xfId="2294" xr:uid="{00000000-0005-0000-0000-000040050000}"/>
    <cellStyle name="Comma 13 12" xfId="2295" xr:uid="{00000000-0005-0000-0000-000041050000}"/>
    <cellStyle name="Comma 13 2" xfId="2296" xr:uid="{00000000-0005-0000-0000-000042050000}"/>
    <cellStyle name="Comma 13 2 2" xfId="2297" xr:uid="{00000000-0005-0000-0000-000043050000}"/>
    <cellStyle name="Comma 13 2 3" xfId="2298" xr:uid="{00000000-0005-0000-0000-000044050000}"/>
    <cellStyle name="Comma 13 2 4" xfId="2299" xr:uid="{00000000-0005-0000-0000-000045050000}"/>
    <cellStyle name="Comma 13 2 5" xfId="2300" xr:uid="{00000000-0005-0000-0000-000046050000}"/>
    <cellStyle name="Comma 13 3" xfId="2301" xr:uid="{00000000-0005-0000-0000-000047050000}"/>
    <cellStyle name="Comma 13 3 2" xfId="2302" xr:uid="{00000000-0005-0000-0000-000048050000}"/>
    <cellStyle name="Comma 13 3 3" xfId="2303" xr:uid="{00000000-0005-0000-0000-000049050000}"/>
    <cellStyle name="Comma 13 3 4" xfId="2304" xr:uid="{00000000-0005-0000-0000-00004A050000}"/>
    <cellStyle name="Comma 13 3 5" xfId="2305" xr:uid="{00000000-0005-0000-0000-00004B050000}"/>
    <cellStyle name="Comma 13 4" xfId="2306" xr:uid="{00000000-0005-0000-0000-00004C050000}"/>
    <cellStyle name="Comma 13 4 2" xfId="2307" xr:uid="{00000000-0005-0000-0000-00004D050000}"/>
    <cellStyle name="Comma 13 4 3" xfId="2308" xr:uid="{00000000-0005-0000-0000-00004E050000}"/>
    <cellStyle name="Comma 13 4 4" xfId="2309" xr:uid="{00000000-0005-0000-0000-00004F050000}"/>
    <cellStyle name="Comma 13 4 5" xfId="2310" xr:uid="{00000000-0005-0000-0000-000050050000}"/>
    <cellStyle name="Comma 13 5" xfId="2311" xr:uid="{00000000-0005-0000-0000-000051050000}"/>
    <cellStyle name="Comma 13 6" xfId="2312" xr:uid="{00000000-0005-0000-0000-000052050000}"/>
    <cellStyle name="Comma 13 7" xfId="2313" xr:uid="{00000000-0005-0000-0000-000053050000}"/>
    <cellStyle name="Comma 13 8" xfId="2314" xr:uid="{00000000-0005-0000-0000-000054050000}"/>
    <cellStyle name="Comma 13 9" xfId="2315" xr:uid="{00000000-0005-0000-0000-000055050000}"/>
    <cellStyle name="Comma 14" xfId="2316" xr:uid="{00000000-0005-0000-0000-000056050000}"/>
    <cellStyle name="Comma 14 10" xfId="2317" xr:uid="{00000000-0005-0000-0000-000057050000}"/>
    <cellStyle name="Comma 14 11" xfId="2318" xr:uid="{00000000-0005-0000-0000-000058050000}"/>
    <cellStyle name="Comma 14 12" xfId="2319" xr:uid="{00000000-0005-0000-0000-000059050000}"/>
    <cellStyle name="Comma 14 13" xfId="2320" xr:uid="{00000000-0005-0000-0000-00005A050000}"/>
    <cellStyle name="Comma 14 2" xfId="2321" xr:uid="{00000000-0005-0000-0000-00005B050000}"/>
    <cellStyle name="Comma 14 2 2" xfId="2322" xr:uid="{00000000-0005-0000-0000-00005C050000}"/>
    <cellStyle name="Comma 14 2 3" xfId="2323" xr:uid="{00000000-0005-0000-0000-00005D050000}"/>
    <cellStyle name="Comma 14 2 4" xfId="2324" xr:uid="{00000000-0005-0000-0000-00005E050000}"/>
    <cellStyle name="Comma 14 2 5" xfId="2325" xr:uid="{00000000-0005-0000-0000-00005F050000}"/>
    <cellStyle name="Comma 14 3" xfId="2326" xr:uid="{00000000-0005-0000-0000-000060050000}"/>
    <cellStyle name="Comma 14 3 2" xfId="2327" xr:uid="{00000000-0005-0000-0000-000061050000}"/>
    <cellStyle name="Comma 14 3 3" xfId="2328" xr:uid="{00000000-0005-0000-0000-000062050000}"/>
    <cellStyle name="Comma 14 3 4" xfId="2329" xr:uid="{00000000-0005-0000-0000-000063050000}"/>
    <cellStyle name="Comma 14 3 5" xfId="2330" xr:uid="{00000000-0005-0000-0000-000064050000}"/>
    <cellStyle name="Comma 14 4" xfId="2331" xr:uid="{00000000-0005-0000-0000-000065050000}"/>
    <cellStyle name="Comma 14 4 2" xfId="2332" xr:uid="{00000000-0005-0000-0000-000066050000}"/>
    <cellStyle name="Comma 14 4 3" xfId="2333" xr:uid="{00000000-0005-0000-0000-000067050000}"/>
    <cellStyle name="Comma 14 4 4" xfId="2334" xr:uid="{00000000-0005-0000-0000-000068050000}"/>
    <cellStyle name="Comma 14 4 5" xfId="2335" xr:uid="{00000000-0005-0000-0000-000069050000}"/>
    <cellStyle name="Comma 14 5" xfId="2336" xr:uid="{00000000-0005-0000-0000-00006A050000}"/>
    <cellStyle name="Comma 14 6" xfId="2337" xr:uid="{00000000-0005-0000-0000-00006B050000}"/>
    <cellStyle name="Comma 14 7" xfId="2338" xr:uid="{00000000-0005-0000-0000-00006C050000}"/>
    <cellStyle name="Comma 14 8" xfId="2339" xr:uid="{00000000-0005-0000-0000-00006D050000}"/>
    <cellStyle name="Comma 14 9" xfId="2340" xr:uid="{00000000-0005-0000-0000-00006E050000}"/>
    <cellStyle name="Comma 15" xfId="2341" xr:uid="{00000000-0005-0000-0000-00006F050000}"/>
    <cellStyle name="Comma 15 10" xfId="2342" xr:uid="{00000000-0005-0000-0000-000070050000}"/>
    <cellStyle name="Comma 15 11" xfId="2343" xr:uid="{00000000-0005-0000-0000-000071050000}"/>
    <cellStyle name="Comma 15 12" xfId="2344" xr:uid="{00000000-0005-0000-0000-000072050000}"/>
    <cellStyle name="Comma 15 13" xfId="2345" xr:uid="{00000000-0005-0000-0000-000073050000}"/>
    <cellStyle name="Comma 15 14" xfId="2346" xr:uid="{00000000-0005-0000-0000-000074050000}"/>
    <cellStyle name="Comma 15 2" xfId="2347" xr:uid="{00000000-0005-0000-0000-000075050000}"/>
    <cellStyle name="Comma 15 2 2" xfId="2348" xr:uid="{00000000-0005-0000-0000-000076050000}"/>
    <cellStyle name="Comma 15 2 2 2" xfId="2349" xr:uid="{00000000-0005-0000-0000-000077050000}"/>
    <cellStyle name="Comma 15 2 2 3" xfId="2350" xr:uid="{00000000-0005-0000-0000-000078050000}"/>
    <cellStyle name="Comma 15 2 2 4" xfId="2351" xr:uid="{00000000-0005-0000-0000-000079050000}"/>
    <cellStyle name="Comma 15 2 2 5" xfId="2352" xr:uid="{00000000-0005-0000-0000-00007A050000}"/>
    <cellStyle name="Comma 15 2 3" xfId="2353" xr:uid="{00000000-0005-0000-0000-00007B050000}"/>
    <cellStyle name="Comma 15 2 3 2" xfId="2354" xr:uid="{00000000-0005-0000-0000-00007C050000}"/>
    <cellStyle name="Comma 15 2 3 3" xfId="2355" xr:uid="{00000000-0005-0000-0000-00007D050000}"/>
    <cellStyle name="Comma 15 2 3 4" xfId="2356" xr:uid="{00000000-0005-0000-0000-00007E050000}"/>
    <cellStyle name="Comma 15 2 3 5" xfId="2357" xr:uid="{00000000-0005-0000-0000-00007F050000}"/>
    <cellStyle name="Comma 15 2 4" xfId="2358" xr:uid="{00000000-0005-0000-0000-000080050000}"/>
    <cellStyle name="Comma 15 2 4 2" xfId="2359" xr:uid="{00000000-0005-0000-0000-000081050000}"/>
    <cellStyle name="Comma 15 2 4 3" xfId="2360" xr:uid="{00000000-0005-0000-0000-000082050000}"/>
    <cellStyle name="Comma 15 2 4 4" xfId="2361" xr:uid="{00000000-0005-0000-0000-000083050000}"/>
    <cellStyle name="Comma 15 2 4 5" xfId="2362" xr:uid="{00000000-0005-0000-0000-000084050000}"/>
    <cellStyle name="Comma 15 2 5" xfId="2363" xr:uid="{00000000-0005-0000-0000-000085050000}"/>
    <cellStyle name="Comma 15 2 6" xfId="2364" xr:uid="{00000000-0005-0000-0000-000086050000}"/>
    <cellStyle name="Comma 15 2 7" xfId="2365" xr:uid="{00000000-0005-0000-0000-000087050000}"/>
    <cellStyle name="Comma 15 2 8" xfId="2366" xr:uid="{00000000-0005-0000-0000-000088050000}"/>
    <cellStyle name="Comma 15 3" xfId="2367" xr:uid="{00000000-0005-0000-0000-000089050000}"/>
    <cellStyle name="Comma 15 3 2" xfId="2368" xr:uid="{00000000-0005-0000-0000-00008A050000}"/>
    <cellStyle name="Comma 15 3 3" xfId="2369" xr:uid="{00000000-0005-0000-0000-00008B050000}"/>
    <cellStyle name="Comma 15 3 4" xfId="2370" xr:uid="{00000000-0005-0000-0000-00008C050000}"/>
    <cellStyle name="Comma 15 3 5" xfId="2371" xr:uid="{00000000-0005-0000-0000-00008D050000}"/>
    <cellStyle name="Comma 15 4" xfId="2372" xr:uid="{00000000-0005-0000-0000-00008E050000}"/>
    <cellStyle name="Comma 15 4 2" xfId="2373" xr:uid="{00000000-0005-0000-0000-00008F050000}"/>
    <cellStyle name="Comma 15 4 3" xfId="2374" xr:uid="{00000000-0005-0000-0000-000090050000}"/>
    <cellStyle name="Comma 15 4 4" xfId="2375" xr:uid="{00000000-0005-0000-0000-000091050000}"/>
    <cellStyle name="Comma 15 4 5" xfId="2376" xr:uid="{00000000-0005-0000-0000-000092050000}"/>
    <cellStyle name="Comma 15 5" xfId="2377" xr:uid="{00000000-0005-0000-0000-000093050000}"/>
    <cellStyle name="Comma 15 5 2" xfId="2378" xr:uid="{00000000-0005-0000-0000-000094050000}"/>
    <cellStyle name="Comma 15 5 3" xfId="2379" xr:uid="{00000000-0005-0000-0000-000095050000}"/>
    <cellStyle name="Comma 15 5 4" xfId="2380" xr:uid="{00000000-0005-0000-0000-000096050000}"/>
    <cellStyle name="Comma 15 5 5" xfId="2381" xr:uid="{00000000-0005-0000-0000-000097050000}"/>
    <cellStyle name="Comma 15 6" xfId="2382" xr:uid="{00000000-0005-0000-0000-000098050000}"/>
    <cellStyle name="Comma 15 7" xfId="2383" xr:uid="{00000000-0005-0000-0000-000099050000}"/>
    <cellStyle name="Comma 15 8" xfId="2384" xr:uid="{00000000-0005-0000-0000-00009A050000}"/>
    <cellStyle name="Comma 15 9" xfId="2385" xr:uid="{00000000-0005-0000-0000-00009B050000}"/>
    <cellStyle name="Comma 16" xfId="2386" xr:uid="{00000000-0005-0000-0000-00009C050000}"/>
    <cellStyle name="Comma 16 10" xfId="2387" xr:uid="{00000000-0005-0000-0000-00009D050000}"/>
    <cellStyle name="Comma 16 11" xfId="2388" xr:uid="{00000000-0005-0000-0000-00009E050000}"/>
    <cellStyle name="Comma 16 12" xfId="2389" xr:uid="{00000000-0005-0000-0000-00009F050000}"/>
    <cellStyle name="Comma 16 2" xfId="2390" xr:uid="{00000000-0005-0000-0000-0000A0050000}"/>
    <cellStyle name="Comma 16 2 2" xfId="2391" xr:uid="{00000000-0005-0000-0000-0000A1050000}"/>
    <cellStyle name="Comma 16 2 3" xfId="2392" xr:uid="{00000000-0005-0000-0000-0000A2050000}"/>
    <cellStyle name="Comma 16 2 4" xfId="2393" xr:uid="{00000000-0005-0000-0000-0000A3050000}"/>
    <cellStyle name="Comma 16 2 5" xfId="2394" xr:uid="{00000000-0005-0000-0000-0000A4050000}"/>
    <cellStyle name="Comma 16 2 6" xfId="2395" xr:uid="{00000000-0005-0000-0000-0000A5050000}"/>
    <cellStyle name="Comma 16 3" xfId="2396" xr:uid="{00000000-0005-0000-0000-0000A6050000}"/>
    <cellStyle name="Comma 16 3 2" xfId="2397" xr:uid="{00000000-0005-0000-0000-0000A7050000}"/>
    <cellStyle name="Comma 16 3 3" xfId="2398" xr:uid="{00000000-0005-0000-0000-0000A8050000}"/>
    <cellStyle name="Comma 16 3 4" xfId="2399" xr:uid="{00000000-0005-0000-0000-0000A9050000}"/>
    <cellStyle name="Comma 16 3 5" xfId="2400" xr:uid="{00000000-0005-0000-0000-0000AA050000}"/>
    <cellStyle name="Comma 16 3 6" xfId="2401" xr:uid="{00000000-0005-0000-0000-0000AB050000}"/>
    <cellStyle name="Comma 16 4" xfId="2402" xr:uid="{00000000-0005-0000-0000-0000AC050000}"/>
    <cellStyle name="Comma 16 4 2" xfId="2403" xr:uid="{00000000-0005-0000-0000-0000AD050000}"/>
    <cellStyle name="Comma 16 4 3" xfId="2404" xr:uid="{00000000-0005-0000-0000-0000AE050000}"/>
    <cellStyle name="Comma 16 4 4" xfId="2405" xr:uid="{00000000-0005-0000-0000-0000AF050000}"/>
    <cellStyle name="Comma 16 4 5" xfId="2406" xr:uid="{00000000-0005-0000-0000-0000B0050000}"/>
    <cellStyle name="Comma 16 4 6" xfId="2407" xr:uid="{00000000-0005-0000-0000-0000B1050000}"/>
    <cellStyle name="Comma 16 5" xfId="2408" xr:uid="{00000000-0005-0000-0000-0000B2050000}"/>
    <cellStyle name="Comma 16 6" xfId="2409" xr:uid="{00000000-0005-0000-0000-0000B3050000}"/>
    <cellStyle name="Comma 16 7" xfId="2410" xr:uid="{00000000-0005-0000-0000-0000B4050000}"/>
    <cellStyle name="Comma 16 8" xfId="2411" xr:uid="{00000000-0005-0000-0000-0000B5050000}"/>
    <cellStyle name="Comma 16 9" xfId="2412" xr:uid="{00000000-0005-0000-0000-0000B6050000}"/>
    <cellStyle name="Comma 17" xfId="2413" xr:uid="{00000000-0005-0000-0000-0000B7050000}"/>
    <cellStyle name="Comma 17 10" xfId="2414" xr:uid="{00000000-0005-0000-0000-0000B8050000}"/>
    <cellStyle name="Comma 17 11" xfId="2415" xr:uid="{00000000-0005-0000-0000-0000B9050000}"/>
    <cellStyle name="Comma 17 2" xfId="2416" xr:uid="{00000000-0005-0000-0000-0000BA050000}"/>
    <cellStyle name="Comma 17 2 2" xfId="2417" xr:uid="{00000000-0005-0000-0000-0000BB050000}"/>
    <cellStyle name="Comma 17 2 3" xfId="2418" xr:uid="{00000000-0005-0000-0000-0000BC050000}"/>
    <cellStyle name="Comma 17 2 4" xfId="2419" xr:uid="{00000000-0005-0000-0000-0000BD050000}"/>
    <cellStyle name="Comma 17 2 5" xfId="2420" xr:uid="{00000000-0005-0000-0000-0000BE050000}"/>
    <cellStyle name="Comma 17 3" xfId="2421" xr:uid="{00000000-0005-0000-0000-0000BF050000}"/>
    <cellStyle name="Comma 17 3 2" xfId="2422" xr:uid="{00000000-0005-0000-0000-0000C0050000}"/>
    <cellStyle name="Comma 17 3 3" xfId="2423" xr:uid="{00000000-0005-0000-0000-0000C1050000}"/>
    <cellStyle name="Comma 17 3 4" xfId="2424" xr:uid="{00000000-0005-0000-0000-0000C2050000}"/>
    <cellStyle name="Comma 17 3 5" xfId="2425" xr:uid="{00000000-0005-0000-0000-0000C3050000}"/>
    <cellStyle name="Comma 17 4" xfId="2426" xr:uid="{00000000-0005-0000-0000-0000C4050000}"/>
    <cellStyle name="Comma 17 4 2" xfId="2427" xr:uid="{00000000-0005-0000-0000-0000C5050000}"/>
    <cellStyle name="Comma 17 4 3" xfId="2428" xr:uid="{00000000-0005-0000-0000-0000C6050000}"/>
    <cellStyle name="Comma 17 4 4" xfId="2429" xr:uid="{00000000-0005-0000-0000-0000C7050000}"/>
    <cellStyle name="Comma 17 4 5" xfId="2430" xr:uid="{00000000-0005-0000-0000-0000C8050000}"/>
    <cellStyle name="Comma 17 5" xfId="2431" xr:uid="{00000000-0005-0000-0000-0000C9050000}"/>
    <cellStyle name="Comma 17 6" xfId="2432" xr:uid="{00000000-0005-0000-0000-0000CA050000}"/>
    <cellStyle name="Comma 17 7" xfId="2433" xr:uid="{00000000-0005-0000-0000-0000CB050000}"/>
    <cellStyle name="Comma 17 8" xfId="2434" xr:uid="{00000000-0005-0000-0000-0000CC050000}"/>
    <cellStyle name="Comma 17 9" xfId="2435" xr:uid="{00000000-0005-0000-0000-0000CD050000}"/>
    <cellStyle name="Comma 18" xfId="2436" xr:uid="{00000000-0005-0000-0000-0000CE050000}"/>
    <cellStyle name="Comma 18 2" xfId="2437" xr:uid="{00000000-0005-0000-0000-0000CF050000}"/>
    <cellStyle name="Comma 18 3" xfId="2438" xr:uid="{00000000-0005-0000-0000-0000D0050000}"/>
    <cellStyle name="Comma 18 4" xfId="2439" xr:uid="{00000000-0005-0000-0000-0000D1050000}"/>
    <cellStyle name="Comma 18 5" xfId="2440" xr:uid="{00000000-0005-0000-0000-0000D2050000}"/>
    <cellStyle name="Comma 18 6" xfId="2441" xr:uid="{00000000-0005-0000-0000-0000D3050000}"/>
    <cellStyle name="Comma 18 7" xfId="2442" xr:uid="{00000000-0005-0000-0000-0000D4050000}"/>
    <cellStyle name="Comma 18 8" xfId="2443" xr:uid="{00000000-0005-0000-0000-0000D5050000}"/>
    <cellStyle name="Comma 19" xfId="2444" xr:uid="{00000000-0005-0000-0000-0000D6050000}"/>
    <cellStyle name="Comma 19 2" xfId="2445" xr:uid="{00000000-0005-0000-0000-0000D7050000}"/>
    <cellStyle name="Comma 19 2 2" xfId="2446" xr:uid="{00000000-0005-0000-0000-0000D8050000}"/>
    <cellStyle name="Comma 19 2 3" xfId="2447" xr:uid="{00000000-0005-0000-0000-0000D9050000}"/>
    <cellStyle name="Comma 19 2 4" xfId="2448" xr:uid="{00000000-0005-0000-0000-0000DA050000}"/>
    <cellStyle name="Comma 19 2 5" xfId="2449" xr:uid="{00000000-0005-0000-0000-0000DB050000}"/>
    <cellStyle name="Comma 19 3" xfId="2450" xr:uid="{00000000-0005-0000-0000-0000DC050000}"/>
    <cellStyle name="Comma 19 4" xfId="2451" xr:uid="{00000000-0005-0000-0000-0000DD050000}"/>
    <cellStyle name="Comma 19 5" xfId="2452" xr:uid="{00000000-0005-0000-0000-0000DE050000}"/>
    <cellStyle name="Comma 19 6" xfId="2453" xr:uid="{00000000-0005-0000-0000-0000DF050000}"/>
    <cellStyle name="Comma 2" xfId="5" xr:uid="{00000000-0005-0000-0000-000009000000}"/>
    <cellStyle name="Comma 2 10" xfId="35" xr:uid="{00000000-0005-0000-0000-00000A000000}"/>
    <cellStyle name="Comma 2 10 2" xfId="81" xr:uid="{00000000-0005-0000-0000-00000A000000}"/>
    <cellStyle name="Comma 2 10 2 2" xfId="221" xr:uid="{00000000-0005-0000-0000-000024000000}"/>
    <cellStyle name="Comma 2 10 2 3" xfId="2455" xr:uid="{00000000-0005-0000-0000-0000E2050000}"/>
    <cellStyle name="Comma 2 10 3" xfId="98" xr:uid="{00000000-0005-0000-0000-000006000000}"/>
    <cellStyle name="Comma 2 10 3 2" xfId="2456" xr:uid="{00000000-0005-0000-0000-0000E3050000}"/>
    <cellStyle name="Comma 2 10 4" xfId="2457" xr:uid="{00000000-0005-0000-0000-0000E4050000}"/>
    <cellStyle name="Comma 2 10 5" xfId="2458" xr:uid="{00000000-0005-0000-0000-0000E5050000}"/>
    <cellStyle name="Comma 2 10 6" xfId="2459" xr:uid="{00000000-0005-0000-0000-0000E6050000}"/>
    <cellStyle name="Comma 2 10 7" xfId="2460" xr:uid="{00000000-0005-0000-0000-0000E7050000}"/>
    <cellStyle name="Comma 2 10 8" xfId="2461" xr:uid="{00000000-0005-0000-0000-0000E8050000}"/>
    <cellStyle name="Comma 2 10 9" xfId="2454" xr:uid="{00000000-0005-0000-0000-0000E9050000}"/>
    <cellStyle name="Comma 2 100" xfId="222" xr:uid="{00000000-0005-0000-0000-000025000000}"/>
    <cellStyle name="Comma 2 101" xfId="223" xr:uid="{00000000-0005-0000-0000-000026000000}"/>
    <cellStyle name="Comma 2 102" xfId="224" xr:uid="{00000000-0005-0000-0000-000027000000}"/>
    <cellStyle name="Comma 2 103" xfId="225" xr:uid="{00000000-0005-0000-0000-000028000000}"/>
    <cellStyle name="Comma 2 104" xfId="226" xr:uid="{00000000-0005-0000-0000-000029000000}"/>
    <cellStyle name="Comma 2 105" xfId="227" xr:uid="{00000000-0005-0000-0000-00002A000000}"/>
    <cellStyle name="Comma 2 106" xfId="228" xr:uid="{00000000-0005-0000-0000-00002B000000}"/>
    <cellStyle name="Comma 2 107" xfId="229" xr:uid="{00000000-0005-0000-0000-00002C000000}"/>
    <cellStyle name="Comma 2 108" xfId="230" xr:uid="{00000000-0005-0000-0000-00002D000000}"/>
    <cellStyle name="Comma 2 109" xfId="231" xr:uid="{00000000-0005-0000-0000-00002E000000}"/>
    <cellStyle name="Comma 2 11" xfId="232" xr:uid="{00000000-0005-0000-0000-00002F000000}"/>
    <cellStyle name="Comma 2 11 2" xfId="2463" xr:uid="{00000000-0005-0000-0000-0000EB050000}"/>
    <cellStyle name="Comma 2 11 3" xfId="2464" xr:uid="{00000000-0005-0000-0000-0000EC050000}"/>
    <cellStyle name="Comma 2 11 4" xfId="2465" xr:uid="{00000000-0005-0000-0000-0000ED050000}"/>
    <cellStyle name="Comma 2 11 5" xfId="2466" xr:uid="{00000000-0005-0000-0000-0000EE050000}"/>
    <cellStyle name="Comma 2 11 6" xfId="2467" xr:uid="{00000000-0005-0000-0000-0000EF050000}"/>
    <cellStyle name="Comma 2 11 7" xfId="2468" xr:uid="{00000000-0005-0000-0000-0000F0050000}"/>
    <cellStyle name="Comma 2 11 8" xfId="2469" xr:uid="{00000000-0005-0000-0000-0000F1050000}"/>
    <cellStyle name="Comma 2 11 9" xfId="2462" xr:uid="{00000000-0005-0000-0000-0000EA050000}"/>
    <cellStyle name="Comma 2 110" xfId="233" xr:uid="{00000000-0005-0000-0000-000030000000}"/>
    <cellStyle name="Comma 2 111" xfId="234" xr:uid="{00000000-0005-0000-0000-000031000000}"/>
    <cellStyle name="Comma 2 112" xfId="235" xr:uid="{00000000-0005-0000-0000-000032000000}"/>
    <cellStyle name="Comma 2 113" xfId="236" xr:uid="{00000000-0005-0000-0000-000033000000}"/>
    <cellStyle name="Comma 2 114" xfId="237" xr:uid="{00000000-0005-0000-0000-000034000000}"/>
    <cellStyle name="Comma 2 115" xfId="238" xr:uid="{00000000-0005-0000-0000-000035000000}"/>
    <cellStyle name="Comma 2 116" xfId="239" xr:uid="{00000000-0005-0000-0000-000036000000}"/>
    <cellStyle name="Comma 2 117" xfId="240" xr:uid="{00000000-0005-0000-0000-000037000000}"/>
    <cellStyle name="Comma 2 118" xfId="241" xr:uid="{00000000-0005-0000-0000-000038000000}"/>
    <cellStyle name="Comma 2 119" xfId="242" xr:uid="{00000000-0005-0000-0000-000039000000}"/>
    <cellStyle name="Comma 2 12" xfId="243" xr:uid="{00000000-0005-0000-0000-00003A000000}"/>
    <cellStyle name="Comma 2 12 2" xfId="2471" xr:uid="{00000000-0005-0000-0000-0000F3050000}"/>
    <cellStyle name="Comma 2 12 3" xfId="2472" xr:uid="{00000000-0005-0000-0000-0000F4050000}"/>
    <cellStyle name="Comma 2 12 4" xfId="2473" xr:uid="{00000000-0005-0000-0000-0000F5050000}"/>
    <cellStyle name="Comma 2 12 5" xfId="2474" xr:uid="{00000000-0005-0000-0000-0000F6050000}"/>
    <cellStyle name="Comma 2 12 6" xfId="2475" xr:uid="{00000000-0005-0000-0000-0000F7050000}"/>
    <cellStyle name="Comma 2 12 7" xfId="2476" xr:uid="{00000000-0005-0000-0000-0000F8050000}"/>
    <cellStyle name="Comma 2 12 8" xfId="2477" xr:uid="{00000000-0005-0000-0000-0000F9050000}"/>
    <cellStyle name="Comma 2 12 9" xfId="2470" xr:uid="{00000000-0005-0000-0000-0000F2050000}"/>
    <cellStyle name="Comma 2 120" xfId="244" xr:uid="{00000000-0005-0000-0000-00003B000000}"/>
    <cellStyle name="Comma 2 121" xfId="245" xr:uid="{00000000-0005-0000-0000-00003C000000}"/>
    <cellStyle name="Comma 2 122" xfId="246" xr:uid="{00000000-0005-0000-0000-00003D000000}"/>
    <cellStyle name="Comma 2 123" xfId="247" xr:uid="{00000000-0005-0000-0000-00003E000000}"/>
    <cellStyle name="Comma 2 124" xfId="818" xr:uid="{00000000-0005-0000-0000-00003F000000}"/>
    <cellStyle name="Comma 2 125" xfId="875" xr:uid="{00000000-0005-0000-0000-000040000000}"/>
    <cellStyle name="Comma 2 126" xfId="881" xr:uid="{00000000-0005-0000-0000-000041000000}"/>
    <cellStyle name="Comma 2 127" xfId="889" xr:uid="{00000000-0005-0000-0000-000042000000}"/>
    <cellStyle name="Comma 2 128" xfId="893" xr:uid="{00000000-0005-0000-0000-000043000000}"/>
    <cellStyle name="Comma 2 129" xfId="898" xr:uid="{00000000-0005-0000-0000-000044000000}"/>
    <cellStyle name="Comma 2 13" xfId="248" xr:uid="{00000000-0005-0000-0000-000045000000}"/>
    <cellStyle name="Comma 2 13 2" xfId="2479" xr:uid="{00000000-0005-0000-0000-0000FB050000}"/>
    <cellStyle name="Comma 2 13 3" xfId="2480" xr:uid="{00000000-0005-0000-0000-0000FC050000}"/>
    <cellStyle name="Comma 2 13 4" xfId="2481" xr:uid="{00000000-0005-0000-0000-0000FD050000}"/>
    <cellStyle name="Comma 2 13 5" xfId="2482" xr:uid="{00000000-0005-0000-0000-0000FE050000}"/>
    <cellStyle name="Comma 2 13 6" xfId="2483" xr:uid="{00000000-0005-0000-0000-0000FF050000}"/>
    <cellStyle name="Comma 2 13 7" xfId="2484" xr:uid="{00000000-0005-0000-0000-000000060000}"/>
    <cellStyle name="Comma 2 13 8" xfId="2485" xr:uid="{00000000-0005-0000-0000-000001060000}"/>
    <cellStyle name="Comma 2 13 9" xfId="2478" xr:uid="{00000000-0005-0000-0000-0000FA050000}"/>
    <cellStyle name="Comma 2 130" xfId="921" xr:uid="{00000000-0005-0000-0000-000046000000}"/>
    <cellStyle name="Comma 2 131" xfId="927" xr:uid="{00000000-0005-0000-0000-000047000000}"/>
    <cellStyle name="Comma 2 132" xfId="942" xr:uid="{00000000-0005-0000-0000-000048000000}"/>
    <cellStyle name="Comma 2 133" xfId="174" xr:uid="{00000000-0005-0000-0000-000049000000}"/>
    <cellStyle name="Comma 2 134" xfId="969" xr:uid="{00000000-0005-0000-0000-00004A000000}"/>
    <cellStyle name="Comma 2 14" xfId="249" xr:uid="{00000000-0005-0000-0000-00004B000000}"/>
    <cellStyle name="Comma 2 14 2" xfId="2487" xr:uid="{00000000-0005-0000-0000-000003060000}"/>
    <cellStyle name="Comma 2 14 3" xfId="2488" xr:uid="{00000000-0005-0000-0000-000004060000}"/>
    <cellStyle name="Comma 2 14 4" xfId="2489" xr:uid="{00000000-0005-0000-0000-000005060000}"/>
    <cellStyle name="Comma 2 14 5" xfId="2490" xr:uid="{00000000-0005-0000-0000-000006060000}"/>
    <cellStyle name="Comma 2 14 6" xfId="2491" xr:uid="{00000000-0005-0000-0000-000007060000}"/>
    <cellStyle name="Comma 2 14 7" xfId="2492" xr:uid="{00000000-0005-0000-0000-000008060000}"/>
    <cellStyle name="Comma 2 14 8" xfId="2493" xr:uid="{00000000-0005-0000-0000-000009060000}"/>
    <cellStyle name="Comma 2 14 9" xfId="2486" xr:uid="{00000000-0005-0000-0000-000002060000}"/>
    <cellStyle name="Comma 2 15" xfId="250" xr:uid="{00000000-0005-0000-0000-00004C000000}"/>
    <cellStyle name="Comma 2 15 2" xfId="2495" xr:uid="{00000000-0005-0000-0000-00000B060000}"/>
    <cellStyle name="Comma 2 15 3" xfId="2496" xr:uid="{00000000-0005-0000-0000-00000C060000}"/>
    <cellStyle name="Comma 2 15 4" xfId="2497" xr:uid="{00000000-0005-0000-0000-00000D060000}"/>
    <cellStyle name="Comma 2 15 5" xfId="2498" xr:uid="{00000000-0005-0000-0000-00000E060000}"/>
    <cellStyle name="Comma 2 15 6" xfId="2499" xr:uid="{00000000-0005-0000-0000-00000F060000}"/>
    <cellStyle name="Comma 2 15 7" xfId="2500" xr:uid="{00000000-0005-0000-0000-000010060000}"/>
    <cellStyle name="Comma 2 15 8" xfId="2501" xr:uid="{00000000-0005-0000-0000-000011060000}"/>
    <cellStyle name="Comma 2 15 9" xfId="2494" xr:uid="{00000000-0005-0000-0000-00000A060000}"/>
    <cellStyle name="Comma 2 16" xfId="251" xr:uid="{00000000-0005-0000-0000-00004D000000}"/>
    <cellStyle name="Comma 2 16 2" xfId="2503" xr:uid="{00000000-0005-0000-0000-000013060000}"/>
    <cellStyle name="Comma 2 16 3" xfId="2504" xr:uid="{00000000-0005-0000-0000-000014060000}"/>
    <cellStyle name="Comma 2 16 4" xfId="2505" xr:uid="{00000000-0005-0000-0000-000015060000}"/>
    <cellStyle name="Comma 2 16 5" xfId="2506" xr:uid="{00000000-0005-0000-0000-000016060000}"/>
    <cellStyle name="Comma 2 16 6" xfId="2502" xr:uid="{00000000-0005-0000-0000-000012060000}"/>
    <cellStyle name="Comma 2 17" xfId="252" xr:uid="{00000000-0005-0000-0000-00004E000000}"/>
    <cellStyle name="Comma 2 17 2" xfId="2508" xr:uid="{00000000-0005-0000-0000-000018060000}"/>
    <cellStyle name="Comma 2 17 3" xfId="2509" xr:uid="{00000000-0005-0000-0000-000019060000}"/>
    <cellStyle name="Comma 2 17 4" xfId="2510" xr:uid="{00000000-0005-0000-0000-00001A060000}"/>
    <cellStyle name="Comma 2 17 5" xfId="2511" xr:uid="{00000000-0005-0000-0000-00001B060000}"/>
    <cellStyle name="Comma 2 17 6" xfId="2507" xr:uid="{00000000-0005-0000-0000-000017060000}"/>
    <cellStyle name="Comma 2 18" xfId="253" xr:uid="{00000000-0005-0000-0000-00004F000000}"/>
    <cellStyle name="Comma 2 18 2" xfId="2513" xr:uid="{00000000-0005-0000-0000-00001D060000}"/>
    <cellStyle name="Comma 2 18 3" xfId="2514" xr:uid="{00000000-0005-0000-0000-00001E060000}"/>
    <cellStyle name="Comma 2 18 4" xfId="2515" xr:uid="{00000000-0005-0000-0000-00001F060000}"/>
    <cellStyle name="Comma 2 18 5" xfId="2516" xr:uid="{00000000-0005-0000-0000-000020060000}"/>
    <cellStyle name="Comma 2 18 6" xfId="2512" xr:uid="{00000000-0005-0000-0000-00001C060000}"/>
    <cellStyle name="Comma 2 19" xfId="254" xr:uid="{00000000-0005-0000-0000-000050000000}"/>
    <cellStyle name="Comma 2 19 2" xfId="2518" xr:uid="{00000000-0005-0000-0000-000022060000}"/>
    <cellStyle name="Comma 2 19 3" xfId="2519" xr:uid="{00000000-0005-0000-0000-000023060000}"/>
    <cellStyle name="Comma 2 19 4" xfId="2520" xr:uid="{00000000-0005-0000-0000-000024060000}"/>
    <cellStyle name="Comma 2 19 5" xfId="2521" xr:uid="{00000000-0005-0000-0000-000025060000}"/>
    <cellStyle name="Comma 2 19 6" xfId="2517" xr:uid="{00000000-0005-0000-0000-000021060000}"/>
    <cellStyle name="Comma 2 2" xfId="9" xr:uid="{00000000-0005-0000-0000-00000B000000}"/>
    <cellStyle name="Comma 2 2 10" xfId="2523" xr:uid="{00000000-0005-0000-0000-000027060000}"/>
    <cellStyle name="Comma 2 2 11" xfId="2524" xr:uid="{00000000-0005-0000-0000-000028060000}"/>
    <cellStyle name="Comma 2 2 12" xfId="2525" xr:uid="{00000000-0005-0000-0000-000029060000}"/>
    <cellStyle name="Comma 2 2 13" xfId="2526" xr:uid="{00000000-0005-0000-0000-00002A060000}"/>
    <cellStyle name="Comma 2 2 14" xfId="2527" xr:uid="{00000000-0005-0000-0000-00002B060000}"/>
    <cellStyle name="Comma 2 2 15" xfId="2528" xr:uid="{00000000-0005-0000-0000-00002C060000}"/>
    <cellStyle name="Comma 2 2 16" xfId="2529" xr:uid="{00000000-0005-0000-0000-00002D060000}"/>
    <cellStyle name="Comma 2 2 17" xfId="2522" xr:uid="{00000000-0005-0000-0000-00002E060000}"/>
    <cellStyle name="Comma 2 2 18" xfId="37255" xr:uid="{00000000-0005-0000-0000-00002F060000}"/>
    <cellStyle name="Comma 2 2 2" xfId="12" xr:uid="{00000000-0005-0000-0000-00000C000000}"/>
    <cellStyle name="Comma 2 2 2 10" xfId="2531" xr:uid="{00000000-0005-0000-0000-000031060000}"/>
    <cellStyle name="Comma 2 2 2 11" xfId="2530" xr:uid="{00000000-0005-0000-0000-000030060000}"/>
    <cellStyle name="Comma 2 2 2 2" xfId="77" xr:uid="{00000000-0005-0000-0000-00000C000000}"/>
    <cellStyle name="Comma 2 2 2 2 2" xfId="2533" xr:uid="{00000000-0005-0000-0000-000033060000}"/>
    <cellStyle name="Comma 2 2 2 2 3" xfId="2534" xr:uid="{00000000-0005-0000-0000-000034060000}"/>
    <cellStyle name="Comma 2 2 2 2 4" xfId="2535" xr:uid="{00000000-0005-0000-0000-000035060000}"/>
    <cellStyle name="Comma 2 2 2 2 5" xfId="2536" xr:uid="{00000000-0005-0000-0000-000036060000}"/>
    <cellStyle name="Comma 2 2 2 2 6" xfId="2537" xr:uid="{00000000-0005-0000-0000-000037060000}"/>
    <cellStyle name="Comma 2 2 2 2 7" xfId="2538" xr:uid="{00000000-0005-0000-0000-000038060000}"/>
    <cellStyle name="Comma 2 2 2 2 8" xfId="2539" xr:uid="{00000000-0005-0000-0000-000039060000}"/>
    <cellStyle name="Comma 2 2 2 2 9" xfId="2532" xr:uid="{00000000-0005-0000-0000-000032060000}"/>
    <cellStyle name="Comma 2 2 2 3" xfId="178" xr:uid="{00000000-0005-0000-0000-000052000000}"/>
    <cellStyle name="Comma 2 2 2 3 2" xfId="2541" xr:uid="{00000000-0005-0000-0000-00003B060000}"/>
    <cellStyle name="Comma 2 2 2 3 3" xfId="2542" xr:uid="{00000000-0005-0000-0000-00003C060000}"/>
    <cellStyle name="Comma 2 2 2 3 4" xfId="2543" xr:uid="{00000000-0005-0000-0000-00003D060000}"/>
    <cellStyle name="Comma 2 2 2 3 5" xfId="2544" xr:uid="{00000000-0005-0000-0000-00003E060000}"/>
    <cellStyle name="Comma 2 2 2 3 6" xfId="2545" xr:uid="{00000000-0005-0000-0000-00003F060000}"/>
    <cellStyle name="Comma 2 2 2 3 7" xfId="2546" xr:uid="{00000000-0005-0000-0000-000040060000}"/>
    <cellStyle name="Comma 2 2 2 3 8" xfId="2547" xr:uid="{00000000-0005-0000-0000-000041060000}"/>
    <cellStyle name="Comma 2 2 2 3 9" xfId="2540" xr:uid="{00000000-0005-0000-0000-00003A060000}"/>
    <cellStyle name="Comma 2 2 2 4" xfId="2548" xr:uid="{00000000-0005-0000-0000-000042060000}"/>
    <cellStyle name="Comma 2 2 2 5" xfId="2549" xr:uid="{00000000-0005-0000-0000-000043060000}"/>
    <cellStyle name="Comma 2 2 2 6" xfId="2550" xr:uid="{00000000-0005-0000-0000-000044060000}"/>
    <cellStyle name="Comma 2 2 2 7" xfId="2551" xr:uid="{00000000-0005-0000-0000-000045060000}"/>
    <cellStyle name="Comma 2 2 2 8" xfId="2552" xr:uid="{00000000-0005-0000-0000-000046060000}"/>
    <cellStyle name="Comma 2 2 2 9" xfId="2553" xr:uid="{00000000-0005-0000-0000-000047060000}"/>
    <cellStyle name="Comma 2 2 3" xfId="74" xr:uid="{00000000-0005-0000-0000-00000B000000}"/>
    <cellStyle name="Comma 2 2 3 2" xfId="958" xr:uid="{00000000-0005-0000-0000-000053000000}"/>
    <cellStyle name="Comma 2 2 3 2 2" xfId="2555" xr:uid="{00000000-0005-0000-0000-000049060000}"/>
    <cellStyle name="Comma 2 2 3 2 2 3" xfId="6" xr:uid="{00000000-0005-0000-0000-00000D000000}"/>
    <cellStyle name="Comma 2 2 3 2 2 3 2" xfId="10" xr:uid="{00000000-0005-0000-0000-00000E000000}"/>
    <cellStyle name="Comma 2 2 3 2 2 3 2 2" xfId="75" xr:uid="{00000000-0005-0000-0000-00000E000000}"/>
    <cellStyle name="Comma 2 2 3 3" xfId="2556" xr:uid="{00000000-0005-0000-0000-00004A060000}"/>
    <cellStyle name="Comma 2 2 3 4" xfId="2557" xr:uid="{00000000-0005-0000-0000-00004B060000}"/>
    <cellStyle name="Comma 2 2 3 5" xfId="2558" xr:uid="{00000000-0005-0000-0000-00004C060000}"/>
    <cellStyle name="Comma 2 2 3 6" xfId="2559" xr:uid="{00000000-0005-0000-0000-00004D060000}"/>
    <cellStyle name="Comma 2 2 3 7" xfId="2560" xr:uid="{00000000-0005-0000-0000-00004E060000}"/>
    <cellStyle name="Comma 2 2 3 8" xfId="2561" xr:uid="{00000000-0005-0000-0000-00004F060000}"/>
    <cellStyle name="Comma 2 2 3 9" xfId="2554" xr:uid="{00000000-0005-0000-0000-000048060000}"/>
    <cellStyle name="Comma 2 2 4" xfId="97" xr:uid="{00000000-0005-0000-0000-000002000000}"/>
    <cellStyle name="Comma 2 2 4 2" xfId="2563" xr:uid="{00000000-0005-0000-0000-000051060000}"/>
    <cellStyle name="Comma 2 2 4 3" xfId="2564" xr:uid="{00000000-0005-0000-0000-000052060000}"/>
    <cellStyle name="Comma 2 2 4 4" xfId="2565" xr:uid="{00000000-0005-0000-0000-000053060000}"/>
    <cellStyle name="Comma 2 2 4 5" xfId="2566" xr:uid="{00000000-0005-0000-0000-000054060000}"/>
    <cellStyle name="Comma 2 2 4 6" xfId="2567" xr:uid="{00000000-0005-0000-0000-000055060000}"/>
    <cellStyle name="Comma 2 2 4 7" xfId="2568" xr:uid="{00000000-0005-0000-0000-000056060000}"/>
    <cellStyle name="Comma 2 2 4 8" xfId="2569" xr:uid="{00000000-0005-0000-0000-000057060000}"/>
    <cellStyle name="Comma 2 2 4 9" xfId="2562" xr:uid="{00000000-0005-0000-0000-000050060000}"/>
    <cellStyle name="Comma 2 2 5" xfId="2570" xr:uid="{00000000-0005-0000-0000-000058060000}"/>
    <cellStyle name="Comma 2 2 5 2" xfId="2571" xr:uid="{00000000-0005-0000-0000-000059060000}"/>
    <cellStyle name="Comma 2 2 5 3" xfId="2572" xr:uid="{00000000-0005-0000-0000-00005A060000}"/>
    <cellStyle name="Comma 2 2 5 4" xfId="2573" xr:uid="{00000000-0005-0000-0000-00005B060000}"/>
    <cellStyle name="Comma 2 2 5 5" xfId="2574" xr:uid="{00000000-0005-0000-0000-00005C060000}"/>
    <cellStyle name="Comma 2 2 5 6" xfId="2575" xr:uid="{00000000-0005-0000-0000-00005D060000}"/>
    <cellStyle name="Comma 2 2 5 7" xfId="2576" xr:uid="{00000000-0005-0000-0000-00005E060000}"/>
    <cellStyle name="Comma 2 2 5 8" xfId="2577" xr:uid="{00000000-0005-0000-0000-00005F060000}"/>
    <cellStyle name="Comma 2 2 6" xfId="2578" xr:uid="{00000000-0005-0000-0000-000060060000}"/>
    <cellStyle name="Comma 2 2 6 2" xfId="2579" xr:uid="{00000000-0005-0000-0000-000061060000}"/>
    <cellStyle name="Comma 2 2 6 3" xfId="2580" xr:uid="{00000000-0005-0000-0000-000062060000}"/>
    <cellStyle name="Comma 2 2 6 4" xfId="2581" xr:uid="{00000000-0005-0000-0000-000063060000}"/>
    <cellStyle name="Comma 2 2 6 5" xfId="2582" xr:uid="{00000000-0005-0000-0000-000064060000}"/>
    <cellStyle name="Comma 2 2 6 6" xfId="2583" xr:uid="{00000000-0005-0000-0000-000065060000}"/>
    <cellStyle name="Comma 2 2 6 7" xfId="2584" xr:uid="{00000000-0005-0000-0000-000066060000}"/>
    <cellStyle name="Comma 2 2 6 8" xfId="2585" xr:uid="{00000000-0005-0000-0000-000067060000}"/>
    <cellStyle name="Comma 2 2 7" xfId="2586" xr:uid="{00000000-0005-0000-0000-000068060000}"/>
    <cellStyle name="Comma 2 2 8" xfId="2587" xr:uid="{00000000-0005-0000-0000-000069060000}"/>
    <cellStyle name="Comma 2 2 9" xfId="2588" xr:uid="{00000000-0005-0000-0000-00006A060000}"/>
    <cellStyle name="Comma 2 2_Door Shutter- Analysis" xfId="955" xr:uid="{00000000-0005-0000-0000-000054000000}"/>
    <cellStyle name="Comma 2 20" xfId="255" xr:uid="{00000000-0005-0000-0000-000055000000}"/>
    <cellStyle name="Comma 2 20 2" xfId="2590" xr:uid="{00000000-0005-0000-0000-00006C060000}"/>
    <cellStyle name="Comma 2 20 3" xfId="2591" xr:uid="{00000000-0005-0000-0000-00006D060000}"/>
    <cellStyle name="Comma 2 20 4" xfId="2592" xr:uid="{00000000-0005-0000-0000-00006E060000}"/>
    <cellStyle name="Comma 2 20 5" xfId="2593" xr:uid="{00000000-0005-0000-0000-00006F060000}"/>
    <cellStyle name="Comma 2 20 6" xfId="2589" xr:uid="{00000000-0005-0000-0000-00006B060000}"/>
    <cellStyle name="Comma 2 21" xfId="256" xr:uid="{00000000-0005-0000-0000-000056000000}"/>
    <cellStyle name="Comma 2 21 2" xfId="2594" xr:uid="{00000000-0005-0000-0000-000070060000}"/>
    <cellStyle name="Comma 2 22" xfId="257" xr:uid="{00000000-0005-0000-0000-000057000000}"/>
    <cellStyle name="Comma 2 22 2" xfId="2595" xr:uid="{00000000-0005-0000-0000-000071060000}"/>
    <cellStyle name="Comma 2 23" xfId="258" xr:uid="{00000000-0005-0000-0000-000058000000}"/>
    <cellStyle name="Comma 2 23 2" xfId="2596" xr:uid="{00000000-0005-0000-0000-000072060000}"/>
    <cellStyle name="Comma 2 24" xfId="259" xr:uid="{00000000-0005-0000-0000-000059000000}"/>
    <cellStyle name="Comma 2 24 2" xfId="2597" xr:uid="{00000000-0005-0000-0000-000073060000}"/>
    <cellStyle name="Comma 2 25" xfId="260" xr:uid="{00000000-0005-0000-0000-00005A000000}"/>
    <cellStyle name="Comma 2 25 2" xfId="2598" xr:uid="{00000000-0005-0000-0000-000074060000}"/>
    <cellStyle name="Comma 2 26" xfId="261" xr:uid="{00000000-0005-0000-0000-00005B000000}"/>
    <cellStyle name="Comma 2 26 2" xfId="2599" xr:uid="{00000000-0005-0000-0000-000075060000}"/>
    <cellStyle name="Comma 2 27" xfId="262" xr:uid="{00000000-0005-0000-0000-00005C000000}"/>
    <cellStyle name="Comma 2 27 2" xfId="2600" xr:uid="{00000000-0005-0000-0000-000076060000}"/>
    <cellStyle name="Comma 2 28" xfId="263" xr:uid="{00000000-0005-0000-0000-00005D000000}"/>
    <cellStyle name="Comma 2 28 2" xfId="2601" xr:uid="{00000000-0005-0000-0000-000077060000}"/>
    <cellStyle name="Comma 2 29" xfId="264" xr:uid="{00000000-0005-0000-0000-00005E000000}"/>
    <cellStyle name="Comma 2 29 2" xfId="988" xr:uid="{00000000-0005-0000-0000-000078060000}"/>
    <cellStyle name="Comma 2 3" xfId="139" xr:uid="{00000000-0005-0000-0000-00005F000000}"/>
    <cellStyle name="Comma 2 3 10" xfId="2602" xr:uid="{00000000-0005-0000-0000-00007A060000}"/>
    <cellStyle name="Comma 2 3 11" xfId="2603" xr:uid="{00000000-0005-0000-0000-00007B060000}"/>
    <cellStyle name="Comma 2 3 12" xfId="2604" xr:uid="{00000000-0005-0000-0000-00007C060000}"/>
    <cellStyle name="Comma 2 3 13" xfId="2605" xr:uid="{00000000-0005-0000-0000-00007D060000}"/>
    <cellStyle name="Comma 2 3 14" xfId="2606" xr:uid="{00000000-0005-0000-0000-00007E060000}"/>
    <cellStyle name="Comma 2 3 15" xfId="2607" xr:uid="{00000000-0005-0000-0000-00007F060000}"/>
    <cellStyle name="Comma 2 3 16" xfId="2608" xr:uid="{00000000-0005-0000-0000-000080060000}"/>
    <cellStyle name="Comma 2 3 17" xfId="2609" xr:uid="{00000000-0005-0000-0000-000081060000}"/>
    <cellStyle name="Comma 2 3 18" xfId="2610" xr:uid="{00000000-0005-0000-0000-000082060000}"/>
    <cellStyle name="Comma 2 3 19" xfId="2611" xr:uid="{00000000-0005-0000-0000-000083060000}"/>
    <cellStyle name="Comma 2 3 2" xfId="822" xr:uid="{00000000-0005-0000-0000-000060000000}"/>
    <cellStyle name="Comma 2 3 2 10" xfId="2613" xr:uid="{00000000-0005-0000-0000-000085060000}"/>
    <cellStyle name="Comma 2 3 2 11" xfId="2614" xr:uid="{00000000-0005-0000-0000-000086060000}"/>
    <cellStyle name="Comma 2 3 2 12" xfId="2615" xr:uid="{00000000-0005-0000-0000-000087060000}"/>
    <cellStyle name="Comma 2 3 2 13" xfId="2616" xr:uid="{00000000-0005-0000-0000-000088060000}"/>
    <cellStyle name="Comma 2 3 2 14" xfId="2617" xr:uid="{00000000-0005-0000-0000-000089060000}"/>
    <cellStyle name="Comma 2 3 2 15" xfId="2618" xr:uid="{00000000-0005-0000-0000-00008A060000}"/>
    <cellStyle name="Comma 2 3 2 16" xfId="2619" xr:uid="{00000000-0005-0000-0000-00008B060000}"/>
    <cellStyle name="Comma 2 3 2 17" xfId="2620" xr:uid="{00000000-0005-0000-0000-00008C060000}"/>
    <cellStyle name="Comma 2 3 2 18" xfId="2621" xr:uid="{00000000-0005-0000-0000-00008D060000}"/>
    <cellStyle name="Comma 2 3 2 19" xfId="2612" xr:uid="{00000000-0005-0000-0000-000084060000}"/>
    <cellStyle name="Comma 2 3 2 2" xfId="823" xr:uid="{00000000-0005-0000-0000-000061000000}"/>
    <cellStyle name="Comma 2 3 2 2 2" xfId="2622" xr:uid="{00000000-0005-0000-0000-00008E060000}"/>
    <cellStyle name="Comma 2 3 2 3" xfId="870" xr:uid="{00000000-0005-0000-0000-000062000000}"/>
    <cellStyle name="Comma 2 3 2 3 2" xfId="2623" xr:uid="{00000000-0005-0000-0000-00008F060000}"/>
    <cellStyle name="Comma 2 3 2 4" xfId="824" xr:uid="{00000000-0005-0000-0000-000063000000}"/>
    <cellStyle name="Comma 2 3 2 4 2" xfId="2624" xr:uid="{00000000-0005-0000-0000-000090060000}"/>
    <cellStyle name="Comma 2 3 2 5" xfId="885" xr:uid="{00000000-0005-0000-0000-000064000000}"/>
    <cellStyle name="Comma 2 3 2 5 2" xfId="2625" xr:uid="{00000000-0005-0000-0000-000091060000}"/>
    <cellStyle name="Comma 2 3 2 6" xfId="820" xr:uid="{00000000-0005-0000-0000-000065000000}"/>
    <cellStyle name="Comma 2 3 2 6 2" xfId="2626" xr:uid="{00000000-0005-0000-0000-000092060000}"/>
    <cellStyle name="Comma 2 3 2 7" xfId="2627" xr:uid="{00000000-0005-0000-0000-000093060000}"/>
    <cellStyle name="Comma 2 3 2 8" xfId="2628" xr:uid="{00000000-0005-0000-0000-000094060000}"/>
    <cellStyle name="Comma 2 3 2 9" xfId="2629" xr:uid="{00000000-0005-0000-0000-000095060000}"/>
    <cellStyle name="Comma 2 3 20" xfId="2630" xr:uid="{00000000-0005-0000-0000-000096060000}"/>
    <cellStyle name="Comma 2 3 21" xfId="2631" xr:uid="{00000000-0005-0000-0000-000097060000}"/>
    <cellStyle name="Comma 2 3 22" xfId="2632" xr:uid="{00000000-0005-0000-0000-000098060000}"/>
    <cellStyle name="Comma 2 3 23" xfId="2633" xr:uid="{00000000-0005-0000-0000-000099060000}"/>
    <cellStyle name="Comma 2 3 24" xfId="2634" xr:uid="{00000000-0005-0000-0000-00009A060000}"/>
    <cellStyle name="Comma 2 3 25" xfId="2635" xr:uid="{00000000-0005-0000-0000-00009B060000}"/>
    <cellStyle name="Comma 2 3 26" xfId="2636" xr:uid="{00000000-0005-0000-0000-00009C060000}"/>
    <cellStyle name="Comma 2 3 27" xfId="2637" xr:uid="{00000000-0005-0000-0000-00009D060000}"/>
    <cellStyle name="Comma 2 3 3" xfId="871" xr:uid="{00000000-0005-0000-0000-000066000000}"/>
    <cellStyle name="Comma 2 3 3 2" xfId="963" xr:uid="{00000000-0005-0000-0000-000067000000}"/>
    <cellStyle name="Comma 2 3 3 2 2" xfId="2639" xr:uid="{00000000-0005-0000-0000-00009F060000}"/>
    <cellStyle name="Comma 2 3 3 3" xfId="2640" xr:uid="{00000000-0005-0000-0000-0000A0060000}"/>
    <cellStyle name="Comma 2 3 3 4" xfId="2641" xr:uid="{00000000-0005-0000-0000-0000A1060000}"/>
    <cellStyle name="Comma 2 3 3 5" xfId="2642" xr:uid="{00000000-0005-0000-0000-0000A2060000}"/>
    <cellStyle name="Comma 2 3 3 6" xfId="2638" xr:uid="{00000000-0005-0000-0000-00009E060000}"/>
    <cellStyle name="Comma 2 3 4" xfId="821" xr:uid="{00000000-0005-0000-0000-000068000000}"/>
    <cellStyle name="Comma 2 3 4 2" xfId="2644" xr:uid="{00000000-0005-0000-0000-0000A4060000}"/>
    <cellStyle name="Comma 2 3 4 3" xfId="2645" xr:uid="{00000000-0005-0000-0000-0000A5060000}"/>
    <cellStyle name="Comma 2 3 4 4" xfId="2646" xr:uid="{00000000-0005-0000-0000-0000A6060000}"/>
    <cellStyle name="Comma 2 3 4 5" xfId="2647" xr:uid="{00000000-0005-0000-0000-0000A7060000}"/>
    <cellStyle name="Comma 2 3 4 6" xfId="2643" xr:uid="{00000000-0005-0000-0000-0000A3060000}"/>
    <cellStyle name="Comma 2 3 5" xfId="886" xr:uid="{00000000-0005-0000-0000-000069000000}"/>
    <cellStyle name="Comma 2 3 5 2" xfId="2648" xr:uid="{00000000-0005-0000-0000-0000A8060000}"/>
    <cellStyle name="Comma 2 3 6" xfId="819" xr:uid="{00000000-0005-0000-0000-00006A000000}"/>
    <cellStyle name="Comma 2 3 6 2" xfId="2649" xr:uid="{00000000-0005-0000-0000-0000A9060000}"/>
    <cellStyle name="Comma 2 3 7" xfId="187" xr:uid="{00000000-0005-0000-0000-00006B000000}"/>
    <cellStyle name="Comma 2 3 7 2" xfId="2650" xr:uid="{00000000-0005-0000-0000-0000AA060000}"/>
    <cellStyle name="Comma 2 3 8" xfId="2651" xr:uid="{00000000-0005-0000-0000-0000AB060000}"/>
    <cellStyle name="Comma 2 3 9" xfId="2652" xr:uid="{00000000-0005-0000-0000-0000AC060000}"/>
    <cellStyle name="Comma 2 30" xfId="265" xr:uid="{00000000-0005-0000-0000-00006C000000}"/>
    <cellStyle name="Comma 2 30 2" xfId="37253" xr:uid="{00000000-0005-0000-0000-0000AD060000}"/>
    <cellStyle name="Comma 2 31" xfId="266" xr:uid="{00000000-0005-0000-0000-00006D000000}"/>
    <cellStyle name="Comma 2 32" xfId="267" xr:uid="{00000000-0005-0000-0000-00006E000000}"/>
    <cellStyle name="Comma 2 33" xfId="268" xr:uid="{00000000-0005-0000-0000-00006F000000}"/>
    <cellStyle name="Comma 2 34" xfId="269" xr:uid="{00000000-0005-0000-0000-000070000000}"/>
    <cellStyle name="Comma 2 35" xfId="270" xr:uid="{00000000-0005-0000-0000-000071000000}"/>
    <cellStyle name="Comma 2 36" xfId="271" xr:uid="{00000000-0005-0000-0000-000072000000}"/>
    <cellStyle name="Comma 2 37" xfId="272" xr:uid="{00000000-0005-0000-0000-000073000000}"/>
    <cellStyle name="Comma 2 38" xfId="273" xr:uid="{00000000-0005-0000-0000-000074000000}"/>
    <cellStyle name="Comma 2 39" xfId="274" xr:uid="{00000000-0005-0000-0000-000075000000}"/>
    <cellStyle name="Comma 2 4" xfId="196" xr:uid="{00000000-0005-0000-0000-000076000000}"/>
    <cellStyle name="Comma 2 4 10" xfId="2654" xr:uid="{00000000-0005-0000-0000-0000AF060000}"/>
    <cellStyle name="Comma 2 4 11" xfId="2655" xr:uid="{00000000-0005-0000-0000-0000B0060000}"/>
    <cellStyle name="Comma 2 4 12" xfId="2656" xr:uid="{00000000-0005-0000-0000-0000B1060000}"/>
    <cellStyle name="Comma 2 4 13" xfId="2653" xr:uid="{00000000-0005-0000-0000-0000AE060000}"/>
    <cellStyle name="Comma 2 4 2" xfId="2657" xr:uid="{00000000-0005-0000-0000-0000B2060000}"/>
    <cellStyle name="Comma 2 4 2 2" xfId="2658" xr:uid="{00000000-0005-0000-0000-0000B3060000}"/>
    <cellStyle name="Comma 2 4 2 3" xfId="2659" xr:uid="{00000000-0005-0000-0000-0000B4060000}"/>
    <cellStyle name="Comma 2 4 2 4" xfId="2660" xr:uid="{00000000-0005-0000-0000-0000B5060000}"/>
    <cellStyle name="Comma 2 4 2 5" xfId="2661" xr:uid="{00000000-0005-0000-0000-0000B6060000}"/>
    <cellStyle name="Comma 2 4 2 6" xfId="2662" xr:uid="{00000000-0005-0000-0000-0000B7060000}"/>
    <cellStyle name="Comma 2 4 2 7" xfId="2663" xr:uid="{00000000-0005-0000-0000-0000B8060000}"/>
    <cellStyle name="Comma 2 4 2 8" xfId="2664" xr:uid="{00000000-0005-0000-0000-0000B9060000}"/>
    <cellStyle name="Comma 2 4 3" xfId="2665" xr:uid="{00000000-0005-0000-0000-0000BA060000}"/>
    <cellStyle name="Comma 2 4 4" xfId="2666" xr:uid="{00000000-0005-0000-0000-0000BB060000}"/>
    <cellStyle name="Comma 2 4 5" xfId="2667" xr:uid="{00000000-0005-0000-0000-0000BC060000}"/>
    <cellStyle name="Comma 2 4 6" xfId="948" xr:uid="{00000000-0005-0000-0000-000077000000}"/>
    <cellStyle name="Comma 2 4 6 2" xfId="2668" xr:uid="{00000000-0005-0000-0000-0000BD060000}"/>
    <cellStyle name="Comma 2 4 7" xfId="2669" xr:uid="{00000000-0005-0000-0000-0000BE060000}"/>
    <cellStyle name="Comma 2 4 8" xfId="2670" xr:uid="{00000000-0005-0000-0000-0000BF060000}"/>
    <cellStyle name="Comma 2 4 9" xfId="2671" xr:uid="{00000000-0005-0000-0000-0000C0060000}"/>
    <cellStyle name="Comma 2 40" xfId="275" xr:uid="{00000000-0005-0000-0000-000078000000}"/>
    <cellStyle name="Comma 2 41" xfId="276" xr:uid="{00000000-0005-0000-0000-000079000000}"/>
    <cellStyle name="Comma 2 42" xfId="277" xr:uid="{00000000-0005-0000-0000-00007A000000}"/>
    <cellStyle name="Comma 2 43" xfId="278" xr:uid="{00000000-0005-0000-0000-00007B000000}"/>
    <cellStyle name="Comma 2 44" xfId="279" xr:uid="{00000000-0005-0000-0000-00007C000000}"/>
    <cellStyle name="Comma 2 45" xfId="280" xr:uid="{00000000-0005-0000-0000-00007D000000}"/>
    <cellStyle name="Comma 2 46" xfId="281" xr:uid="{00000000-0005-0000-0000-00007E000000}"/>
    <cellStyle name="Comma 2 47" xfId="282" xr:uid="{00000000-0005-0000-0000-00007F000000}"/>
    <cellStyle name="Comma 2 48" xfId="283" xr:uid="{00000000-0005-0000-0000-000080000000}"/>
    <cellStyle name="Comma 2 49" xfId="284" xr:uid="{00000000-0005-0000-0000-000081000000}"/>
    <cellStyle name="Comma 2 5" xfId="199" xr:uid="{00000000-0005-0000-0000-000082000000}"/>
    <cellStyle name="Comma 2 5 2" xfId="2673" xr:uid="{00000000-0005-0000-0000-0000C2060000}"/>
    <cellStyle name="Comma 2 5 3" xfId="2674" xr:uid="{00000000-0005-0000-0000-0000C3060000}"/>
    <cellStyle name="Comma 2 5 4" xfId="2675" xr:uid="{00000000-0005-0000-0000-0000C4060000}"/>
    <cellStyle name="Comma 2 5 5" xfId="2676" xr:uid="{00000000-0005-0000-0000-0000C5060000}"/>
    <cellStyle name="Comma 2 5 6" xfId="2677" xr:uid="{00000000-0005-0000-0000-0000C6060000}"/>
    <cellStyle name="Comma 2 5 7" xfId="2678" xr:uid="{00000000-0005-0000-0000-0000C7060000}"/>
    <cellStyle name="Comma 2 5 8" xfId="2679" xr:uid="{00000000-0005-0000-0000-0000C8060000}"/>
    <cellStyle name="Comma 2 5 9" xfId="2672" xr:uid="{00000000-0005-0000-0000-0000C1060000}"/>
    <cellStyle name="Comma 2 50" xfId="285" xr:uid="{00000000-0005-0000-0000-000083000000}"/>
    <cellStyle name="Comma 2 51" xfId="286" xr:uid="{00000000-0005-0000-0000-000084000000}"/>
    <cellStyle name="Comma 2 52" xfId="287" xr:uid="{00000000-0005-0000-0000-000085000000}"/>
    <cellStyle name="Comma 2 53" xfId="288" xr:uid="{00000000-0005-0000-0000-000086000000}"/>
    <cellStyle name="Comma 2 54" xfId="289" xr:uid="{00000000-0005-0000-0000-000087000000}"/>
    <cellStyle name="Comma 2 55" xfId="290" xr:uid="{00000000-0005-0000-0000-000088000000}"/>
    <cellStyle name="Comma 2 56" xfId="291" xr:uid="{00000000-0005-0000-0000-000089000000}"/>
    <cellStyle name="Comma 2 57" xfId="292" xr:uid="{00000000-0005-0000-0000-00008A000000}"/>
    <cellStyle name="Comma 2 58" xfId="293" xr:uid="{00000000-0005-0000-0000-00008B000000}"/>
    <cellStyle name="Comma 2 59" xfId="294" xr:uid="{00000000-0005-0000-0000-00008C000000}"/>
    <cellStyle name="Comma 2 6" xfId="208" xr:uid="{00000000-0005-0000-0000-00008D000000}"/>
    <cellStyle name="Comma 2 6 2" xfId="2681" xr:uid="{00000000-0005-0000-0000-0000CA060000}"/>
    <cellStyle name="Comma 2 6 3" xfId="2682" xr:uid="{00000000-0005-0000-0000-0000CB060000}"/>
    <cellStyle name="Comma 2 6 4" xfId="2683" xr:uid="{00000000-0005-0000-0000-0000CC060000}"/>
    <cellStyle name="Comma 2 6 5" xfId="2684" xr:uid="{00000000-0005-0000-0000-0000CD060000}"/>
    <cellStyle name="Comma 2 6 6" xfId="2685" xr:uid="{00000000-0005-0000-0000-0000CE060000}"/>
    <cellStyle name="Comma 2 6 7" xfId="2686" xr:uid="{00000000-0005-0000-0000-0000CF060000}"/>
    <cellStyle name="Comma 2 6 8" xfId="2687" xr:uid="{00000000-0005-0000-0000-0000D0060000}"/>
    <cellStyle name="Comma 2 6 9" xfId="2680" xr:uid="{00000000-0005-0000-0000-0000C9060000}"/>
    <cellStyle name="Comma 2 60" xfId="295" xr:uid="{00000000-0005-0000-0000-00008E000000}"/>
    <cellStyle name="Comma 2 61" xfId="296" xr:uid="{00000000-0005-0000-0000-00008F000000}"/>
    <cellStyle name="Comma 2 62" xfId="297" xr:uid="{00000000-0005-0000-0000-000090000000}"/>
    <cellStyle name="Comma 2 63" xfId="298" xr:uid="{00000000-0005-0000-0000-000091000000}"/>
    <cellStyle name="Comma 2 64" xfId="299" xr:uid="{00000000-0005-0000-0000-000092000000}"/>
    <cellStyle name="Comma 2 65" xfId="300" xr:uid="{00000000-0005-0000-0000-000093000000}"/>
    <cellStyle name="Comma 2 66" xfId="301" xr:uid="{00000000-0005-0000-0000-000094000000}"/>
    <cellStyle name="Comma 2 67" xfId="302" xr:uid="{00000000-0005-0000-0000-000095000000}"/>
    <cellStyle name="Comma 2 68" xfId="303" xr:uid="{00000000-0005-0000-0000-000096000000}"/>
    <cellStyle name="Comma 2 69" xfId="304" xr:uid="{00000000-0005-0000-0000-000097000000}"/>
    <cellStyle name="Comma 2 7" xfId="213" xr:uid="{00000000-0005-0000-0000-000098000000}"/>
    <cellStyle name="Comma 2 7 2" xfId="2689" xr:uid="{00000000-0005-0000-0000-0000D2060000}"/>
    <cellStyle name="Comma 2 7 3" xfId="2690" xr:uid="{00000000-0005-0000-0000-0000D3060000}"/>
    <cellStyle name="Comma 2 7 4" xfId="2691" xr:uid="{00000000-0005-0000-0000-0000D4060000}"/>
    <cellStyle name="Comma 2 7 5" xfId="2692" xr:uid="{00000000-0005-0000-0000-0000D5060000}"/>
    <cellStyle name="Comma 2 7 6" xfId="2693" xr:uid="{00000000-0005-0000-0000-0000D6060000}"/>
    <cellStyle name="Comma 2 7 7" xfId="2694" xr:uid="{00000000-0005-0000-0000-0000D7060000}"/>
    <cellStyle name="Comma 2 7 8" xfId="2695" xr:uid="{00000000-0005-0000-0000-0000D8060000}"/>
    <cellStyle name="Comma 2 7 9" xfId="2688" xr:uid="{00000000-0005-0000-0000-0000D1060000}"/>
    <cellStyle name="Comma 2 70" xfId="305" xr:uid="{00000000-0005-0000-0000-000099000000}"/>
    <cellStyle name="Comma 2 71" xfId="306" xr:uid="{00000000-0005-0000-0000-00009A000000}"/>
    <cellStyle name="Comma 2 72" xfId="307" xr:uid="{00000000-0005-0000-0000-00009B000000}"/>
    <cellStyle name="Comma 2 73" xfId="308" xr:uid="{00000000-0005-0000-0000-00009C000000}"/>
    <cellStyle name="Comma 2 74" xfId="309" xr:uid="{00000000-0005-0000-0000-00009D000000}"/>
    <cellStyle name="Comma 2 75" xfId="310" xr:uid="{00000000-0005-0000-0000-00009E000000}"/>
    <cellStyle name="Comma 2 76" xfId="311" xr:uid="{00000000-0005-0000-0000-00009F000000}"/>
    <cellStyle name="Comma 2 77" xfId="312" xr:uid="{00000000-0005-0000-0000-0000A0000000}"/>
    <cellStyle name="Comma 2 78" xfId="313" xr:uid="{00000000-0005-0000-0000-0000A1000000}"/>
    <cellStyle name="Comma 2 79" xfId="314" xr:uid="{00000000-0005-0000-0000-0000A2000000}"/>
    <cellStyle name="Comma 2 8" xfId="216" xr:uid="{00000000-0005-0000-0000-0000A3000000}"/>
    <cellStyle name="Comma 2 8 2" xfId="2697" xr:uid="{00000000-0005-0000-0000-0000DA060000}"/>
    <cellStyle name="Comma 2 8 3" xfId="2698" xr:uid="{00000000-0005-0000-0000-0000DB060000}"/>
    <cellStyle name="Comma 2 8 4" xfId="2699" xr:uid="{00000000-0005-0000-0000-0000DC060000}"/>
    <cellStyle name="Comma 2 8 5" xfId="2700" xr:uid="{00000000-0005-0000-0000-0000DD060000}"/>
    <cellStyle name="Comma 2 8 6" xfId="2701" xr:uid="{00000000-0005-0000-0000-0000DE060000}"/>
    <cellStyle name="Comma 2 8 7" xfId="2702" xr:uid="{00000000-0005-0000-0000-0000DF060000}"/>
    <cellStyle name="Comma 2 8 8" xfId="2703" xr:uid="{00000000-0005-0000-0000-0000E0060000}"/>
    <cellStyle name="Comma 2 8 9" xfId="2696" xr:uid="{00000000-0005-0000-0000-0000D9060000}"/>
    <cellStyle name="Comma 2 80" xfId="315" xr:uid="{00000000-0005-0000-0000-0000A4000000}"/>
    <cellStyle name="Comma 2 81" xfId="316" xr:uid="{00000000-0005-0000-0000-0000A5000000}"/>
    <cellStyle name="Comma 2 82" xfId="317" xr:uid="{00000000-0005-0000-0000-0000A6000000}"/>
    <cellStyle name="Comma 2 83" xfId="318" xr:uid="{00000000-0005-0000-0000-0000A7000000}"/>
    <cellStyle name="Comma 2 84" xfId="319" xr:uid="{00000000-0005-0000-0000-0000A8000000}"/>
    <cellStyle name="Comma 2 85" xfId="320" xr:uid="{00000000-0005-0000-0000-0000A9000000}"/>
    <cellStyle name="Comma 2 86" xfId="321" xr:uid="{00000000-0005-0000-0000-0000AA000000}"/>
    <cellStyle name="Comma 2 87" xfId="322" xr:uid="{00000000-0005-0000-0000-0000AB000000}"/>
    <cellStyle name="Comma 2 88" xfId="323" xr:uid="{00000000-0005-0000-0000-0000AC000000}"/>
    <cellStyle name="Comma 2 89" xfId="324" xr:uid="{00000000-0005-0000-0000-0000AD000000}"/>
    <cellStyle name="Comma 2 9" xfId="325" xr:uid="{00000000-0005-0000-0000-0000AE000000}"/>
    <cellStyle name="Comma 2 9 2" xfId="2705" xr:uid="{00000000-0005-0000-0000-0000E2060000}"/>
    <cellStyle name="Comma 2 9 3" xfId="2706" xr:uid="{00000000-0005-0000-0000-0000E3060000}"/>
    <cellStyle name="Comma 2 9 4" xfId="2707" xr:uid="{00000000-0005-0000-0000-0000E4060000}"/>
    <cellStyle name="Comma 2 9 5" xfId="2708" xr:uid="{00000000-0005-0000-0000-0000E5060000}"/>
    <cellStyle name="Comma 2 9 6" xfId="2709" xr:uid="{00000000-0005-0000-0000-0000E6060000}"/>
    <cellStyle name="Comma 2 9 7" xfId="2710" xr:uid="{00000000-0005-0000-0000-0000E7060000}"/>
    <cellStyle name="Comma 2 9 8" xfId="2711" xr:uid="{00000000-0005-0000-0000-0000E8060000}"/>
    <cellStyle name="Comma 2 9 9" xfId="2704" xr:uid="{00000000-0005-0000-0000-0000E1060000}"/>
    <cellStyle name="Comma 2 90" xfId="326" xr:uid="{00000000-0005-0000-0000-0000AF000000}"/>
    <cellStyle name="Comma 2 91" xfId="327" xr:uid="{00000000-0005-0000-0000-0000B0000000}"/>
    <cellStyle name="Comma 2 92" xfId="328" xr:uid="{00000000-0005-0000-0000-0000B1000000}"/>
    <cellStyle name="Comma 2 93" xfId="329" xr:uid="{00000000-0005-0000-0000-0000B2000000}"/>
    <cellStyle name="Comma 2 94" xfId="330" xr:uid="{00000000-0005-0000-0000-0000B3000000}"/>
    <cellStyle name="Comma 2 95" xfId="331" xr:uid="{00000000-0005-0000-0000-0000B4000000}"/>
    <cellStyle name="Comma 2 96" xfId="332" xr:uid="{00000000-0005-0000-0000-0000B5000000}"/>
    <cellStyle name="Comma 2 97" xfId="333" xr:uid="{00000000-0005-0000-0000-0000B6000000}"/>
    <cellStyle name="Comma 2 98" xfId="334" xr:uid="{00000000-0005-0000-0000-0000B7000000}"/>
    <cellStyle name="Comma 2 99" xfId="335" xr:uid="{00000000-0005-0000-0000-0000B8000000}"/>
    <cellStyle name="Comma 2_Ball Room-RP-14.04.09" xfId="2712" xr:uid="{00000000-0005-0000-0000-0000E9060000}"/>
    <cellStyle name="Comma 20" xfId="2713" xr:uid="{00000000-0005-0000-0000-0000EA060000}"/>
    <cellStyle name="Comma 20 2" xfId="2714" xr:uid="{00000000-0005-0000-0000-0000EB060000}"/>
    <cellStyle name="Comma 20 2 2" xfId="2715" xr:uid="{00000000-0005-0000-0000-0000EC060000}"/>
    <cellStyle name="Comma 20 2 3" xfId="2716" xr:uid="{00000000-0005-0000-0000-0000ED060000}"/>
    <cellStyle name="Comma 20 2 4" xfId="2717" xr:uid="{00000000-0005-0000-0000-0000EE060000}"/>
    <cellStyle name="Comma 20 2 5" xfId="2718" xr:uid="{00000000-0005-0000-0000-0000EF060000}"/>
    <cellStyle name="Comma 20 3" xfId="2719" xr:uid="{00000000-0005-0000-0000-0000F0060000}"/>
    <cellStyle name="Comma 20 3 2" xfId="2720" xr:uid="{00000000-0005-0000-0000-0000F1060000}"/>
    <cellStyle name="Comma 20 3 3" xfId="2721" xr:uid="{00000000-0005-0000-0000-0000F2060000}"/>
    <cellStyle name="Comma 20 3 4" xfId="2722" xr:uid="{00000000-0005-0000-0000-0000F3060000}"/>
    <cellStyle name="Comma 20 3 5" xfId="2723" xr:uid="{00000000-0005-0000-0000-0000F4060000}"/>
    <cellStyle name="Comma 20 4" xfId="2724" xr:uid="{00000000-0005-0000-0000-0000F5060000}"/>
    <cellStyle name="Comma 20 4 2" xfId="2725" xr:uid="{00000000-0005-0000-0000-0000F6060000}"/>
    <cellStyle name="Comma 20 4 3" xfId="2726" xr:uid="{00000000-0005-0000-0000-0000F7060000}"/>
    <cellStyle name="Comma 20 4 4" xfId="2727" xr:uid="{00000000-0005-0000-0000-0000F8060000}"/>
    <cellStyle name="Comma 20 4 5" xfId="2728" xr:uid="{00000000-0005-0000-0000-0000F9060000}"/>
    <cellStyle name="Comma 20 5" xfId="2729" xr:uid="{00000000-0005-0000-0000-0000FA060000}"/>
    <cellStyle name="Comma 20 6" xfId="2730" xr:uid="{00000000-0005-0000-0000-0000FB060000}"/>
    <cellStyle name="Comma 20 7" xfId="2731" xr:uid="{00000000-0005-0000-0000-0000FC060000}"/>
    <cellStyle name="Comma 20 8" xfId="2732" xr:uid="{00000000-0005-0000-0000-0000FD060000}"/>
    <cellStyle name="Comma 21" xfId="2733" xr:uid="{00000000-0005-0000-0000-0000FE060000}"/>
    <cellStyle name="Comma 21 2" xfId="2734" xr:uid="{00000000-0005-0000-0000-0000FF060000}"/>
    <cellStyle name="Comma 21 2 2" xfId="2735" xr:uid="{00000000-0005-0000-0000-000000070000}"/>
    <cellStyle name="Comma 21 2 3" xfId="2736" xr:uid="{00000000-0005-0000-0000-000001070000}"/>
    <cellStyle name="Comma 21 2 4" xfId="2737" xr:uid="{00000000-0005-0000-0000-000002070000}"/>
    <cellStyle name="Comma 21 2 5" xfId="2738" xr:uid="{00000000-0005-0000-0000-000003070000}"/>
    <cellStyle name="Comma 21 3" xfId="2739" xr:uid="{00000000-0005-0000-0000-000004070000}"/>
    <cellStyle name="Comma 21 4" xfId="2740" xr:uid="{00000000-0005-0000-0000-000005070000}"/>
    <cellStyle name="Comma 21 5" xfId="2741" xr:uid="{00000000-0005-0000-0000-000006070000}"/>
    <cellStyle name="Comma 21 6" xfId="2742" xr:uid="{00000000-0005-0000-0000-000007070000}"/>
    <cellStyle name="Comma 22" xfId="2743" xr:uid="{00000000-0005-0000-0000-000008070000}"/>
    <cellStyle name="Comma 22 2" xfId="2744" xr:uid="{00000000-0005-0000-0000-000009070000}"/>
    <cellStyle name="Comma 22 2 2" xfId="2745" xr:uid="{00000000-0005-0000-0000-00000A070000}"/>
    <cellStyle name="Comma 22 2 3" xfId="2746" xr:uid="{00000000-0005-0000-0000-00000B070000}"/>
    <cellStyle name="Comma 22 2 4" xfId="2747" xr:uid="{00000000-0005-0000-0000-00000C070000}"/>
    <cellStyle name="Comma 22 2 5" xfId="2748" xr:uid="{00000000-0005-0000-0000-00000D070000}"/>
    <cellStyle name="Comma 22 3" xfId="2749" xr:uid="{00000000-0005-0000-0000-00000E070000}"/>
    <cellStyle name="Comma 22 4" xfId="2750" xr:uid="{00000000-0005-0000-0000-00000F070000}"/>
    <cellStyle name="Comma 22 5" xfId="2751" xr:uid="{00000000-0005-0000-0000-000010070000}"/>
    <cellStyle name="Comma 22 6" xfId="2752" xr:uid="{00000000-0005-0000-0000-000011070000}"/>
    <cellStyle name="Comma 23" xfId="2753" xr:uid="{00000000-0005-0000-0000-000012070000}"/>
    <cellStyle name="Comma 23 2" xfId="2754" xr:uid="{00000000-0005-0000-0000-000013070000}"/>
    <cellStyle name="Comma 23 3" xfId="2755" xr:uid="{00000000-0005-0000-0000-000014070000}"/>
    <cellStyle name="Comma 23 4" xfId="2756" xr:uid="{00000000-0005-0000-0000-000015070000}"/>
    <cellStyle name="Comma 23 5" xfId="2757" xr:uid="{00000000-0005-0000-0000-000016070000}"/>
    <cellStyle name="Comma 24" xfId="964" xr:uid="{00000000-0005-0000-0000-0000B9000000}"/>
    <cellStyle name="Comma 24 2" xfId="2759" xr:uid="{00000000-0005-0000-0000-000018070000}"/>
    <cellStyle name="Comma 24 3" xfId="2760" xr:uid="{00000000-0005-0000-0000-000019070000}"/>
    <cellStyle name="Comma 24 4" xfId="2761" xr:uid="{00000000-0005-0000-0000-00001A070000}"/>
    <cellStyle name="Comma 24 5" xfId="2762" xr:uid="{00000000-0005-0000-0000-00001B070000}"/>
    <cellStyle name="Comma 24 6" xfId="2758" xr:uid="{00000000-0005-0000-0000-000017070000}"/>
    <cellStyle name="Comma 25" xfId="37237" xr:uid="{00000000-0005-0000-0000-00001C070000}"/>
    <cellStyle name="Comma 26" xfId="37238" xr:uid="{00000000-0005-0000-0000-00001D070000}"/>
    <cellStyle name="Comma 27" xfId="986" xr:uid="{00000000-0005-0000-0000-00001E070000}"/>
    <cellStyle name="Comma 28" xfId="37248" xr:uid="{00000000-0005-0000-0000-00001F070000}"/>
    <cellStyle name="Comma 29" xfId="37250" xr:uid="{00000000-0005-0000-0000-000020070000}"/>
    <cellStyle name="Comma 3" xfId="8" xr:uid="{00000000-0005-0000-0000-00000F000000}"/>
    <cellStyle name="Comma 3 10" xfId="336" xr:uid="{00000000-0005-0000-0000-0000BB000000}"/>
    <cellStyle name="Comma 3 10 2" xfId="2765" xr:uid="{00000000-0005-0000-0000-000023070000}"/>
    <cellStyle name="Comma 3 10 3" xfId="2764" xr:uid="{00000000-0005-0000-0000-000022070000}"/>
    <cellStyle name="Comma 3 100" xfId="337" xr:uid="{00000000-0005-0000-0000-0000BC000000}"/>
    <cellStyle name="Comma 3 101" xfId="338" xr:uid="{00000000-0005-0000-0000-0000BD000000}"/>
    <cellStyle name="Comma 3 102" xfId="339" xr:uid="{00000000-0005-0000-0000-0000BE000000}"/>
    <cellStyle name="Comma 3 103" xfId="340" xr:uid="{00000000-0005-0000-0000-0000BF000000}"/>
    <cellStyle name="Comma 3 104" xfId="341" xr:uid="{00000000-0005-0000-0000-0000C0000000}"/>
    <cellStyle name="Comma 3 105" xfId="342" xr:uid="{00000000-0005-0000-0000-0000C1000000}"/>
    <cellStyle name="Comma 3 106" xfId="343" xr:uid="{00000000-0005-0000-0000-0000C2000000}"/>
    <cellStyle name="Comma 3 107" xfId="344" xr:uid="{00000000-0005-0000-0000-0000C3000000}"/>
    <cellStyle name="Comma 3 108" xfId="345" xr:uid="{00000000-0005-0000-0000-0000C4000000}"/>
    <cellStyle name="Comma 3 109" xfId="346" xr:uid="{00000000-0005-0000-0000-0000C5000000}"/>
    <cellStyle name="Comma 3 11" xfId="347" xr:uid="{00000000-0005-0000-0000-0000C6000000}"/>
    <cellStyle name="Comma 3 11 2" xfId="2766" xr:uid="{00000000-0005-0000-0000-000024070000}"/>
    <cellStyle name="Comma 3 110" xfId="348" xr:uid="{00000000-0005-0000-0000-0000C7000000}"/>
    <cellStyle name="Comma 3 111" xfId="349" xr:uid="{00000000-0005-0000-0000-0000C8000000}"/>
    <cellStyle name="Comma 3 112" xfId="350" xr:uid="{00000000-0005-0000-0000-0000C9000000}"/>
    <cellStyle name="Comma 3 113" xfId="351" xr:uid="{00000000-0005-0000-0000-0000CA000000}"/>
    <cellStyle name="Comma 3 114" xfId="352" xr:uid="{00000000-0005-0000-0000-0000CB000000}"/>
    <cellStyle name="Comma 3 115" xfId="353" xr:uid="{00000000-0005-0000-0000-0000CC000000}"/>
    <cellStyle name="Comma 3 116" xfId="354" xr:uid="{00000000-0005-0000-0000-0000CD000000}"/>
    <cellStyle name="Comma 3 117" xfId="355" xr:uid="{00000000-0005-0000-0000-0000CE000000}"/>
    <cellStyle name="Comma 3 118" xfId="356" xr:uid="{00000000-0005-0000-0000-0000CF000000}"/>
    <cellStyle name="Comma 3 119" xfId="357" xr:uid="{00000000-0005-0000-0000-0000D0000000}"/>
    <cellStyle name="Comma 3 12" xfId="358" xr:uid="{00000000-0005-0000-0000-0000D1000000}"/>
    <cellStyle name="Comma 3 12 2" xfId="2767" xr:uid="{00000000-0005-0000-0000-000025070000}"/>
    <cellStyle name="Comma 3 120" xfId="359" xr:uid="{00000000-0005-0000-0000-0000D2000000}"/>
    <cellStyle name="Comma 3 121" xfId="360" xr:uid="{00000000-0005-0000-0000-0000D3000000}"/>
    <cellStyle name="Comma 3 122" xfId="361" xr:uid="{00000000-0005-0000-0000-0000D4000000}"/>
    <cellStyle name="Comma 3 123" xfId="362" xr:uid="{00000000-0005-0000-0000-0000D5000000}"/>
    <cellStyle name="Comma 3 124" xfId="363" xr:uid="{00000000-0005-0000-0000-0000D6000000}"/>
    <cellStyle name="Comma 3 125" xfId="828" xr:uid="{00000000-0005-0000-0000-0000D7000000}"/>
    <cellStyle name="Comma 3 126" xfId="864" xr:uid="{00000000-0005-0000-0000-0000D8000000}"/>
    <cellStyle name="Comma 3 127" xfId="831" xr:uid="{00000000-0005-0000-0000-0000D9000000}"/>
    <cellStyle name="Comma 3 128" xfId="867" xr:uid="{00000000-0005-0000-0000-0000DA000000}"/>
    <cellStyle name="Comma 3 129" xfId="827" xr:uid="{00000000-0005-0000-0000-0000DB000000}"/>
    <cellStyle name="Comma 3 13" xfId="364" xr:uid="{00000000-0005-0000-0000-0000DC000000}"/>
    <cellStyle name="Comma 3 13 2" xfId="2768" xr:uid="{00000000-0005-0000-0000-000026070000}"/>
    <cellStyle name="Comma 3 130" xfId="899" xr:uid="{00000000-0005-0000-0000-0000DD000000}"/>
    <cellStyle name="Comma 3 131" xfId="908" xr:uid="{00000000-0005-0000-0000-0000DE000000}"/>
    <cellStyle name="Comma 3 132" xfId="928" xr:uid="{00000000-0005-0000-0000-0000DF000000}"/>
    <cellStyle name="Comma 3 133" xfId="936" xr:uid="{00000000-0005-0000-0000-0000E0000000}"/>
    <cellStyle name="Comma 3 134" xfId="175" xr:uid="{00000000-0005-0000-0000-0000E1000000}"/>
    <cellStyle name="Comma 3 14" xfId="365" xr:uid="{00000000-0005-0000-0000-0000E2000000}"/>
    <cellStyle name="Comma 3 14 2" xfId="2769" xr:uid="{00000000-0005-0000-0000-000027070000}"/>
    <cellStyle name="Comma 3 15" xfId="366" xr:uid="{00000000-0005-0000-0000-0000E3000000}"/>
    <cellStyle name="Comma 3 15 2" xfId="2770" xr:uid="{00000000-0005-0000-0000-000028070000}"/>
    <cellStyle name="Comma 3 16" xfId="367" xr:uid="{00000000-0005-0000-0000-0000E4000000}"/>
    <cellStyle name="Comma 3 16 2" xfId="2771" xr:uid="{00000000-0005-0000-0000-000029070000}"/>
    <cellStyle name="Comma 3 17" xfId="368" xr:uid="{00000000-0005-0000-0000-0000E5000000}"/>
    <cellStyle name="Comma 3 17 2" xfId="2772" xr:uid="{00000000-0005-0000-0000-00002A070000}"/>
    <cellStyle name="Comma 3 18" xfId="369" xr:uid="{00000000-0005-0000-0000-0000E6000000}"/>
    <cellStyle name="Comma 3 18 2" xfId="2774" xr:uid="{00000000-0005-0000-0000-00002C070000}"/>
    <cellStyle name="Comma 3 18 3" xfId="2775" xr:uid="{00000000-0005-0000-0000-00002D070000}"/>
    <cellStyle name="Comma 3 18 4" xfId="2776" xr:uid="{00000000-0005-0000-0000-00002E070000}"/>
    <cellStyle name="Comma 3 18 5" xfId="2777" xr:uid="{00000000-0005-0000-0000-00002F070000}"/>
    <cellStyle name="Comma 3 18 6" xfId="2773" xr:uid="{00000000-0005-0000-0000-00002B070000}"/>
    <cellStyle name="Comma 3 19" xfId="370" xr:uid="{00000000-0005-0000-0000-0000E7000000}"/>
    <cellStyle name="Comma 3 19 2" xfId="2779" xr:uid="{00000000-0005-0000-0000-000031070000}"/>
    <cellStyle name="Comma 3 19 3" xfId="2780" xr:uid="{00000000-0005-0000-0000-000032070000}"/>
    <cellStyle name="Comma 3 19 4" xfId="2781" xr:uid="{00000000-0005-0000-0000-000033070000}"/>
    <cellStyle name="Comma 3 19 5" xfId="2782" xr:uid="{00000000-0005-0000-0000-000034070000}"/>
    <cellStyle name="Comma 3 19 6" xfId="2778" xr:uid="{00000000-0005-0000-0000-000030070000}"/>
    <cellStyle name="Comma 3 2" xfId="27" xr:uid="{00000000-0005-0000-0000-000010000000}"/>
    <cellStyle name="Comma 3 2 10" xfId="2783" xr:uid="{00000000-0005-0000-0000-000036070000}"/>
    <cellStyle name="Comma 3 2 10 2" xfId="2784" xr:uid="{00000000-0005-0000-0000-000037070000}"/>
    <cellStyle name="Comma 3 2 10 3" xfId="2785" xr:uid="{00000000-0005-0000-0000-000038070000}"/>
    <cellStyle name="Comma 3 2 10 4" xfId="2786" xr:uid="{00000000-0005-0000-0000-000039070000}"/>
    <cellStyle name="Comma 3 2 10 5" xfId="2787" xr:uid="{00000000-0005-0000-0000-00003A070000}"/>
    <cellStyle name="Comma 3 2 11" xfId="2788" xr:uid="{00000000-0005-0000-0000-00003B070000}"/>
    <cellStyle name="Comma 3 2 11 2" xfId="2789" xr:uid="{00000000-0005-0000-0000-00003C070000}"/>
    <cellStyle name="Comma 3 2 11 3" xfId="2790" xr:uid="{00000000-0005-0000-0000-00003D070000}"/>
    <cellStyle name="Comma 3 2 11 4" xfId="2791" xr:uid="{00000000-0005-0000-0000-00003E070000}"/>
    <cellStyle name="Comma 3 2 11 5" xfId="2792" xr:uid="{00000000-0005-0000-0000-00003F070000}"/>
    <cellStyle name="Comma 3 2 12" xfId="2793" xr:uid="{00000000-0005-0000-0000-000040070000}"/>
    <cellStyle name="Comma 3 2 12 2" xfId="2794" xr:uid="{00000000-0005-0000-0000-000041070000}"/>
    <cellStyle name="Comma 3 2 12 3" xfId="2795" xr:uid="{00000000-0005-0000-0000-000042070000}"/>
    <cellStyle name="Comma 3 2 12 4" xfId="2796" xr:uid="{00000000-0005-0000-0000-000043070000}"/>
    <cellStyle name="Comma 3 2 12 5" xfId="2797" xr:uid="{00000000-0005-0000-0000-000044070000}"/>
    <cellStyle name="Comma 3 2 13" xfId="2798" xr:uid="{00000000-0005-0000-0000-000045070000}"/>
    <cellStyle name="Comma 3 2 13 2" xfId="2799" xr:uid="{00000000-0005-0000-0000-000046070000}"/>
    <cellStyle name="Comma 3 2 13 3" xfId="2800" xr:uid="{00000000-0005-0000-0000-000047070000}"/>
    <cellStyle name="Comma 3 2 13 4" xfId="2801" xr:uid="{00000000-0005-0000-0000-000048070000}"/>
    <cellStyle name="Comma 3 2 13 5" xfId="2802" xr:uid="{00000000-0005-0000-0000-000049070000}"/>
    <cellStyle name="Comma 3 2 14" xfId="2803" xr:uid="{00000000-0005-0000-0000-00004A070000}"/>
    <cellStyle name="Comma 3 2 14 2" xfId="2804" xr:uid="{00000000-0005-0000-0000-00004B070000}"/>
    <cellStyle name="Comma 3 2 14 3" xfId="2805" xr:uid="{00000000-0005-0000-0000-00004C070000}"/>
    <cellStyle name="Comma 3 2 14 4" xfId="2806" xr:uid="{00000000-0005-0000-0000-00004D070000}"/>
    <cellStyle name="Comma 3 2 14 5" xfId="2807" xr:uid="{00000000-0005-0000-0000-00004E070000}"/>
    <cellStyle name="Comma 3 2 15" xfId="960" xr:uid="{00000000-0005-0000-0000-0000E9000000}"/>
    <cellStyle name="Comma 3 2 16" xfId="2808" xr:uid="{00000000-0005-0000-0000-000050070000}"/>
    <cellStyle name="Comma 3 2 17" xfId="2809" xr:uid="{00000000-0005-0000-0000-000051070000}"/>
    <cellStyle name="Comma 3 2 18" xfId="2810" xr:uid="{00000000-0005-0000-0000-000052070000}"/>
    <cellStyle name="Comma 3 2 19" xfId="2811" xr:uid="{00000000-0005-0000-0000-000053070000}"/>
    <cellStyle name="Comma 3 2 2" xfId="80" xr:uid="{00000000-0005-0000-0000-000010000000}"/>
    <cellStyle name="Comma 3 2 2 10" xfId="2813" xr:uid="{00000000-0005-0000-0000-000055070000}"/>
    <cellStyle name="Comma 3 2 2 11" xfId="2814" xr:uid="{00000000-0005-0000-0000-000056070000}"/>
    <cellStyle name="Comma 3 2 2 12" xfId="2815" xr:uid="{00000000-0005-0000-0000-000057070000}"/>
    <cellStyle name="Comma 3 2 2 13" xfId="2816" xr:uid="{00000000-0005-0000-0000-000058070000}"/>
    <cellStyle name="Comma 3 2 2 13 2" xfId="2817" xr:uid="{00000000-0005-0000-0000-000059070000}"/>
    <cellStyle name="Comma 3 2 2 13 3" xfId="2818" xr:uid="{00000000-0005-0000-0000-00005A070000}"/>
    <cellStyle name="Comma 3 2 2 13 4" xfId="2819" xr:uid="{00000000-0005-0000-0000-00005B070000}"/>
    <cellStyle name="Comma 3 2 2 13 5" xfId="2820" xr:uid="{00000000-0005-0000-0000-00005C070000}"/>
    <cellStyle name="Comma 3 2 2 14" xfId="2821" xr:uid="{00000000-0005-0000-0000-00005D070000}"/>
    <cellStyle name="Comma 3 2 2 14 2" xfId="2822" xr:uid="{00000000-0005-0000-0000-00005E070000}"/>
    <cellStyle name="Comma 3 2 2 14 3" xfId="2823" xr:uid="{00000000-0005-0000-0000-00005F070000}"/>
    <cellStyle name="Comma 3 2 2 14 4" xfId="2824" xr:uid="{00000000-0005-0000-0000-000060070000}"/>
    <cellStyle name="Comma 3 2 2 14 5" xfId="2825" xr:uid="{00000000-0005-0000-0000-000061070000}"/>
    <cellStyle name="Comma 3 2 2 15" xfId="2826" xr:uid="{00000000-0005-0000-0000-000062070000}"/>
    <cellStyle name="Comma 3 2 2 16" xfId="2827" xr:uid="{00000000-0005-0000-0000-000063070000}"/>
    <cellStyle name="Comma 3 2 2 17" xfId="2828" xr:uid="{00000000-0005-0000-0000-000064070000}"/>
    <cellStyle name="Comma 3 2 2 18" xfId="2829" xr:uid="{00000000-0005-0000-0000-000065070000}"/>
    <cellStyle name="Comma 3 2 2 19" xfId="2812" xr:uid="{00000000-0005-0000-0000-000054070000}"/>
    <cellStyle name="Comma 3 2 2 2" xfId="2830" xr:uid="{00000000-0005-0000-0000-000066070000}"/>
    <cellStyle name="Comma 3 2 2 2 10" xfId="2831" xr:uid="{00000000-0005-0000-0000-000067070000}"/>
    <cellStyle name="Comma 3 2 2 2 11" xfId="2832" xr:uid="{00000000-0005-0000-0000-000068070000}"/>
    <cellStyle name="Comma 3 2 2 2 12" xfId="2833" xr:uid="{00000000-0005-0000-0000-000069070000}"/>
    <cellStyle name="Comma 3 2 2 2 13" xfId="2834" xr:uid="{00000000-0005-0000-0000-00006A070000}"/>
    <cellStyle name="Comma 3 2 2 2 14" xfId="2835" xr:uid="{00000000-0005-0000-0000-00006B070000}"/>
    <cellStyle name="Comma 3 2 2 2 15" xfId="2836" xr:uid="{00000000-0005-0000-0000-00006C070000}"/>
    <cellStyle name="Comma 3 2 2 2 16" xfId="2837" xr:uid="{00000000-0005-0000-0000-00006D070000}"/>
    <cellStyle name="Comma 3 2 2 2 2" xfId="2838" xr:uid="{00000000-0005-0000-0000-00006E070000}"/>
    <cellStyle name="Comma 3 2 2 2 2 2" xfId="2839" xr:uid="{00000000-0005-0000-0000-00006F070000}"/>
    <cellStyle name="Comma 3 2 2 2 2 2 2" xfId="2840" xr:uid="{00000000-0005-0000-0000-000070070000}"/>
    <cellStyle name="Comma 3 2 2 2 2 2 3" xfId="2841" xr:uid="{00000000-0005-0000-0000-000071070000}"/>
    <cellStyle name="Comma 3 2 2 2 2 2 4" xfId="2842" xr:uid="{00000000-0005-0000-0000-000072070000}"/>
    <cellStyle name="Comma 3 2 2 2 2 2 5" xfId="2843" xr:uid="{00000000-0005-0000-0000-000073070000}"/>
    <cellStyle name="Comma 3 2 2 2 2 2 6" xfId="2844" xr:uid="{00000000-0005-0000-0000-000074070000}"/>
    <cellStyle name="Comma 3 2 2 2 2 2 7" xfId="2845" xr:uid="{00000000-0005-0000-0000-000075070000}"/>
    <cellStyle name="Comma 3 2 2 2 2 2 8" xfId="2846" xr:uid="{00000000-0005-0000-0000-000076070000}"/>
    <cellStyle name="Comma 3 2 2 2 2 3" xfId="2847" xr:uid="{00000000-0005-0000-0000-000077070000}"/>
    <cellStyle name="Comma 3 2 2 2 2 4" xfId="2848" xr:uid="{00000000-0005-0000-0000-000078070000}"/>
    <cellStyle name="Comma 3 2 2 2 2 5" xfId="2849" xr:uid="{00000000-0005-0000-0000-000079070000}"/>
    <cellStyle name="Comma 3 2 2 2 2 6" xfId="2850" xr:uid="{00000000-0005-0000-0000-00007A070000}"/>
    <cellStyle name="Comma 3 2 2 2 2 7" xfId="2851" xr:uid="{00000000-0005-0000-0000-00007B070000}"/>
    <cellStyle name="Comma 3 2 2 2 2 7 2" xfId="2852" xr:uid="{00000000-0005-0000-0000-00007C070000}"/>
    <cellStyle name="Comma 3 2 2 2 2 7 3" xfId="2853" xr:uid="{00000000-0005-0000-0000-00007D070000}"/>
    <cellStyle name="Comma 3 2 2 2 2 7 4" xfId="2854" xr:uid="{00000000-0005-0000-0000-00007E070000}"/>
    <cellStyle name="Comma 3 2 2 2 2 7 5" xfId="2855" xr:uid="{00000000-0005-0000-0000-00007F070000}"/>
    <cellStyle name="Comma 3 2 2 2 2 8" xfId="2856" xr:uid="{00000000-0005-0000-0000-000080070000}"/>
    <cellStyle name="Comma 3 2 2 2 2 8 2" xfId="2857" xr:uid="{00000000-0005-0000-0000-000081070000}"/>
    <cellStyle name="Comma 3 2 2 2 2 8 3" xfId="2858" xr:uid="{00000000-0005-0000-0000-000082070000}"/>
    <cellStyle name="Comma 3 2 2 2 2 8 4" xfId="2859" xr:uid="{00000000-0005-0000-0000-000083070000}"/>
    <cellStyle name="Comma 3 2 2 2 2 8 5" xfId="2860" xr:uid="{00000000-0005-0000-0000-000084070000}"/>
    <cellStyle name="Comma 3 2 2 2 3" xfId="2861" xr:uid="{00000000-0005-0000-0000-000085070000}"/>
    <cellStyle name="Comma 3 2 2 2 3 2" xfId="2862" xr:uid="{00000000-0005-0000-0000-000086070000}"/>
    <cellStyle name="Comma 3 2 2 2 3 3" xfId="2863" xr:uid="{00000000-0005-0000-0000-000087070000}"/>
    <cellStyle name="Comma 3 2 2 2 3 4" xfId="2864" xr:uid="{00000000-0005-0000-0000-000088070000}"/>
    <cellStyle name="Comma 3 2 2 2 3 5" xfId="2865" xr:uid="{00000000-0005-0000-0000-000089070000}"/>
    <cellStyle name="Comma 3 2 2 2 4" xfId="2866" xr:uid="{00000000-0005-0000-0000-00008A070000}"/>
    <cellStyle name="Comma 3 2 2 2 4 2" xfId="2867" xr:uid="{00000000-0005-0000-0000-00008B070000}"/>
    <cellStyle name="Comma 3 2 2 2 4 3" xfId="2868" xr:uid="{00000000-0005-0000-0000-00008C070000}"/>
    <cellStyle name="Comma 3 2 2 2 4 4" xfId="2869" xr:uid="{00000000-0005-0000-0000-00008D070000}"/>
    <cellStyle name="Comma 3 2 2 2 4 5" xfId="2870" xr:uid="{00000000-0005-0000-0000-00008E070000}"/>
    <cellStyle name="Comma 3 2 2 2 5" xfId="2871" xr:uid="{00000000-0005-0000-0000-00008F070000}"/>
    <cellStyle name="Comma 3 2 2 2 5 2" xfId="2872" xr:uid="{00000000-0005-0000-0000-000090070000}"/>
    <cellStyle name="Comma 3 2 2 2 5 3" xfId="2873" xr:uid="{00000000-0005-0000-0000-000091070000}"/>
    <cellStyle name="Comma 3 2 2 2 5 4" xfId="2874" xr:uid="{00000000-0005-0000-0000-000092070000}"/>
    <cellStyle name="Comma 3 2 2 2 5 5" xfId="2875" xr:uid="{00000000-0005-0000-0000-000093070000}"/>
    <cellStyle name="Comma 3 2 2 2 6" xfId="2876" xr:uid="{00000000-0005-0000-0000-000094070000}"/>
    <cellStyle name="Comma 3 2 2 2 6 2" xfId="2877" xr:uid="{00000000-0005-0000-0000-000095070000}"/>
    <cellStyle name="Comma 3 2 2 2 6 3" xfId="2878" xr:uid="{00000000-0005-0000-0000-000096070000}"/>
    <cellStyle name="Comma 3 2 2 2 6 4" xfId="2879" xr:uid="{00000000-0005-0000-0000-000097070000}"/>
    <cellStyle name="Comma 3 2 2 2 6 5" xfId="2880" xr:uid="{00000000-0005-0000-0000-000098070000}"/>
    <cellStyle name="Comma 3 2 2 2 7" xfId="2881" xr:uid="{00000000-0005-0000-0000-000099070000}"/>
    <cellStyle name="Comma 3 2 2 2 8" xfId="2882" xr:uid="{00000000-0005-0000-0000-00009A070000}"/>
    <cellStyle name="Comma 3 2 2 2 9" xfId="2883" xr:uid="{00000000-0005-0000-0000-00009B070000}"/>
    <cellStyle name="Comma 3 2 2 3" xfId="2884" xr:uid="{00000000-0005-0000-0000-00009C070000}"/>
    <cellStyle name="Comma 3 2 2 4" xfId="2885" xr:uid="{00000000-0005-0000-0000-00009D070000}"/>
    <cellStyle name="Comma 3 2 2 5" xfId="2886" xr:uid="{00000000-0005-0000-0000-00009E070000}"/>
    <cellStyle name="Comma 3 2 2 6" xfId="2887" xr:uid="{00000000-0005-0000-0000-00009F070000}"/>
    <cellStyle name="Comma 3 2 2 7" xfId="2888" xr:uid="{00000000-0005-0000-0000-0000A0070000}"/>
    <cellStyle name="Comma 3 2 2 8" xfId="2889" xr:uid="{00000000-0005-0000-0000-0000A1070000}"/>
    <cellStyle name="Comma 3 2 2 9" xfId="2890" xr:uid="{00000000-0005-0000-0000-0000A2070000}"/>
    <cellStyle name="Comma 3 2 20" xfId="2891" xr:uid="{00000000-0005-0000-0000-0000A3070000}"/>
    <cellStyle name="Comma 3 2 21" xfId="2892" xr:uid="{00000000-0005-0000-0000-0000A4070000}"/>
    <cellStyle name="Comma 3 2 22" xfId="2893" xr:uid="{00000000-0005-0000-0000-0000A5070000}"/>
    <cellStyle name="Comma 3 2 23" xfId="2894" xr:uid="{00000000-0005-0000-0000-0000A6070000}"/>
    <cellStyle name="Comma 3 2 24" xfId="2895" xr:uid="{00000000-0005-0000-0000-0000A7070000}"/>
    <cellStyle name="Comma 3 2 25" xfId="2896" xr:uid="{00000000-0005-0000-0000-0000A8070000}"/>
    <cellStyle name="Comma 3 2 3" xfId="179" xr:uid="{00000000-0005-0000-0000-0000E8000000}"/>
    <cellStyle name="Comma 3 2 3 10" xfId="2898" xr:uid="{00000000-0005-0000-0000-0000AA070000}"/>
    <cellStyle name="Comma 3 2 3 11" xfId="2899" xr:uid="{00000000-0005-0000-0000-0000AB070000}"/>
    <cellStyle name="Comma 3 2 3 12" xfId="2900" xr:uid="{00000000-0005-0000-0000-0000AC070000}"/>
    <cellStyle name="Comma 3 2 3 13" xfId="2901" xr:uid="{00000000-0005-0000-0000-0000AD070000}"/>
    <cellStyle name="Comma 3 2 3 14" xfId="2902" xr:uid="{00000000-0005-0000-0000-0000AE070000}"/>
    <cellStyle name="Comma 3 2 3 15" xfId="2903" xr:uid="{00000000-0005-0000-0000-0000AF070000}"/>
    <cellStyle name="Comma 3 2 3 16" xfId="2904" xr:uid="{00000000-0005-0000-0000-0000B0070000}"/>
    <cellStyle name="Comma 3 2 3 17" xfId="2905" xr:uid="{00000000-0005-0000-0000-0000B1070000}"/>
    <cellStyle name="Comma 3 2 3 18" xfId="2897" xr:uid="{00000000-0005-0000-0000-0000A9070000}"/>
    <cellStyle name="Comma 3 2 3 2" xfId="2906" xr:uid="{00000000-0005-0000-0000-0000B2070000}"/>
    <cellStyle name="Comma 3 2 3 2 2" xfId="2907" xr:uid="{00000000-0005-0000-0000-0000B3070000}"/>
    <cellStyle name="Comma 3 2 3 2 2 10" xfId="2908" xr:uid="{00000000-0005-0000-0000-0000B4070000}"/>
    <cellStyle name="Comma 3 2 3 2 2 2" xfId="2909" xr:uid="{00000000-0005-0000-0000-0000B5070000}"/>
    <cellStyle name="Comma 3 2 3 2 2 3" xfId="2910" xr:uid="{00000000-0005-0000-0000-0000B6070000}"/>
    <cellStyle name="Comma 3 2 3 2 2 4" xfId="2911" xr:uid="{00000000-0005-0000-0000-0000B7070000}"/>
    <cellStyle name="Comma 3 2 3 2 2 5" xfId="2912" xr:uid="{00000000-0005-0000-0000-0000B8070000}"/>
    <cellStyle name="Comma 3 2 3 2 2 6" xfId="2913" xr:uid="{00000000-0005-0000-0000-0000B9070000}"/>
    <cellStyle name="Comma 3 2 3 2 2 7" xfId="2914" xr:uid="{00000000-0005-0000-0000-0000BA070000}"/>
    <cellStyle name="Comma 3 2 3 2 2 8" xfId="2915" xr:uid="{00000000-0005-0000-0000-0000BB070000}"/>
    <cellStyle name="Comma 3 2 3 2 2 9" xfId="2916" xr:uid="{00000000-0005-0000-0000-0000BC070000}"/>
    <cellStyle name="Comma 3 2 3 2 3" xfId="2917" xr:uid="{00000000-0005-0000-0000-0000BD070000}"/>
    <cellStyle name="Comma 3 2 3 2 3 2" xfId="2918" xr:uid="{00000000-0005-0000-0000-0000BE070000}"/>
    <cellStyle name="Comma 3 2 3 2 3 3" xfId="2919" xr:uid="{00000000-0005-0000-0000-0000BF070000}"/>
    <cellStyle name="Comma 3 2 3 2 3 4" xfId="2920" xr:uid="{00000000-0005-0000-0000-0000C0070000}"/>
    <cellStyle name="Comma 3 2 3 2 3 5" xfId="2921" xr:uid="{00000000-0005-0000-0000-0000C1070000}"/>
    <cellStyle name="Comma 3 2 3 2 4" xfId="2922" xr:uid="{00000000-0005-0000-0000-0000C2070000}"/>
    <cellStyle name="Comma 3 2 3 2 4 2" xfId="2923" xr:uid="{00000000-0005-0000-0000-0000C3070000}"/>
    <cellStyle name="Comma 3 2 3 2 4 3" xfId="2924" xr:uid="{00000000-0005-0000-0000-0000C4070000}"/>
    <cellStyle name="Comma 3 2 3 2 4 4" xfId="2925" xr:uid="{00000000-0005-0000-0000-0000C5070000}"/>
    <cellStyle name="Comma 3 2 3 2 4 5" xfId="2926" xr:uid="{00000000-0005-0000-0000-0000C6070000}"/>
    <cellStyle name="Comma 3 2 3 2 5" xfId="2927" xr:uid="{00000000-0005-0000-0000-0000C7070000}"/>
    <cellStyle name="Comma 3 2 3 2 5 2" xfId="2928" xr:uid="{00000000-0005-0000-0000-0000C8070000}"/>
    <cellStyle name="Comma 3 2 3 2 5 3" xfId="2929" xr:uid="{00000000-0005-0000-0000-0000C9070000}"/>
    <cellStyle name="Comma 3 2 3 2 5 4" xfId="2930" xr:uid="{00000000-0005-0000-0000-0000CA070000}"/>
    <cellStyle name="Comma 3 2 3 2 5 5" xfId="2931" xr:uid="{00000000-0005-0000-0000-0000CB070000}"/>
    <cellStyle name="Comma 3 2 3 2 6" xfId="2932" xr:uid="{00000000-0005-0000-0000-0000CC070000}"/>
    <cellStyle name="Comma 3 2 3 2 6 2" xfId="2933" xr:uid="{00000000-0005-0000-0000-0000CD070000}"/>
    <cellStyle name="Comma 3 2 3 2 6 3" xfId="2934" xr:uid="{00000000-0005-0000-0000-0000CE070000}"/>
    <cellStyle name="Comma 3 2 3 2 6 4" xfId="2935" xr:uid="{00000000-0005-0000-0000-0000CF070000}"/>
    <cellStyle name="Comma 3 2 3 2 6 5" xfId="2936" xr:uid="{00000000-0005-0000-0000-0000D0070000}"/>
    <cellStyle name="Comma 3 2 3 3" xfId="2937" xr:uid="{00000000-0005-0000-0000-0000D1070000}"/>
    <cellStyle name="Comma 3 2 3 4" xfId="2938" xr:uid="{00000000-0005-0000-0000-0000D2070000}"/>
    <cellStyle name="Comma 3 2 3 5" xfId="2939" xr:uid="{00000000-0005-0000-0000-0000D3070000}"/>
    <cellStyle name="Comma 3 2 3 6" xfId="2940" xr:uid="{00000000-0005-0000-0000-0000D4070000}"/>
    <cellStyle name="Comma 3 2 3 7" xfId="2941" xr:uid="{00000000-0005-0000-0000-0000D5070000}"/>
    <cellStyle name="Comma 3 2 3 8" xfId="2942" xr:uid="{00000000-0005-0000-0000-0000D6070000}"/>
    <cellStyle name="Comma 3 2 3 9" xfId="2943" xr:uid="{00000000-0005-0000-0000-0000D7070000}"/>
    <cellStyle name="Comma 3 2 4" xfId="2944" xr:uid="{00000000-0005-0000-0000-0000D8070000}"/>
    <cellStyle name="Comma 3 2 5" xfId="2945" xr:uid="{00000000-0005-0000-0000-0000D9070000}"/>
    <cellStyle name="Comma 3 2 5 2" xfId="2946" xr:uid="{00000000-0005-0000-0000-0000DA070000}"/>
    <cellStyle name="Comma 3 2 5 3" xfId="2947" xr:uid="{00000000-0005-0000-0000-0000DB070000}"/>
    <cellStyle name="Comma 3 2 5 4" xfId="2948" xr:uid="{00000000-0005-0000-0000-0000DC070000}"/>
    <cellStyle name="Comma 3 2 5 5" xfId="2949" xr:uid="{00000000-0005-0000-0000-0000DD070000}"/>
    <cellStyle name="Comma 3 2 6" xfId="2950" xr:uid="{00000000-0005-0000-0000-0000DE070000}"/>
    <cellStyle name="Comma 3 2 6 2" xfId="2951" xr:uid="{00000000-0005-0000-0000-0000DF070000}"/>
    <cellStyle name="Comma 3 2 6 3" xfId="2952" xr:uid="{00000000-0005-0000-0000-0000E0070000}"/>
    <cellStyle name="Comma 3 2 6 4" xfId="2953" xr:uid="{00000000-0005-0000-0000-0000E1070000}"/>
    <cellStyle name="Comma 3 2 6 5" xfId="2954" xr:uid="{00000000-0005-0000-0000-0000E2070000}"/>
    <cellStyle name="Comma 3 2 7" xfId="2955" xr:uid="{00000000-0005-0000-0000-0000E3070000}"/>
    <cellStyle name="Comma 3 2 7 2" xfId="2956" xr:uid="{00000000-0005-0000-0000-0000E4070000}"/>
    <cellStyle name="Comma 3 2 7 3" xfId="2957" xr:uid="{00000000-0005-0000-0000-0000E5070000}"/>
    <cellStyle name="Comma 3 2 7 4" xfId="2958" xr:uid="{00000000-0005-0000-0000-0000E6070000}"/>
    <cellStyle name="Comma 3 2 7 5" xfId="2959" xr:uid="{00000000-0005-0000-0000-0000E7070000}"/>
    <cellStyle name="Comma 3 2 8" xfId="2960" xr:uid="{00000000-0005-0000-0000-0000E8070000}"/>
    <cellStyle name="Comma 3 2 8 2" xfId="2961" xr:uid="{00000000-0005-0000-0000-0000E9070000}"/>
    <cellStyle name="Comma 3 2 8 3" xfId="2962" xr:uid="{00000000-0005-0000-0000-0000EA070000}"/>
    <cellStyle name="Comma 3 2 8 4" xfId="2963" xr:uid="{00000000-0005-0000-0000-0000EB070000}"/>
    <cellStyle name="Comma 3 2 8 5" xfId="2964" xr:uid="{00000000-0005-0000-0000-0000EC070000}"/>
    <cellStyle name="Comma 3 2 9" xfId="2965" xr:uid="{00000000-0005-0000-0000-0000ED070000}"/>
    <cellStyle name="Comma 3 2 9 2" xfId="2966" xr:uid="{00000000-0005-0000-0000-0000EE070000}"/>
    <cellStyle name="Comma 3 2 9 3" xfId="2967" xr:uid="{00000000-0005-0000-0000-0000EF070000}"/>
    <cellStyle name="Comma 3 2 9 4" xfId="2968" xr:uid="{00000000-0005-0000-0000-0000F0070000}"/>
    <cellStyle name="Comma 3 2 9 5" xfId="2969" xr:uid="{00000000-0005-0000-0000-0000F1070000}"/>
    <cellStyle name="Comma 3 20" xfId="371" xr:uid="{00000000-0005-0000-0000-0000EA000000}"/>
    <cellStyle name="Comma 3 20 2" xfId="2970" xr:uid="{00000000-0005-0000-0000-0000F2070000}"/>
    <cellStyle name="Comma 3 21" xfId="372" xr:uid="{00000000-0005-0000-0000-0000EB000000}"/>
    <cellStyle name="Comma 3 21 2" xfId="2972" xr:uid="{00000000-0005-0000-0000-0000F4070000}"/>
    <cellStyle name="Comma 3 21 3" xfId="2973" xr:uid="{00000000-0005-0000-0000-0000F5070000}"/>
    <cellStyle name="Comma 3 21 4" xfId="2974" xr:uid="{00000000-0005-0000-0000-0000F6070000}"/>
    <cellStyle name="Comma 3 21 5" xfId="2975" xr:uid="{00000000-0005-0000-0000-0000F7070000}"/>
    <cellStyle name="Comma 3 21 6" xfId="2971" xr:uid="{00000000-0005-0000-0000-0000F3070000}"/>
    <cellStyle name="Comma 3 22" xfId="373" xr:uid="{00000000-0005-0000-0000-0000EC000000}"/>
    <cellStyle name="Comma 3 22 2" xfId="2977" xr:uid="{00000000-0005-0000-0000-0000F9070000}"/>
    <cellStyle name="Comma 3 22 3" xfId="2978" xr:uid="{00000000-0005-0000-0000-0000FA070000}"/>
    <cellStyle name="Comma 3 22 4" xfId="2979" xr:uid="{00000000-0005-0000-0000-0000FB070000}"/>
    <cellStyle name="Comma 3 22 5" xfId="2980" xr:uid="{00000000-0005-0000-0000-0000FC070000}"/>
    <cellStyle name="Comma 3 22 6" xfId="2976" xr:uid="{00000000-0005-0000-0000-0000F8070000}"/>
    <cellStyle name="Comma 3 23" xfId="374" xr:uid="{00000000-0005-0000-0000-0000ED000000}"/>
    <cellStyle name="Comma 3 23 2" xfId="2981" xr:uid="{00000000-0005-0000-0000-0000FD070000}"/>
    <cellStyle name="Comma 3 24" xfId="375" xr:uid="{00000000-0005-0000-0000-0000EE000000}"/>
    <cellStyle name="Comma 3 24 2" xfId="2982" xr:uid="{00000000-0005-0000-0000-0000FE070000}"/>
    <cellStyle name="Comma 3 25" xfId="376" xr:uid="{00000000-0005-0000-0000-0000EF000000}"/>
    <cellStyle name="Comma 3 25 2" xfId="2983" xr:uid="{00000000-0005-0000-0000-0000FF070000}"/>
    <cellStyle name="Comma 3 26" xfId="377" xr:uid="{00000000-0005-0000-0000-0000F0000000}"/>
    <cellStyle name="Comma 3 26 2" xfId="2984" xr:uid="{00000000-0005-0000-0000-000000080000}"/>
    <cellStyle name="Comma 3 27" xfId="378" xr:uid="{00000000-0005-0000-0000-0000F1000000}"/>
    <cellStyle name="Comma 3 27 2" xfId="2985" xr:uid="{00000000-0005-0000-0000-000001080000}"/>
    <cellStyle name="Comma 3 28" xfId="379" xr:uid="{00000000-0005-0000-0000-0000F2000000}"/>
    <cellStyle name="Comma 3 28 2" xfId="2986" xr:uid="{00000000-0005-0000-0000-000002080000}"/>
    <cellStyle name="Comma 3 29" xfId="380" xr:uid="{00000000-0005-0000-0000-0000F3000000}"/>
    <cellStyle name="Comma 3 29 2" xfId="2987" xr:uid="{00000000-0005-0000-0000-000003080000}"/>
    <cellStyle name="Comma 3 3" xfId="73" xr:uid="{00000000-0005-0000-0000-00000F000000}"/>
    <cellStyle name="Comma 3 3 10" xfId="2989" xr:uid="{00000000-0005-0000-0000-000005080000}"/>
    <cellStyle name="Comma 3 3 10 2" xfId="2990" xr:uid="{00000000-0005-0000-0000-000006080000}"/>
    <cellStyle name="Comma 3 3 10 3" xfId="2991" xr:uid="{00000000-0005-0000-0000-000007080000}"/>
    <cellStyle name="Comma 3 3 10 4" xfId="2992" xr:uid="{00000000-0005-0000-0000-000008080000}"/>
    <cellStyle name="Comma 3 3 10 5" xfId="2993" xr:uid="{00000000-0005-0000-0000-000009080000}"/>
    <cellStyle name="Comma 3 3 11" xfId="2994" xr:uid="{00000000-0005-0000-0000-00000A080000}"/>
    <cellStyle name="Comma 3 3 11 2" xfId="2995" xr:uid="{00000000-0005-0000-0000-00000B080000}"/>
    <cellStyle name="Comma 3 3 11 3" xfId="2996" xr:uid="{00000000-0005-0000-0000-00000C080000}"/>
    <cellStyle name="Comma 3 3 11 4" xfId="2997" xr:uid="{00000000-0005-0000-0000-00000D080000}"/>
    <cellStyle name="Comma 3 3 11 5" xfId="2998" xr:uid="{00000000-0005-0000-0000-00000E080000}"/>
    <cellStyle name="Comma 3 3 12" xfId="2999" xr:uid="{00000000-0005-0000-0000-00000F080000}"/>
    <cellStyle name="Comma 3 3 12 2" xfId="3000" xr:uid="{00000000-0005-0000-0000-000010080000}"/>
    <cellStyle name="Comma 3 3 12 3" xfId="3001" xr:uid="{00000000-0005-0000-0000-000011080000}"/>
    <cellStyle name="Comma 3 3 12 4" xfId="3002" xr:uid="{00000000-0005-0000-0000-000012080000}"/>
    <cellStyle name="Comma 3 3 12 5" xfId="3003" xr:uid="{00000000-0005-0000-0000-000013080000}"/>
    <cellStyle name="Comma 3 3 13" xfId="3004" xr:uid="{00000000-0005-0000-0000-000014080000}"/>
    <cellStyle name="Comma 3 3 13 2" xfId="3005" xr:uid="{00000000-0005-0000-0000-000015080000}"/>
    <cellStyle name="Comma 3 3 13 3" xfId="3006" xr:uid="{00000000-0005-0000-0000-000016080000}"/>
    <cellStyle name="Comma 3 3 13 4" xfId="3007" xr:uid="{00000000-0005-0000-0000-000017080000}"/>
    <cellStyle name="Comma 3 3 13 5" xfId="3008" xr:uid="{00000000-0005-0000-0000-000018080000}"/>
    <cellStyle name="Comma 3 3 14" xfId="3009" xr:uid="{00000000-0005-0000-0000-000019080000}"/>
    <cellStyle name="Comma 3 3 14 2" xfId="3010" xr:uid="{00000000-0005-0000-0000-00001A080000}"/>
    <cellStyle name="Comma 3 3 14 3" xfId="3011" xr:uid="{00000000-0005-0000-0000-00001B080000}"/>
    <cellStyle name="Comma 3 3 14 4" xfId="3012" xr:uid="{00000000-0005-0000-0000-00001C080000}"/>
    <cellStyle name="Comma 3 3 14 5" xfId="3013" xr:uid="{00000000-0005-0000-0000-00001D080000}"/>
    <cellStyle name="Comma 3 3 15" xfId="3014" xr:uid="{00000000-0005-0000-0000-00001E080000}"/>
    <cellStyle name="Comma 3 3 16" xfId="3015" xr:uid="{00000000-0005-0000-0000-00001F080000}"/>
    <cellStyle name="Comma 3 3 17" xfId="3016" xr:uid="{00000000-0005-0000-0000-000020080000}"/>
    <cellStyle name="Comma 3 3 18" xfId="3017" xr:uid="{00000000-0005-0000-0000-000021080000}"/>
    <cellStyle name="Comma 3 3 19" xfId="3018" xr:uid="{00000000-0005-0000-0000-000022080000}"/>
    <cellStyle name="Comma 3 3 2" xfId="188" xr:uid="{00000000-0005-0000-0000-0000F4000000}"/>
    <cellStyle name="Comma 3 3 2 10" xfId="3020" xr:uid="{00000000-0005-0000-0000-000024080000}"/>
    <cellStyle name="Comma 3 3 2 11" xfId="3021" xr:uid="{00000000-0005-0000-0000-000025080000}"/>
    <cellStyle name="Comma 3 3 2 12" xfId="3022" xr:uid="{00000000-0005-0000-0000-000026080000}"/>
    <cellStyle name="Comma 3 3 2 13" xfId="3023" xr:uid="{00000000-0005-0000-0000-000027080000}"/>
    <cellStyle name="Comma 3 3 2 14" xfId="3024" xr:uid="{00000000-0005-0000-0000-000028080000}"/>
    <cellStyle name="Comma 3 3 2 15" xfId="3025" xr:uid="{00000000-0005-0000-0000-000029080000}"/>
    <cellStyle name="Comma 3 3 2 16" xfId="3026" xr:uid="{00000000-0005-0000-0000-00002A080000}"/>
    <cellStyle name="Comma 3 3 2 17" xfId="3027" xr:uid="{00000000-0005-0000-0000-00002B080000}"/>
    <cellStyle name="Comma 3 3 2 18" xfId="3019" xr:uid="{00000000-0005-0000-0000-000023080000}"/>
    <cellStyle name="Comma 3 3 2 2" xfId="3028" xr:uid="{00000000-0005-0000-0000-00002C080000}"/>
    <cellStyle name="Comma 3 3 2 2 2" xfId="3029" xr:uid="{00000000-0005-0000-0000-00002D080000}"/>
    <cellStyle name="Comma 3 3 2 2 2 10" xfId="3030" xr:uid="{00000000-0005-0000-0000-00002E080000}"/>
    <cellStyle name="Comma 3 3 2 2 2 2" xfId="3031" xr:uid="{00000000-0005-0000-0000-00002F080000}"/>
    <cellStyle name="Comma 3 3 2 2 2 3" xfId="3032" xr:uid="{00000000-0005-0000-0000-000030080000}"/>
    <cellStyle name="Comma 3 3 2 2 2 4" xfId="3033" xr:uid="{00000000-0005-0000-0000-000031080000}"/>
    <cellStyle name="Comma 3 3 2 2 2 5" xfId="3034" xr:uid="{00000000-0005-0000-0000-000032080000}"/>
    <cellStyle name="Comma 3 3 2 2 2 6" xfId="3035" xr:uid="{00000000-0005-0000-0000-000033080000}"/>
    <cellStyle name="Comma 3 3 2 2 2 7" xfId="3036" xr:uid="{00000000-0005-0000-0000-000034080000}"/>
    <cellStyle name="Comma 3 3 2 2 2 8" xfId="3037" xr:uid="{00000000-0005-0000-0000-000035080000}"/>
    <cellStyle name="Comma 3 3 2 2 2 9" xfId="3038" xr:uid="{00000000-0005-0000-0000-000036080000}"/>
    <cellStyle name="Comma 3 3 2 2 3" xfId="3039" xr:uid="{00000000-0005-0000-0000-000037080000}"/>
    <cellStyle name="Comma 3 3 2 2 3 2" xfId="3040" xr:uid="{00000000-0005-0000-0000-000038080000}"/>
    <cellStyle name="Comma 3 3 2 2 3 3" xfId="3041" xr:uid="{00000000-0005-0000-0000-000039080000}"/>
    <cellStyle name="Comma 3 3 2 2 3 4" xfId="3042" xr:uid="{00000000-0005-0000-0000-00003A080000}"/>
    <cellStyle name="Comma 3 3 2 2 3 5" xfId="3043" xr:uid="{00000000-0005-0000-0000-00003B080000}"/>
    <cellStyle name="Comma 3 3 2 2 4" xfId="3044" xr:uid="{00000000-0005-0000-0000-00003C080000}"/>
    <cellStyle name="Comma 3 3 2 2 4 2" xfId="3045" xr:uid="{00000000-0005-0000-0000-00003D080000}"/>
    <cellStyle name="Comma 3 3 2 2 4 3" xfId="3046" xr:uid="{00000000-0005-0000-0000-00003E080000}"/>
    <cellStyle name="Comma 3 3 2 2 4 4" xfId="3047" xr:uid="{00000000-0005-0000-0000-00003F080000}"/>
    <cellStyle name="Comma 3 3 2 2 4 5" xfId="3048" xr:uid="{00000000-0005-0000-0000-000040080000}"/>
    <cellStyle name="Comma 3 3 2 2 5" xfId="3049" xr:uid="{00000000-0005-0000-0000-000041080000}"/>
    <cellStyle name="Comma 3 3 2 2 5 2" xfId="3050" xr:uid="{00000000-0005-0000-0000-000042080000}"/>
    <cellStyle name="Comma 3 3 2 2 5 3" xfId="3051" xr:uid="{00000000-0005-0000-0000-000043080000}"/>
    <cellStyle name="Comma 3 3 2 2 5 4" xfId="3052" xr:uid="{00000000-0005-0000-0000-000044080000}"/>
    <cellStyle name="Comma 3 3 2 2 5 5" xfId="3053" xr:uid="{00000000-0005-0000-0000-000045080000}"/>
    <cellStyle name="Comma 3 3 2 2 6" xfId="3054" xr:uid="{00000000-0005-0000-0000-000046080000}"/>
    <cellStyle name="Comma 3 3 2 2 6 2" xfId="3055" xr:uid="{00000000-0005-0000-0000-000047080000}"/>
    <cellStyle name="Comma 3 3 2 2 6 3" xfId="3056" xr:uid="{00000000-0005-0000-0000-000048080000}"/>
    <cellStyle name="Comma 3 3 2 2 6 4" xfId="3057" xr:uid="{00000000-0005-0000-0000-000049080000}"/>
    <cellStyle name="Comma 3 3 2 2 6 5" xfId="3058" xr:uid="{00000000-0005-0000-0000-00004A080000}"/>
    <cellStyle name="Comma 3 3 2 2 7" xfId="3059" xr:uid="{00000000-0005-0000-0000-00004B080000}"/>
    <cellStyle name="Comma 3 3 2 3" xfId="3060" xr:uid="{00000000-0005-0000-0000-00004C080000}"/>
    <cellStyle name="Comma 3 3 2 3 2" xfId="3061" xr:uid="{00000000-0005-0000-0000-00004D080000}"/>
    <cellStyle name="Comma 3 3 2 4" xfId="3062" xr:uid="{00000000-0005-0000-0000-00004E080000}"/>
    <cellStyle name="Comma 3 3 2 5" xfId="3063" xr:uid="{00000000-0005-0000-0000-00004F080000}"/>
    <cellStyle name="Comma 3 3 2 6" xfId="3064" xr:uid="{00000000-0005-0000-0000-000050080000}"/>
    <cellStyle name="Comma 3 3 2 7" xfId="3065" xr:uid="{00000000-0005-0000-0000-000051080000}"/>
    <cellStyle name="Comma 3 3 2 8" xfId="3066" xr:uid="{00000000-0005-0000-0000-000052080000}"/>
    <cellStyle name="Comma 3 3 2 9" xfId="3067" xr:uid="{00000000-0005-0000-0000-000053080000}"/>
    <cellStyle name="Comma 3 3 20" xfId="3068" xr:uid="{00000000-0005-0000-0000-000054080000}"/>
    <cellStyle name="Comma 3 3 21" xfId="3069" xr:uid="{00000000-0005-0000-0000-000055080000}"/>
    <cellStyle name="Comma 3 3 22" xfId="3070" xr:uid="{00000000-0005-0000-0000-000056080000}"/>
    <cellStyle name="Comma 3 3 23" xfId="3071" xr:uid="{00000000-0005-0000-0000-000057080000}"/>
    <cellStyle name="Comma 3 3 24" xfId="3072" xr:uid="{00000000-0005-0000-0000-000058080000}"/>
    <cellStyle name="Comma 3 3 25" xfId="3073" xr:uid="{00000000-0005-0000-0000-000059080000}"/>
    <cellStyle name="Comma 3 3 26" xfId="2988" xr:uid="{00000000-0005-0000-0000-000004080000}"/>
    <cellStyle name="Comma 3 3 3" xfId="3074" xr:uid="{00000000-0005-0000-0000-00005A080000}"/>
    <cellStyle name="Comma 3 3 3 10" xfId="3075" xr:uid="{00000000-0005-0000-0000-00005B080000}"/>
    <cellStyle name="Comma 3 3 3 11" xfId="3076" xr:uid="{00000000-0005-0000-0000-00005C080000}"/>
    <cellStyle name="Comma 3 3 3 12" xfId="3077" xr:uid="{00000000-0005-0000-0000-00005D080000}"/>
    <cellStyle name="Comma 3 3 3 13" xfId="3078" xr:uid="{00000000-0005-0000-0000-00005E080000}"/>
    <cellStyle name="Comma 3 3 3 14" xfId="3079" xr:uid="{00000000-0005-0000-0000-00005F080000}"/>
    <cellStyle name="Comma 3 3 3 15" xfId="3080" xr:uid="{00000000-0005-0000-0000-000060080000}"/>
    <cellStyle name="Comma 3 3 3 16" xfId="3081" xr:uid="{00000000-0005-0000-0000-000061080000}"/>
    <cellStyle name="Comma 3 3 3 2" xfId="3082" xr:uid="{00000000-0005-0000-0000-000062080000}"/>
    <cellStyle name="Comma 3 3 3 2 2" xfId="3083" xr:uid="{00000000-0005-0000-0000-000063080000}"/>
    <cellStyle name="Comma 3 3 3 2 2 10" xfId="3084" xr:uid="{00000000-0005-0000-0000-000064080000}"/>
    <cellStyle name="Comma 3 3 3 2 2 2" xfId="3085" xr:uid="{00000000-0005-0000-0000-000065080000}"/>
    <cellStyle name="Comma 3 3 3 2 2 3" xfId="3086" xr:uid="{00000000-0005-0000-0000-000066080000}"/>
    <cellStyle name="Comma 3 3 3 2 2 4" xfId="3087" xr:uid="{00000000-0005-0000-0000-000067080000}"/>
    <cellStyle name="Comma 3 3 3 2 2 5" xfId="3088" xr:uid="{00000000-0005-0000-0000-000068080000}"/>
    <cellStyle name="Comma 3 3 3 2 2 6" xfId="3089" xr:uid="{00000000-0005-0000-0000-000069080000}"/>
    <cellStyle name="Comma 3 3 3 2 2 7" xfId="3090" xr:uid="{00000000-0005-0000-0000-00006A080000}"/>
    <cellStyle name="Comma 3 3 3 2 2 8" xfId="3091" xr:uid="{00000000-0005-0000-0000-00006B080000}"/>
    <cellStyle name="Comma 3 3 3 2 2 9" xfId="3092" xr:uid="{00000000-0005-0000-0000-00006C080000}"/>
    <cellStyle name="Comma 3 3 3 2 3" xfId="3093" xr:uid="{00000000-0005-0000-0000-00006D080000}"/>
    <cellStyle name="Comma 3 3 3 2 3 2" xfId="3094" xr:uid="{00000000-0005-0000-0000-00006E080000}"/>
    <cellStyle name="Comma 3 3 3 2 3 3" xfId="3095" xr:uid="{00000000-0005-0000-0000-00006F080000}"/>
    <cellStyle name="Comma 3 3 3 2 3 4" xfId="3096" xr:uid="{00000000-0005-0000-0000-000070080000}"/>
    <cellStyle name="Comma 3 3 3 2 3 5" xfId="3097" xr:uid="{00000000-0005-0000-0000-000071080000}"/>
    <cellStyle name="Comma 3 3 3 2 4" xfId="3098" xr:uid="{00000000-0005-0000-0000-000072080000}"/>
    <cellStyle name="Comma 3 3 3 2 4 2" xfId="3099" xr:uid="{00000000-0005-0000-0000-000073080000}"/>
    <cellStyle name="Comma 3 3 3 2 4 3" xfId="3100" xr:uid="{00000000-0005-0000-0000-000074080000}"/>
    <cellStyle name="Comma 3 3 3 2 4 4" xfId="3101" xr:uid="{00000000-0005-0000-0000-000075080000}"/>
    <cellStyle name="Comma 3 3 3 2 4 5" xfId="3102" xr:uid="{00000000-0005-0000-0000-000076080000}"/>
    <cellStyle name="Comma 3 3 3 2 5" xfId="3103" xr:uid="{00000000-0005-0000-0000-000077080000}"/>
    <cellStyle name="Comma 3 3 3 2 5 2" xfId="3104" xr:uid="{00000000-0005-0000-0000-000078080000}"/>
    <cellStyle name="Comma 3 3 3 2 5 3" xfId="3105" xr:uid="{00000000-0005-0000-0000-000079080000}"/>
    <cellStyle name="Comma 3 3 3 2 5 4" xfId="3106" xr:uid="{00000000-0005-0000-0000-00007A080000}"/>
    <cellStyle name="Comma 3 3 3 2 5 5" xfId="3107" xr:uid="{00000000-0005-0000-0000-00007B080000}"/>
    <cellStyle name="Comma 3 3 3 2 6" xfId="3108" xr:uid="{00000000-0005-0000-0000-00007C080000}"/>
    <cellStyle name="Comma 3 3 3 2 6 2" xfId="3109" xr:uid="{00000000-0005-0000-0000-00007D080000}"/>
    <cellStyle name="Comma 3 3 3 2 6 3" xfId="3110" xr:uid="{00000000-0005-0000-0000-00007E080000}"/>
    <cellStyle name="Comma 3 3 3 2 6 4" xfId="3111" xr:uid="{00000000-0005-0000-0000-00007F080000}"/>
    <cellStyle name="Comma 3 3 3 2 6 5" xfId="3112" xr:uid="{00000000-0005-0000-0000-000080080000}"/>
    <cellStyle name="Comma 3 3 3 3" xfId="3113" xr:uid="{00000000-0005-0000-0000-000081080000}"/>
    <cellStyle name="Comma 3 3 3 4" xfId="3114" xr:uid="{00000000-0005-0000-0000-000082080000}"/>
    <cellStyle name="Comma 3 3 3 5" xfId="3115" xr:uid="{00000000-0005-0000-0000-000083080000}"/>
    <cellStyle name="Comma 3 3 3 6" xfId="3116" xr:uid="{00000000-0005-0000-0000-000084080000}"/>
    <cellStyle name="Comma 3 3 3 7" xfId="3117" xr:uid="{00000000-0005-0000-0000-000085080000}"/>
    <cellStyle name="Comma 3 3 3 8" xfId="3118" xr:uid="{00000000-0005-0000-0000-000086080000}"/>
    <cellStyle name="Comma 3 3 3 9" xfId="3119" xr:uid="{00000000-0005-0000-0000-000087080000}"/>
    <cellStyle name="Comma 3 3 4" xfId="3120" xr:uid="{00000000-0005-0000-0000-000088080000}"/>
    <cellStyle name="Comma 3 3 4 2" xfId="3121" xr:uid="{00000000-0005-0000-0000-000089080000}"/>
    <cellStyle name="Comma 3 3 4 3" xfId="3122" xr:uid="{00000000-0005-0000-0000-00008A080000}"/>
    <cellStyle name="Comma 3 3 4 4" xfId="3123" xr:uid="{00000000-0005-0000-0000-00008B080000}"/>
    <cellStyle name="Comma 3 3 4 5" xfId="3124" xr:uid="{00000000-0005-0000-0000-00008C080000}"/>
    <cellStyle name="Comma 3 3 4 6" xfId="3125" xr:uid="{00000000-0005-0000-0000-00008D080000}"/>
    <cellStyle name="Comma 3 3 4 7" xfId="3126" xr:uid="{00000000-0005-0000-0000-00008E080000}"/>
    <cellStyle name="Comma 3 3 4 8" xfId="3127" xr:uid="{00000000-0005-0000-0000-00008F080000}"/>
    <cellStyle name="Comma 3 3 5" xfId="3128" xr:uid="{00000000-0005-0000-0000-000090080000}"/>
    <cellStyle name="Comma 3 3 5 2" xfId="3129" xr:uid="{00000000-0005-0000-0000-000091080000}"/>
    <cellStyle name="Comma 3 3 5 2 2" xfId="3130" xr:uid="{00000000-0005-0000-0000-000092080000}"/>
    <cellStyle name="Comma 3 3 5 2 3" xfId="3131" xr:uid="{00000000-0005-0000-0000-000093080000}"/>
    <cellStyle name="Comma 3 3 5 2 4" xfId="3132" xr:uid="{00000000-0005-0000-0000-000094080000}"/>
    <cellStyle name="Comma 3 3 5 2 5" xfId="3133" xr:uid="{00000000-0005-0000-0000-000095080000}"/>
    <cellStyle name="Comma 3 3 5 3" xfId="3134" xr:uid="{00000000-0005-0000-0000-000096080000}"/>
    <cellStyle name="Comma 3 3 5 3 2" xfId="3135" xr:uid="{00000000-0005-0000-0000-000097080000}"/>
    <cellStyle name="Comma 3 3 5 3 3" xfId="3136" xr:uid="{00000000-0005-0000-0000-000098080000}"/>
    <cellStyle name="Comma 3 3 5 3 4" xfId="3137" xr:uid="{00000000-0005-0000-0000-000099080000}"/>
    <cellStyle name="Comma 3 3 5 3 5" xfId="3138" xr:uid="{00000000-0005-0000-0000-00009A080000}"/>
    <cellStyle name="Comma 3 3 5 4" xfId="3139" xr:uid="{00000000-0005-0000-0000-00009B080000}"/>
    <cellStyle name="Comma 3 3 5 4 2" xfId="3140" xr:uid="{00000000-0005-0000-0000-00009C080000}"/>
    <cellStyle name="Comma 3 3 5 4 3" xfId="3141" xr:uid="{00000000-0005-0000-0000-00009D080000}"/>
    <cellStyle name="Comma 3 3 5 4 4" xfId="3142" xr:uid="{00000000-0005-0000-0000-00009E080000}"/>
    <cellStyle name="Comma 3 3 5 4 5" xfId="3143" xr:uid="{00000000-0005-0000-0000-00009F080000}"/>
    <cellStyle name="Comma 3 3 6" xfId="3144" xr:uid="{00000000-0005-0000-0000-0000A0080000}"/>
    <cellStyle name="Comma 3 3 6 2" xfId="3145" xr:uid="{00000000-0005-0000-0000-0000A1080000}"/>
    <cellStyle name="Comma 3 3 6 3" xfId="3146" xr:uid="{00000000-0005-0000-0000-0000A2080000}"/>
    <cellStyle name="Comma 3 3 6 4" xfId="3147" xr:uid="{00000000-0005-0000-0000-0000A3080000}"/>
    <cellStyle name="Comma 3 3 6 5" xfId="3148" xr:uid="{00000000-0005-0000-0000-0000A4080000}"/>
    <cellStyle name="Comma 3 3 7" xfId="3149" xr:uid="{00000000-0005-0000-0000-0000A5080000}"/>
    <cellStyle name="Comma 3 3 7 2" xfId="3150" xr:uid="{00000000-0005-0000-0000-0000A6080000}"/>
    <cellStyle name="Comma 3 3 7 3" xfId="3151" xr:uid="{00000000-0005-0000-0000-0000A7080000}"/>
    <cellStyle name="Comma 3 3 7 4" xfId="3152" xr:uid="{00000000-0005-0000-0000-0000A8080000}"/>
    <cellStyle name="Comma 3 3 7 5" xfId="3153" xr:uid="{00000000-0005-0000-0000-0000A9080000}"/>
    <cellStyle name="Comma 3 3 8" xfId="3154" xr:uid="{00000000-0005-0000-0000-0000AA080000}"/>
    <cellStyle name="Comma 3 3 8 2" xfId="3155" xr:uid="{00000000-0005-0000-0000-0000AB080000}"/>
    <cellStyle name="Comma 3 3 8 3" xfId="3156" xr:uid="{00000000-0005-0000-0000-0000AC080000}"/>
    <cellStyle name="Comma 3 3 8 4" xfId="3157" xr:uid="{00000000-0005-0000-0000-0000AD080000}"/>
    <cellStyle name="Comma 3 3 8 5" xfId="3158" xr:uid="{00000000-0005-0000-0000-0000AE080000}"/>
    <cellStyle name="Comma 3 3 9" xfId="3159" xr:uid="{00000000-0005-0000-0000-0000AF080000}"/>
    <cellStyle name="Comma 3 3 9 2" xfId="3160" xr:uid="{00000000-0005-0000-0000-0000B0080000}"/>
    <cellStyle name="Comma 3 3 9 3" xfId="3161" xr:uid="{00000000-0005-0000-0000-0000B1080000}"/>
    <cellStyle name="Comma 3 3 9 4" xfId="3162" xr:uid="{00000000-0005-0000-0000-0000B2080000}"/>
    <cellStyle name="Comma 3 3 9 5" xfId="3163" xr:uid="{00000000-0005-0000-0000-0000B3080000}"/>
    <cellStyle name="Comma 3 30" xfId="381" xr:uid="{00000000-0005-0000-0000-0000F5000000}"/>
    <cellStyle name="Comma 3 30 2" xfId="3164" xr:uid="{00000000-0005-0000-0000-0000B4080000}"/>
    <cellStyle name="Comma 3 31" xfId="382" xr:uid="{00000000-0005-0000-0000-0000F6000000}"/>
    <cellStyle name="Comma 3 31 2" xfId="3165" xr:uid="{00000000-0005-0000-0000-0000B5080000}"/>
    <cellStyle name="Comma 3 32" xfId="383" xr:uid="{00000000-0005-0000-0000-0000F7000000}"/>
    <cellStyle name="Comma 3 32 2" xfId="3166" xr:uid="{00000000-0005-0000-0000-0000B6080000}"/>
    <cellStyle name="Comma 3 33" xfId="384" xr:uid="{00000000-0005-0000-0000-0000F8000000}"/>
    <cellStyle name="Comma 3 33 2" xfId="3167" xr:uid="{00000000-0005-0000-0000-0000B7080000}"/>
    <cellStyle name="Comma 3 34" xfId="385" xr:uid="{00000000-0005-0000-0000-0000F9000000}"/>
    <cellStyle name="Comma 3 34 2" xfId="3168" xr:uid="{00000000-0005-0000-0000-0000B8080000}"/>
    <cellStyle name="Comma 3 35" xfId="386" xr:uid="{00000000-0005-0000-0000-0000FA000000}"/>
    <cellStyle name="Comma 3 35 2" xfId="3169" xr:uid="{00000000-0005-0000-0000-0000B9080000}"/>
    <cellStyle name="Comma 3 36" xfId="387" xr:uid="{00000000-0005-0000-0000-0000FB000000}"/>
    <cellStyle name="Comma 3 36 2" xfId="3170" xr:uid="{00000000-0005-0000-0000-0000BA080000}"/>
    <cellStyle name="Comma 3 37" xfId="388" xr:uid="{00000000-0005-0000-0000-0000FC000000}"/>
    <cellStyle name="Comma 3 37 2" xfId="3171" xr:uid="{00000000-0005-0000-0000-0000BB080000}"/>
    <cellStyle name="Comma 3 38" xfId="46" xr:uid="{00000000-0005-0000-0000-000011000000}"/>
    <cellStyle name="Comma 3 38 2" xfId="83" xr:uid="{00000000-0005-0000-0000-000011000000}"/>
    <cellStyle name="Comma 3 38 3" xfId="389" xr:uid="{00000000-0005-0000-0000-0000FD000000}"/>
    <cellStyle name="Comma 3 38 4" xfId="3172" xr:uid="{00000000-0005-0000-0000-0000BC080000}"/>
    <cellStyle name="Comma 3 39" xfId="390" xr:uid="{00000000-0005-0000-0000-0000FE000000}"/>
    <cellStyle name="Comma 3 39 2" xfId="3173" xr:uid="{00000000-0005-0000-0000-0000BD080000}"/>
    <cellStyle name="Comma 3 4" xfId="101" xr:uid="{00000000-0005-0000-0000-000001000000}"/>
    <cellStyle name="Comma 3 4 10" xfId="3175" xr:uid="{00000000-0005-0000-0000-0000BF080000}"/>
    <cellStyle name="Comma 3 4 10 2" xfId="3176" xr:uid="{00000000-0005-0000-0000-0000C0080000}"/>
    <cellStyle name="Comma 3 4 10 3" xfId="3177" xr:uid="{00000000-0005-0000-0000-0000C1080000}"/>
    <cellStyle name="Comma 3 4 10 4" xfId="3178" xr:uid="{00000000-0005-0000-0000-0000C2080000}"/>
    <cellStyle name="Comma 3 4 10 5" xfId="3179" xr:uid="{00000000-0005-0000-0000-0000C3080000}"/>
    <cellStyle name="Comma 3 4 11" xfId="3180" xr:uid="{00000000-0005-0000-0000-0000C4080000}"/>
    <cellStyle name="Comma 3 4 11 2" xfId="3181" xr:uid="{00000000-0005-0000-0000-0000C5080000}"/>
    <cellStyle name="Comma 3 4 11 3" xfId="3182" xr:uid="{00000000-0005-0000-0000-0000C6080000}"/>
    <cellStyle name="Comma 3 4 11 4" xfId="3183" xr:uid="{00000000-0005-0000-0000-0000C7080000}"/>
    <cellStyle name="Comma 3 4 11 5" xfId="3184" xr:uid="{00000000-0005-0000-0000-0000C8080000}"/>
    <cellStyle name="Comma 3 4 12" xfId="3185" xr:uid="{00000000-0005-0000-0000-0000C9080000}"/>
    <cellStyle name="Comma 3 4 12 2" xfId="3186" xr:uid="{00000000-0005-0000-0000-0000CA080000}"/>
    <cellStyle name="Comma 3 4 12 3" xfId="3187" xr:uid="{00000000-0005-0000-0000-0000CB080000}"/>
    <cellStyle name="Comma 3 4 12 4" xfId="3188" xr:uid="{00000000-0005-0000-0000-0000CC080000}"/>
    <cellStyle name="Comma 3 4 12 5" xfId="3189" xr:uid="{00000000-0005-0000-0000-0000CD080000}"/>
    <cellStyle name="Comma 3 4 13" xfId="3190" xr:uid="{00000000-0005-0000-0000-0000CE080000}"/>
    <cellStyle name="Comma 3 4 13 2" xfId="3191" xr:uid="{00000000-0005-0000-0000-0000CF080000}"/>
    <cellStyle name="Comma 3 4 13 3" xfId="3192" xr:uid="{00000000-0005-0000-0000-0000D0080000}"/>
    <cellStyle name="Comma 3 4 13 4" xfId="3193" xr:uid="{00000000-0005-0000-0000-0000D1080000}"/>
    <cellStyle name="Comma 3 4 13 5" xfId="3194" xr:uid="{00000000-0005-0000-0000-0000D2080000}"/>
    <cellStyle name="Comma 3 4 14" xfId="3195" xr:uid="{00000000-0005-0000-0000-0000D3080000}"/>
    <cellStyle name="Comma 3 4 14 2" xfId="3196" xr:uid="{00000000-0005-0000-0000-0000D4080000}"/>
    <cellStyle name="Comma 3 4 14 3" xfId="3197" xr:uid="{00000000-0005-0000-0000-0000D5080000}"/>
    <cellStyle name="Comma 3 4 14 4" xfId="3198" xr:uid="{00000000-0005-0000-0000-0000D6080000}"/>
    <cellStyle name="Comma 3 4 14 5" xfId="3199" xr:uid="{00000000-0005-0000-0000-0000D7080000}"/>
    <cellStyle name="Comma 3 4 15" xfId="3200" xr:uid="{00000000-0005-0000-0000-0000D8080000}"/>
    <cellStyle name="Comma 3 4 16" xfId="3201" xr:uid="{00000000-0005-0000-0000-0000D9080000}"/>
    <cellStyle name="Comma 3 4 17" xfId="3202" xr:uid="{00000000-0005-0000-0000-0000DA080000}"/>
    <cellStyle name="Comma 3 4 18" xfId="3203" xr:uid="{00000000-0005-0000-0000-0000DB080000}"/>
    <cellStyle name="Comma 3 4 19" xfId="3204" xr:uid="{00000000-0005-0000-0000-0000DC080000}"/>
    <cellStyle name="Comma 3 4 2" xfId="195" xr:uid="{00000000-0005-0000-0000-0000FF000000}"/>
    <cellStyle name="Comma 3 4 2 10" xfId="3206" xr:uid="{00000000-0005-0000-0000-0000DE080000}"/>
    <cellStyle name="Comma 3 4 2 11" xfId="3207" xr:uid="{00000000-0005-0000-0000-0000DF080000}"/>
    <cellStyle name="Comma 3 4 2 12" xfId="3208" xr:uid="{00000000-0005-0000-0000-0000E0080000}"/>
    <cellStyle name="Comma 3 4 2 13" xfId="3209" xr:uid="{00000000-0005-0000-0000-0000E1080000}"/>
    <cellStyle name="Comma 3 4 2 13 2" xfId="3210" xr:uid="{00000000-0005-0000-0000-0000E2080000}"/>
    <cellStyle name="Comma 3 4 2 13 3" xfId="3211" xr:uid="{00000000-0005-0000-0000-0000E3080000}"/>
    <cellStyle name="Comma 3 4 2 13 4" xfId="3212" xr:uid="{00000000-0005-0000-0000-0000E4080000}"/>
    <cellStyle name="Comma 3 4 2 13 5" xfId="3213" xr:uid="{00000000-0005-0000-0000-0000E5080000}"/>
    <cellStyle name="Comma 3 4 2 14" xfId="3214" xr:uid="{00000000-0005-0000-0000-0000E6080000}"/>
    <cellStyle name="Comma 3 4 2 14 2" xfId="3215" xr:uid="{00000000-0005-0000-0000-0000E7080000}"/>
    <cellStyle name="Comma 3 4 2 14 3" xfId="3216" xr:uid="{00000000-0005-0000-0000-0000E8080000}"/>
    <cellStyle name="Comma 3 4 2 14 4" xfId="3217" xr:uid="{00000000-0005-0000-0000-0000E9080000}"/>
    <cellStyle name="Comma 3 4 2 14 5" xfId="3218" xr:uid="{00000000-0005-0000-0000-0000EA080000}"/>
    <cellStyle name="Comma 3 4 2 15" xfId="3219" xr:uid="{00000000-0005-0000-0000-0000EB080000}"/>
    <cellStyle name="Comma 3 4 2 16" xfId="3205" xr:uid="{00000000-0005-0000-0000-0000DD080000}"/>
    <cellStyle name="Comma 3 4 2 2" xfId="3220" xr:uid="{00000000-0005-0000-0000-0000EC080000}"/>
    <cellStyle name="Comma 3 4 2 2 10" xfId="3221" xr:uid="{00000000-0005-0000-0000-0000ED080000}"/>
    <cellStyle name="Comma 3 4 2 2 11" xfId="3222" xr:uid="{00000000-0005-0000-0000-0000EE080000}"/>
    <cellStyle name="Comma 3 4 2 2 12" xfId="3223" xr:uid="{00000000-0005-0000-0000-0000EF080000}"/>
    <cellStyle name="Comma 3 4 2 2 2" xfId="3224" xr:uid="{00000000-0005-0000-0000-0000F0080000}"/>
    <cellStyle name="Comma 3 4 2 2 2 2" xfId="3225" xr:uid="{00000000-0005-0000-0000-0000F1080000}"/>
    <cellStyle name="Comma 3 4 2 2 2 2 2" xfId="3226" xr:uid="{00000000-0005-0000-0000-0000F2080000}"/>
    <cellStyle name="Comma 3 4 2 2 2 2 3" xfId="3227" xr:uid="{00000000-0005-0000-0000-0000F3080000}"/>
    <cellStyle name="Comma 3 4 2 2 2 2 4" xfId="3228" xr:uid="{00000000-0005-0000-0000-0000F4080000}"/>
    <cellStyle name="Comma 3 4 2 2 2 2 5" xfId="3229" xr:uid="{00000000-0005-0000-0000-0000F5080000}"/>
    <cellStyle name="Comma 3 4 2 2 2 2 6" xfId="3230" xr:uid="{00000000-0005-0000-0000-0000F6080000}"/>
    <cellStyle name="Comma 3 4 2 2 2 2 7" xfId="3231" xr:uid="{00000000-0005-0000-0000-0000F7080000}"/>
    <cellStyle name="Comma 3 4 2 2 2 2 8" xfId="3232" xr:uid="{00000000-0005-0000-0000-0000F8080000}"/>
    <cellStyle name="Comma 3 4 2 2 2 3" xfId="3233" xr:uid="{00000000-0005-0000-0000-0000F9080000}"/>
    <cellStyle name="Comma 3 4 2 2 2 4" xfId="3234" xr:uid="{00000000-0005-0000-0000-0000FA080000}"/>
    <cellStyle name="Comma 3 4 2 2 2 5" xfId="3235" xr:uid="{00000000-0005-0000-0000-0000FB080000}"/>
    <cellStyle name="Comma 3 4 2 2 2 6" xfId="3236" xr:uid="{00000000-0005-0000-0000-0000FC080000}"/>
    <cellStyle name="Comma 3 4 2 2 2 7" xfId="3237" xr:uid="{00000000-0005-0000-0000-0000FD080000}"/>
    <cellStyle name="Comma 3 4 2 2 2 7 2" xfId="3238" xr:uid="{00000000-0005-0000-0000-0000FE080000}"/>
    <cellStyle name="Comma 3 4 2 2 2 7 3" xfId="3239" xr:uid="{00000000-0005-0000-0000-0000FF080000}"/>
    <cellStyle name="Comma 3 4 2 2 2 7 4" xfId="3240" xr:uid="{00000000-0005-0000-0000-000000090000}"/>
    <cellStyle name="Comma 3 4 2 2 2 7 5" xfId="3241" xr:uid="{00000000-0005-0000-0000-000001090000}"/>
    <cellStyle name="Comma 3 4 2 2 2 8" xfId="3242" xr:uid="{00000000-0005-0000-0000-000002090000}"/>
    <cellStyle name="Comma 3 4 2 2 2 8 2" xfId="3243" xr:uid="{00000000-0005-0000-0000-000003090000}"/>
    <cellStyle name="Comma 3 4 2 2 2 8 3" xfId="3244" xr:uid="{00000000-0005-0000-0000-000004090000}"/>
    <cellStyle name="Comma 3 4 2 2 2 8 4" xfId="3245" xr:uid="{00000000-0005-0000-0000-000005090000}"/>
    <cellStyle name="Comma 3 4 2 2 2 8 5" xfId="3246" xr:uid="{00000000-0005-0000-0000-000006090000}"/>
    <cellStyle name="Comma 3 4 2 2 3" xfId="3247" xr:uid="{00000000-0005-0000-0000-000007090000}"/>
    <cellStyle name="Comma 3 4 2 2 3 2" xfId="3248" xr:uid="{00000000-0005-0000-0000-000008090000}"/>
    <cellStyle name="Comma 3 4 2 2 3 3" xfId="3249" xr:uid="{00000000-0005-0000-0000-000009090000}"/>
    <cellStyle name="Comma 3 4 2 2 3 4" xfId="3250" xr:uid="{00000000-0005-0000-0000-00000A090000}"/>
    <cellStyle name="Comma 3 4 2 2 3 5" xfId="3251" xr:uid="{00000000-0005-0000-0000-00000B090000}"/>
    <cellStyle name="Comma 3 4 2 2 4" xfId="3252" xr:uid="{00000000-0005-0000-0000-00000C090000}"/>
    <cellStyle name="Comma 3 4 2 2 4 2" xfId="3253" xr:uid="{00000000-0005-0000-0000-00000D090000}"/>
    <cellStyle name="Comma 3 4 2 2 4 3" xfId="3254" xr:uid="{00000000-0005-0000-0000-00000E090000}"/>
    <cellStyle name="Comma 3 4 2 2 4 4" xfId="3255" xr:uid="{00000000-0005-0000-0000-00000F090000}"/>
    <cellStyle name="Comma 3 4 2 2 4 5" xfId="3256" xr:uid="{00000000-0005-0000-0000-000010090000}"/>
    <cellStyle name="Comma 3 4 2 2 5" xfId="3257" xr:uid="{00000000-0005-0000-0000-000011090000}"/>
    <cellStyle name="Comma 3 4 2 2 5 2" xfId="3258" xr:uid="{00000000-0005-0000-0000-000012090000}"/>
    <cellStyle name="Comma 3 4 2 2 5 3" xfId="3259" xr:uid="{00000000-0005-0000-0000-000013090000}"/>
    <cellStyle name="Comma 3 4 2 2 5 4" xfId="3260" xr:uid="{00000000-0005-0000-0000-000014090000}"/>
    <cellStyle name="Comma 3 4 2 2 5 5" xfId="3261" xr:uid="{00000000-0005-0000-0000-000015090000}"/>
    <cellStyle name="Comma 3 4 2 2 6" xfId="3262" xr:uid="{00000000-0005-0000-0000-000016090000}"/>
    <cellStyle name="Comma 3 4 2 2 6 2" xfId="3263" xr:uid="{00000000-0005-0000-0000-000017090000}"/>
    <cellStyle name="Comma 3 4 2 2 6 3" xfId="3264" xr:uid="{00000000-0005-0000-0000-000018090000}"/>
    <cellStyle name="Comma 3 4 2 2 6 4" xfId="3265" xr:uid="{00000000-0005-0000-0000-000019090000}"/>
    <cellStyle name="Comma 3 4 2 2 6 5" xfId="3266" xr:uid="{00000000-0005-0000-0000-00001A090000}"/>
    <cellStyle name="Comma 3 4 2 2 7" xfId="3267" xr:uid="{00000000-0005-0000-0000-00001B090000}"/>
    <cellStyle name="Comma 3 4 2 2 8" xfId="3268" xr:uid="{00000000-0005-0000-0000-00001C090000}"/>
    <cellStyle name="Comma 3 4 2 2 9" xfId="3269" xr:uid="{00000000-0005-0000-0000-00001D090000}"/>
    <cellStyle name="Comma 3 4 2 3" xfId="3270" xr:uid="{00000000-0005-0000-0000-00001E090000}"/>
    <cellStyle name="Comma 3 4 2 4" xfId="3271" xr:uid="{00000000-0005-0000-0000-00001F090000}"/>
    <cellStyle name="Comma 3 4 2 5" xfId="3272" xr:uid="{00000000-0005-0000-0000-000020090000}"/>
    <cellStyle name="Comma 3 4 2 6" xfId="3273" xr:uid="{00000000-0005-0000-0000-000021090000}"/>
    <cellStyle name="Comma 3 4 2 7" xfId="3274" xr:uid="{00000000-0005-0000-0000-000022090000}"/>
    <cellStyle name="Comma 3 4 2 8" xfId="3275" xr:uid="{00000000-0005-0000-0000-000023090000}"/>
    <cellStyle name="Comma 3 4 2 9" xfId="3276" xr:uid="{00000000-0005-0000-0000-000024090000}"/>
    <cellStyle name="Comma 3 4 20" xfId="3277" xr:uid="{00000000-0005-0000-0000-000025090000}"/>
    <cellStyle name="Comma 3 4 21" xfId="3278" xr:uid="{00000000-0005-0000-0000-000026090000}"/>
    <cellStyle name="Comma 3 4 22" xfId="3279" xr:uid="{00000000-0005-0000-0000-000027090000}"/>
    <cellStyle name="Comma 3 4 23" xfId="3280" xr:uid="{00000000-0005-0000-0000-000028090000}"/>
    <cellStyle name="Comma 3 4 24" xfId="3281" xr:uid="{00000000-0005-0000-0000-000029090000}"/>
    <cellStyle name="Comma 3 4 25" xfId="3282" xr:uid="{00000000-0005-0000-0000-00002A090000}"/>
    <cellStyle name="Comma 3 4 26" xfId="3283" xr:uid="{00000000-0005-0000-0000-00002B090000}"/>
    <cellStyle name="Comma 3 4 27" xfId="3174" xr:uid="{00000000-0005-0000-0000-0000BE080000}"/>
    <cellStyle name="Comma 3 4 3" xfId="3284" xr:uid="{00000000-0005-0000-0000-00002C090000}"/>
    <cellStyle name="Comma 3 4 3 10" xfId="3285" xr:uid="{00000000-0005-0000-0000-00002D090000}"/>
    <cellStyle name="Comma 3 4 3 11" xfId="3286" xr:uid="{00000000-0005-0000-0000-00002E090000}"/>
    <cellStyle name="Comma 3 4 3 12" xfId="3287" xr:uid="{00000000-0005-0000-0000-00002F090000}"/>
    <cellStyle name="Comma 3 4 3 13" xfId="3288" xr:uid="{00000000-0005-0000-0000-000030090000}"/>
    <cellStyle name="Comma 3 4 3 14" xfId="3289" xr:uid="{00000000-0005-0000-0000-000031090000}"/>
    <cellStyle name="Comma 3 4 3 15" xfId="3290" xr:uid="{00000000-0005-0000-0000-000032090000}"/>
    <cellStyle name="Comma 3 4 3 16" xfId="3291" xr:uid="{00000000-0005-0000-0000-000033090000}"/>
    <cellStyle name="Comma 3 4 3 2" xfId="3292" xr:uid="{00000000-0005-0000-0000-000034090000}"/>
    <cellStyle name="Comma 3 4 3 2 2" xfId="3293" xr:uid="{00000000-0005-0000-0000-000035090000}"/>
    <cellStyle name="Comma 3 4 3 2 2 10" xfId="3294" xr:uid="{00000000-0005-0000-0000-000036090000}"/>
    <cellStyle name="Comma 3 4 3 2 2 2" xfId="3295" xr:uid="{00000000-0005-0000-0000-000037090000}"/>
    <cellStyle name="Comma 3 4 3 2 2 3" xfId="3296" xr:uid="{00000000-0005-0000-0000-000038090000}"/>
    <cellStyle name="Comma 3 4 3 2 2 4" xfId="3297" xr:uid="{00000000-0005-0000-0000-000039090000}"/>
    <cellStyle name="Comma 3 4 3 2 2 5" xfId="3298" xr:uid="{00000000-0005-0000-0000-00003A090000}"/>
    <cellStyle name="Comma 3 4 3 2 2 6" xfId="3299" xr:uid="{00000000-0005-0000-0000-00003B090000}"/>
    <cellStyle name="Comma 3 4 3 2 2 7" xfId="3300" xr:uid="{00000000-0005-0000-0000-00003C090000}"/>
    <cellStyle name="Comma 3 4 3 2 2 8" xfId="3301" xr:uid="{00000000-0005-0000-0000-00003D090000}"/>
    <cellStyle name="Comma 3 4 3 2 2 9" xfId="3302" xr:uid="{00000000-0005-0000-0000-00003E090000}"/>
    <cellStyle name="Comma 3 4 3 2 3" xfId="3303" xr:uid="{00000000-0005-0000-0000-00003F090000}"/>
    <cellStyle name="Comma 3 4 3 2 3 2" xfId="3304" xr:uid="{00000000-0005-0000-0000-000040090000}"/>
    <cellStyle name="Comma 3 4 3 2 3 3" xfId="3305" xr:uid="{00000000-0005-0000-0000-000041090000}"/>
    <cellStyle name="Comma 3 4 3 2 3 4" xfId="3306" xr:uid="{00000000-0005-0000-0000-000042090000}"/>
    <cellStyle name="Comma 3 4 3 2 3 5" xfId="3307" xr:uid="{00000000-0005-0000-0000-000043090000}"/>
    <cellStyle name="Comma 3 4 3 2 4" xfId="3308" xr:uid="{00000000-0005-0000-0000-000044090000}"/>
    <cellStyle name="Comma 3 4 3 2 4 2" xfId="3309" xr:uid="{00000000-0005-0000-0000-000045090000}"/>
    <cellStyle name="Comma 3 4 3 2 4 3" xfId="3310" xr:uid="{00000000-0005-0000-0000-000046090000}"/>
    <cellStyle name="Comma 3 4 3 2 4 4" xfId="3311" xr:uid="{00000000-0005-0000-0000-000047090000}"/>
    <cellStyle name="Comma 3 4 3 2 4 5" xfId="3312" xr:uid="{00000000-0005-0000-0000-000048090000}"/>
    <cellStyle name="Comma 3 4 3 2 5" xfId="3313" xr:uid="{00000000-0005-0000-0000-000049090000}"/>
    <cellStyle name="Comma 3 4 3 2 5 2" xfId="3314" xr:uid="{00000000-0005-0000-0000-00004A090000}"/>
    <cellStyle name="Comma 3 4 3 2 5 3" xfId="3315" xr:uid="{00000000-0005-0000-0000-00004B090000}"/>
    <cellStyle name="Comma 3 4 3 2 5 4" xfId="3316" xr:uid="{00000000-0005-0000-0000-00004C090000}"/>
    <cellStyle name="Comma 3 4 3 2 5 5" xfId="3317" xr:uid="{00000000-0005-0000-0000-00004D090000}"/>
    <cellStyle name="Comma 3 4 3 2 6" xfId="3318" xr:uid="{00000000-0005-0000-0000-00004E090000}"/>
    <cellStyle name="Comma 3 4 3 2 6 2" xfId="3319" xr:uid="{00000000-0005-0000-0000-00004F090000}"/>
    <cellStyle name="Comma 3 4 3 2 6 3" xfId="3320" xr:uid="{00000000-0005-0000-0000-000050090000}"/>
    <cellStyle name="Comma 3 4 3 2 6 4" xfId="3321" xr:uid="{00000000-0005-0000-0000-000051090000}"/>
    <cellStyle name="Comma 3 4 3 2 6 5" xfId="3322" xr:uid="{00000000-0005-0000-0000-000052090000}"/>
    <cellStyle name="Comma 3 4 3 3" xfId="3323" xr:uid="{00000000-0005-0000-0000-000053090000}"/>
    <cellStyle name="Comma 3 4 3 4" xfId="3324" xr:uid="{00000000-0005-0000-0000-000054090000}"/>
    <cellStyle name="Comma 3 4 3 5" xfId="3325" xr:uid="{00000000-0005-0000-0000-000055090000}"/>
    <cellStyle name="Comma 3 4 3 6" xfId="3326" xr:uid="{00000000-0005-0000-0000-000056090000}"/>
    <cellStyle name="Comma 3 4 3 7" xfId="3327" xr:uid="{00000000-0005-0000-0000-000057090000}"/>
    <cellStyle name="Comma 3 4 3 8" xfId="3328" xr:uid="{00000000-0005-0000-0000-000058090000}"/>
    <cellStyle name="Comma 3 4 3 9" xfId="3329" xr:uid="{00000000-0005-0000-0000-000059090000}"/>
    <cellStyle name="Comma 3 4 4" xfId="3330" xr:uid="{00000000-0005-0000-0000-00005A090000}"/>
    <cellStyle name="Comma 3 4 5" xfId="3331" xr:uid="{00000000-0005-0000-0000-00005B090000}"/>
    <cellStyle name="Comma 3 4 5 2" xfId="3332" xr:uid="{00000000-0005-0000-0000-00005C090000}"/>
    <cellStyle name="Comma 3 4 5 3" xfId="3333" xr:uid="{00000000-0005-0000-0000-00005D090000}"/>
    <cellStyle name="Comma 3 4 5 4" xfId="3334" xr:uid="{00000000-0005-0000-0000-00005E090000}"/>
    <cellStyle name="Comma 3 4 5 5" xfId="3335" xr:uid="{00000000-0005-0000-0000-00005F090000}"/>
    <cellStyle name="Comma 3 4 6" xfId="3336" xr:uid="{00000000-0005-0000-0000-000060090000}"/>
    <cellStyle name="Comma 3 4 6 2" xfId="3337" xr:uid="{00000000-0005-0000-0000-000061090000}"/>
    <cellStyle name="Comma 3 4 6 3" xfId="3338" xr:uid="{00000000-0005-0000-0000-000062090000}"/>
    <cellStyle name="Comma 3 4 6 4" xfId="3339" xr:uid="{00000000-0005-0000-0000-000063090000}"/>
    <cellStyle name="Comma 3 4 6 5" xfId="3340" xr:uid="{00000000-0005-0000-0000-000064090000}"/>
    <cellStyle name="Comma 3 4 7" xfId="3341" xr:uid="{00000000-0005-0000-0000-000065090000}"/>
    <cellStyle name="Comma 3 4 7 2" xfId="3342" xr:uid="{00000000-0005-0000-0000-000066090000}"/>
    <cellStyle name="Comma 3 4 7 3" xfId="3343" xr:uid="{00000000-0005-0000-0000-000067090000}"/>
    <cellStyle name="Comma 3 4 7 4" xfId="3344" xr:uid="{00000000-0005-0000-0000-000068090000}"/>
    <cellStyle name="Comma 3 4 7 5" xfId="3345" xr:uid="{00000000-0005-0000-0000-000069090000}"/>
    <cellStyle name="Comma 3 4 8" xfId="3346" xr:uid="{00000000-0005-0000-0000-00006A090000}"/>
    <cellStyle name="Comma 3 4 8 2" xfId="3347" xr:uid="{00000000-0005-0000-0000-00006B090000}"/>
    <cellStyle name="Comma 3 4 8 3" xfId="3348" xr:uid="{00000000-0005-0000-0000-00006C090000}"/>
    <cellStyle name="Comma 3 4 8 4" xfId="3349" xr:uid="{00000000-0005-0000-0000-00006D090000}"/>
    <cellStyle name="Comma 3 4 8 5" xfId="3350" xr:uid="{00000000-0005-0000-0000-00006E090000}"/>
    <cellStyle name="Comma 3 4 9" xfId="3351" xr:uid="{00000000-0005-0000-0000-00006F090000}"/>
    <cellStyle name="Comma 3 4 9 2" xfId="3352" xr:uid="{00000000-0005-0000-0000-000070090000}"/>
    <cellStyle name="Comma 3 4 9 3" xfId="3353" xr:uid="{00000000-0005-0000-0000-000071090000}"/>
    <cellStyle name="Comma 3 4 9 4" xfId="3354" xr:uid="{00000000-0005-0000-0000-000072090000}"/>
    <cellStyle name="Comma 3 4 9 5" xfId="3355" xr:uid="{00000000-0005-0000-0000-000073090000}"/>
    <cellStyle name="Comma 3 40" xfId="391" xr:uid="{00000000-0005-0000-0000-000000010000}"/>
    <cellStyle name="Comma 3 40 2" xfId="3356" xr:uid="{00000000-0005-0000-0000-000074090000}"/>
    <cellStyle name="Comma 3 41" xfId="392" xr:uid="{00000000-0005-0000-0000-000001010000}"/>
    <cellStyle name="Comma 3 41 2" xfId="3357" xr:uid="{00000000-0005-0000-0000-000075090000}"/>
    <cellStyle name="Comma 3 42" xfId="393" xr:uid="{00000000-0005-0000-0000-000002010000}"/>
    <cellStyle name="Comma 3 42 2" xfId="3358" xr:uid="{00000000-0005-0000-0000-000076090000}"/>
    <cellStyle name="Comma 3 43" xfId="394" xr:uid="{00000000-0005-0000-0000-000003010000}"/>
    <cellStyle name="Comma 3 43 2" xfId="3359" xr:uid="{00000000-0005-0000-0000-000077090000}"/>
    <cellStyle name="Comma 3 44" xfId="395" xr:uid="{00000000-0005-0000-0000-000004010000}"/>
    <cellStyle name="Comma 3 44 2" xfId="3360" xr:uid="{00000000-0005-0000-0000-000078090000}"/>
    <cellStyle name="Comma 3 45" xfId="396" xr:uid="{00000000-0005-0000-0000-000005010000}"/>
    <cellStyle name="Comma 3 46" xfId="397" xr:uid="{00000000-0005-0000-0000-000006010000}"/>
    <cellStyle name="Comma 3 46 2" xfId="2763" xr:uid="{00000000-0005-0000-0000-00007A090000}"/>
    <cellStyle name="Comma 3 47" xfId="398" xr:uid="{00000000-0005-0000-0000-000007010000}"/>
    <cellStyle name="Comma 3 48" xfId="399" xr:uid="{00000000-0005-0000-0000-000008010000}"/>
    <cellStyle name="Comma 3 49" xfId="400" xr:uid="{00000000-0005-0000-0000-000009010000}"/>
    <cellStyle name="Comma 3 5" xfId="200" xr:uid="{00000000-0005-0000-0000-00000A010000}"/>
    <cellStyle name="Comma 3 5 10" xfId="3362" xr:uid="{00000000-0005-0000-0000-00007C090000}"/>
    <cellStyle name="Comma 3 5 10 2" xfId="3363" xr:uid="{00000000-0005-0000-0000-00007D090000}"/>
    <cellStyle name="Comma 3 5 10 3" xfId="3364" xr:uid="{00000000-0005-0000-0000-00007E090000}"/>
    <cellStyle name="Comma 3 5 10 4" xfId="3365" xr:uid="{00000000-0005-0000-0000-00007F090000}"/>
    <cellStyle name="Comma 3 5 10 5" xfId="3366" xr:uid="{00000000-0005-0000-0000-000080090000}"/>
    <cellStyle name="Comma 3 5 11" xfId="3367" xr:uid="{00000000-0005-0000-0000-000081090000}"/>
    <cellStyle name="Comma 3 5 11 2" xfId="3368" xr:uid="{00000000-0005-0000-0000-000082090000}"/>
    <cellStyle name="Comma 3 5 11 3" xfId="3369" xr:uid="{00000000-0005-0000-0000-000083090000}"/>
    <cellStyle name="Comma 3 5 11 4" xfId="3370" xr:uid="{00000000-0005-0000-0000-000084090000}"/>
    <cellStyle name="Comma 3 5 11 5" xfId="3371" xr:uid="{00000000-0005-0000-0000-000085090000}"/>
    <cellStyle name="Comma 3 5 12" xfId="3372" xr:uid="{00000000-0005-0000-0000-000086090000}"/>
    <cellStyle name="Comma 3 5 12 2" xfId="3373" xr:uid="{00000000-0005-0000-0000-000087090000}"/>
    <cellStyle name="Comma 3 5 12 3" xfId="3374" xr:uid="{00000000-0005-0000-0000-000088090000}"/>
    <cellStyle name="Comma 3 5 12 4" xfId="3375" xr:uid="{00000000-0005-0000-0000-000089090000}"/>
    <cellStyle name="Comma 3 5 12 5" xfId="3376" xr:uid="{00000000-0005-0000-0000-00008A090000}"/>
    <cellStyle name="Comma 3 5 13" xfId="3377" xr:uid="{00000000-0005-0000-0000-00008B090000}"/>
    <cellStyle name="Comma 3 5 14" xfId="3378" xr:uid="{00000000-0005-0000-0000-00008C090000}"/>
    <cellStyle name="Comma 3 5 15" xfId="3379" xr:uid="{00000000-0005-0000-0000-00008D090000}"/>
    <cellStyle name="Comma 3 5 16" xfId="3380" xr:uid="{00000000-0005-0000-0000-00008E090000}"/>
    <cellStyle name="Comma 3 5 17" xfId="3361" xr:uid="{00000000-0005-0000-0000-00007B090000}"/>
    <cellStyle name="Comma 3 5 2" xfId="3381" xr:uid="{00000000-0005-0000-0000-00008F090000}"/>
    <cellStyle name="Comma 3 5 2 10" xfId="3382" xr:uid="{00000000-0005-0000-0000-000090090000}"/>
    <cellStyle name="Comma 3 5 2 2" xfId="3383" xr:uid="{00000000-0005-0000-0000-000091090000}"/>
    <cellStyle name="Comma 3 5 2 2 2" xfId="3384" xr:uid="{00000000-0005-0000-0000-000092090000}"/>
    <cellStyle name="Comma 3 5 2 2 2 2" xfId="3385" xr:uid="{00000000-0005-0000-0000-000093090000}"/>
    <cellStyle name="Comma 3 5 2 2 2 3" xfId="3386" xr:uid="{00000000-0005-0000-0000-000094090000}"/>
    <cellStyle name="Comma 3 5 2 2 2 4" xfId="3387" xr:uid="{00000000-0005-0000-0000-000095090000}"/>
    <cellStyle name="Comma 3 5 2 2 2 5" xfId="3388" xr:uid="{00000000-0005-0000-0000-000096090000}"/>
    <cellStyle name="Comma 3 5 2 2 3" xfId="3389" xr:uid="{00000000-0005-0000-0000-000097090000}"/>
    <cellStyle name="Comma 3 5 2 2 3 2" xfId="3390" xr:uid="{00000000-0005-0000-0000-000098090000}"/>
    <cellStyle name="Comma 3 5 2 2 3 3" xfId="3391" xr:uid="{00000000-0005-0000-0000-000099090000}"/>
    <cellStyle name="Comma 3 5 2 2 3 4" xfId="3392" xr:uid="{00000000-0005-0000-0000-00009A090000}"/>
    <cellStyle name="Comma 3 5 2 2 3 5" xfId="3393" xr:uid="{00000000-0005-0000-0000-00009B090000}"/>
    <cellStyle name="Comma 3 5 2 2 4" xfId="3394" xr:uid="{00000000-0005-0000-0000-00009C090000}"/>
    <cellStyle name="Comma 3 5 2 2 4 2" xfId="3395" xr:uid="{00000000-0005-0000-0000-00009D090000}"/>
    <cellStyle name="Comma 3 5 2 2 4 3" xfId="3396" xr:uid="{00000000-0005-0000-0000-00009E090000}"/>
    <cellStyle name="Comma 3 5 2 2 4 4" xfId="3397" xr:uid="{00000000-0005-0000-0000-00009F090000}"/>
    <cellStyle name="Comma 3 5 2 2 4 5" xfId="3398" xr:uid="{00000000-0005-0000-0000-0000A0090000}"/>
    <cellStyle name="Comma 3 5 2 2 5" xfId="3399" xr:uid="{00000000-0005-0000-0000-0000A1090000}"/>
    <cellStyle name="Comma 3 5 2 2 5 2" xfId="3400" xr:uid="{00000000-0005-0000-0000-0000A2090000}"/>
    <cellStyle name="Comma 3 5 2 2 5 3" xfId="3401" xr:uid="{00000000-0005-0000-0000-0000A3090000}"/>
    <cellStyle name="Comma 3 5 2 2 5 4" xfId="3402" xr:uid="{00000000-0005-0000-0000-0000A4090000}"/>
    <cellStyle name="Comma 3 5 2 2 5 5" xfId="3403" xr:uid="{00000000-0005-0000-0000-0000A5090000}"/>
    <cellStyle name="Comma 3 5 2 2 6" xfId="3404" xr:uid="{00000000-0005-0000-0000-0000A6090000}"/>
    <cellStyle name="Comma 3 5 2 2 6 2" xfId="3405" xr:uid="{00000000-0005-0000-0000-0000A7090000}"/>
    <cellStyle name="Comma 3 5 2 2 6 3" xfId="3406" xr:uid="{00000000-0005-0000-0000-0000A8090000}"/>
    <cellStyle name="Comma 3 5 2 2 6 4" xfId="3407" xr:uid="{00000000-0005-0000-0000-0000A9090000}"/>
    <cellStyle name="Comma 3 5 2 2 6 5" xfId="3408" xr:uid="{00000000-0005-0000-0000-0000AA090000}"/>
    <cellStyle name="Comma 3 5 2 3" xfId="3409" xr:uid="{00000000-0005-0000-0000-0000AB090000}"/>
    <cellStyle name="Comma 3 5 2 4" xfId="3410" xr:uid="{00000000-0005-0000-0000-0000AC090000}"/>
    <cellStyle name="Comma 3 5 2 5" xfId="3411" xr:uid="{00000000-0005-0000-0000-0000AD090000}"/>
    <cellStyle name="Comma 3 5 2 6" xfId="3412" xr:uid="{00000000-0005-0000-0000-0000AE090000}"/>
    <cellStyle name="Comma 3 5 2 7" xfId="3413" xr:uid="{00000000-0005-0000-0000-0000AF090000}"/>
    <cellStyle name="Comma 3 5 2 8" xfId="3414" xr:uid="{00000000-0005-0000-0000-0000B0090000}"/>
    <cellStyle name="Comma 3 5 2 9" xfId="3415" xr:uid="{00000000-0005-0000-0000-0000B1090000}"/>
    <cellStyle name="Comma 3 5 3" xfId="3416" xr:uid="{00000000-0005-0000-0000-0000B2090000}"/>
    <cellStyle name="Comma 3 5 3 2" xfId="3417" xr:uid="{00000000-0005-0000-0000-0000B3090000}"/>
    <cellStyle name="Comma 3 5 3 3" xfId="3418" xr:uid="{00000000-0005-0000-0000-0000B4090000}"/>
    <cellStyle name="Comma 3 5 3 4" xfId="3419" xr:uid="{00000000-0005-0000-0000-0000B5090000}"/>
    <cellStyle name="Comma 3 5 3 5" xfId="3420" xr:uid="{00000000-0005-0000-0000-0000B6090000}"/>
    <cellStyle name="Comma 3 5 4" xfId="3421" xr:uid="{00000000-0005-0000-0000-0000B7090000}"/>
    <cellStyle name="Comma 3 5 4 2" xfId="3422" xr:uid="{00000000-0005-0000-0000-0000B8090000}"/>
    <cellStyle name="Comma 3 5 4 3" xfId="3423" xr:uid="{00000000-0005-0000-0000-0000B9090000}"/>
    <cellStyle name="Comma 3 5 4 4" xfId="3424" xr:uid="{00000000-0005-0000-0000-0000BA090000}"/>
    <cellStyle name="Comma 3 5 4 5" xfId="3425" xr:uid="{00000000-0005-0000-0000-0000BB090000}"/>
    <cellStyle name="Comma 3 5 5" xfId="3426" xr:uid="{00000000-0005-0000-0000-0000BC090000}"/>
    <cellStyle name="Comma 3 5 5 2" xfId="3427" xr:uid="{00000000-0005-0000-0000-0000BD090000}"/>
    <cellStyle name="Comma 3 5 5 3" xfId="3428" xr:uid="{00000000-0005-0000-0000-0000BE090000}"/>
    <cellStyle name="Comma 3 5 5 4" xfId="3429" xr:uid="{00000000-0005-0000-0000-0000BF090000}"/>
    <cellStyle name="Comma 3 5 5 5" xfId="3430" xr:uid="{00000000-0005-0000-0000-0000C0090000}"/>
    <cellStyle name="Comma 3 5 6" xfId="3431" xr:uid="{00000000-0005-0000-0000-0000C1090000}"/>
    <cellStyle name="Comma 3 5 6 2" xfId="3432" xr:uid="{00000000-0005-0000-0000-0000C2090000}"/>
    <cellStyle name="Comma 3 5 6 3" xfId="3433" xr:uid="{00000000-0005-0000-0000-0000C3090000}"/>
    <cellStyle name="Comma 3 5 6 4" xfId="3434" xr:uid="{00000000-0005-0000-0000-0000C4090000}"/>
    <cellStyle name="Comma 3 5 6 5" xfId="3435" xr:uid="{00000000-0005-0000-0000-0000C5090000}"/>
    <cellStyle name="Comma 3 5 7" xfId="3436" xr:uid="{00000000-0005-0000-0000-0000C6090000}"/>
    <cellStyle name="Comma 3 5 7 2" xfId="3437" xr:uid="{00000000-0005-0000-0000-0000C7090000}"/>
    <cellStyle name="Comma 3 5 7 3" xfId="3438" xr:uid="{00000000-0005-0000-0000-0000C8090000}"/>
    <cellStyle name="Comma 3 5 7 4" xfId="3439" xr:uid="{00000000-0005-0000-0000-0000C9090000}"/>
    <cellStyle name="Comma 3 5 7 5" xfId="3440" xr:uid="{00000000-0005-0000-0000-0000CA090000}"/>
    <cellStyle name="Comma 3 5 8" xfId="3441" xr:uid="{00000000-0005-0000-0000-0000CB090000}"/>
    <cellStyle name="Comma 3 5 8 2" xfId="3442" xr:uid="{00000000-0005-0000-0000-0000CC090000}"/>
    <cellStyle name="Comma 3 5 8 3" xfId="3443" xr:uid="{00000000-0005-0000-0000-0000CD090000}"/>
    <cellStyle name="Comma 3 5 8 4" xfId="3444" xr:uid="{00000000-0005-0000-0000-0000CE090000}"/>
    <cellStyle name="Comma 3 5 8 5" xfId="3445" xr:uid="{00000000-0005-0000-0000-0000CF090000}"/>
    <cellStyle name="Comma 3 5 9" xfId="3446" xr:uid="{00000000-0005-0000-0000-0000D0090000}"/>
    <cellStyle name="Comma 3 5 9 2" xfId="3447" xr:uid="{00000000-0005-0000-0000-0000D1090000}"/>
    <cellStyle name="Comma 3 5 9 3" xfId="3448" xr:uid="{00000000-0005-0000-0000-0000D2090000}"/>
    <cellStyle name="Comma 3 5 9 4" xfId="3449" xr:uid="{00000000-0005-0000-0000-0000D3090000}"/>
    <cellStyle name="Comma 3 5 9 5" xfId="3450" xr:uid="{00000000-0005-0000-0000-0000D4090000}"/>
    <cellStyle name="Comma 3 50" xfId="401" xr:uid="{00000000-0005-0000-0000-00000B010000}"/>
    <cellStyle name="Comma 3 51" xfId="402" xr:uid="{00000000-0005-0000-0000-00000C010000}"/>
    <cellStyle name="Comma 3 52" xfId="403" xr:uid="{00000000-0005-0000-0000-00000D010000}"/>
    <cellStyle name="Comma 3 53" xfId="404" xr:uid="{00000000-0005-0000-0000-00000E010000}"/>
    <cellStyle name="Comma 3 54" xfId="405" xr:uid="{00000000-0005-0000-0000-00000F010000}"/>
    <cellStyle name="Comma 3 55" xfId="406" xr:uid="{00000000-0005-0000-0000-000010010000}"/>
    <cellStyle name="Comma 3 56" xfId="407" xr:uid="{00000000-0005-0000-0000-000011010000}"/>
    <cellStyle name="Comma 3 57" xfId="408" xr:uid="{00000000-0005-0000-0000-000012010000}"/>
    <cellStyle name="Comma 3 58" xfId="409" xr:uid="{00000000-0005-0000-0000-000013010000}"/>
    <cellStyle name="Comma 3 59" xfId="410" xr:uid="{00000000-0005-0000-0000-000014010000}"/>
    <cellStyle name="Comma 3 6" xfId="204" xr:uid="{00000000-0005-0000-0000-000015010000}"/>
    <cellStyle name="Comma 3 6 10" xfId="3452" xr:uid="{00000000-0005-0000-0000-0000D6090000}"/>
    <cellStyle name="Comma 3 6 10 2" xfId="3453" xr:uid="{00000000-0005-0000-0000-0000D7090000}"/>
    <cellStyle name="Comma 3 6 10 3" xfId="3454" xr:uid="{00000000-0005-0000-0000-0000D8090000}"/>
    <cellStyle name="Comma 3 6 10 4" xfId="3455" xr:uid="{00000000-0005-0000-0000-0000D9090000}"/>
    <cellStyle name="Comma 3 6 10 5" xfId="3456" xr:uid="{00000000-0005-0000-0000-0000DA090000}"/>
    <cellStyle name="Comma 3 6 11" xfId="3457" xr:uid="{00000000-0005-0000-0000-0000DB090000}"/>
    <cellStyle name="Comma 3 6 11 2" xfId="3458" xr:uid="{00000000-0005-0000-0000-0000DC090000}"/>
    <cellStyle name="Comma 3 6 11 3" xfId="3459" xr:uid="{00000000-0005-0000-0000-0000DD090000}"/>
    <cellStyle name="Comma 3 6 11 4" xfId="3460" xr:uid="{00000000-0005-0000-0000-0000DE090000}"/>
    <cellStyle name="Comma 3 6 11 5" xfId="3461" xr:uid="{00000000-0005-0000-0000-0000DF090000}"/>
    <cellStyle name="Comma 3 6 12" xfId="3462" xr:uid="{00000000-0005-0000-0000-0000E0090000}"/>
    <cellStyle name="Comma 3 6 12 2" xfId="3463" xr:uid="{00000000-0005-0000-0000-0000E1090000}"/>
    <cellStyle name="Comma 3 6 12 3" xfId="3464" xr:uid="{00000000-0005-0000-0000-0000E2090000}"/>
    <cellStyle name="Comma 3 6 12 4" xfId="3465" xr:uid="{00000000-0005-0000-0000-0000E3090000}"/>
    <cellStyle name="Comma 3 6 12 5" xfId="3466" xr:uid="{00000000-0005-0000-0000-0000E4090000}"/>
    <cellStyle name="Comma 3 6 13" xfId="3467" xr:uid="{00000000-0005-0000-0000-0000E5090000}"/>
    <cellStyle name="Comma 3 6 14" xfId="3468" xr:uid="{00000000-0005-0000-0000-0000E6090000}"/>
    <cellStyle name="Comma 3 6 15" xfId="3469" xr:uid="{00000000-0005-0000-0000-0000E7090000}"/>
    <cellStyle name="Comma 3 6 16" xfId="3470" xr:uid="{00000000-0005-0000-0000-0000E8090000}"/>
    <cellStyle name="Comma 3 6 17" xfId="3451" xr:uid="{00000000-0005-0000-0000-0000D5090000}"/>
    <cellStyle name="Comma 3 6 2" xfId="3471" xr:uid="{00000000-0005-0000-0000-0000E9090000}"/>
    <cellStyle name="Comma 3 6 2 10" xfId="3472" xr:uid="{00000000-0005-0000-0000-0000EA090000}"/>
    <cellStyle name="Comma 3 6 2 2" xfId="3473" xr:uid="{00000000-0005-0000-0000-0000EB090000}"/>
    <cellStyle name="Comma 3 6 2 2 2" xfId="3474" xr:uid="{00000000-0005-0000-0000-0000EC090000}"/>
    <cellStyle name="Comma 3 6 2 2 2 2" xfId="3475" xr:uid="{00000000-0005-0000-0000-0000ED090000}"/>
    <cellStyle name="Comma 3 6 2 2 2 3" xfId="3476" xr:uid="{00000000-0005-0000-0000-0000EE090000}"/>
    <cellStyle name="Comma 3 6 2 2 2 4" xfId="3477" xr:uid="{00000000-0005-0000-0000-0000EF090000}"/>
    <cellStyle name="Comma 3 6 2 2 2 5" xfId="3478" xr:uid="{00000000-0005-0000-0000-0000F0090000}"/>
    <cellStyle name="Comma 3 6 2 2 3" xfId="3479" xr:uid="{00000000-0005-0000-0000-0000F1090000}"/>
    <cellStyle name="Comma 3 6 2 2 3 2" xfId="3480" xr:uid="{00000000-0005-0000-0000-0000F2090000}"/>
    <cellStyle name="Comma 3 6 2 2 3 3" xfId="3481" xr:uid="{00000000-0005-0000-0000-0000F3090000}"/>
    <cellStyle name="Comma 3 6 2 2 3 4" xfId="3482" xr:uid="{00000000-0005-0000-0000-0000F4090000}"/>
    <cellStyle name="Comma 3 6 2 2 3 5" xfId="3483" xr:uid="{00000000-0005-0000-0000-0000F5090000}"/>
    <cellStyle name="Comma 3 6 2 2 4" xfId="3484" xr:uid="{00000000-0005-0000-0000-0000F6090000}"/>
    <cellStyle name="Comma 3 6 2 2 4 2" xfId="3485" xr:uid="{00000000-0005-0000-0000-0000F7090000}"/>
    <cellStyle name="Comma 3 6 2 2 4 3" xfId="3486" xr:uid="{00000000-0005-0000-0000-0000F8090000}"/>
    <cellStyle name="Comma 3 6 2 2 4 4" xfId="3487" xr:uid="{00000000-0005-0000-0000-0000F9090000}"/>
    <cellStyle name="Comma 3 6 2 2 4 5" xfId="3488" xr:uid="{00000000-0005-0000-0000-0000FA090000}"/>
    <cellStyle name="Comma 3 6 2 2 5" xfId="3489" xr:uid="{00000000-0005-0000-0000-0000FB090000}"/>
    <cellStyle name="Comma 3 6 2 2 5 2" xfId="3490" xr:uid="{00000000-0005-0000-0000-0000FC090000}"/>
    <cellStyle name="Comma 3 6 2 2 5 3" xfId="3491" xr:uid="{00000000-0005-0000-0000-0000FD090000}"/>
    <cellStyle name="Comma 3 6 2 2 5 4" xfId="3492" xr:uid="{00000000-0005-0000-0000-0000FE090000}"/>
    <cellStyle name="Comma 3 6 2 2 5 5" xfId="3493" xr:uid="{00000000-0005-0000-0000-0000FF090000}"/>
    <cellStyle name="Comma 3 6 2 2 6" xfId="3494" xr:uid="{00000000-0005-0000-0000-0000000A0000}"/>
    <cellStyle name="Comma 3 6 2 2 6 2" xfId="3495" xr:uid="{00000000-0005-0000-0000-0000010A0000}"/>
    <cellStyle name="Comma 3 6 2 2 6 3" xfId="3496" xr:uid="{00000000-0005-0000-0000-0000020A0000}"/>
    <cellStyle name="Comma 3 6 2 2 6 4" xfId="3497" xr:uid="{00000000-0005-0000-0000-0000030A0000}"/>
    <cellStyle name="Comma 3 6 2 2 6 5" xfId="3498" xr:uid="{00000000-0005-0000-0000-0000040A0000}"/>
    <cellStyle name="Comma 3 6 2 3" xfId="3499" xr:uid="{00000000-0005-0000-0000-0000050A0000}"/>
    <cellStyle name="Comma 3 6 2 4" xfId="3500" xr:uid="{00000000-0005-0000-0000-0000060A0000}"/>
    <cellStyle name="Comma 3 6 2 5" xfId="3501" xr:uid="{00000000-0005-0000-0000-0000070A0000}"/>
    <cellStyle name="Comma 3 6 2 6" xfId="3502" xr:uid="{00000000-0005-0000-0000-0000080A0000}"/>
    <cellStyle name="Comma 3 6 2 7" xfId="3503" xr:uid="{00000000-0005-0000-0000-0000090A0000}"/>
    <cellStyle name="Comma 3 6 2 8" xfId="3504" xr:uid="{00000000-0005-0000-0000-00000A0A0000}"/>
    <cellStyle name="Comma 3 6 2 9" xfId="3505" xr:uid="{00000000-0005-0000-0000-00000B0A0000}"/>
    <cellStyle name="Comma 3 6 3" xfId="3506" xr:uid="{00000000-0005-0000-0000-00000C0A0000}"/>
    <cellStyle name="Comma 3 6 3 2" xfId="3507" xr:uid="{00000000-0005-0000-0000-00000D0A0000}"/>
    <cellStyle name="Comma 3 6 3 3" xfId="3508" xr:uid="{00000000-0005-0000-0000-00000E0A0000}"/>
    <cellStyle name="Comma 3 6 3 4" xfId="3509" xr:uid="{00000000-0005-0000-0000-00000F0A0000}"/>
    <cellStyle name="Comma 3 6 3 5" xfId="3510" xr:uid="{00000000-0005-0000-0000-0000100A0000}"/>
    <cellStyle name="Comma 3 6 4" xfId="3511" xr:uid="{00000000-0005-0000-0000-0000110A0000}"/>
    <cellStyle name="Comma 3 6 4 2" xfId="3512" xr:uid="{00000000-0005-0000-0000-0000120A0000}"/>
    <cellStyle name="Comma 3 6 4 3" xfId="3513" xr:uid="{00000000-0005-0000-0000-0000130A0000}"/>
    <cellStyle name="Comma 3 6 4 4" xfId="3514" xr:uid="{00000000-0005-0000-0000-0000140A0000}"/>
    <cellStyle name="Comma 3 6 4 5" xfId="3515" xr:uid="{00000000-0005-0000-0000-0000150A0000}"/>
    <cellStyle name="Comma 3 6 5" xfId="3516" xr:uid="{00000000-0005-0000-0000-0000160A0000}"/>
    <cellStyle name="Comma 3 6 5 2" xfId="3517" xr:uid="{00000000-0005-0000-0000-0000170A0000}"/>
    <cellStyle name="Comma 3 6 5 3" xfId="3518" xr:uid="{00000000-0005-0000-0000-0000180A0000}"/>
    <cellStyle name="Comma 3 6 5 4" xfId="3519" xr:uid="{00000000-0005-0000-0000-0000190A0000}"/>
    <cellStyle name="Comma 3 6 5 5" xfId="3520" xr:uid="{00000000-0005-0000-0000-00001A0A0000}"/>
    <cellStyle name="Comma 3 6 6" xfId="3521" xr:uid="{00000000-0005-0000-0000-00001B0A0000}"/>
    <cellStyle name="Comma 3 6 6 2" xfId="3522" xr:uid="{00000000-0005-0000-0000-00001C0A0000}"/>
    <cellStyle name="Comma 3 6 6 3" xfId="3523" xr:uid="{00000000-0005-0000-0000-00001D0A0000}"/>
    <cellStyle name="Comma 3 6 6 4" xfId="3524" xr:uid="{00000000-0005-0000-0000-00001E0A0000}"/>
    <cellStyle name="Comma 3 6 6 5" xfId="3525" xr:uid="{00000000-0005-0000-0000-00001F0A0000}"/>
    <cellStyle name="Comma 3 6 7" xfId="3526" xr:uid="{00000000-0005-0000-0000-0000200A0000}"/>
    <cellStyle name="Comma 3 6 7 2" xfId="3527" xr:uid="{00000000-0005-0000-0000-0000210A0000}"/>
    <cellStyle name="Comma 3 6 7 3" xfId="3528" xr:uid="{00000000-0005-0000-0000-0000220A0000}"/>
    <cellStyle name="Comma 3 6 7 4" xfId="3529" xr:uid="{00000000-0005-0000-0000-0000230A0000}"/>
    <cellStyle name="Comma 3 6 7 5" xfId="3530" xr:uid="{00000000-0005-0000-0000-0000240A0000}"/>
    <cellStyle name="Comma 3 6 8" xfId="3531" xr:uid="{00000000-0005-0000-0000-0000250A0000}"/>
    <cellStyle name="Comma 3 6 8 2" xfId="3532" xr:uid="{00000000-0005-0000-0000-0000260A0000}"/>
    <cellStyle name="Comma 3 6 8 3" xfId="3533" xr:uid="{00000000-0005-0000-0000-0000270A0000}"/>
    <cellStyle name="Comma 3 6 8 4" xfId="3534" xr:uid="{00000000-0005-0000-0000-0000280A0000}"/>
    <cellStyle name="Comma 3 6 8 5" xfId="3535" xr:uid="{00000000-0005-0000-0000-0000290A0000}"/>
    <cellStyle name="Comma 3 6 9" xfId="3536" xr:uid="{00000000-0005-0000-0000-00002A0A0000}"/>
    <cellStyle name="Comma 3 6 9 2" xfId="3537" xr:uid="{00000000-0005-0000-0000-00002B0A0000}"/>
    <cellStyle name="Comma 3 6 9 3" xfId="3538" xr:uid="{00000000-0005-0000-0000-00002C0A0000}"/>
    <cellStyle name="Comma 3 6 9 4" xfId="3539" xr:uid="{00000000-0005-0000-0000-00002D0A0000}"/>
    <cellStyle name="Comma 3 6 9 5" xfId="3540" xr:uid="{00000000-0005-0000-0000-00002E0A0000}"/>
    <cellStyle name="Comma 3 60" xfId="411" xr:uid="{00000000-0005-0000-0000-000016010000}"/>
    <cellStyle name="Comma 3 61" xfId="412" xr:uid="{00000000-0005-0000-0000-000017010000}"/>
    <cellStyle name="Comma 3 62" xfId="413" xr:uid="{00000000-0005-0000-0000-000018010000}"/>
    <cellStyle name="Comma 3 63" xfId="414" xr:uid="{00000000-0005-0000-0000-000019010000}"/>
    <cellStyle name="Comma 3 64" xfId="415" xr:uid="{00000000-0005-0000-0000-00001A010000}"/>
    <cellStyle name="Comma 3 65" xfId="416" xr:uid="{00000000-0005-0000-0000-00001B010000}"/>
    <cellStyle name="Comma 3 66" xfId="417" xr:uid="{00000000-0005-0000-0000-00001C010000}"/>
    <cellStyle name="Comma 3 67" xfId="418" xr:uid="{00000000-0005-0000-0000-00001D010000}"/>
    <cellStyle name="Comma 3 68" xfId="419" xr:uid="{00000000-0005-0000-0000-00001E010000}"/>
    <cellStyle name="Comma 3 69" xfId="420" xr:uid="{00000000-0005-0000-0000-00001F010000}"/>
    <cellStyle name="Comma 3 7" xfId="206" xr:uid="{00000000-0005-0000-0000-000020010000}"/>
    <cellStyle name="Comma 3 7 10" xfId="3541" xr:uid="{00000000-0005-0000-0000-00002F0A0000}"/>
    <cellStyle name="Comma 3 7 2" xfId="3542" xr:uid="{00000000-0005-0000-0000-0000300A0000}"/>
    <cellStyle name="Comma 3 7 3" xfId="3543" xr:uid="{00000000-0005-0000-0000-0000310A0000}"/>
    <cellStyle name="Comma 3 7 4" xfId="3544" xr:uid="{00000000-0005-0000-0000-0000320A0000}"/>
    <cellStyle name="Comma 3 7 5" xfId="3545" xr:uid="{00000000-0005-0000-0000-0000330A0000}"/>
    <cellStyle name="Comma 3 7 6" xfId="3546" xr:uid="{00000000-0005-0000-0000-0000340A0000}"/>
    <cellStyle name="Comma 3 7 7" xfId="3547" xr:uid="{00000000-0005-0000-0000-0000350A0000}"/>
    <cellStyle name="Comma 3 7 8" xfId="3548" xr:uid="{00000000-0005-0000-0000-0000360A0000}"/>
    <cellStyle name="Comma 3 7 9" xfId="3549" xr:uid="{00000000-0005-0000-0000-0000370A0000}"/>
    <cellStyle name="Comma 3 70" xfId="421" xr:uid="{00000000-0005-0000-0000-000021010000}"/>
    <cellStyle name="Comma 3 71" xfId="422" xr:uid="{00000000-0005-0000-0000-000022010000}"/>
    <cellStyle name="Comma 3 72" xfId="423" xr:uid="{00000000-0005-0000-0000-000023010000}"/>
    <cellStyle name="Comma 3 73" xfId="424" xr:uid="{00000000-0005-0000-0000-000024010000}"/>
    <cellStyle name="Comma 3 74" xfId="425" xr:uid="{00000000-0005-0000-0000-000025010000}"/>
    <cellStyle name="Comma 3 75" xfId="426" xr:uid="{00000000-0005-0000-0000-000026010000}"/>
    <cellStyle name="Comma 3 76" xfId="427" xr:uid="{00000000-0005-0000-0000-000027010000}"/>
    <cellStyle name="Comma 3 77" xfId="428" xr:uid="{00000000-0005-0000-0000-000028010000}"/>
    <cellStyle name="Comma 3 78" xfId="429" xr:uid="{00000000-0005-0000-0000-000029010000}"/>
    <cellStyle name="Comma 3 79" xfId="430" xr:uid="{00000000-0005-0000-0000-00002A010000}"/>
    <cellStyle name="Comma 3 8" xfId="209" xr:uid="{00000000-0005-0000-0000-00002B010000}"/>
    <cellStyle name="Comma 3 8 2" xfId="3551" xr:uid="{00000000-0005-0000-0000-0000390A0000}"/>
    <cellStyle name="Comma 3 8 3" xfId="3552" xr:uid="{00000000-0005-0000-0000-00003A0A0000}"/>
    <cellStyle name="Comma 3 8 4" xfId="3553" xr:uid="{00000000-0005-0000-0000-00003B0A0000}"/>
    <cellStyle name="Comma 3 8 5" xfId="3554" xr:uid="{00000000-0005-0000-0000-00003C0A0000}"/>
    <cellStyle name="Comma 3 8 6" xfId="3550" xr:uid="{00000000-0005-0000-0000-0000380A0000}"/>
    <cellStyle name="Comma 3 80" xfId="431" xr:uid="{00000000-0005-0000-0000-00002C010000}"/>
    <cellStyle name="Comma 3 81" xfId="432" xr:uid="{00000000-0005-0000-0000-00002D010000}"/>
    <cellStyle name="Comma 3 82" xfId="433" xr:uid="{00000000-0005-0000-0000-00002E010000}"/>
    <cellStyle name="Comma 3 83" xfId="434" xr:uid="{00000000-0005-0000-0000-00002F010000}"/>
    <cellStyle name="Comma 3 84" xfId="435" xr:uid="{00000000-0005-0000-0000-000030010000}"/>
    <cellStyle name="Comma 3 85" xfId="436" xr:uid="{00000000-0005-0000-0000-000031010000}"/>
    <cellStyle name="Comma 3 86" xfId="437" xr:uid="{00000000-0005-0000-0000-000032010000}"/>
    <cellStyle name="Comma 3 87" xfId="438" xr:uid="{00000000-0005-0000-0000-000033010000}"/>
    <cellStyle name="Comma 3 88" xfId="439" xr:uid="{00000000-0005-0000-0000-000034010000}"/>
    <cellStyle name="Comma 3 89" xfId="440" xr:uid="{00000000-0005-0000-0000-000035010000}"/>
    <cellStyle name="Comma 3 9" xfId="441" xr:uid="{00000000-0005-0000-0000-000036010000}"/>
    <cellStyle name="Comma 3 9 2" xfId="3556" xr:uid="{00000000-0005-0000-0000-00003E0A0000}"/>
    <cellStyle name="Comma 3 9 3" xfId="3557" xr:uid="{00000000-0005-0000-0000-00003F0A0000}"/>
    <cellStyle name="Comma 3 9 4" xfId="3558" xr:uid="{00000000-0005-0000-0000-0000400A0000}"/>
    <cellStyle name="Comma 3 9 5" xfId="3559" xr:uid="{00000000-0005-0000-0000-0000410A0000}"/>
    <cellStyle name="Comma 3 9 6" xfId="3555" xr:uid="{00000000-0005-0000-0000-00003D0A0000}"/>
    <cellStyle name="Comma 3 90" xfId="442" xr:uid="{00000000-0005-0000-0000-000037010000}"/>
    <cellStyle name="Comma 3 91" xfId="443" xr:uid="{00000000-0005-0000-0000-000038010000}"/>
    <cellStyle name="Comma 3 92" xfId="444" xr:uid="{00000000-0005-0000-0000-000039010000}"/>
    <cellStyle name="Comma 3 93" xfId="445" xr:uid="{00000000-0005-0000-0000-00003A010000}"/>
    <cellStyle name="Comma 3 94" xfId="446" xr:uid="{00000000-0005-0000-0000-00003B010000}"/>
    <cellStyle name="Comma 3 95" xfId="447" xr:uid="{00000000-0005-0000-0000-00003C010000}"/>
    <cellStyle name="Comma 3 96" xfId="448" xr:uid="{00000000-0005-0000-0000-00003D010000}"/>
    <cellStyle name="Comma 3 97" xfId="449" xr:uid="{00000000-0005-0000-0000-00003E010000}"/>
    <cellStyle name="Comma 3 98" xfId="450" xr:uid="{00000000-0005-0000-0000-00003F010000}"/>
    <cellStyle name="Comma 3 99" xfId="451" xr:uid="{00000000-0005-0000-0000-000040010000}"/>
    <cellStyle name="Comma 30" xfId="37256" xr:uid="{00000000-0005-0000-0000-0000420A0000}"/>
    <cellStyle name="Comma 31" xfId="37262" xr:uid="{00000000-0005-0000-0000-0000430A0000}"/>
    <cellStyle name="Comma 31 2" xfId="972" xr:uid="{E5D7293E-EBF2-4E7E-8694-9BC1506F984D}"/>
    <cellStyle name="Comma 32" xfId="975" xr:uid="{8FABA1D3-461C-4C2B-BF58-4BD00DD47F83}"/>
    <cellStyle name="Comma 33" xfId="37265" xr:uid="{00000000-0005-0000-0000-000013080000}"/>
    <cellStyle name="Comma 34" xfId="37274" xr:uid="{00000000-0005-0000-0000-0000C4910000}"/>
    <cellStyle name="Comma 35" xfId="37275" xr:uid="{00000000-0005-0000-0000-0000C5910000}"/>
    <cellStyle name="Comma 36" xfId="37276" xr:uid="{00000000-0005-0000-0000-0000C6910000}"/>
    <cellStyle name="Comma 37" xfId="37277" xr:uid="{00000000-0005-0000-0000-0000C7910000}"/>
    <cellStyle name="Comma 4" xfId="72" xr:uid="{00000000-0005-0000-0000-000078000000}"/>
    <cellStyle name="Comma 4 10" xfId="452" xr:uid="{00000000-0005-0000-0000-000042010000}"/>
    <cellStyle name="Comma 4 10 2" xfId="3561" xr:uid="{00000000-0005-0000-0000-0000450A0000}"/>
    <cellStyle name="Comma 4 100" xfId="453" xr:uid="{00000000-0005-0000-0000-000043010000}"/>
    <cellStyle name="Comma 4 101" xfId="454" xr:uid="{00000000-0005-0000-0000-000044010000}"/>
    <cellStyle name="Comma 4 102" xfId="455" xr:uid="{00000000-0005-0000-0000-000045010000}"/>
    <cellStyle name="Comma 4 103" xfId="456" xr:uid="{00000000-0005-0000-0000-000046010000}"/>
    <cellStyle name="Comma 4 104" xfId="457" xr:uid="{00000000-0005-0000-0000-000047010000}"/>
    <cellStyle name="Comma 4 105" xfId="458" xr:uid="{00000000-0005-0000-0000-000048010000}"/>
    <cellStyle name="Comma 4 106" xfId="459" xr:uid="{00000000-0005-0000-0000-000049010000}"/>
    <cellStyle name="Comma 4 107" xfId="460" xr:uid="{00000000-0005-0000-0000-00004A010000}"/>
    <cellStyle name="Comma 4 108" xfId="461" xr:uid="{00000000-0005-0000-0000-00004B010000}"/>
    <cellStyle name="Comma 4 109" xfId="462" xr:uid="{00000000-0005-0000-0000-00004C010000}"/>
    <cellStyle name="Comma 4 11" xfId="463" xr:uid="{00000000-0005-0000-0000-00004D010000}"/>
    <cellStyle name="Comma 4 11 2" xfId="3562" xr:uid="{00000000-0005-0000-0000-0000460A0000}"/>
    <cellStyle name="Comma 4 110" xfId="464" xr:uid="{00000000-0005-0000-0000-00004E010000}"/>
    <cellStyle name="Comma 4 111" xfId="465" xr:uid="{00000000-0005-0000-0000-00004F010000}"/>
    <cellStyle name="Comma 4 112" xfId="466" xr:uid="{00000000-0005-0000-0000-000050010000}"/>
    <cellStyle name="Comma 4 113" xfId="467" xr:uid="{00000000-0005-0000-0000-000051010000}"/>
    <cellStyle name="Comma 4 114" xfId="468" xr:uid="{00000000-0005-0000-0000-000052010000}"/>
    <cellStyle name="Comma 4 115" xfId="469" xr:uid="{00000000-0005-0000-0000-000053010000}"/>
    <cellStyle name="Comma 4 116" xfId="470" xr:uid="{00000000-0005-0000-0000-000054010000}"/>
    <cellStyle name="Comma 4 117" xfId="471" xr:uid="{00000000-0005-0000-0000-000055010000}"/>
    <cellStyle name="Comma 4 118" xfId="472" xr:uid="{00000000-0005-0000-0000-000056010000}"/>
    <cellStyle name="Comma 4 119" xfId="473" xr:uid="{00000000-0005-0000-0000-000057010000}"/>
    <cellStyle name="Comma 4 12" xfId="474" xr:uid="{00000000-0005-0000-0000-000058010000}"/>
    <cellStyle name="Comma 4 12 2" xfId="3563" xr:uid="{00000000-0005-0000-0000-0000470A0000}"/>
    <cellStyle name="Comma 4 120" xfId="475" xr:uid="{00000000-0005-0000-0000-000059010000}"/>
    <cellStyle name="Comma 4 121" xfId="476" xr:uid="{00000000-0005-0000-0000-00005A010000}"/>
    <cellStyle name="Comma 4 122" xfId="839" xr:uid="{00000000-0005-0000-0000-00005B010000}"/>
    <cellStyle name="Comma 4 123" xfId="847" xr:uid="{00000000-0005-0000-0000-00005C010000}"/>
    <cellStyle name="Comma 4 124" xfId="841" xr:uid="{00000000-0005-0000-0000-00005D010000}"/>
    <cellStyle name="Comma 4 125" xfId="848" xr:uid="{00000000-0005-0000-0000-00005E010000}"/>
    <cellStyle name="Comma 4 126" xfId="840" xr:uid="{00000000-0005-0000-0000-00005F010000}"/>
    <cellStyle name="Comma 4 127" xfId="900" xr:uid="{00000000-0005-0000-0000-000060010000}"/>
    <cellStyle name="Comma 4 128" xfId="905" xr:uid="{00000000-0005-0000-0000-000061010000}"/>
    <cellStyle name="Comma 4 129" xfId="929" xr:uid="{00000000-0005-0000-0000-000062010000}"/>
    <cellStyle name="Comma 4 13" xfId="477" xr:uid="{00000000-0005-0000-0000-000063010000}"/>
    <cellStyle name="Comma 4 13 2" xfId="3560" xr:uid="{00000000-0005-0000-0000-0000480A0000}"/>
    <cellStyle name="Comma 4 130" xfId="937" xr:uid="{00000000-0005-0000-0000-000064010000}"/>
    <cellStyle name="Comma 4 131" xfId="176" xr:uid="{00000000-0005-0000-0000-000065010000}"/>
    <cellStyle name="Comma 4 132" xfId="140" xr:uid="{00000000-0005-0000-0000-000041010000}"/>
    <cellStyle name="Comma 4 14" xfId="478" xr:uid="{00000000-0005-0000-0000-000066010000}"/>
    <cellStyle name="Comma 4 15" xfId="479" xr:uid="{00000000-0005-0000-0000-000067010000}"/>
    <cellStyle name="Comma 4 16" xfId="480" xr:uid="{00000000-0005-0000-0000-000068010000}"/>
    <cellStyle name="Comma 4 17" xfId="481" xr:uid="{00000000-0005-0000-0000-000069010000}"/>
    <cellStyle name="Comma 4 18" xfId="482" xr:uid="{00000000-0005-0000-0000-00006A010000}"/>
    <cellStyle name="Comma 4 19" xfId="483" xr:uid="{00000000-0005-0000-0000-00006B010000}"/>
    <cellStyle name="Comma 4 2" xfId="189" xr:uid="{00000000-0005-0000-0000-00006C010000}"/>
    <cellStyle name="Comma 4 2 10" xfId="3565" xr:uid="{00000000-0005-0000-0000-00004A0A0000}"/>
    <cellStyle name="Comma 4 2 11" xfId="3566" xr:uid="{00000000-0005-0000-0000-00004B0A0000}"/>
    <cellStyle name="Comma 4 2 12" xfId="3567" xr:uid="{00000000-0005-0000-0000-00004C0A0000}"/>
    <cellStyle name="Comma 4 2 13" xfId="3568" xr:uid="{00000000-0005-0000-0000-00004D0A0000}"/>
    <cellStyle name="Comma 4 2 14" xfId="3569" xr:uid="{00000000-0005-0000-0000-00004E0A0000}"/>
    <cellStyle name="Comma 4 2 15" xfId="3570" xr:uid="{00000000-0005-0000-0000-00004F0A0000}"/>
    <cellStyle name="Comma 4 2 16" xfId="3564" xr:uid="{00000000-0005-0000-0000-0000490A0000}"/>
    <cellStyle name="Comma 4 2 2" xfId="3571" xr:uid="{00000000-0005-0000-0000-0000500A0000}"/>
    <cellStyle name="Comma 4 2 2 2" xfId="3572" xr:uid="{00000000-0005-0000-0000-0000510A0000}"/>
    <cellStyle name="Comma 4 2 2 2 2" xfId="3573" xr:uid="{00000000-0005-0000-0000-0000520A0000}"/>
    <cellStyle name="Comma 4 2 2 3" xfId="3574" xr:uid="{00000000-0005-0000-0000-0000530A0000}"/>
    <cellStyle name="Comma 4 2 2 4" xfId="3575" xr:uid="{00000000-0005-0000-0000-0000540A0000}"/>
    <cellStyle name="Comma 4 2 2 5" xfId="3576" xr:uid="{00000000-0005-0000-0000-0000550A0000}"/>
    <cellStyle name="Comma 4 2 2 6" xfId="3577" xr:uid="{00000000-0005-0000-0000-0000560A0000}"/>
    <cellStyle name="Comma 4 2 2 7" xfId="3578" xr:uid="{00000000-0005-0000-0000-0000570A0000}"/>
    <cellStyle name="Comma 4 2 2 8" xfId="3579" xr:uid="{00000000-0005-0000-0000-0000580A0000}"/>
    <cellStyle name="Comma 4 2 3" xfId="3580" xr:uid="{00000000-0005-0000-0000-0000590A0000}"/>
    <cellStyle name="Comma 4 2 3 2" xfId="3581" xr:uid="{00000000-0005-0000-0000-00005A0A0000}"/>
    <cellStyle name="Comma 4 2 4" xfId="3582" xr:uid="{00000000-0005-0000-0000-00005B0A0000}"/>
    <cellStyle name="Comma 4 2 5" xfId="3583" xr:uid="{00000000-0005-0000-0000-00005C0A0000}"/>
    <cellStyle name="Comma 4 2 6" xfId="3584" xr:uid="{00000000-0005-0000-0000-00005D0A0000}"/>
    <cellStyle name="Comma 4 2 7" xfId="3585" xr:uid="{00000000-0005-0000-0000-00005E0A0000}"/>
    <cellStyle name="Comma 4 2 8" xfId="3586" xr:uid="{00000000-0005-0000-0000-00005F0A0000}"/>
    <cellStyle name="Comma 4 2 9" xfId="3587" xr:uid="{00000000-0005-0000-0000-0000600A0000}"/>
    <cellStyle name="Comma 4 20" xfId="484" xr:uid="{00000000-0005-0000-0000-00006D010000}"/>
    <cellStyle name="Comma 4 21" xfId="485" xr:uid="{00000000-0005-0000-0000-00006E010000}"/>
    <cellStyle name="Comma 4 22" xfId="486" xr:uid="{00000000-0005-0000-0000-00006F010000}"/>
    <cellStyle name="Comma 4 23" xfId="487" xr:uid="{00000000-0005-0000-0000-000070010000}"/>
    <cellStyle name="Comma 4 24" xfId="488" xr:uid="{00000000-0005-0000-0000-000071010000}"/>
    <cellStyle name="Comma 4 25" xfId="489" xr:uid="{00000000-0005-0000-0000-000072010000}"/>
    <cellStyle name="Comma 4 26" xfId="490" xr:uid="{00000000-0005-0000-0000-000073010000}"/>
    <cellStyle name="Comma 4 27" xfId="491" xr:uid="{00000000-0005-0000-0000-000074010000}"/>
    <cellStyle name="Comma 4 28" xfId="492" xr:uid="{00000000-0005-0000-0000-000075010000}"/>
    <cellStyle name="Comma 4 29" xfId="493" xr:uid="{00000000-0005-0000-0000-000076010000}"/>
    <cellStyle name="Comma 4 3" xfId="194" xr:uid="{00000000-0005-0000-0000-000077010000}"/>
    <cellStyle name="Comma 4 3 2" xfId="3588" xr:uid="{00000000-0005-0000-0000-0000610A0000}"/>
    <cellStyle name="Comma 4 30" xfId="494" xr:uid="{00000000-0005-0000-0000-000078010000}"/>
    <cellStyle name="Comma 4 31" xfId="495" xr:uid="{00000000-0005-0000-0000-000079010000}"/>
    <cellStyle name="Comma 4 32" xfId="496" xr:uid="{00000000-0005-0000-0000-00007A010000}"/>
    <cellStyle name="Comma 4 33" xfId="497" xr:uid="{00000000-0005-0000-0000-00007B010000}"/>
    <cellStyle name="Comma 4 34" xfId="498" xr:uid="{00000000-0005-0000-0000-00007C010000}"/>
    <cellStyle name="Comma 4 35" xfId="499" xr:uid="{00000000-0005-0000-0000-00007D010000}"/>
    <cellStyle name="Comma 4 36" xfId="500" xr:uid="{00000000-0005-0000-0000-00007E010000}"/>
    <cellStyle name="Comma 4 37" xfId="501" xr:uid="{00000000-0005-0000-0000-00007F010000}"/>
    <cellStyle name="Comma 4 38" xfId="502" xr:uid="{00000000-0005-0000-0000-000080010000}"/>
    <cellStyle name="Comma 4 39" xfId="503" xr:uid="{00000000-0005-0000-0000-000081010000}"/>
    <cellStyle name="Comma 4 4" xfId="201" xr:uid="{00000000-0005-0000-0000-000082010000}"/>
    <cellStyle name="Comma 4 4 2" xfId="3589" xr:uid="{00000000-0005-0000-0000-0000620A0000}"/>
    <cellStyle name="Comma 4 40" xfId="504" xr:uid="{00000000-0005-0000-0000-000083010000}"/>
    <cellStyle name="Comma 4 41" xfId="505" xr:uid="{00000000-0005-0000-0000-000084010000}"/>
    <cellStyle name="Comma 4 42" xfId="506" xr:uid="{00000000-0005-0000-0000-000085010000}"/>
    <cellStyle name="Comma 4 43" xfId="507" xr:uid="{00000000-0005-0000-0000-000086010000}"/>
    <cellStyle name="Comma 4 44" xfId="508" xr:uid="{00000000-0005-0000-0000-000087010000}"/>
    <cellStyle name="Comma 4 45" xfId="509" xr:uid="{00000000-0005-0000-0000-000088010000}"/>
    <cellStyle name="Comma 4 46" xfId="510" xr:uid="{00000000-0005-0000-0000-000089010000}"/>
    <cellStyle name="Comma 4 47" xfId="511" xr:uid="{00000000-0005-0000-0000-00008A010000}"/>
    <cellStyle name="Comma 4 48" xfId="512" xr:uid="{00000000-0005-0000-0000-00008B010000}"/>
    <cellStyle name="Comma 4 49" xfId="513" xr:uid="{00000000-0005-0000-0000-00008C010000}"/>
    <cellStyle name="Comma 4 5" xfId="210" xr:uid="{00000000-0005-0000-0000-00008D010000}"/>
    <cellStyle name="Comma 4 5 2" xfId="3590" xr:uid="{00000000-0005-0000-0000-0000630A0000}"/>
    <cellStyle name="Comma 4 50" xfId="514" xr:uid="{00000000-0005-0000-0000-00008E010000}"/>
    <cellStyle name="Comma 4 51" xfId="515" xr:uid="{00000000-0005-0000-0000-00008F010000}"/>
    <cellStyle name="Comma 4 52" xfId="516" xr:uid="{00000000-0005-0000-0000-000090010000}"/>
    <cellStyle name="Comma 4 53" xfId="517" xr:uid="{00000000-0005-0000-0000-000091010000}"/>
    <cellStyle name="Comma 4 54" xfId="518" xr:uid="{00000000-0005-0000-0000-000092010000}"/>
    <cellStyle name="Comma 4 55" xfId="519" xr:uid="{00000000-0005-0000-0000-000093010000}"/>
    <cellStyle name="Comma 4 56" xfId="520" xr:uid="{00000000-0005-0000-0000-000094010000}"/>
    <cellStyle name="Comma 4 57" xfId="521" xr:uid="{00000000-0005-0000-0000-000095010000}"/>
    <cellStyle name="Comma 4 58" xfId="522" xr:uid="{00000000-0005-0000-0000-000096010000}"/>
    <cellStyle name="Comma 4 59" xfId="523" xr:uid="{00000000-0005-0000-0000-000097010000}"/>
    <cellStyle name="Comma 4 6" xfId="214" xr:uid="{00000000-0005-0000-0000-000098010000}"/>
    <cellStyle name="Comma 4 6 2" xfId="3591" xr:uid="{00000000-0005-0000-0000-0000640A0000}"/>
    <cellStyle name="Comma 4 60" xfId="524" xr:uid="{00000000-0005-0000-0000-000099010000}"/>
    <cellStyle name="Comma 4 61" xfId="525" xr:uid="{00000000-0005-0000-0000-00009A010000}"/>
    <cellStyle name="Comma 4 62" xfId="526" xr:uid="{00000000-0005-0000-0000-00009B010000}"/>
    <cellStyle name="Comma 4 63" xfId="527" xr:uid="{00000000-0005-0000-0000-00009C010000}"/>
    <cellStyle name="Comma 4 64" xfId="528" xr:uid="{00000000-0005-0000-0000-00009D010000}"/>
    <cellStyle name="Comma 4 65" xfId="529" xr:uid="{00000000-0005-0000-0000-00009E010000}"/>
    <cellStyle name="Comma 4 66" xfId="530" xr:uid="{00000000-0005-0000-0000-00009F010000}"/>
    <cellStyle name="Comma 4 67" xfId="531" xr:uid="{00000000-0005-0000-0000-0000A0010000}"/>
    <cellStyle name="Comma 4 68" xfId="532" xr:uid="{00000000-0005-0000-0000-0000A1010000}"/>
    <cellStyle name="Comma 4 69" xfId="533" xr:uid="{00000000-0005-0000-0000-0000A2010000}"/>
    <cellStyle name="Comma 4 7" xfId="217" xr:uid="{00000000-0005-0000-0000-0000A3010000}"/>
    <cellStyle name="Comma 4 7 2" xfId="3592" xr:uid="{00000000-0005-0000-0000-0000650A0000}"/>
    <cellStyle name="Comma 4 70" xfId="534" xr:uid="{00000000-0005-0000-0000-0000A4010000}"/>
    <cellStyle name="Comma 4 71" xfId="535" xr:uid="{00000000-0005-0000-0000-0000A5010000}"/>
    <cellStyle name="Comma 4 72" xfId="536" xr:uid="{00000000-0005-0000-0000-0000A6010000}"/>
    <cellStyle name="Comma 4 73" xfId="537" xr:uid="{00000000-0005-0000-0000-0000A7010000}"/>
    <cellStyle name="Comma 4 74" xfId="538" xr:uid="{00000000-0005-0000-0000-0000A8010000}"/>
    <cellStyle name="Comma 4 75" xfId="539" xr:uid="{00000000-0005-0000-0000-0000A9010000}"/>
    <cellStyle name="Comma 4 76" xfId="540" xr:uid="{00000000-0005-0000-0000-0000AA010000}"/>
    <cellStyle name="Comma 4 77" xfId="541" xr:uid="{00000000-0005-0000-0000-0000AB010000}"/>
    <cellStyle name="Comma 4 78" xfId="542" xr:uid="{00000000-0005-0000-0000-0000AC010000}"/>
    <cellStyle name="Comma 4 79" xfId="543" xr:uid="{00000000-0005-0000-0000-0000AD010000}"/>
    <cellStyle name="Comma 4 8" xfId="544" xr:uid="{00000000-0005-0000-0000-0000AE010000}"/>
    <cellStyle name="Comma 4 8 2" xfId="3593" xr:uid="{00000000-0005-0000-0000-0000660A0000}"/>
    <cellStyle name="Comma 4 80" xfId="545" xr:uid="{00000000-0005-0000-0000-0000AF010000}"/>
    <cellStyle name="Comma 4 81" xfId="546" xr:uid="{00000000-0005-0000-0000-0000B0010000}"/>
    <cellStyle name="Comma 4 82" xfId="547" xr:uid="{00000000-0005-0000-0000-0000B1010000}"/>
    <cellStyle name="Comma 4 83" xfId="548" xr:uid="{00000000-0005-0000-0000-0000B2010000}"/>
    <cellStyle name="Comma 4 84" xfId="549" xr:uid="{00000000-0005-0000-0000-0000B3010000}"/>
    <cellStyle name="Comma 4 85" xfId="550" xr:uid="{00000000-0005-0000-0000-0000B4010000}"/>
    <cellStyle name="Comma 4 86" xfId="551" xr:uid="{00000000-0005-0000-0000-0000B5010000}"/>
    <cellStyle name="Comma 4 87" xfId="552" xr:uid="{00000000-0005-0000-0000-0000B6010000}"/>
    <cellStyle name="Comma 4 88" xfId="553" xr:uid="{00000000-0005-0000-0000-0000B7010000}"/>
    <cellStyle name="Comma 4 89" xfId="554" xr:uid="{00000000-0005-0000-0000-0000B8010000}"/>
    <cellStyle name="Comma 4 9" xfId="555" xr:uid="{00000000-0005-0000-0000-0000B9010000}"/>
    <cellStyle name="Comma 4 9 2" xfId="3594" xr:uid="{00000000-0005-0000-0000-0000670A0000}"/>
    <cellStyle name="Comma 4 90" xfId="556" xr:uid="{00000000-0005-0000-0000-0000BA010000}"/>
    <cellStyle name="Comma 4 91" xfId="557" xr:uid="{00000000-0005-0000-0000-0000BB010000}"/>
    <cellStyle name="Comma 4 92" xfId="558" xr:uid="{00000000-0005-0000-0000-0000BC010000}"/>
    <cellStyle name="Comma 4 93" xfId="559" xr:uid="{00000000-0005-0000-0000-0000BD010000}"/>
    <cellStyle name="Comma 4 94" xfId="560" xr:uid="{00000000-0005-0000-0000-0000BE010000}"/>
    <cellStyle name="Comma 4 95" xfId="561" xr:uid="{00000000-0005-0000-0000-0000BF010000}"/>
    <cellStyle name="Comma 4 96" xfId="562" xr:uid="{00000000-0005-0000-0000-0000C0010000}"/>
    <cellStyle name="Comma 4 97" xfId="563" xr:uid="{00000000-0005-0000-0000-0000C1010000}"/>
    <cellStyle name="Comma 4 98" xfId="564" xr:uid="{00000000-0005-0000-0000-0000C2010000}"/>
    <cellStyle name="Comma 4 99" xfId="565" xr:uid="{00000000-0005-0000-0000-0000C3010000}"/>
    <cellStyle name="Comma 44" xfId="947" xr:uid="{00000000-0005-0000-0000-0000C4010000}"/>
    <cellStyle name="Comma 49" xfId="16" xr:uid="{00000000-0005-0000-0000-000012000000}"/>
    <cellStyle name="Comma 49 2" xfId="78" xr:uid="{00000000-0005-0000-0000-000012000000}"/>
    <cellStyle name="Comma 49 3" xfId="37267" xr:uid="{8D407956-7D46-4667-BD5F-2BC08F970843}"/>
    <cellStyle name="Comma 5" xfId="22" xr:uid="{00000000-0005-0000-0000-000013000000}"/>
    <cellStyle name="Comma 5 10" xfId="566" xr:uid="{00000000-0005-0000-0000-0000C6010000}"/>
    <cellStyle name="Comma 5 10 2" xfId="3596" xr:uid="{00000000-0005-0000-0000-0000690A0000}"/>
    <cellStyle name="Comma 5 100" xfId="567" xr:uid="{00000000-0005-0000-0000-0000C7010000}"/>
    <cellStyle name="Comma 5 101" xfId="568" xr:uid="{00000000-0005-0000-0000-0000C8010000}"/>
    <cellStyle name="Comma 5 102" xfId="569" xr:uid="{00000000-0005-0000-0000-0000C9010000}"/>
    <cellStyle name="Comma 5 103" xfId="570" xr:uid="{00000000-0005-0000-0000-0000CA010000}"/>
    <cellStyle name="Comma 5 104" xfId="571" xr:uid="{00000000-0005-0000-0000-0000CB010000}"/>
    <cellStyle name="Comma 5 105" xfId="572" xr:uid="{00000000-0005-0000-0000-0000CC010000}"/>
    <cellStyle name="Comma 5 106" xfId="573" xr:uid="{00000000-0005-0000-0000-0000CD010000}"/>
    <cellStyle name="Comma 5 107" xfId="574" xr:uid="{00000000-0005-0000-0000-0000CE010000}"/>
    <cellStyle name="Comma 5 108" xfId="575" xr:uid="{00000000-0005-0000-0000-0000CF010000}"/>
    <cellStyle name="Comma 5 109" xfId="576" xr:uid="{00000000-0005-0000-0000-0000D0010000}"/>
    <cellStyle name="Comma 5 11" xfId="577" xr:uid="{00000000-0005-0000-0000-0000D1010000}"/>
    <cellStyle name="Comma 5 11 2" xfId="3597" xr:uid="{00000000-0005-0000-0000-00006A0A0000}"/>
    <cellStyle name="Comma 5 110" xfId="578" xr:uid="{00000000-0005-0000-0000-0000D2010000}"/>
    <cellStyle name="Comma 5 111" xfId="579" xr:uid="{00000000-0005-0000-0000-0000D3010000}"/>
    <cellStyle name="Comma 5 112" xfId="580" xr:uid="{00000000-0005-0000-0000-0000D4010000}"/>
    <cellStyle name="Comma 5 113" xfId="581" xr:uid="{00000000-0005-0000-0000-0000D5010000}"/>
    <cellStyle name="Comma 5 114" xfId="582" xr:uid="{00000000-0005-0000-0000-0000D6010000}"/>
    <cellStyle name="Comma 5 115" xfId="583" xr:uid="{00000000-0005-0000-0000-0000D7010000}"/>
    <cellStyle name="Comma 5 116" xfId="584" xr:uid="{00000000-0005-0000-0000-0000D8010000}"/>
    <cellStyle name="Comma 5 117" xfId="585" xr:uid="{00000000-0005-0000-0000-0000D9010000}"/>
    <cellStyle name="Comma 5 118" xfId="586" xr:uid="{00000000-0005-0000-0000-0000DA010000}"/>
    <cellStyle name="Comma 5 119" xfId="587" xr:uid="{00000000-0005-0000-0000-0000DB010000}"/>
    <cellStyle name="Comma 5 12" xfId="588" xr:uid="{00000000-0005-0000-0000-0000DC010000}"/>
    <cellStyle name="Comma 5 12 2" xfId="3598" xr:uid="{00000000-0005-0000-0000-00006B0A0000}"/>
    <cellStyle name="Comma 5 120" xfId="589" xr:uid="{00000000-0005-0000-0000-0000DD010000}"/>
    <cellStyle name="Comma 5 121" xfId="590" xr:uid="{00000000-0005-0000-0000-0000DE010000}"/>
    <cellStyle name="Comma 5 122" xfId="844" xr:uid="{00000000-0005-0000-0000-0000DF010000}"/>
    <cellStyle name="Comma 5 123" xfId="842" xr:uid="{00000000-0005-0000-0000-0000E0010000}"/>
    <cellStyle name="Comma 5 124" xfId="845" xr:uid="{00000000-0005-0000-0000-0000E1010000}"/>
    <cellStyle name="Comma 5 125" xfId="843" xr:uid="{00000000-0005-0000-0000-0000E2010000}"/>
    <cellStyle name="Comma 5 126" xfId="846" xr:uid="{00000000-0005-0000-0000-0000E3010000}"/>
    <cellStyle name="Comma 5 127" xfId="902" xr:uid="{00000000-0005-0000-0000-0000E4010000}"/>
    <cellStyle name="Comma 5 128" xfId="903" xr:uid="{00000000-0005-0000-0000-0000E5010000}"/>
    <cellStyle name="Comma 5 129" xfId="931" xr:uid="{00000000-0005-0000-0000-0000E6010000}"/>
    <cellStyle name="Comma 5 13" xfId="591" xr:uid="{00000000-0005-0000-0000-0000E7010000}"/>
    <cellStyle name="Comma 5 13 2" xfId="3599" xr:uid="{00000000-0005-0000-0000-00006C0A0000}"/>
    <cellStyle name="Comma 5 130" xfId="938" xr:uid="{00000000-0005-0000-0000-0000E8010000}"/>
    <cellStyle name="Comma 5 131" xfId="177" xr:uid="{00000000-0005-0000-0000-0000E9010000}"/>
    <cellStyle name="Comma 5 14" xfId="592" xr:uid="{00000000-0005-0000-0000-0000EA010000}"/>
    <cellStyle name="Comma 5 14 2" xfId="3600" xr:uid="{00000000-0005-0000-0000-00006D0A0000}"/>
    <cellStyle name="Comma 5 15" xfId="593" xr:uid="{00000000-0005-0000-0000-0000EB010000}"/>
    <cellStyle name="Comma 5 15 2" xfId="3601" xr:uid="{00000000-0005-0000-0000-00006E0A0000}"/>
    <cellStyle name="Comma 5 16" xfId="594" xr:uid="{00000000-0005-0000-0000-0000EC010000}"/>
    <cellStyle name="Comma 5 16 2" xfId="3602" xr:uid="{00000000-0005-0000-0000-00006F0A0000}"/>
    <cellStyle name="Comma 5 17" xfId="595" xr:uid="{00000000-0005-0000-0000-0000ED010000}"/>
    <cellStyle name="Comma 5 17 2" xfId="3603" xr:uid="{00000000-0005-0000-0000-0000700A0000}"/>
    <cellStyle name="Comma 5 18" xfId="596" xr:uid="{00000000-0005-0000-0000-0000EE010000}"/>
    <cellStyle name="Comma 5 18 2" xfId="3604" xr:uid="{00000000-0005-0000-0000-0000710A0000}"/>
    <cellStyle name="Comma 5 19" xfId="597" xr:uid="{00000000-0005-0000-0000-0000EF010000}"/>
    <cellStyle name="Comma 5 19 2" xfId="3605" xr:uid="{00000000-0005-0000-0000-0000720A0000}"/>
    <cellStyle name="Comma 5 2" xfId="79" xr:uid="{00000000-0005-0000-0000-000013000000}"/>
    <cellStyle name="Comma 5 2 10" xfId="3607" xr:uid="{00000000-0005-0000-0000-0000740A0000}"/>
    <cellStyle name="Comma 5 2 11" xfId="3608" xr:uid="{00000000-0005-0000-0000-0000750A0000}"/>
    <cellStyle name="Comma 5 2 12" xfId="3609" xr:uid="{00000000-0005-0000-0000-0000760A0000}"/>
    <cellStyle name="Comma 5 2 13" xfId="3610" xr:uid="{00000000-0005-0000-0000-0000770A0000}"/>
    <cellStyle name="Comma 5 2 14" xfId="3611" xr:uid="{00000000-0005-0000-0000-0000780A0000}"/>
    <cellStyle name="Comma 5 2 15" xfId="3612" xr:uid="{00000000-0005-0000-0000-0000790A0000}"/>
    <cellStyle name="Comma 5 2 16" xfId="3606" xr:uid="{00000000-0005-0000-0000-00007A0A0000}"/>
    <cellStyle name="Comma 5 2 2" xfId="190" xr:uid="{00000000-0005-0000-0000-0000F1010000}"/>
    <cellStyle name="Comma 5 2 2 2" xfId="3613" xr:uid="{00000000-0005-0000-0000-00007B0A0000}"/>
    <cellStyle name="Comma 5 2 3" xfId="3614" xr:uid="{00000000-0005-0000-0000-00007C0A0000}"/>
    <cellStyle name="Comma 5 2 4" xfId="3615" xr:uid="{00000000-0005-0000-0000-00007D0A0000}"/>
    <cellStyle name="Comma 5 2 5" xfId="3616" xr:uid="{00000000-0005-0000-0000-00007E0A0000}"/>
    <cellStyle name="Comma 5 2 6" xfId="3617" xr:uid="{00000000-0005-0000-0000-00007F0A0000}"/>
    <cellStyle name="Comma 5 2 7" xfId="3618" xr:uid="{00000000-0005-0000-0000-0000800A0000}"/>
    <cellStyle name="Comma 5 2 8" xfId="3619" xr:uid="{00000000-0005-0000-0000-0000810A0000}"/>
    <cellStyle name="Comma 5 2 9" xfId="3620" xr:uid="{00000000-0005-0000-0000-0000820A0000}"/>
    <cellStyle name="Comma 5 20" xfId="598" xr:uid="{00000000-0005-0000-0000-0000F2010000}"/>
    <cellStyle name="Comma 5 20 2" xfId="3621" xr:uid="{00000000-0005-0000-0000-0000830A0000}"/>
    <cellStyle name="Comma 5 21" xfId="599" xr:uid="{00000000-0005-0000-0000-0000F3010000}"/>
    <cellStyle name="Comma 5 21 2" xfId="3622" xr:uid="{00000000-0005-0000-0000-0000840A0000}"/>
    <cellStyle name="Comma 5 22" xfId="600" xr:uid="{00000000-0005-0000-0000-0000F4010000}"/>
    <cellStyle name="Comma 5 22 2" xfId="3623" xr:uid="{00000000-0005-0000-0000-0000850A0000}"/>
    <cellStyle name="Comma 5 23" xfId="601" xr:uid="{00000000-0005-0000-0000-0000F5010000}"/>
    <cellStyle name="Comma 5 23 2" xfId="3624" xr:uid="{00000000-0005-0000-0000-0000860A0000}"/>
    <cellStyle name="Comma 5 24" xfId="602" xr:uid="{00000000-0005-0000-0000-0000F6010000}"/>
    <cellStyle name="Comma 5 24 2" xfId="3625" xr:uid="{00000000-0005-0000-0000-0000870A0000}"/>
    <cellStyle name="Comma 5 25" xfId="603" xr:uid="{00000000-0005-0000-0000-0000F7010000}"/>
    <cellStyle name="Comma 5 25 2" xfId="3626" xr:uid="{00000000-0005-0000-0000-0000880A0000}"/>
    <cellStyle name="Comma 5 26" xfId="604" xr:uid="{00000000-0005-0000-0000-0000F8010000}"/>
    <cellStyle name="Comma 5 26 2" xfId="3627" xr:uid="{00000000-0005-0000-0000-0000890A0000}"/>
    <cellStyle name="Comma 5 27" xfId="605" xr:uid="{00000000-0005-0000-0000-0000F9010000}"/>
    <cellStyle name="Comma 5 27 2" xfId="3628" xr:uid="{00000000-0005-0000-0000-00008A0A0000}"/>
    <cellStyle name="Comma 5 28" xfId="606" xr:uid="{00000000-0005-0000-0000-0000FA010000}"/>
    <cellStyle name="Comma 5 28 2" xfId="3629" xr:uid="{00000000-0005-0000-0000-00008B0A0000}"/>
    <cellStyle name="Comma 5 29" xfId="607" xr:uid="{00000000-0005-0000-0000-0000FB010000}"/>
    <cellStyle name="Comma 5 29 2" xfId="3630" xr:uid="{00000000-0005-0000-0000-00008C0A0000}"/>
    <cellStyle name="Comma 5 3" xfId="193" xr:uid="{00000000-0005-0000-0000-0000FC010000}"/>
    <cellStyle name="Comma 5 3 2" xfId="3632" xr:uid="{00000000-0005-0000-0000-00008E0A0000}"/>
    <cellStyle name="Comma 5 3 3" xfId="3633" xr:uid="{00000000-0005-0000-0000-00008F0A0000}"/>
    <cellStyle name="Comma 5 3 4" xfId="3634" xr:uid="{00000000-0005-0000-0000-0000900A0000}"/>
    <cellStyle name="Comma 5 3 5" xfId="3631" xr:uid="{00000000-0005-0000-0000-00008D0A0000}"/>
    <cellStyle name="Comma 5 30" xfId="608" xr:uid="{00000000-0005-0000-0000-0000FD010000}"/>
    <cellStyle name="Comma 5 30 2" xfId="3595" xr:uid="{00000000-0005-0000-0000-0000910A0000}"/>
    <cellStyle name="Comma 5 31" xfId="609" xr:uid="{00000000-0005-0000-0000-0000FE010000}"/>
    <cellStyle name="Comma 5 32" xfId="610" xr:uid="{00000000-0005-0000-0000-0000FF010000}"/>
    <cellStyle name="Comma 5 33" xfId="611" xr:uid="{00000000-0005-0000-0000-000000020000}"/>
    <cellStyle name="Comma 5 34" xfId="612" xr:uid="{00000000-0005-0000-0000-000001020000}"/>
    <cellStyle name="Comma 5 35" xfId="613" xr:uid="{00000000-0005-0000-0000-000002020000}"/>
    <cellStyle name="Comma 5 36" xfId="614" xr:uid="{00000000-0005-0000-0000-000003020000}"/>
    <cellStyle name="Comma 5 37" xfId="615" xr:uid="{00000000-0005-0000-0000-000004020000}"/>
    <cellStyle name="Comma 5 38" xfId="616" xr:uid="{00000000-0005-0000-0000-000005020000}"/>
    <cellStyle name="Comma 5 39" xfId="617" xr:uid="{00000000-0005-0000-0000-000006020000}"/>
    <cellStyle name="Comma 5 4" xfId="203" xr:uid="{00000000-0005-0000-0000-000007020000}"/>
    <cellStyle name="Comma 5 4 2" xfId="3635" xr:uid="{00000000-0005-0000-0000-0000920A0000}"/>
    <cellStyle name="Comma 5 40" xfId="618" xr:uid="{00000000-0005-0000-0000-000008020000}"/>
    <cellStyle name="Comma 5 41" xfId="619" xr:uid="{00000000-0005-0000-0000-000009020000}"/>
    <cellStyle name="Comma 5 42" xfId="620" xr:uid="{00000000-0005-0000-0000-00000A020000}"/>
    <cellStyle name="Comma 5 43" xfId="621" xr:uid="{00000000-0005-0000-0000-00000B020000}"/>
    <cellStyle name="Comma 5 44" xfId="622" xr:uid="{00000000-0005-0000-0000-00000C020000}"/>
    <cellStyle name="Comma 5 45" xfId="623" xr:uid="{00000000-0005-0000-0000-00000D020000}"/>
    <cellStyle name="Comma 5 46" xfId="624" xr:uid="{00000000-0005-0000-0000-00000E020000}"/>
    <cellStyle name="Comma 5 47" xfId="625" xr:uid="{00000000-0005-0000-0000-00000F020000}"/>
    <cellStyle name="Comma 5 48" xfId="626" xr:uid="{00000000-0005-0000-0000-000010020000}"/>
    <cellStyle name="Comma 5 49" xfId="627" xr:uid="{00000000-0005-0000-0000-000011020000}"/>
    <cellStyle name="Comma 5 5" xfId="205" xr:uid="{00000000-0005-0000-0000-000012020000}"/>
    <cellStyle name="Comma 5 5 2" xfId="3636" xr:uid="{00000000-0005-0000-0000-0000930A0000}"/>
    <cellStyle name="Comma 5 50" xfId="628" xr:uid="{00000000-0005-0000-0000-000013020000}"/>
    <cellStyle name="Comma 5 51" xfId="629" xr:uid="{00000000-0005-0000-0000-000014020000}"/>
    <cellStyle name="Comma 5 52" xfId="630" xr:uid="{00000000-0005-0000-0000-000015020000}"/>
    <cellStyle name="Comma 5 53" xfId="631" xr:uid="{00000000-0005-0000-0000-000016020000}"/>
    <cellStyle name="Comma 5 54" xfId="632" xr:uid="{00000000-0005-0000-0000-000017020000}"/>
    <cellStyle name="Comma 5 55" xfId="633" xr:uid="{00000000-0005-0000-0000-000018020000}"/>
    <cellStyle name="Comma 5 56" xfId="634" xr:uid="{00000000-0005-0000-0000-000019020000}"/>
    <cellStyle name="Comma 5 57" xfId="635" xr:uid="{00000000-0005-0000-0000-00001A020000}"/>
    <cellStyle name="Comma 5 58" xfId="636" xr:uid="{00000000-0005-0000-0000-00001B020000}"/>
    <cellStyle name="Comma 5 59" xfId="637" xr:uid="{00000000-0005-0000-0000-00001C020000}"/>
    <cellStyle name="Comma 5 6" xfId="207" xr:uid="{00000000-0005-0000-0000-00001D020000}"/>
    <cellStyle name="Comma 5 6 2" xfId="3637" xr:uid="{00000000-0005-0000-0000-0000940A0000}"/>
    <cellStyle name="Comma 5 60" xfId="638" xr:uid="{00000000-0005-0000-0000-00001E020000}"/>
    <cellStyle name="Comma 5 61" xfId="639" xr:uid="{00000000-0005-0000-0000-00001F020000}"/>
    <cellStyle name="Comma 5 62" xfId="640" xr:uid="{00000000-0005-0000-0000-000020020000}"/>
    <cellStyle name="Comma 5 63" xfId="641" xr:uid="{00000000-0005-0000-0000-000021020000}"/>
    <cellStyle name="Comma 5 64" xfId="642" xr:uid="{00000000-0005-0000-0000-000022020000}"/>
    <cellStyle name="Comma 5 65" xfId="643" xr:uid="{00000000-0005-0000-0000-000023020000}"/>
    <cellStyle name="Comma 5 66" xfId="644" xr:uid="{00000000-0005-0000-0000-000024020000}"/>
    <cellStyle name="Comma 5 67" xfId="645" xr:uid="{00000000-0005-0000-0000-000025020000}"/>
    <cellStyle name="Comma 5 68" xfId="646" xr:uid="{00000000-0005-0000-0000-000026020000}"/>
    <cellStyle name="Comma 5 69" xfId="647" xr:uid="{00000000-0005-0000-0000-000027020000}"/>
    <cellStyle name="Comma 5 7" xfId="212" xr:uid="{00000000-0005-0000-0000-000028020000}"/>
    <cellStyle name="Comma 5 7 2" xfId="3638" xr:uid="{00000000-0005-0000-0000-0000950A0000}"/>
    <cellStyle name="Comma 5 70" xfId="648" xr:uid="{00000000-0005-0000-0000-000029020000}"/>
    <cellStyle name="Comma 5 71" xfId="649" xr:uid="{00000000-0005-0000-0000-00002A020000}"/>
    <cellStyle name="Comma 5 72" xfId="650" xr:uid="{00000000-0005-0000-0000-00002B020000}"/>
    <cellStyle name="Comma 5 73" xfId="651" xr:uid="{00000000-0005-0000-0000-00002C020000}"/>
    <cellStyle name="Comma 5 74" xfId="652" xr:uid="{00000000-0005-0000-0000-00002D020000}"/>
    <cellStyle name="Comma 5 75" xfId="653" xr:uid="{00000000-0005-0000-0000-00002E020000}"/>
    <cellStyle name="Comma 5 76" xfId="654" xr:uid="{00000000-0005-0000-0000-00002F020000}"/>
    <cellStyle name="Comma 5 77" xfId="655" xr:uid="{00000000-0005-0000-0000-000030020000}"/>
    <cellStyle name="Comma 5 78" xfId="656" xr:uid="{00000000-0005-0000-0000-000031020000}"/>
    <cellStyle name="Comma 5 79" xfId="657" xr:uid="{00000000-0005-0000-0000-000032020000}"/>
    <cellStyle name="Comma 5 8" xfId="658" xr:uid="{00000000-0005-0000-0000-000033020000}"/>
    <cellStyle name="Comma 5 8 2" xfId="3639" xr:uid="{00000000-0005-0000-0000-0000960A0000}"/>
    <cellStyle name="Comma 5 80" xfId="659" xr:uid="{00000000-0005-0000-0000-000034020000}"/>
    <cellStyle name="Comma 5 81" xfId="660" xr:uid="{00000000-0005-0000-0000-000035020000}"/>
    <cellStyle name="Comma 5 82" xfId="661" xr:uid="{00000000-0005-0000-0000-000036020000}"/>
    <cellStyle name="Comma 5 83" xfId="662" xr:uid="{00000000-0005-0000-0000-000037020000}"/>
    <cellStyle name="Comma 5 84" xfId="663" xr:uid="{00000000-0005-0000-0000-000038020000}"/>
    <cellStyle name="Comma 5 85" xfId="664" xr:uid="{00000000-0005-0000-0000-000039020000}"/>
    <cellStyle name="Comma 5 86" xfId="665" xr:uid="{00000000-0005-0000-0000-00003A020000}"/>
    <cellStyle name="Comma 5 87" xfId="666" xr:uid="{00000000-0005-0000-0000-00003B020000}"/>
    <cellStyle name="Comma 5 88" xfId="667" xr:uid="{00000000-0005-0000-0000-00003C020000}"/>
    <cellStyle name="Comma 5 89" xfId="668" xr:uid="{00000000-0005-0000-0000-00003D020000}"/>
    <cellStyle name="Comma 5 9" xfId="669" xr:uid="{00000000-0005-0000-0000-00003E020000}"/>
    <cellStyle name="Comma 5 9 2" xfId="3640" xr:uid="{00000000-0005-0000-0000-0000970A0000}"/>
    <cellStyle name="Comma 5 90" xfId="670" xr:uid="{00000000-0005-0000-0000-00003F020000}"/>
    <cellStyle name="Comma 5 91" xfId="671" xr:uid="{00000000-0005-0000-0000-000040020000}"/>
    <cellStyle name="Comma 5 92" xfId="672" xr:uid="{00000000-0005-0000-0000-000041020000}"/>
    <cellStyle name="Comma 5 93" xfId="673" xr:uid="{00000000-0005-0000-0000-000042020000}"/>
    <cellStyle name="Comma 5 94" xfId="674" xr:uid="{00000000-0005-0000-0000-000043020000}"/>
    <cellStyle name="Comma 5 95" xfId="675" xr:uid="{00000000-0005-0000-0000-000044020000}"/>
    <cellStyle name="Comma 5 96" xfId="676" xr:uid="{00000000-0005-0000-0000-000045020000}"/>
    <cellStyle name="Comma 5 97" xfId="677" xr:uid="{00000000-0005-0000-0000-000046020000}"/>
    <cellStyle name="Comma 5 98" xfId="678" xr:uid="{00000000-0005-0000-0000-000047020000}"/>
    <cellStyle name="Comma 5 99" xfId="679" xr:uid="{00000000-0005-0000-0000-000048020000}"/>
    <cellStyle name="Comma 6" xfId="59" xr:uid="{68991577-7384-460C-B33A-AA4BA5B0946B}"/>
    <cellStyle name="Comma 6 10" xfId="3642" xr:uid="{00000000-0005-0000-0000-0000990A0000}"/>
    <cellStyle name="Comma 6 11" xfId="3643" xr:uid="{00000000-0005-0000-0000-00009A0A0000}"/>
    <cellStyle name="Comma 6 12" xfId="3644" xr:uid="{00000000-0005-0000-0000-00009B0A0000}"/>
    <cellStyle name="Comma 6 13" xfId="3645" xr:uid="{00000000-0005-0000-0000-00009C0A0000}"/>
    <cellStyle name="Comma 6 14" xfId="3646" xr:uid="{00000000-0005-0000-0000-00009D0A0000}"/>
    <cellStyle name="Comma 6 15" xfId="3647" xr:uid="{00000000-0005-0000-0000-00009E0A0000}"/>
    <cellStyle name="Comma 6 16" xfId="3641" xr:uid="{00000000-0005-0000-0000-0000980A0000}"/>
    <cellStyle name="Comma 6 2" xfId="86" xr:uid="{68991577-7384-460C-B33A-AA4BA5B0946B}"/>
    <cellStyle name="Comma 6 2 10" xfId="3649" xr:uid="{00000000-0005-0000-0000-0000A00A0000}"/>
    <cellStyle name="Comma 6 2 11" xfId="3650" xr:uid="{00000000-0005-0000-0000-0000A10A0000}"/>
    <cellStyle name="Comma 6 2 12" xfId="3651" xr:uid="{00000000-0005-0000-0000-0000A20A0000}"/>
    <cellStyle name="Comma 6 2 13" xfId="3648" xr:uid="{00000000-0005-0000-0000-00009F0A0000}"/>
    <cellStyle name="Comma 6 2 2" xfId="3652" xr:uid="{00000000-0005-0000-0000-0000A30A0000}"/>
    <cellStyle name="Comma 6 2 3" xfId="3653" xr:uid="{00000000-0005-0000-0000-0000A40A0000}"/>
    <cellStyle name="Comma 6 2 4" xfId="3654" xr:uid="{00000000-0005-0000-0000-0000A50A0000}"/>
    <cellStyle name="Comma 6 2 5" xfId="3655" xr:uid="{00000000-0005-0000-0000-0000A60A0000}"/>
    <cellStyle name="Comma 6 2 6" xfId="3656" xr:uid="{00000000-0005-0000-0000-0000A70A0000}"/>
    <cellStyle name="Comma 6 2 7" xfId="3657" xr:uid="{00000000-0005-0000-0000-0000A80A0000}"/>
    <cellStyle name="Comma 6 2 8" xfId="3658" xr:uid="{00000000-0005-0000-0000-0000A90A0000}"/>
    <cellStyle name="Comma 6 2 9" xfId="3659" xr:uid="{00000000-0005-0000-0000-0000AA0A0000}"/>
    <cellStyle name="Comma 6 3" xfId="220" xr:uid="{00000000-0005-0000-0000-000049020000}"/>
    <cellStyle name="Comma 6 3 2" xfId="3661" xr:uid="{00000000-0005-0000-0000-0000AC0A0000}"/>
    <cellStyle name="Comma 6 3 3" xfId="3662" xr:uid="{00000000-0005-0000-0000-0000AD0A0000}"/>
    <cellStyle name="Comma 6 3 4" xfId="3660" xr:uid="{00000000-0005-0000-0000-0000AB0A0000}"/>
    <cellStyle name="Comma 6 4" xfId="3663" xr:uid="{00000000-0005-0000-0000-0000AE0A0000}"/>
    <cellStyle name="Comma 6 5" xfId="3664" xr:uid="{00000000-0005-0000-0000-0000AF0A0000}"/>
    <cellStyle name="Comma 6 6" xfId="3665" xr:uid="{00000000-0005-0000-0000-0000B00A0000}"/>
    <cellStyle name="Comma 6 7" xfId="3666" xr:uid="{00000000-0005-0000-0000-0000B10A0000}"/>
    <cellStyle name="Comma 6 8" xfId="3667" xr:uid="{00000000-0005-0000-0000-0000B20A0000}"/>
    <cellStyle name="Comma 6 9" xfId="3668" xr:uid="{00000000-0005-0000-0000-0000B30A0000}"/>
    <cellStyle name="Comma 7" xfId="96" xr:uid="{00000000-0005-0000-0000-00008E000000}"/>
    <cellStyle name="Comma 7 10" xfId="3670" xr:uid="{00000000-0005-0000-0000-0000B50A0000}"/>
    <cellStyle name="Comma 7 11" xfId="3671" xr:uid="{00000000-0005-0000-0000-0000B60A0000}"/>
    <cellStyle name="Comma 7 12" xfId="3672" xr:uid="{00000000-0005-0000-0000-0000B70A0000}"/>
    <cellStyle name="Comma 7 13" xfId="3673" xr:uid="{00000000-0005-0000-0000-0000B80A0000}"/>
    <cellStyle name="Comma 7 14" xfId="3669" xr:uid="{00000000-0005-0000-0000-0000B40A0000}"/>
    <cellStyle name="Comma 7 2" xfId="817" xr:uid="{00000000-0005-0000-0000-00004A020000}"/>
    <cellStyle name="Comma 7 2 10" xfId="3675" xr:uid="{00000000-0005-0000-0000-0000BA0A0000}"/>
    <cellStyle name="Comma 7 2 11" xfId="3676" xr:uid="{00000000-0005-0000-0000-0000BB0A0000}"/>
    <cellStyle name="Comma 7 2 12" xfId="3677" xr:uid="{00000000-0005-0000-0000-0000BC0A0000}"/>
    <cellStyle name="Comma 7 2 13" xfId="3678" xr:uid="{00000000-0005-0000-0000-0000BD0A0000}"/>
    <cellStyle name="Comma 7 2 14" xfId="3679" xr:uid="{00000000-0005-0000-0000-0000BE0A0000}"/>
    <cellStyle name="Comma 7 2 15" xfId="3680" xr:uid="{00000000-0005-0000-0000-0000BF0A0000}"/>
    <cellStyle name="Comma 7 2 16" xfId="3674" xr:uid="{00000000-0005-0000-0000-0000B90A0000}"/>
    <cellStyle name="Comma 7 2 2" xfId="3681" xr:uid="{00000000-0005-0000-0000-0000C00A0000}"/>
    <cellStyle name="Comma 7 2 2 2" xfId="3682" xr:uid="{00000000-0005-0000-0000-0000C10A0000}"/>
    <cellStyle name="Comma 7 2 2 2 2" xfId="3683" xr:uid="{00000000-0005-0000-0000-0000C20A0000}"/>
    <cellStyle name="Comma 7 2 2 3" xfId="3684" xr:uid="{00000000-0005-0000-0000-0000C30A0000}"/>
    <cellStyle name="Comma 7 2 2 4" xfId="3685" xr:uid="{00000000-0005-0000-0000-0000C40A0000}"/>
    <cellStyle name="Comma 7 2 2 5" xfId="3686" xr:uid="{00000000-0005-0000-0000-0000C50A0000}"/>
    <cellStyle name="Comma 7 2 2 6" xfId="3687" xr:uid="{00000000-0005-0000-0000-0000C60A0000}"/>
    <cellStyle name="Comma 7 2 3" xfId="3688" xr:uid="{00000000-0005-0000-0000-0000C70A0000}"/>
    <cellStyle name="Comma 7 2 3 2" xfId="3689" xr:uid="{00000000-0005-0000-0000-0000C80A0000}"/>
    <cellStyle name="Comma 7 2 3 3" xfId="3690" xr:uid="{00000000-0005-0000-0000-0000C90A0000}"/>
    <cellStyle name="Comma 7 2 3 4" xfId="3691" xr:uid="{00000000-0005-0000-0000-0000CA0A0000}"/>
    <cellStyle name="Comma 7 2 3 5" xfId="3692" xr:uid="{00000000-0005-0000-0000-0000CB0A0000}"/>
    <cellStyle name="Comma 7 2 4" xfId="3693" xr:uid="{00000000-0005-0000-0000-0000CC0A0000}"/>
    <cellStyle name="Comma 7 2 4 2" xfId="3694" xr:uid="{00000000-0005-0000-0000-0000CD0A0000}"/>
    <cellStyle name="Comma 7 2 4 3" xfId="3695" xr:uid="{00000000-0005-0000-0000-0000CE0A0000}"/>
    <cellStyle name="Comma 7 2 4 4" xfId="3696" xr:uid="{00000000-0005-0000-0000-0000CF0A0000}"/>
    <cellStyle name="Comma 7 2 4 5" xfId="3697" xr:uid="{00000000-0005-0000-0000-0000D00A0000}"/>
    <cellStyle name="Comma 7 2 5" xfId="3698" xr:uid="{00000000-0005-0000-0000-0000D10A0000}"/>
    <cellStyle name="Comma 7 2 6" xfId="3699" xr:uid="{00000000-0005-0000-0000-0000D20A0000}"/>
    <cellStyle name="Comma 7 2 7" xfId="3700" xr:uid="{00000000-0005-0000-0000-0000D30A0000}"/>
    <cellStyle name="Comma 7 2 8" xfId="3701" xr:uid="{00000000-0005-0000-0000-0000D40A0000}"/>
    <cellStyle name="Comma 7 2 9" xfId="3702" xr:uid="{00000000-0005-0000-0000-0000D50A0000}"/>
    <cellStyle name="Comma 7 3" xfId="3703" xr:uid="{00000000-0005-0000-0000-0000D60A0000}"/>
    <cellStyle name="Comma 7 3 2" xfId="3704" xr:uid="{00000000-0005-0000-0000-0000D70A0000}"/>
    <cellStyle name="Comma 7 3 2 2" xfId="3705" xr:uid="{00000000-0005-0000-0000-0000D80A0000}"/>
    <cellStyle name="Comma 7 3 3" xfId="3706" xr:uid="{00000000-0005-0000-0000-0000D90A0000}"/>
    <cellStyle name="Comma 7 3 4" xfId="3707" xr:uid="{00000000-0005-0000-0000-0000DA0A0000}"/>
    <cellStyle name="Comma 7 3 5" xfId="3708" xr:uid="{00000000-0005-0000-0000-0000DB0A0000}"/>
    <cellStyle name="Comma 7 3 6" xfId="3709" xr:uid="{00000000-0005-0000-0000-0000DC0A0000}"/>
    <cellStyle name="Comma 7 4" xfId="3710" xr:uid="{00000000-0005-0000-0000-0000DD0A0000}"/>
    <cellStyle name="Comma 7 4 2" xfId="3711" xr:uid="{00000000-0005-0000-0000-0000DE0A0000}"/>
    <cellStyle name="Comma 7 4 3" xfId="3712" xr:uid="{00000000-0005-0000-0000-0000DF0A0000}"/>
    <cellStyle name="Comma 7 4 4" xfId="3713" xr:uid="{00000000-0005-0000-0000-0000E00A0000}"/>
    <cellStyle name="Comma 7 4 5" xfId="3714" xr:uid="{00000000-0005-0000-0000-0000E10A0000}"/>
    <cellStyle name="Comma 7 5" xfId="3715" xr:uid="{00000000-0005-0000-0000-0000E20A0000}"/>
    <cellStyle name="Comma 7 5 2" xfId="3716" xr:uid="{00000000-0005-0000-0000-0000E30A0000}"/>
    <cellStyle name="Comma 7 5 3" xfId="3717" xr:uid="{00000000-0005-0000-0000-0000E40A0000}"/>
    <cellStyle name="Comma 7 5 4" xfId="3718" xr:uid="{00000000-0005-0000-0000-0000E50A0000}"/>
    <cellStyle name="Comma 7 5 5" xfId="3719" xr:uid="{00000000-0005-0000-0000-0000E60A0000}"/>
    <cellStyle name="Comma 7 6" xfId="3720" xr:uid="{00000000-0005-0000-0000-0000E70A0000}"/>
    <cellStyle name="Comma 7 7" xfId="3721" xr:uid="{00000000-0005-0000-0000-0000E80A0000}"/>
    <cellStyle name="Comma 7 8" xfId="3722" xr:uid="{00000000-0005-0000-0000-0000E90A0000}"/>
    <cellStyle name="Comma 7 9" xfId="3723" xr:uid="{00000000-0005-0000-0000-0000EA0A0000}"/>
    <cellStyle name="Comma 8" xfId="50" xr:uid="{00000000-0005-0000-0000-000014000000}"/>
    <cellStyle name="Comma 8 10" xfId="3725" xr:uid="{00000000-0005-0000-0000-0000EC0A0000}"/>
    <cellStyle name="Comma 8 11" xfId="3726" xr:uid="{00000000-0005-0000-0000-0000ED0A0000}"/>
    <cellStyle name="Comma 8 12" xfId="3724" xr:uid="{00000000-0005-0000-0000-0000EB0A0000}"/>
    <cellStyle name="Comma 8 2" xfId="84" xr:uid="{00000000-0005-0000-0000-000014000000}"/>
    <cellStyle name="Comma 8 2 10" xfId="3728" xr:uid="{00000000-0005-0000-0000-0000EF0A0000}"/>
    <cellStyle name="Comma 8 2 10 2" xfId="3729" xr:uid="{00000000-0005-0000-0000-0000F00A0000}"/>
    <cellStyle name="Comma 8 2 10 3" xfId="3730" xr:uid="{00000000-0005-0000-0000-0000F10A0000}"/>
    <cellStyle name="Comma 8 2 10 4" xfId="3731" xr:uid="{00000000-0005-0000-0000-0000F20A0000}"/>
    <cellStyle name="Comma 8 2 10 5" xfId="3732" xr:uid="{00000000-0005-0000-0000-0000F30A0000}"/>
    <cellStyle name="Comma 8 2 11" xfId="3733" xr:uid="{00000000-0005-0000-0000-0000F40A0000}"/>
    <cellStyle name="Comma 8 2 12" xfId="3734" xr:uid="{00000000-0005-0000-0000-0000F50A0000}"/>
    <cellStyle name="Comma 8 2 13" xfId="3735" xr:uid="{00000000-0005-0000-0000-0000F60A0000}"/>
    <cellStyle name="Comma 8 2 14" xfId="3736" xr:uid="{00000000-0005-0000-0000-0000F70A0000}"/>
    <cellStyle name="Comma 8 2 15" xfId="3737" xr:uid="{00000000-0005-0000-0000-0000F80A0000}"/>
    <cellStyle name="Comma 8 2 16" xfId="3738" xr:uid="{00000000-0005-0000-0000-0000F90A0000}"/>
    <cellStyle name="Comma 8 2 17" xfId="3739" xr:uid="{00000000-0005-0000-0000-0000FA0A0000}"/>
    <cellStyle name="Comma 8 2 18" xfId="3740" xr:uid="{00000000-0005-0000-0000-0000FB0A0000}"/>
    <cellStyle name="Comma 8 2 19" xfId="3727" xr:uid="{00000000-0005-0000-0000-0000EE0A0000}"/>
    <cellStyle name="Comma 8 2 2" xfId="3741" xr:uid="{00000000-0005-0000-0000-0000FC0A0000}"/>
    <cellStyle name="Comma 8 2 2 2" xfId="3742" xr:uid="{00000000-0005-0000-0000-0000FD0A0000}"/>
    <cellStyle name="Comma 8 2 2 2 2" xfId="3743" xr:uid="{00000000-0005-0000-0000-0000FE0A0000}"/>
    <cellStyle name="Comma 8 2 2 2 2 2" xfId="3744" xr:uid="{00000000-0005-0000-0000-0000FF0A0000}"/>
    <cellStyle name="Comma 8 2 2 2 2 3" xfId="3745" xr:uid="{00000000-0005-0000-0000-0000000B0000}"/>
    <cellStyle name="Comma 8 2 2 2 2 4" xfId="3746" xr:uid="{00000000-0005-0000-0000-0000010B0000}"/>
    <cellStyle name="Comma 8 2 2 2 2 5" xfId="3747" xr:uid="{00000000-0005-0000-0000-0000020B0000}"/>
    <cellStyle name="Comma 8 2 2 2 3" xfId="3748" xr:uid="{00000000-0005-0000-0000-0000030B0000}"/>
    <cellStyle name="Comma 8 2 2 2 3 2" xfId="3749" xr:uid="{00000000-0005-0000-0000-0000040B0000}"/>
    <cellStyle name="Comma 8 2 2 2 3 3" xfId="3750" xr:uid="{00000000-0005-0000-0000-0000050B0000}"/>
    <cellStyle name="Comma 8 2 2 2 3 4" xfId="3751" xr:uid="{00000000-0005-0000-0000-0000060B0000}"/>
    <cellStyle name="Comma 8 2 2 2 3 5" xfId="3752" xr:uid="{00000000-0005-0000-0000-0000070B0000}"/>
    <cellStyle name="Comma 8 2 2 2 4" xfId="3753" xr:uid="{00000000-0005-0000-0000-0000080B0000}"/>
    <cellStyle name="Comma 8 2 2 2 4 2" xfId="3754" xr:uid="{00000000-0005-0000-0000-0000090B0000}"/>
    <cellStyle name="Comma 8 2 2 2 4 3" xfId="3755" xr:uid="{00000000-0005-0000-0000-00000A0B0000}"/>
    <cellStyle name="Comma 8 2 2 2 4 4" xfId="3756" xr:uid="{00000000-0005-0000-0000-00000B0B0000}"/>
    <cellStyle name="Comma 8 2 2 2 4 5" xfId="3757" xr:uid="{00000000-0005-0000-0000-00000C0B0000}"/>
    <cellStyle name="Comma 8 2 2 2 5" xfId="3758" xr:uid="{00000000-0005-0000-0000-00000D0B0000}"/>
    <cellStyle name="Comma 8 2 2 2 6" xfId="3759" xr:uid="{00000000-0005-0000-0000-00000E0B0000}"/>
    <cellStyle name="Comma 8 2 2 2 7" xfId="3760" xr:uid="{00000000-0005-0000-0000-00000F0B0000}"/>
    <cellStyle name="Comma 8 2 2 2 8" xfId="3761" xr:uid="{00000000-0005-0000-0000-0000100B0000}"/>
    <cellStyle name="Comma 8 2 2 3" xfId="3762" xr:uid="{00000000-0005-0000-0000-0000110B0000}"/>
    <cellStyle name="Comma 8 2 2 3 2" xfId="3763" xr:uid="{00000000-0005-0000-0000-0000120B0000}"/>
    <cellStyle name="Comma 8 2 2 3 3" xfId="3764" xr:uid="{00000000-0005-0000-0000-0000130B0000}"/>
    <cellStyle name="Comma 8 2 2 3 4" xfId="3765" xr:uid="{00000000-0005-0000-0000-0000140B0000}"/>
    <cellStyle name="Comma 8 2 2 3 5" xfId="3766" xr:uid="{00000000-0005-0000-0000-0000150B0000}"/>
    <cellStyle name="Comma 8 2 2 4" xfId="3767" xr:uid="{00000000-0005-0000-0000-0000160B0000}"/>
    <cellStyle name="Comma 8 2 2 4 2" xfId="3768" xr:uid="{00000000-0005-0000-0000-0000170B0000}"/>
    <cellStyle name="Comma 8 2 2 4 3" xfId="3769" xr:uid="{00000000-0005-0000-0000-0000180B0000}"/>
    <cellStyle name="Comma 8 2 2 4 4" xfId="3770" xr:uid="{00000000-0005-0000-0000-0000190B0000}"/>
    <cellStyle name="Comma 8 2 2 4 5" xfId="3771" xr:uid="{00000000-0005-0000-0000-00001A0B0000}"/>
    <cellStyle name="Comma 8 2 2 5" xfId="3772" xr:uid="{00000000-0005-0000-0000-00001B0B0000}"/>
    <cellStyle name="Comma 8 2 2 5 2" xfId="3773" xr:uid="{00000000-0005-0000-0000-00001C0B0000}"/>
    <cellStyle name="Comma 8 2 2 5 3" xfId="3774" xr:uid="{00000000-0005-0000-0000-00001D0B0000}"/>
    <cellStyle name="Comma 8 2 2 5 4" xfId="3775" xr:uid="{00000000-0005-0000-0000-00001E0B0000}"/>
    <cellStyle name="Comma 8 2 2 5 5" xfId="3776" xr:uid="{00000000-0005-0000-0000-00001F0B0000}"/>
    <cellStyle name="Comma 8 2 2 6" xfId="3777" xr:uid="{00000000-0005-0000-0000-0000200B0000}"/>
    <cellStyle name="Comma 8 2 2 7" xfId="3778" xr:uid="{00000000-0005-0000-0000-0000210B0000}"/>
    <cellStyle name="Comma 8 2 2 8" xfId="3779" xr:uid="{00000000-0005-0000-0000-0000220B0000}"/>
    <cellStyle name="Comma 8 2 2 9" xfId="3780" xr:uid="{00000000-0005-0000-0000-0000230B0000}"/>
    <cellStyle name="Comma 8 2 3" xfId="3781" xr:uid="{00000000-0005-0000-0000-0000240B0000}"/>
    <cellStyle name="Comma 8 2 3 10" xfId="3782" xr:uid="{00000000-0005-0000-0000-0000250B0000}"/>
    <cellStyle name="Comma 8 2 3 2" xfId="3783" xr:uid="{00000000-0005-0000-0000-0000260B0000}"/>
    <cellStyle name="Comma 8 2 3 2 2" xfId="3784" xr:uid="{00000000-0005-0000-0000-0000270B0000}"/>
    <cellStyle name="Comma 8 2 3 2 2 2" xfId="3785" xr:uid="{00000000-0005-0000-0000-0000280B0000}"/>
    <cellStyle name="Comma 8 2 3 2 2 3" xfId="3786" xr:uid="{00000000-0005-0000-0000-0000290B0000}"/>
    <cellStyle name="Comma 8 2 3 2 2 4" xfId="3787" xr:uid="{00000000-0005-0000-0000-00002A0B0000}"/>
    <cellStyle name="Comma 8 2 3 2 2 5" xfId="3788" xr:uid="{00000000-0005-0000-0000-00002B0B0000}"/>
    <cellStyle name="Comma 8 2 3 2 3" xfId="3789" xr:uid="{00000000-0005-0000-0000-00002C0B0000}"/>
    <cellStyle name="Comma 8 2 3 2 3 2" xfId="3790" xr:uid="{00000000-0005-0000-0000-00002D0B0000}"/>
    <cellStyle name="Comma 8 2 3 2 3 3" xfId="3791" xr:uid="{00000000-0005-0000-0000-00002E0B0000}"/>
    <cellStyle name="Comma 8 2 3 2 3 4" xfId="3792" xr:uid="{00000000-0005-0000-0000-00002F0B0000}"/>
    <cellStyle name="Comma 8 2 3 2 3 5" xfId="3793" xr:uid="{00000000-0005-0000-0000-0000300B0000}"/>
    <cellStyle name="Comma 8 2 3 2 4" xfId="3794" xr:uid="{00000000-0005-0000-0000-0000310B0000}"/>
    <cellStyle name="Comma 8 2 3 2 4 2" xfId="3795" xr:uid="{00000000-0005-0000-0000-0000320B0000}"/>
    <cellStyle name="Comma 8 2 3 2 4 3" xfId="3796" xr:uid="{00000000-0005-0000-0000-0000330B0000}"/>
    <cellStyle name="Comma 8 2 3 2 4 4" xfId="3797" xr:uid="{00000000-0005-0000-0000-0000340B0000}"/>
    <cellStyle name="Comma 8 2 3 2 4 5" xfId="3798" xr:uid="{00000000-0005-0000-0000-0000350B0000}"/>
    <cellStyle name="Comma 8 2 3 2 5" xfId="3799" xr:uid="{00000000-0005-0000-0000-0000360B0000}"/>
    <cellStyle name="Comma 8 2 3 2 6" xfId="3800" xr:uid="{00000000-0005-0000-0000-0000370B0000}"/>
    <cellStyle name="Comma 8 2 3 2 7" xfId="3801" xr:uid="{00000000-0005-0000-0000-0000380B0000}"/>
    <cellStyle name="Comma 8 2 3 2 8" xfId="3802" xr:uid="{00000000-0005-0000-0000-0000390B0000}"/>
    <cellStyle name="Comma 8 2 3 3" xfId="3803" xr:uid="{00000000-0005-0000-0000-00003A0B0000}"/>
    <cellStyle name="Comma 8 2 3 3 2" xfId="3804" xr:uid="{00000000-0005-0000-0000-00003B0B0000}"/>
    <cellStyle name="Comma 8 2 3 3 2 2" xfId="3805" xr:uid="{00000000-0005-0000-0000-00003C0B0000}"/>
    <cellStyle name="Comma 8 2 3 3 2 2 2" xfId="3806" xr:uid="{00000000-0005-0000-0000-00003D0B0000}"/>
    <cellStyle name="Comma 8 2 3 3 2 2 2 2" xfId="3807" xr:uid="{00000000-0005-0000-0000-00003E0B0000}"/>
    <cellStyle name="Comma 8 2 3 3 2 2 2 3" xfId="3808" xr:uid="{00000000-0005-0000-0000-00003F0B0000}"/>
    <cellStyle name="Comma 8 2 3 3 2 2 2 4" xfId="3809" xr:uid="{00000000-0005-0000-0000-0000400B0000}"/>
    <cellStyle name="Comma 8 2 3 3 2 2 2 5" xfId="3810" xr:uid="{00000000-0005-0000-0000-0000410B0000}"/>
    <cellStyle name="Comma 8 2 3 3 2 2 3" xfId="3811" xr:uid="{00000000-0005-0000-0000-0000420B0000}"/>
    <cellStyle name="Comma 8 2 3 3 2 2 3 2" xfId="3812" xr:uid="{00000000-0005-0000-0000-0000430B0000}"/>
    <cellStyle name="Comma 8 2 3 3 2 2 3 3" xfId="3813" xr:uid="{00000000-0005-0000-0000-0000440B0000}"/>
    <cellStyle name="Comma 8 2 3 3 2 2 3 4" xfId="3814" xr:uid="{00000000-0005-0000-0000-0000450B0000}"/>
    <cellStyle name="Comma 8 2 3 3 2 2 3 5" xfId="3815" xr:uid="{00000000-0005-0000-0000-0000460B0000}"/>
    <cellStyle name="Comma 8 2 3 3 2 2 4" xfId="3816" xr:uid="{00000000-0005-0000-0000-0000470B0000}"/>
    <cellStyle name="Comma 8 2 3 3 2 2 4 2" xfId="3817" xr:uid="{00000000-0005-0000-0000-0000480B0000}"/>
    <cellStyle name="Comma 8 2 3 3 2 2 4 3" xfId="3818" xr:uid="{00000000-0005-0000-0000-0000490B0000}"/>
    <cellStyle name="Comma 8 2 3 3 2 2 4 4" xfId="3819" xr:uid="{00000000-0005-0000-0000-00004A0B0000}"/>
    <cellStyle name="Comma 8 2 3 3 2 2 4 5" xfId="3820" xr:uid="{00000000-0005-0000-0000-00004B0B0000}"/>
    <cellStyle name="Comma 8 2 3 3 2 2 5" xfId="3821" xr:uid="{00000000-0005-0000-0000-00004C0B0000}"/>
    <cellStyle name="Comma 8 2 3 3 2 2 6" xfId="3822" xr:uid="{00000000-0005-0000-0000-00004D0B0000}"/>
    <cellStyle name="Comma 8 2 3 3 2 2 7" xfId="3823" xr:uid="{00000000-0005-0000-0000-00004E0B0000}"/>
    <cellStyle name="Comma 8 2 3 3 2 2 8" xfId="3824" xr:uid="{00000000-0005-0000-0000-00004F0B0000}"/>
    <cellStyle name="Comma 8 2 3 3 2 3" xfId="3825" xr:uid="{00000000-0005-0000-0000-0000500B0000}"/>
    <cellStyle name="Comma 8 2 3 3 2 3 2" xfId="3826" xr:uid="{00000000-0005-0000-0000-0000510B0000}"/>
    <cellStyle name="Comma 8 2 3 3 2 3 3" xfId="3827" xr:uid="{00000000-0005-0000-0000-0000520B0000}"/>
    <cellStyle name="Comma 8 2 3 3 2 3 4" xfId="3828" xr:uid="{00000000-0005-0000-0000-0000530B0000}"/>
    <cellStyle name="Comma 8 2 3 3 2 3 5" xfId="3829" xr:uid="{00000000-0005-0000-0000-0000540B0000}"/>
    <cellStyle name="Comma 8 2 3 3 2 4" xfId="3830" xr:uid="{00000000-0005-0000-0000-0000550B0000}"/>
    <cellStyle name="Comma 8 2 3 3 2 4 2" xfId="3831" xr:uid="{00000000-0005-0000-0000-0000560B0000}"/>
    <cellStyle name="Comma 8 2 3 3 2 4 3" xfId="3832" xr:uid="{00000000-0005-0000-0000-0000570B0000}"/>
    <cellStyle name="Comma 8 2 3 3 2 4 4" xfId="3833" xr:uid="{00000000-0005-0000-0000-0000580B0000}"/>
    <cellStyle name="Comma 8 2 3 3 2 4 5" xfId="3834" xr:uid="{00000000-0005-0000-0000-0000590B0000}"/>
    <cellStyle name="Comma 8 2 3 3 2 5" xfId="3835" xr:uid="{00000000-0005-0000-0000-00005A0B0000}"/>
    <cellStyle name="Comma 8 2 3 3 2 5 2" xfId="3836" xr:uid="{00000000-0005-0000-0000-00005B0B0000}"/>
    <cellStyle name="Comma 8 2 3 3 2 5 3" xfId="3837" xr:uid="{00000000-0005-0000-0000-00005C0B0000}"/>
    <cellStyle name="Comma 8 2 3 3 2 5 4" xfId="3838" xr:uid="{00000000-0005-0000-0000-00005D0B0000}"/>
    <cellStyle name="Comma 8 2 3 3 2 5 5" xfId="3839" xr:uid="{00000000-0005-0000-0000-00005E0B0000}"/>
    <cellStyle name="Comma 8 2 3 3 2 6" xfId="3840" xr:uid="{00000000-0005-0000-0000-00005F0B0000}"/>
    <cellStyle name="Comma 8 2 3 3 2 7" xfId="3841" xr:uid="{00000000-0005-0000-0000-0000600B0000}"/>
    <cellStyle name="Comma 8 2 3 3 2 8" xfId="3842" xr:uid="{00000000-0005-0000-0000-0000610B0000}"/>
    <cellStyle name="Comma 8 2 3 3 2 9" xfId="3843" xr:uid="{00000000-0005-0000-0000-0000620B0000}"/>
    <cellStyle name="Comma 8 2 3 3 3" xfId="3844" xr:uid="{00000000-0005-0000-0000-0000630B0000}"/>
    <cellStyle name="Comma 8 2 3 3 3 2" xfId="3845" xr:uid="{00000000-0005-0000-0000-0000640B0000}"/>
    <cellStyle name="Comma 8 2 3 3 3 3" xfId="3846" xr:uid="{00000000-0005-0000-0000-0000650B0000}"/>
    <cellStyle name="Comma 8 2 3 3 3 4" xfId="3847" xr:uid="{00000000-0005-0000-0000-0000660B0000}"/>
    <cellStyle name="Comma 8 2 3 3 3 5" xfId="3848" xr:uid="{00000000-0005-0000-0000-0000670B0000}"/>
    <cellStyle name="Comma 8 2 3 3 4" xfId="3849" xr:uid="{00000000-0005-0000-0000-0000680B0000}"/>
    <cellStyle name="Comma 8 2 3 3 4 2" xfId="3850" xr:uid="{00000000-0005-0000-0000-0000690B0000}"/>
    <cellStyle name="Comma 8 2 3 3 4 3" xfId="3851" xr:uid="{00000000-0005-0000-0000-00006A0B0000}"/>
    <cellStyle name="Comma 8 2 3 3 4 4" xfId="3852" xr:uid="{00000000-0005-0000-0000-00006B0B0000}"/>
    <cellStyle name="Comma 8 2 3 3 4 5" xfId="3853" xr:uid="{00000000-0005-0000-0000-00006C0B0000}"/>
    <cellStyle name="Comma 8 2 3 3 5" xfId="3854" xr:uid="{00000000-0005-0000-0000-00006D0B0000}"/>
    <cellStyle name="Comma 8 2 3 3 5 2" xfId="3855" xr:uid="{00000000-0005-0000-0000-00006E0B0000}"/>
    <cellStyle name="Comma 8 2 3 3 5 3" xfId="3856" xr:uid="{00000000-0005-0000-0000-00006F0B0000}"/>
    <cellStyle name="Comma 8 2 3 3 5 4" xfId="3857" xr:uid="{00000000-0005-0000-0000-0000700B0000}"/>
    <cellStyle name="Comma 8 2 3 3 5 5" xfId="3858" xr:uid="{00000000-0005-0000-0000-0000710B0000}"/>
    <cellStyle name="Comma 8 2 3 3 6" xfId="3859" xr:uid="{00000000-0005-0000-0000-0000720B0000}"/>
    <cellStyle name="Comma 8 2 3 3 7" xfId="3860" xr:uid="{00000000-0005-0000-0000-0000730B0000}"/>
    <cellStyle name="Comma 8 2 3 3 8" xfId="3861" xr:uid="{00000000-0005-0000-0000-0000740B0000}"/>
    <cellStyle name="Comma 8 2 3 3 9" xfId="3862" xr:uid="{00000000-0005-0000-0000-0000750B0000}"/>
    <cellStyle name="Comma 8 2 3 4" xfId="3863" xr:uid="{00000000-0005-0000-0000-0000760B0000}"/>
    <cellStyle name="Comma 8 2 3 4 2" xfId="3864" xr:uid="{00000000-0005-0000-0000-0000770B0000}"/>
    <cellStyle name="Comma 8 2 3 4 3" xfId="3865" xr:uid="{00000000-0005-0000-0000-0000780B0000}"/>
    <cellStyle name="Comma 8 2 3 4 4" xfId="3866" xr:uid="{00000000-0005-0000-0000-0000790B0000}"/>
    <cellStyle name="Comma 8 2 3 4 5" xfId="3867" xr:uid="{00000000-0005-0000-0000-00007A0B0000}"/>
    <cellStyle name="Comma 8 2 3 5" xfId="3868" xr:uid="{00000000-0005-0000-0000-00007B0B0000}"/>
    <cellStyle name="Comma 8 2 3 5 2" xfId="3869" xr:uid="{00000000-0005-0000-0000-00007C0B0000}"/>
    <cellStyle name="Comma 8 2 3 5 3" xfId="3870" xr:uid="{00000000-0005-0000-0000-00007D0B0000}"/>
    <cellStyle name="Comma 8 2 3 5 4" xfId="3871" xr:uid="{00000000-0005-0000-0000-00007E0B0000}"/>
    <cellStyle name="Comma 8 2 3 5 5" xfId="3872" xr:uid="{00000000-0005-0000-0000-00007F0B0000}"/>
    <cellStyle name="Comma 8 2 3 6" xfId="3873" xr:uid="{00000000-0005-0000-0000-0000800B0000}"/>
    <cellStyle name="Comma 8 2 3 6 2" xfId="3874" xr:uid="{00000000-0005-0000-0000-0000810B0000}"/>
    <cellStyle name="Comma 8 2 3 6 3" xfId="3875" xr:uid="{00000000-0005-0000-0000-0000820B0000}"/>
    <cellStyle name="Comma 8 2 3 6 4" xfId="3876" xr:uid="{00000000-0005-0000-0000-0000830B0000}"/>
    <cellStyle name="Comma 8 2 3 6 5" xfId="3877" xr:uid="{00000000-0005-0000-0000-0000840B0000}"/>
    <cellStyle name="Comma 8 2 3 7" xfId="3878" xr:uid="{00000000-0005-0000-0000-0000850B0000}"/>
    <cellStyle name="Comma 8 2 3 8" xfId="3879" xr:uid="{00000000-0005-0000-0000-0000860B0000}"/>
    <cellStyle name="Comma 8 2 3 9" xfId="3880" xr:uid="{00000000-0005-0000-0000-0000870B0000}"/>
    <cellStyle name="Comma 8 2 4" xfId="3881" xr:uid="{00000000-0005-0000-0000-0000880B0000}"/>
    <cellStyle name="Comma 8 2 4 2" xfId="3882" xr:uid="{00000000-0005-0000-0000-0000890B0000}"/>
    <cellStyle name="Comma 8 2 4 2 2" xfId="3883" xr:uid="{00000000-0005-0000-0000-00008A0B0000}"/>
    <cellStyle name="Comma 8 2 4 2 3" xfId="3884" xr:uid="{00000000-0005-0000-0000-00008B0B0000}"/>
    <cellStyle name="Comma 8 2 4 2 4" xfId="3885" xr:uid="{00000000-0005-0000-0000-00008C0B0000}"/>
    <cellStyle name="Comma 8 2 4 2 5" xfId="3886" xr:uid="{00000000-0005-0000-0000-00008D0B0000}"/>
    <cellStyle name="Comma 8 2 4 3" xfId="3887" xr:uid="{00000000-0005-0000-0000-00008E0B0000}"/>
    <cellStyle name="Comma 8 2 4 3 2" xfId="3888" xr:uid="{00000000-0005-0000-0000-00008F0B0000}"/>
    <cellStyle name="Comma 8 2 4 3 3" xfId="3889" xr:uid="{00000000-0005-0000-0000-0000900B0000}"/>
    <cellStyle name="Comma 8 2 4 3 4" xfId="3890" xr:uid="{00000000-0005-0000-0000-0000910B0000}"/>
    <cellStyle name="Comma 8 2 4 3 5" xfId="3891" xr:uid="{00000000-0005-0000-0000-0000920B0000}"/>
    <cellStyle name="Comma 8 2 4 4" xfId="3892" xr:uid="{00000000-0005-0000-0000-0000930B0000}"/>
    <cellStyle name="Comma 8 2 4 4 2" xfId="3893" xr:uid="{00000000-0005-0000-0000-0000940B0000}"/>
    <cellStyle name="Comma 8 2 4 4 3" xfId="3894" xr:uid="{00000000-0005-0000-0000-0000950B0000}"/>
    <cellStyle name="Comma 8 2 4 4 4" xfId="3895" xr:uid="{00000000-0005-0000-0000-0000960B0000}"/>
    <cellStyle name="Comma 8 2 4 4 5" xfId="3896" xr:uid="{00000000-0005-0000-0000-0000970B0000}"/>
    <cellStyle name="Comma 8 2 4 5" xfId="3897" xr:uid="{00000000-0005-0000-0000-0000980B0000}"/>
    <cellStyle name="Comma 8 2 4 6" xfId="3898" xr:uid="{00000000-0005-0000-0000-0000990B0000}"/>
    <cellStyle name="Comma 8 2 4 7" xfId="3899" xr:uid="{00000000-0005-0000-0000-00009A0B0000}"/>
    <cellStyle name="Comma 8 2 4 8" xfId="3900" xr:uid="{00000000-0005-0000-0000-00009B0B0000}"/>
    <cellStyle name="Comma 8 2 5" xfId="3901" xr:uid="{00000000-0005-0000-0000-00009C0B0000}"/>
    <cellStyle name="Comma 8 2 5 2" xfId="3902" xr:uid="{00000000-0005-0000-0000-00009D0B0000}"/>
    <cellStyle name="Comma 8 2 5 2 2" xfId="3903" xr:uid="{00000000-0005-0000-0000-00009E0B0000}"/>
    <cellStyle name="Comma 8 2 5 2 2 2" xfId="3904" xr:uid="{00000000-0005-0000-0000-00009F0B0000}"/>
    <cellStyle name="Comma 8 2 5 2 2 2 2" xfId="3905" xr:uid="{00000000-0005-0000-0000-0000A00B0000}"/>
    <cellStyle name="Comma 8 2 5 2 2 2 3" xfId="3906" xr:uid="{00000000-0005-0000-0000-0000A10B0000}"/>
    <cellStyle name="Comma 8 2 5 2 2 2 4" xfId="3907" xr:uid="{00000000-0005-0000-0000-0000A20B0000}"/>
    <cellStyle name="Comma 8 2 5 2 2 2 5" xfId="3908" xr:uid="{00000000-0005-0000-0000-0000A30B0000}"/>
    <cellStyle name="Comma 8 2 5 2 2 3" xfId="3909" xr:uid="{00000000-0005-0000-0000-0000A40B0000}"/>
    <cellStyle name="Comma 8 2 5 2 2 3 2" xfId="3910" xr:uid="{00000000-0005-0000-0000-0000A50B0000}"/>
    <cellStyle name="Comma 8 2 5 2 2 3 3" xfId="3911" xr:uid="{00000000-0005-0000-0000-0000A60B0000}"/>
    <cellStyle name="Comma 8 2 5 2 2 3 4" xfId="3912" xr:uid="{00000000-0005-0000-0000-0000A70B0000}"/>
    <cellStyle name="Comma 8 2 5 2 2 3 5" xfId="3913" xr:uid="{00000000-0005-0000-0000-0000A80B0000}"/>
    <cellStyle name="Comma 8 2 5 2 2 4" xfId="3914" xr:uid="{00000000-0005-0000-0000-0000A90B0000}"/>
    <cellStyle name="Comma 8 2 5 2 2 4 2" xfId="3915" xr:uid="{00000000-0005-0000-0000-0000AA0B0000}"/>
    <cellStyle name="Comma 8 2 5 2 2 4 3" xfId="3916" xr:uid="{00000000-0005-0000-0000-0000AB0B0000}"/>
    <cellStyle name="Comma 8 2 5 2 2 4 4" xfId="3917" xr:uid="{00000000-0005-0000-0000-0000AC0B0000}"/>
    <cellStyle name="Comma 8 2 5 2 2 4 5" xfId="3918" xr:uid="{00000000-0005-0000-0000-0000AD0B0000}"/>
    <cellStyle name="Comma 8 2 5 2 2 5" xfId="3919" xr:uid="{00000000-0005-0000-0000-0000AE0B0000}"/>
    <cellStyle name="Comma 8 2 5 2 2 6" xfId="3920" xr:uid="{00000000-0005-0000-0000-0000AF0B0000}"/>
    <cellStyle name="Comma 8 2 5 2 2 7" xfId="3921" xr:uid="{00000000-0005-0000-0000-0000B00B0000}"/>
    <cellStyle name="Comma 8 2 5 2 2 8" xfId="3922" xr:uid="{00000000-0005-0000-0000-0000B10B0000}"/>
    <cellStyle name="Comma 8 2 5 2 3" xfId="3923" xr:uid="{00000000-0005-0000-0000-0000B20B0000}"/>
    <cellStyle name="Comma 8 2 5 2 3 2" xfId="3924" xr:uid="{00000000-0005-0000-0000-0000B30B0000}"/>
    <cellStyle name="Comma 8 2 5 2 3 3" xfId="3925" xr:uid="{00000000-0005-0000-0000-0000B40B0000}"/>
    <cellStyle name="Comma 8 2 5 2 3 4" xfId="3926" xr:uid="{00000000-0005-0000-0000-0000B50B0000}"/>
    <cellStyle name="Comma 8 2 5 2 3 5" xfId="3927" xr:uid="{00000000-0005-0000-0000-0000B60B0000}"/>
    <cellStyle name="Comma 8 2 5 2 4" xfId="3928" xr:uid="{00000000-0005-0000-0000-0000B70B0000}"/>
    <cellStyle name="Comma 8 2 5 2 4 2" xfId="3929" xr:uid="{00000000-0005-0000-0000-0000B80B0000}"/>
    <cellStyle name="Comma 8 2 5 2 4 3" xfId="3930" xr:uid="{00000000-0005-0000-0000-0000B90B0000}"/>
    <cellStyle name="Comma 8 2 5 2 4 4" xfId="3931" xr:uid="{00000000-0005-0000-0000-0000BA0B0000}"/>
    <cellStyle name="Comma 8 2 5 2 4 5" xfId="3932" xr:uid="{00000000-0005-0000-0000-0000BB0B0000}"/>
    <cellStyle name="Comma 8 2 5 2 5" xfId="3933" xr:uid="{00000000-0005-0000-0000-0000BC0B0000}"/>
    <cellStyle name="Comma 8 2 5 2 5 2" xfId="3934" xr:uid="{00000000-0005-0000-0000-0000BD0B0000}"/>
    <cellStyle name="Comma 8 2 5 2 5 3" xfId="3935" xr:uid="{00000000-0005-0000-0000-0000BE0B0000}"/>
    <cellStyle name="Comma 8 2 5 2 5 4" xfId="3936" xr:uid="{00000000-0005-0000-0000-0000BF0B0000}"/>
    <cellStyle name="Comma 8 2 5 2 5 5" xfId="3937" xr:uid="{00000000-0005-0000-0000-0000C00B0000}"/>
    <cellStyle name="Comma 8 2 5 2 6" xfId="3938" xr:uid="{00000000-0005-0000-0000-0000C10B0000}"/>
    <cellStyle name="Comma 8 2 5 2 7" xfId="3939" xr:uid="{00000000-0005-0000-0000-0000C20B0000}"/>
    <cellStyle name="Comma 8 2 5 2 8" xfId="3940" xr:uid="{00000000-0005-0000-0000-0000C30B0000}"/>
    <cellStyle name="Comma 8 2 5 2 9" xfId="3941" xr:uid="{00000000-0005-0000-0000-0000C40B0000}"/>
    <cellStyle name="Comma 8 2 5 3" xfId="3942" xr:uid="{00000000-0005-0000-0000-0000C50B0000}"/>
    <cellStyle name="Comma 8 2 5 3 2" xfId="3943" xr:uid="{00000000-0005-0000-0000-0000C60B0000}"/>
    <cellStyle name="Comma 8 2 5 3 3" xfId="3944" xr:uid="{00000000-0005-0000-0000-0000C70B0000}"/>
    <cellStyle name="Comma 8 2 5 3 4" xfId="3945" xr:uid="{00000000-0005-0000-0000-0000C80B0000}"/>
    <cellStyle name="Comma 8 2 5 3 5" xfId="3946" xr:uid="{00000000-0005-0000-0000-0000C90B0000}"/>
    <cellStyle name="Comma 8 2 5 4" xfId="3947" xr:uid="{00000000-0005-0000-0000-0000CA0B0000}"/>
    <cellStyle name="Comma 8 2 5 4 2" xfId="3948" xr:uid="{00000000-0005-0000-0000-0000CB0B0000}"/>
    <cellStyle name="Comma 8 2 5 4 3" xfId="3949" xr:uid="{00000000-0005-0000-0000-0000CC0B0000}"/>
    <cellStyle name="Comma 8 2 5 4 4" xfId="3950" xr:uid="{00000000-0005-0000-0000-0000CD0B0000}"/>
    <cellStyle name="Comma 8 2 5 4 5" xfId="3951" xr:uid="{00000000-0005-0000-0000-0000CE0B0000}"/>
    <cellStyle name="Comma 8 2 5 5" xfId="3952" xr:uid="{00000000-0005-0000-0000-0000CF0B0000}"/>
    <cellStyle name="Comma 8 2 5 5 2" xfId="3953" xr:uid="{00000000-0005-0000-0000-0000D00B0000}"/>
    <cellStyle name="Comma 8 2 5 5 3" xfId="3954" xr:uid="{00000000-0005-0000-0000-0000D10B0000}"/>
    <cellStyle name="Comma 8 2 5 5 4" xfId="3955" xr:uid="{00000000-0005-0000-0000-0000D20B0000}"/>
    <cellStyle name="Comma 8 2 5 5 5" xfId="3956" xr:uid="{00000000-0005-0000-0000-0000D30B0000}"/>
    <cellStyle name="Comma 8 2 5 6" xfId="3957" xr:uid="{00000000-0005-0000-0000-0000D40B0000}"/>
    <cellStyle name="Comma 8 2 5 7" xfId="3958" xr:uid="{00000000-0005-0000-0000-0000D50B0000}"/>
    <cellStyle name="Comma 8 2 5 8" xfId="3959" xr:uid="{00000000-0005-0000-0000-0000D60B0000}"/>
    <cellStyle name="Comma 8 2 5 9" xfId="3960" xr:uid="{00000000-0005-0000-0000-0000D70B0000}"/>
    <cellStyle name="Comma 8 2 6" xfId="3961" xr:uid="{00000000-0005-0000-0000-0000D80B0000}"/>
    <cellStyle name="Comma 8 2 6 2" xfId="3962" xr:uid="{00000000-0005-0000-0000-0000D90B0000}"/>
    <cellStyle name="Comma 8 2 6 2 2" xfId="3963" xr:uid="{00000000-0005-0000-0000-0000DA0B0000}"/>
    <cellStyle name="Comma 8 2 6 2 3" xfId="3964" xr:uid="{00000000-0005-0000-0000-0000DB0B0000}"/>
    <cellStyle name="Comma 8 2 6 2 4" xfId="3965" xr:uid="{00000000-0005-0000-0000-0000DC0B0000}"/>
    <cellStyle name="Comma 8 2 6 2 5" xfId="3966" xr:uid="{00000000-0005-0000-0000-0000DD0B0000}"/>
    <cellStyle name="Comma 8 2 6 3" xfId="3967" xr:uid="{00000000-0005-0000-0000-0000DE0B0000}"/>
    <cellStyle name="Comma 8 2 6 3 2" xfId="3968" xr:uid="{00000000-0005-0000-0000-0000DF0B0000}"/>
    <cellStyle name="Comma 8 2 6 3 3" xfId="3969" xr:uid="{00000000-0005-0000-0000-0000E00B0000}"/>
    <cellStyle name="Comma 8 2 6 3 4" xfId="3970" xr:uid="{00000000-0005-0000-0000-0000E10B0000}"/>
    <cellStyle name="Comma 8 2 6 3 5" xfId="3971" xr:uid="{00000000-0005-0000-0000-0000E20B0000}"/>
    <cellStyle name="Comma 8 2 6 4" xfId="3972" xr:uid="{00000000-0005-0000-0000-0000E30B0000}"/>
    <cellStyle name="Comma 8 2 6 4 2" xfId="3973" xr:uid="{00000000-0005-0000-0000-0000E40B0000}"/>
    <cellStyle name="Comma 8 2 6 4 3" xfId="3974" xr:uid="{00000000-0005-0000-0000-0000E50B0000}"/>
    <cellStyle name="Comma 8 2 6 4 4" xfId="3975" xr:uid="{00000000-0005-0000-0000-0000E60B0000}"/>
    <cellStyle name="Comma 8 2 6 4 5" xfId="3976" xr:uid="{00000000-0005-0000-0000-0000E70B0000}"/>
    <cellStyle name="Comma 8 2 6 5" xfId="3977" xr:uid="{00000000-0005-0000-0000-0000E80B0000}"/>
    <cellStyle name="Comma 8 2 6 6" xfId="3978" xr:uid="{00000000-0005-0000-0000-0000E90B0000}"/>
    <cellStyle name="Comma 8 2 6 7" xfId="3979" xr:uid="{00000000-0005-0000-0000-0000EA0B0000}"/>
    <cellStyle name="Comma 8 2 6 8" xfId="3980" xr:uid="{00000000-0005-0000-0000-0000EB0B0000}"/>
    <cellStyle name="Comma 8 2 7" xfId="3981" xr:uid="{00000000-0005-0000-0000-0000EC0B0000}"/>
    <cellStyle name="Comma 8 2 7 2" xfId="3982" xr:uid="{00000000-0005-0000-0000-0000ED0B0000}"/>
    <cellStyle name="Comma 8 2 7 2 2" xfId="3983" xr:uid="{00000000-0005-0000-0000-0000EE0B0000}"/>
    <cellStyle name="Comma 8 2 7 2 3" xfId="3984" xr:uid="{00000000-0005-0000-0000-0000EF0B0000}"/>
    <cellStyle name="Comma 8 2 7 2 4" xfId="3985" xr:uid="{00000000-0005-0000-0000-0000F00B0000}"/>
    <cellStyle name="Comma 8 2 7 2 5" xfId="3986" xr:uid="{00000000-0005-0000-0000-0000F10B0000}"/>
    <cellStyle name="Comma 8 2 7 3" xfId="3987" xr:uid="{00000000-0005-0000-0000-0000F20B0000}"/>
    <cellStyle name="Comma 8 2 7 3 2" xfId="3988" xr:uid="{00000000-0005-0000-0000-0000F30B0000}"/>
    <cellStyle name="Comma 8 2 7 3 3" xfId="3989" xr:uid="{00000000-0005-0000-0000-0000F40B0000}"/>
    <cellStyle name="Comma 8 2 7 3 4" xfId="3990" xr:uid="{00000000-0005-0000-0000-0000F50B0000}"/>
    <cellStyle name="Comma 8 2 7 3 5" xfId="3991" xr:uid="{00000000-0005-0000-0000-0000F60B0000}"/>
    <cellStyle name="Comma 8 2 7 4" xfId="3992" xr:uid="{00000000-0005-0000-0000-0000F70B0000}"/>
    <cellStyle name="Comma 8 2 7 4 2" xfId="3993" xr:uid="{00000000-0005-0000-0000-0000F80B0000}"/>
    <cellStyle name="Comma 8 2 7 4 3" xfId="3994" xr:uid="{00000000-0005-0000-0000-0000F90B0000}"/>
    <cellStyle name="Comma 8 2 7 4 4" xfId="3995" xr:uid="{00000000-0005-0000-0000-0000FA0B0000}"/>
    <cellStyle name="Comma 8 2 7 4 5" xfId="3996" xr:uid="{00000000-0005-0000-0000-0000FB0B0000}"/>
    <cellStyle name="Comma 8 2 7 5" xfId="3997" xr:uid="{00000000-0005-0000-0000-0000FC0B0000}"/>
    <cellStyle name="Comma 8 2 7 6" xfId="3998" xr:uid="{00000000-0005-0000-0000-0000FD0B0000}"/>
    <cellStyle name="Comma 8 2 7 7" xfId="3999" xr:uid="{00000000-0005-0000-0000-0000FE0B0000}"/>
    <cellStyle name="Comma 8 2 7 8" xfId="4000" xr:uid="{00000000-0005-0000-0000-0000FF0B0000}"/>
    <cellStyle name="Comma 8 2 8" xfId="4001" xr:uid="{00000000-0005-0000-0000-0000000C0000}"/>
    <cellStyle name="Comma 8 2 8 2" xfId="4002" xr:uid="{00000000-0005-0000-0000-0000010C0000}"/>
    <cellStyle name="Comma 8 2 8 3" xfId="4003" xr:uid="{00000000-0005-0000-0000-0000020C0000}"/>
    <cellStyle name="Comma 8 2 8 4" xfId="4004" xr:uid="{00000000-0005-0000-0000-0000030C0000}"/>
    <cellStyle name="Comma 8 2 8 5" xfId="4005" xr:uid="{00000000-0005-0000-0000-0000040C0000}"/>
    <cellStyle name="Comma 8 2 9" xfId="4006" xr:uid="{00000000-0005-0000-0000-0000050C0000}"/>
    <cellStyle name="Comma 8 2 9 2" xfId="4007" xr:uid="{00000000-0005-0000-0000-0000060C0000}"/>
    <cellStyle name="Comma 8 2 9 3" xfId="4008" xr:uid="{00000000-0005-0000-0000-0000070C0000}"/>
    <cellStyle name="Comma 8 2 9 4" xfId="4009" xr:uid="{00000000-0005-0000-0000-0000080C0000}"/>
    <cellStyle name="Comma 8 2 9 5" xfId="4010" xr:uid="{00000000-0005-0000-0000-0000090C0000}"/>
    <cellStyle name="Comma 8 3" xfId="941" xr:uid="{00000000-0005-0000-0000-00004B020000}"/>
    <cellStyle name="Comma 8 3 2" xfId="4012" xr:uid="{00000000-0005-0000-0000-00000B0C0000}"/>
    <cellStyle name="Comma 8 3 2 2" xfId="4013" xr:uid="{00000000-0005-0000-0000-00000C0C0000}"/>
    <cellStyle name="Comma 8 3 2 3" xfId="4014" xr:uid="{00000000-0005-0000-0000-00000D0C0000}"/>
    <cellStyle name="Comma 8 3 2 4" xfId="4015" xr:uid="{00000000-0005-0000-0000-00000E0C0000}"/>
    <cellStyle name="Comma 8 3 2 5" xfId="4016" xr:uid="{00000000-0005-0000-0000-00000F0C0000}"/>
    <cellStyle name="Comma 8 3 3" xfId="4017" xr:uid="{00000000-0005-0000-0000-0000100C0000}"/>
    <cellStyle name="Comma 8 3 3 2" xfId="4018" xr:uid="{00000000-0005-0000-0000-0000110C0000}"/>
    <cellStyle name="Comma 8 3 3 3" xfId="4019" xr:uid="{00000000-0005-0000-0000-0000120C0000}"/>
    <cellStyle name="Comma 8 3 3 4" xfId="4020" xr:uid="{00000000-0005-0000-0000-0000130C0000}"/>
    <cellStyle name="Comma 8 3 3 5" xfId="4021" xr:uid="{00000000-0005-0000-0000-0000140C0000}"/>
    <cellStyle name="Comma 8 3 4" xfId="4022" xr:uid="{00000000-0005-0000-0000-0000150C0000}"/>
    <cellStyle name="Comma 8 3 4 2" xfId="4023" xr:uid="{00000000-0005-0000-0000-0000160C0000}"/>
    <cellStyle name="Comma 8 3 4 3" xfId="4024" xr:uid="{00000000-0005-0000-0000-0000170C0000}"/>
    <cellStyle name="Comma 8 3 4 4" xfId="4025" xr:uid="{00000000-0005-0000-0000-0000180C0000}"/>
    <cellStyle name="Comma 8 3 4 5" xfId="4026" xr:uid="{00000000-0005-0000-0000-0000190C0000}"/>
    <cellStyle name="Comma 8 3 5" xfId="4027" xr:uid="{00000000-0005-0000-0000-00001A0C0000}"/>
    <cellStyle name="Comma 8 3 6" xfId="4028" xr:uid="{00000000-0005-0000-0000-00001B0C0000}"/>
    <cellStyle name="Comma 8 3 7" xfId="4029" xr:uid="{00000000-0005-0000-0000-00001C0C0000}"/>
    <cellStyle name="Comma 8 3 8" xfId="4030" xr:uid="{00000000-0005-0000-0000-00001D0C0000}"/>
    <cellStyle name="Comma 8 3 9" xfId="4011" xr:uid="{00000000-0005-0000-0000-00000A0C0000}"/>
    <cellStyle name="Comma 8 4" xfId="4031" xr:uid="{00000000-0005-0000-0000-00001E0C0000}"/>
    <cellStyle name="Comma 8 4 2" xfId="4032" xr:uid="{00000000-0005-0000-0000-00001F0C0000}"/>
    <cellStyle name="Comma 8 4 3" xfId="4033" xr:uid="{00000000-0005-0000-0000-0000200C0000}"/>
    <cellStyle name="Comma 8 4 4" xfId="4034" xr:uid="{00000000-0005-0000-0000-0000210C0000}"/>
    <cellStyle name="Comma 8 4 5" xfId="4035" xr:uid="{00000000-0005-0000-0000-0000220C0000}"/>
    <cellStyle name="Comma 8 5" xfId="4036" xr:uid="{00000000-0005-0000-0000-0000230C0000}"/>
    <cellStyle name="Comma 8 5 2" xfId="4037" xr:uid="{00000000-0005-0000-0000-0000240C0000}"/>
    <cellStyle name="Comma 8 5 3" xfId="4038" xr:uid="{00000000-0005-0000-0000-0000250C0000}"/>
    <cellStyle name="Comma 8 5 4" xfId="4039" xr:uid="{00000000-0005-0000-0000-0000260C0000}"/>
    <cellStyle name="Comma 8 5 5" xfId="4040" xr:uid="{00000000-0005-0000-0000-0000270C0000}"/>
    <cellStyle name="Comma 8 6" xfId="4041" xr:uid="{00000000-0005-0000-0000-0000280C0000}"/>
    <cellStyle name="Comma 8 6 2" xfId="4042" xr:uid="{00000000-0005-0000-0000-0000290C0000}"/>
    <cellStyle name="Comma 8 6 3" xfId="4043" xr:uid="{00000000-0005-0000-0000-00002A0C0000}"/>
    <cellStyle name="Comma 8 6 4" xfId="4044" xr:uid="{00000000-0005-0000-0000-00002B0C0000}"/>
    <cellStyle name="Comma 8 6 5" xfId="4045" xr:uid="{00000000-0005-0000-0000-00002C0C0000}"/>
    <cellStyle name="Comma 8 7" xfId="4046" xr:uid="{00000000-0005-0000-0000-00002D0C0000}"/>
    <cellStyle name="Comma 8 8" xfId="4047" xr:uid="{00000000-0005-0000-0000-00002E0C0000}"/>
    <cellStyle name="Comma 8 9" xfId="4048" xr:uid="{00000000-0005-0000-0000-00002F0C0000}"/>
    <cellStyle name="Comma 9" xfId="102" xr:uid="{00000000-0005-0000-0000-000090000000}"/>
    <cellStyle name="Comma 9 10" xfId="4050" xr:uid="{00000000-0005-0000-0000-0000310C0000}"/>
    <cellStyle name="Comma 9 10 2" xfId="4051" xr:uid="{00000000-0005-0000-0000-0000320C0000}"/>
    <cellStyle name="Comma 9 10 3" xfId="4052" xr:uid="{00000000-0005-0000-0000-0000330C0000}"/>
    <cellStyle name="Comma 9 10 4" xfId="4053" xr:uid="{00000000-0005-0000-0000-0000340C0000}"/>
    <cellStyle name="Comma 9 10 5" xfId="4054" xr:uid="{00000000-0005-0000-0000-0000350C0000}"/>
    <cellStyle name="Comma 9 11" xfId="4055" xr:uid="{00000000-0005-0000-0000-0000360C0000}"/>
    <cellStyle name="Comma 9 12" xfId="4056" xr:uid="{00000000-0005-0000-0000-0000370C0000}"/>
    <cellStyle name="Comma 9 13" xfId="4057" xr:uid="{00000000-0005-0000-0000-0000380C0000}"/>
    <cellStyle name="Comma 9 14" xfId="4058" xr:uid="{00000000-0005-0000-0000-0000390C0000}"/>
    <cellStyle name="Comma 9 15" xfId="4059" xr:uid="{00000000-0005-0000-0000-00003A0C0000}"/>
    <cellStyle name="Comma 9 16" xfId="4049" xr:uid="{00000000-0005-0000-0000-0000300C0000}"/>
    <cellStyle name="Comma 9 2" xfId="949" xr:uid="{00000000-0005-0000-0000-00004D020000}"/>
    <cellStyle name="Comma 9 2 10" xfId="4061" xr:uid="{00000000-0005-0000-0000-00003C0C0000}"/>
    <cellStyle name="Comma 9 2 11" xfId="4062" xr:uid="{00000000-0005-0000-0000-00003D0C0000}"/>
    <cellStyle name="Comma 9 2 12" xfId="4063" xr:uid="{00000000-0005-0000-0000-00003E0C0000}"/>
    <cellStyle name="Comma 9 2 13" xfId="4064" xr:uid="{00000000-0005-0000-0000-00003F0C0000}"/>
    <cellStyle name="Comma 9 2 14" xfId="4065" xr:uid="{00000000-0005-0000-0000-0000400C0000}"/>
    <cellStyle name="Comma 9 2 15" xfId="4060" xr:uid="{00000000-0005-0000-0000-00003B0C0000}"/>
    <cellStyle name="Comma 9 2 2" xfId="4066" xr:uid="{00000000-0005-0000-0000-0000410C0000}"/>
    <cellStyle name="Comma 9 2 2 2" xfId="4067" xr:uid="{00000000-0005-0000-0000-0000420C0000}"/>
    <cellStyle name="Comma 9 2 2 2 2" xfId="4068" xr:uid="{00000000-0005-0000-0000-0000430C0000}"/>
    <cellStyle name="Comma 9 2 2 2 2 2" xfId="4069" xr:uid="{00000000-0005-0000-0000-0000440C0000}"/>
    <cellStyle name="Comma 9 2 2 2 2 3" xfId="4070" xr:uid="{00000000-0005-0000-0000-0000450C0000}"/>
    <cellStyle name="Comma 9 2 2 2 2 4" xfId="4071" xr:uid="{00000000-0005-0000-0000-0000460C0000}"/>
    <cellStyle name="Comma 9 2 2 2 2 5" xfId="4072" xr:uid="{00000000-0005-0000-0000-0000470C0000}"/>
    <cellStyle name="Comma 9 2 2 2 3" xfId="4073" xr:uid="{00000000-0005-0000-0000-0000480C0000}"/>
    <cellStyle name="Comma 9 2 2 2 3 2" xfId="4074" xr:uid="{00000000-0005-0000-0000-0000490C0000}"/>
    <cellStyle name="Comma 9 2 2 2 3 3" xfId="4075" xr:uid="{00000000-0005-0000-0000-00004A0C0000}"/>
    <cellStyle name="Comma 9 2 2 2 3 4" xfId="4076" xr:uid="{00000000-0005-0000-0000-00004B0C0000}"/>
    <cellStyle name="Comma 9 2 2 2 3 5" xfId="4077" xr:uid="{00000000-0005-0000-0000-00004C0C0000}"/>
    <cellStyle name="Comma 9 2 2 2 4" xfId="4078" xr:uid="{00000000-0005-0000-0000-00004D0C0000}"/>
    <cellStyle name="Comma 9 2 2 2 4 2" xfId="4079" xr:uid="{00000000-0005-0000-0000-00004E0C0000}"/>
    <cellStyle name="Comma 9 2 2 2 4 3" xfId="4080" xr:uid="{00000000-0005-0000-0000-00004F0C0000}"/>
    <cellStyle name="Comma 9 2 2 2 4 4" xfId="4081" xr:uid="{00000000-0005-0000-0000-0000500C0000}"/>
    <cellStyle name="Comma 9 2 2 2 4 5" xfId="4082" xr:uid="{00000000-0005-0000-0000-0000510C0000}"/>
    <cellStyle name="Comma 9 2 2 2 5" xfId="4083" xr:uid="{00000000-0005-0000-0000-0000520C0000}"/>
    <cellStyle name="Comma 9 2 2 2 6" xfId="4084" xr:uid="{00000000-0005-0000-0000-0000530C0000}"/>
    <cellStyle name="Comma 9 2 2 2 7" xfId="4085" xr:uid="{00000000-0005-0000-0000-0000540C0000}"/>
    <cellStyle name="Comma 9 2 2 2 8" xfId="4086" xr:uid="{00000000-0005-0000-0000-0000550C0000}"/>
    <cellStyle name="Comma 9 2 2 3" xfId="4087" xr:uid="{00000000-0005-0000-0000-0000560C0000}"/>
    <cellStyle name="Comma 9 2 2 3 2" xfId="4088" xr:uid="{00000000-0005-0000-0000-0000570C0000}"/>
    <cellStyle name="Comma 9 2 2 3 3" xfId="4089" xr:uid="{00000000-0005-0000-0000-0000580C0000}"/>
    <cellStyle name="Comma 9 2 2 3 4" xfId="4090" xr:uid="{00000000-0005-0000-0000-0000590C0000}"/>
    <cellStyle name="Comma 9 2 2 3 5" xfId="4091" xr:uid="{00000000-0005-0000-0000-00005A0C0000}"/>
    <cellStyle name="Comma 9 2 2 4" xfId="4092" xr:uid="{00000000-0005-0000-0000-00005B0C0000}"/>
    <cellStyle name="Comma 9 2 2 4 2" xfId="4093" xr:uid="{00000000-0005-0000-0000-00005C0C0000}"/>
    <cellStyle name="Comma 9 2 2 4 3" xfId="4094" xr:uid="{00000000-0005-0000-0000-00005D0C0000}"/>
    <cellStyle name="Comma 9 2 2 4 4" xfId="4095" xr:uid="{00000000-0005-0000-0000-00005E0C0000}"/>
    <cellStyle name="Comma 9 2 2 4 5" xfId="4096" xr:uid="{00000000-0005-0000-0000-00005F0C0000}"/>
    <cellStyle name="Comma 9 2 2 5" xfId="4097" xr:uid="{00000000-0005-0000-0000-0000600C0000}"/>
    <cellStyle name="Comma 9 2 2 5 2" xfId="4098" xr:uid="{00000000-0005-0000-0000-0000610C0000}"/>
    <cellStyle name="Comma 9 2 2 5 3" xfId="4099" xr:uid="{00000000-0005-0000-0000-0000620C0000}"/>
    <cellStyle name="Comma 9 2 2 5 4" xfId="4100" xr:uid="{00000000-0005-0000-0000-0000630C0000}"/>
    <cellStyle name="Comma 9 2 2 5 5" xfId="4101" xr:uid="{00000000-0005-0000-0000-0000640C0000}"/>
    <cellStyle name="Comma 9 2 2 6" xfId="4102" xr:uid="{00000000-0005-0000-0000-0000650C0000}"/>
    <cellStyle name="Comma 9 2 2 7" xfId="4103" xr:uid="{00000000-0005-0000-0000-0000660C0000}"/>
    <cellStyle name="Comma 9 2 2 8" xfId="4104" xr:uid="{00000000-0005-0000-0000-0000670C0000}"/>
    <cellStyle name="Comma 9 2 2 9" xfId="4105" xr:uid="{00000000-0005-0000-0000-0000680C0000}"/>
    <cellStyle name="Comma 9 2 3" xfId="4106" xr:uid="{00000000-0005-0000-0000-0000690C0000}"/>
    <cellStyle name="Comma 9 2 3 2" xfId="4107" xr:uid="{00000000-0005-0000-0000-00006A0C0000}"/>
    <cellStyle name="Comma 9 2 3 2 2" xfId="4108" xr:uid="{00000000-0005-0000-0000-00006B0C0000}"/>
    <cellStyle name="Comma 9 2 3 2 3" xfId="4109" xr:uid="{00000000-0005-0000-0000-00006C0C0000}"/>
    <cellStyle name="Comma 9 2 3 2 4" xfId="4110" xr:uid="{00000000-0005-0000-0000-00006D0C0000}"/>
    <cellStyle name="Comma 9 2 3 2 5" xfId="4111" xr:uid="{00000000-0005-0000-0000-00006E0C0000}"/>
    <cellStyle name="Comma 9 2 3 3" xfId="4112" xr:uid="{00000000-0005-0000-0000-00006F0C0000}"/>
    <cellStyle name="Comma 9 2 3 3 2" xfId="4113" xr:uid="{00000000-0005-0000-0000-0000700C0000}"/>
    <cellStyle name="Comma 9 2 3 3 3" xfId="4114" xr:uid="{00000000-0005-0000-0000-0000710C0000}"/>
    <cellStyle name="Comma 9 2 3 3 4" xfId="4115" xr:uid="{00000000-0005-0000-0000-0000720C0000}"/>
    <cellStyle name="Comma 9 2 3 3 5" xfId="4116" xr:uid="{00000000-0005-0000-0000-0000730C0000}"/>
    <cellStyle name="Comma 9 2 3 4" xfId="4117" xr:uid="{00000000-0005-0000-0000-0000740C0000}"/>
    <cellStyle name="Comma 9 2 3 4 2" xfId="4118" xr:uid="{00000000-0005-0000-0000-0000750C0000}"/>
    <cellStyle name="Comma 9 2 3 4 3" xfId="4119" xr:uid="{00000000-0005-0000-0000-0000760C0000}"/>
    <cellStyle name="Comma 9 2 3 4 4" xfId="4120" xr:uid="{00000000-0005-0000-0000-0000770C0000}"/>
    <cellStyle name="Comma 9 2 3 4 5" xfId="4121" xr:uid="{00000000-0005-0000-0000-0000780C0000}"/>
    <cellStyle name="Comma 9 2 3 5" xfId="4122" xr:uid="{00000000-0005-0000-0000-0000790C0000}"/>
    <cellStyle name="Comma 9 2 3 6" xfId="4123" xr:uid="{00000000-0005-0000-0000-00007A0C0000}"/>
    <cellStyle name="Comma 9 2 3 7" xfId="4124" xr:uid="{00000000-0005-0000-0000-00007B0C0000}"/>
    <cellStyle name="Comma 9 2 3 8" xfId="4125" xr:uid="{00000000-0005-0000-0000-00007C0C0000}"/>
    <cellStyle name="Comma 9 2 4" xfId="4126" xr:uid="{00000000-0005-0000-0000-00007D0C0000}"/>
    <cellStyle name="Comma 9 2 4 2" xfId="4127" xr:uid="{00000000-0005-0000-0000-00007E0C0000}"/>
    <cellStyle name="Comma 9 2 4 3" xfId="4128" xr:uid="{00000000-0005-0000-0000-00007F0C0000}"/>
    <cellStyle name="Comma 9 2 4 4" xfId="4129" xr:uid="{00000000-0005-0000-0000-0000800C0000}"/>
    <cellStyle name="Comma 9 2 4 5" xfId="4130" xr:uid="{00000000-0005-0000-0000-0000810C0000}"/>
    <cellStyle name="Comma 9 2 5" xfId="4131" xr:uid="{00000000-0005-0000-0000-0000820C0000}"/>
    <cellStyle name="Comma 9 2 5 2" xfId="4132" xr:uid="{00000000-0005-0000-0000-0000830C0000}"/>
    <cellStyle name="Comma 9 2 5 3" xfId="4133" xr:uid="{00000000-0005-0000-0000-0000840C0000}"/>
    <cellStyle name="Comma 9 2 5 4" xfId="4134" xr:uid="{00000000-0005-0000-0000-0000850C0000}"/>
    <cellStyle name="Comma 9 2 5 5" xfId="4135" xr:uid="{00000000-0005-0000-0000-0000860C0000}"/>
    <cellStyle name="Comma 9 2 6" xfId="4136" xr:uid="{00000000-0005-0000-0000-0000870C0000}"/>
    <cellStyle name="Comma 9 2 6 2" xfId="4137" xr:uid="{00000000-0005-0000-0000-0000880C0000}"/>
    <cellStyle name="Comma 9 2 6 3" xfId="4138" xr:uid="{00000000-0005-0000-0000-0000890C0000}"/>
    <cellStyle name="Comma 9 2 6 4" xfId="4139" xr:uid="{00000000-0005-0000-0000-00008A0C0000}"/>
    <cellStyle name="Comma 9 2 6 5" xfId="4140" xr:uid="{00000000-0005-0000-0000-00008B0C0000}"/>
    <cellStyle name="Comma 9 2 7" xfId="4141" xr:uid="{00000000-0005-0000-0000-00008C0C0000}"/>
    <cellStyle name="Comma 9 2 8" xfId="4142" xr:uid="{00000000-0005-0000-0000-00008D0C0000}"/>
    <cellStyle name="Comma 9 2 9" xfId="4143" xr:uid="{00000000-0005-0000-0000-00008E0C0000}"/>
    <cellStyle name="Comma 9 3" xfId="173" xr:uid="{00000000-0005-0000-0000-00004C020000}"/>
    <cellStyle name="Comma 9 3 10" xfId="4145" xr:uid="{00000000-0005-0000-0000-0000900C0000}"/>
    <cellStyle name="Comma 9 3 11" xfId="4146" xr:uid="{00000000-0005-0000-0000-0000910C0000}"/>
    <cellStyle name="Comma 9 3 12" xfId="4147" xr:uid="{00000000-0005-0000-0000-0000920C0000}"/>
    <cellStyle name="Comma 9 3 13" xfId="4144" xr:uid="{00000000-0005-0000-0000-00008F0C0000}"/>
    <cellStyle name="Comma 9 3 2" xfId="4148" xr:uid="{00000000-0005-0000-0000-0000930C0000}"/>
    <cellStyle name="Comma 9 3 2 2" xfId="4149" xr:uid="{00000000-0005-0000-0000-0000940C0000}"/>
    <cellStyle name="Comma 9 3 2 3" xfId="4150" xr:uid="{00000000-0005-0000-0000-0000950C0000}"/>
    <cellStyle name="Comma 9 3 2 4" xfId="4151" xr:uid="{00000000-0005-0000-0000-0000960C0000}"/>
    <cellStyle name="Comma 9 3 2 5" xfId="4152" xr:uid="{00000000-0005-0000-0000-0000970C0000}"/>
    <cellStyle name="Comma 9 3 3" xfId="4153" xr:uid="{00000000-0005-0000-0000-0000980C0000}"/>
    <cellStyle name="Comma 9 3 3 2" xfId="4154" xr:uid="{00000000-0005-0000-0000-0000990C0000}"/>
    <cellStyle name="Comma 9 3 3 3" xfId="4155" xr:uid="{00000000-0005-0000-0000-00009A0C0000}"/>
    <cellStyle name="Comma 9 3 3 4" xfId="4156" xr:uid="{00000000-0005-0000-0000-00009B0C0000}"/>
    <cellStyle name="Comma 9 3 3 5" xfId="4157" xr:uid="{00000000-0005-0000-0000-00009C0C0000}"/>
    <cellStyle name="Comma 9 3 4" xfId="4158" xr:uid="{00000000-0005-0000-0000-00009D0C0000}"/>
    <cellStyle name="Comma 9 3 4 2" xfId="4159" xr:uid="{00000000-0005-0000-0000-00009E0C0000}"/>
    <cellStyle name="Comma 9 3 4 3" xfId="4160" xr:uid="{00000000-0005-0000-0000-00009F0C0000}"/>
    <cellStyle name="Comma 9 3 4 4" xfId="4161" xr:uid="{00000000-0005-0000-0000-0000A00C0000}"/>
    <cellStyle name="Comma 9 3 4 5" xfId="4162" xr:uid="{00000000-0005-0000-0000-0000A10C0000}"/>
    <cellStyle name="Comma 9 3 5" xfId="4163" xr:uid="{00000000-0005-0000-0000-0000A20C0000}"/>
    <cellStyle name="Comma 9 3 6" xfId="4164" xr:uid="{00000000-0005-0000-0000-0000A30C0000}"/>
    <cellStyle name="Comma 9 3 7" xfId="4165" xr:uid="{00000000-0005-0000-0000-0000A40C0000}"/>
    <cellStyle name="Comma 9 3 8" xfId="4166" xr:uid="{00000000-0005-0000-0000-0000A50C0000}"/>
    <cellStyle name="Comma 9 3 9" xfId="4167" xr:uid="{00000000-0005-0000-0000-0000A60C0000}"/>
    <cellStyle name="Comma 9 4" xfId="4168" xr:uid="{00000000-0005-0000-0000-0000A70C0000}"/>
    <cellStyle name="Comma 9 4 2" xfId="4169" xr:uid="{00000000-0005-0000-0000-0000A80C0000}"/>
    <cellStyle name="Comma 9 4 2 2" xfId="4170" xr:uid="{00000000-0005-0000-0000-0000A90C0000}"/>
    <cellStyle name="Comma 9 4 3" xfId="4171" xr:uid="{00000000-0005-0000-0000-0000AA0C0000}"/>
    <cellStyle name="Comma 9 4 4" xfId="4172" xr:uid="{00000000-0005-0000-0000-0000AB0C0000}"/>
    <cellStyle name="Comma 9 4 5" xfId="4173" xr:uid="{00000000-0005-0000-0000-0000AC0C0000}"/>
    <cellStyle name="Comma 9 4 6" xfId="4174" xr:uid="{00000000-0005-0000-0000-0000AD0C0000}"/>
    <cellStyle name="Comma 9 4 7" xfId="4175" xr:uid="{00000000-0005-0000-0000-0000AE0C0000}"/>
    <cellStyle name="Comma 9 4 8" xfId="4176" xr:uid="{00000000-0005-0000-0000-0000AF0C0000}"/>
    <cellStyle name="Comma 9 4 9" xfId="4177" xr:uid="{00000000-0005-0000-0000-0000B00C0000}"/>
    <cellStyle name="Comma 9 5" xfId="4178" xr:uid="{00000000-0005-0000-0000-0000B10C0000}"/>
    <cellStyle name="Comma 9 5 2" xfId="4179" xr:uid="{00000000-0005-0000-0000-0000B20C0000}"/>
    <cellStyle name="Comma 9 5 3" xfId="4180" xr:uid="{00000000-0005-0000-0000-0000B30C0000}"/>
    <cellStyle name="Comma 9 5 4" xfId="4181" xr:uid="{00000000-0005-0000-0000-0000B40C0000}"/>
    <cellStyle name="Comma 9 5 5" xfId="4182" xr:uid="{00000000-0005-0000-0000-0000B50C0000}"/>
    <cellStyle name="Comma 9 5 6" xfId="4183" xr:uid="{00000000-0005-0000-0000-0000B60C0000}"/>
    <cellStyle name="Comma 9 5 7" xfId="4184" xr:uid="{00000000-0005-0000-0000-0000B70C0000}"/>
    <cellStyle name="Comma 9 5 8" xfId="4185" xr:uid="{00000000-0005-0000-0000-0000B80C0000}"/>
    <cellStyle name="Comma 9 6" xfId="4186" xr:uid="{00000000-0005-0000-0000-0000B90C0000}"/>
    <cellStyle name="Comma 9 6 2" xfId="4187" xr:uid="{00000000-0005-0000-0000-0000BA0C0000}"/>
    <cellStyle name="Comma 9 6 3" xfId="4188" xr:uid="{00000000-0005-0000-0000-0000BB0C0000}"/>
    <cellStyle name="Comma 9 6 4" xfId="4189" xr:uid="{00000000-0005-0000-0000-0000BC0C0000}"/>
    <cellStyle name="Comma 9 6 5" xfId="4190" xr:uid="{00000000-0005-0000-0000-0000BD0C0000}"/>
    <cellStyle name="Comma 9 6 6" xfId="4191" xr:uid="{00000000-0005-0000-0000-0000BE0C0000}"/>
    <cellStyle name="Comma 9 6 7" xfId="4192" xr:uid="{00000000-0005-0000-0000-0000BF0C0000}"/>
    <cellStyle name="Comma 9 6 8" xfId="4193" xr:uid="{00000000-0005-0000-0000-0000C00C0000}"/>
    <cellStyle name="Comma 9 7" xfId="4194" xr:uid="{00000000-0005-0000-0000-0000C10C0000}"/>
    <cellStyle name="Comma 9 8" xfId="4195" xr:uid="{00000000-0005-0000-0000-0000C20C0000}"/>
    <cellStyle name="Comma 9 9" xfId="4196" xr:uid="{00000000-0005-0000-0000-0000C30C0000}"/>
    <cellStyle name="Comma_Book1" xfId="37278" xr:uid="{850B1B3C-097F-4B54-8BEF-C2612CA3DDB2}"/>
    <cellStyle name="Copied" xfId="4197" xr:uid="{00000000-0005-0000-0000-0000C40C0000}"/>
    <cellStyle name="COURIER" xfId="4198" xr:uid="{00000000-0005-0000-0000-0000C50C0000}"/>
    <cellStyle name="CSI" xfId="4199" xr:uid="{00000000-0005-0000-0000-0000C60C0000}"/>
    <cellStyle name="Currencq [0]_Invoices_C730 (2)" xfId="4200" xr:uid="{00000000-0005-0000-0000-0000C70C0000}"/>
    <cellStyle name="Currency" xfId="87" builtinId="4"/>
    <cellStyle name="Currency $" xfId="4201" xr:uid="{00000000-0005-0000-0000-0000C80C0000}"/>
    <cellStyle name="Currency $ 2" xfId="4202" xr:uid="{00000000-0005-0000-0000-0000C90C0000}"/>
    <cellStyle name="Currency $ 3" xfId="4203" xr:uid="{00000000-0005-0000-0000-0000CA0C0000}"/>
    <cellStyle name="Currency $ 4" xfId="4204" xr:uid="{00000000-0005-0000-0000-0000CB0C0000}"/>
    <cellStyle name="Currency $ 5" xfId="4205" xr:uid="{00000000-0005-0000-0000-0000CC0C0000}"/>
    <cellStyle name="Currency $ 6" xfId="4206" xr:uid="{00000000-0005-0000-0000-0000CD0C0000}"/>
    <cellStyle name="Currency $ 7" xfId="4207" xr:uid="{00000000-0005-0000-0000-0000CE0C0000}"/>
    <cellStyle name="Currency $ 8" xfId="4208" xr:uid="{00000000-0005-0000-0000-0000CF0C0000}"/>
    <cellStyle name="Currency [2]_Invoices_C740 (2)_981111~cost" xfId="4209" xr:uid="{00000000-0005-0000-0000-0000D00C0000}"/>
    <cellStyle name="Currency 2" xfId="4210" xr:uid="{00000000-0005-0000-0000-0000D10C0000}"/>
    <cellStyle name="Currency 2 10" xfId="4211" xr:uid="{00000000-0005-0000-0000-0000D20C0000}"/>
    <cellStyle name="Currency 2 10 2" xfId="4212" xr:uid="{00000000-0005-0000-0000-0000D30C0000}"/>
    <cellStyle name="Currency 2 10 3" xfId="4213" xr:uid="{00000000-0005-0000-0000-0000D40C0000}"/>
    <cellStyle name="Currency 2 10 4" xfId="4214" xr:uid="{00000000-0005-0000-0000-0000D50C0000}"/>
    <cellStyle name="Currency 2 10 5" xfId="4215" xr:uid="{00000000-0005-0000-0000-0000D60C0000}"/>
    <cellStyle name="Currency 2 11" xfId="4216" xr:uid="{00000000-0005-0000-0000-0000D70C0000}"/>
    <cellStyle name="Currency 2 11 2" xfId="4217" xr:uid="{00000000-0005-0000-0000-0000D80C0000}"/>
    <cellStyle name="Currency 2 11 3" xfId="4218" xr:uid="{00000000-0005-0000-0000-0000D90C0000}"/>
    <cellStyle name="Currency 2 11 4" xfId="4219" xr:uid="{00000000-0005-0000-0000-0000DA0C0000}"/>
    <cellStyle name="Currency 2 11 5" xfId="4220" xr:uid="{00000000-0005-0000-0000-0000DB0C0000}"/>
    <cellStyle name="Currency 2 12" xfId="4221" xr:uid="{00000000-0005-0000-0000-0000DC0C0000}"/>
    <cellStyle name="Currency 2 12 2" xfId="4222" xr:uid="{00000000-0005-0000-0000-0000DD0C0000}"/>
    <cellStyle name="Currency 2 12 3" xfId="4223" xr:uid="{00000000-0005-0000-0000-0000DE0C0000}"/>
    <cellStyle name="Currency 2 12 4" xfId="4224" xr:uid="{00000000-0005-0000-0000-0000DF0C0000}"/>
    <cellStyle name="Currency 2 12 5" xfId="4225" xr:uid="{00000000-0005-0000-0000-0000E00C0000}"/>
    <cellStyle name="Currency 2 13" xfId="4226" xr:uid="{00000000-0005-0000-0000-0000E10C0000}"/>
    <cellStyle name="Currency 2 13 2" xfId="4227" xr:uid="{00000000-0005-0000-0000-0000E20C0000}"/>
    <cellStyle name="Currency 2 13 3" xfId="4228" xr:uid="{00000000-0005-0000-0000-0000E30C0000}"/>
    <cellStyle name="Currency 2 13 4" xfId="4229" xr:uid="{00000000-0005-0000-0000-0000E40C0000}"/>
    <cellStyle name="Currency 2 13 5" xfId="4230" xr:uid="{00000000-0005-0000-0000-0000E50C0000}"/>
    <cellStyle name="Currency 2 14" xfId="4231" xr:uid="{00000000-0005-0000-0000-0000E60C0000}"/>
    <cellStyle name="Currency 2 14 2" xfId="4232" xr:uid="{00000000-0005-0000-0000-0000E70C0000}"/>
    <cellStyle name="Currency 2 14 3" xfId="4233" xr:uid="{00000000-0005-0000-0000-0000E80C0000}"/>
    <cellStyle name="Currency 2 14 4" xfId="4234" xr:uid="{00000000-0005-0000-0000-0000E90C0000}"/>
    <cellStyle name="Currency 2 14 5" xfId="4235" xr:uid="{00000000-0005-0000-0000-0000EA0C0000}"/>
    <cellStyle name="Currency 2 15" xfId="4236" xr:uid="{00000000-0005-0000-0000-0000EB0C0000}"/>
    <cellStyle name="Currency 2 15 2" xfId="4237" xr:uid="{00000000-0005-0000-0000-0000EC0C0000}"/>
    <cellStyle name="Currency 2 15 3" xfId="4238" xr:uid="{00000000-0005-0000-0000-0000ED0C0000}"/>
    <cellStyle name="Currency 2 15 4" xfId="4239" xr:uid="{00000000-0005-0000-0000-0000EE0C0000}"/>
    <cellStyle name="Currency 2 15 5" xfId="4240" xr:uid="{00000000-0005-0000-0000-0000EF0C0000}"/>
    <cellStyle name="Currency 2 16" xfId="4241" xr:uid="{00000000-0005-0000-0000-0000F00C0000}"/>
    <cellStyle name="Currency 2 16 2" xfId="4242" xr:uid="{00000000-0005-0000-0000-0000F10C0000}"/>
    <cellStyle name="Currency 2 16 3" xfId="4243" xr:uid="{00000000-0005-0000-0000-0000F20C0000}"/>
    <cellStyle name="Currency 2 16 4" xfId="4244" xr:uid="{00000000-0005-0000-0000-0000F30C0000}"/>
    <cellStyle name="Currency 2 16 5" xfId="4245" xr:uid="{00000000-0005-0000-0000-0000F40C0000}"/>
    <cellStyle name="Currency 2 17" xfId="4246" xr:uid="{00000000-0005-0000-0000-0000F50C0000}"/>
    <cellStyle name="Currency 2 17 2" xfId="4247" xr:uid="{00000000-0005-0000-0000-0000F60C0000}"/>
    <cellStyle name="Currency 2 17 3" xfId="4248" xr:uid="{00000000-0005-0000-0000-0000F70C0000}"/>
    <cellStyle name="Currency 2 17 4" xfId="4249" xr:uid="{00000000-0005-0000-0000-0000F80C0000}"/>
    <cellStyle name="Currency 2 17 5" xfId="4250" xr:uid="{00000000-0005-0000-0000-0000F90C0000}"/>
    <cellStyle name="Currency 2 18" xfId="4251" xr:uid="{00000000-0005-0000-0000-0000FA0C0000}"/>
    <cellStyle name="Currency 2 19" xfId="4252" xr:uid="{00000000-0005-0000-0000-0000FB0C0000}"/>
    <cellStyle name="Currency 2 2" xfId="4253" xr:uid="{00000000-0005-0000-0000-0000FC0C0000}"/>
    <cellStyle name="Currency 2 2 2" xfId="4254" xr:uid="{00000000-0005-0000-0000-0000FD0C0000}"/>
    <cellStyle name="Currency 2 2 3" xfId="4255" xr:uid="{00000000-0005-0000-0000-0000FE0C0000}"/>
    <cellStyle name="Currency 2 2 4" xfId="4256" xr:uid="{00000000-0005-0000-0000-0000FF0C0000}"/>
    <cellStyle name="Currency 2 2 5" xfId="4257" xr:uid="{00000000-0005-0000-0000-0000000D0000}"/>
    <cellStyle name="Currency 2 20" xfId="4258" xr:uid="{00000000-0005-0000-0000-0000010D0000}"/>
    <cellStyle name="Currency 2 21" xfId="4259" xr:uid="{00000000-0005-0000-0000-0000020D0000}"/>
    <cellStyle name="Currency 2 22" xfId="4260" xr:uid="{00000000-0005-0000-0000-0000030D0000}"/>
    <cellStyle name="Currency 2 23" xfId="4261" xr:uid="{00000000-0005-0000-0000-0000040D0000}"/>
    <cellStyle name="Currency 2 24" xfId="4262" xr:uid="{00000000-0005-0000-0000-0000050D0000}"/>
    <cellStyle name="Currency 2 25" xfId="37254" xr:uid="{00000000-0005-0000-0000-0000060D0000}"/>
    <cellStyle name="Currency 2 3" xfId="4263" xr:uid="{00000000-0005-0000-0000-0000070D0000}"/>
    <cellStyle name="Currency 2 3 2" xfId="4264" xr:uid="{00000000-0005-0000-0000-0000080D0000}"/>
    <cellStyle name="Currency 2 3 3" xfId="4265" xr:uid="{00000000-0005-0000-0000-0000090D0000}"/>
    <cellStyle name="Currency 2 3 4" xfId="4266" xr:uid="{00000000-0005-0000-0000-00000A0D0000}"/>
    <cellStyle name="Currency 2 3 5" xfId="4267" xr:uid="{00000000-0005-0000-0000-00000B0D0000}"/>
    <cellStyle name="Currency 2 4" xfId="4268" xr:uid="{00000000-0005-0000-0000-00000C0D0000}"/>
    <cellStyle name="Currency 2 4 2" xfId="4269" xr:uid="{00000000-0005-0000-0000-00000D0D0000}"/>
    <cellStyle name="Currency 2 4 3" xfId="4270" xr:uid="{00000000-0005-0000-0000-00000E0D0000}"/>
    <cellStyle name="Currency 2 4 4" xfId="4271" xr:uid="{00000000-0005-0000-0000-00000F0D0000}"/>
    <cellStyle name="Currency 2 4 5" xfId="4272" xr:uid="{00000000-0005-0000-0000-0000100D0000}"/>
    <cellStyle name="Currency 2 5" xfId="4273" xr:uid="{00000000-0005-0000-0000-0000110D0000}"/>
    <cellStyle name="Currency 2 5 2" xfId="4274" xr:uid="{00000000-0005-0000-0000-0000120D0000}"/>
    <cellStyle name="Currency 2 5 3" xfId="4275" xr:uid="{00000000-0005-0000-0000-0000130D0000}"/>
    <cellStyle name="Currency 2 5 4" xfId="4276" xr:uid="{00000000-0005-0000-0000-0000140D0000}"/>
    <cellStyle name="Currency 2 5 5" xfId="4277" xr:uid="{00000000-0005-0000-0000-0000150D0000}"/>
    <cellStyle name="Currency 2 6" xfId="4278" xr:uid="{00000000-0005-0000-0000-0000160D0000}"/>
    <cellStyle name="Currency 2 6 2" xfId="4279" xr:uid="{00000000-0005-0000-0000-0000170D0000}"/>
    <cellStyle name="Currency 2 6 3" xfId="4280" xr:uid="{00000000-0005-0000-0000-0000180D0000}"/>
    <cellStyle name="Currency 2 6 4" xfId="4281" xr:uid="{00000000-0005-0000-0000-0000190D0000}"/>
    <cellStyle name="Currency 2 6 5" xfId="4282" xr:uid="{00000000-0005-0000-0000-00001A0D0000}"/>
    <cellStyle name="Currency 2 7" xfId="4283" xr:uid="{00000000-0005-0000-0000-00001B0D0000}"/>
    <cellStyle name="Currency 2 7 2" xfId="4284" xr:uid="{00000000-0005-0000-0000-00001C0D0000}"/>
    <cellStyle name="Currency 2 7 3" xfId="4285" xr:uid="{00000000-0005-0000-0000-00001D0D0000}"/>
    <cellStyle name="Currency 2 7 4" xfId="4286" xr:uid="{00000000-0005-0000-0000-00001E0D0000}"/>
    <cellStyle name="Currency 2 7 5" xfId="4287" xr:uid="{00000000-0005-0000-0000-00001F0D0000}"/>
    <cellStyle name="Currency 2 8" xfId="4288" xr:uid="{00000000-0005-0000-0000-0000200D0000}"/>
    <cellStyle name="Currency 2 8 2" xfId="4289" xr:uid="{00000000-0005-0000-0000-0000210D0000}"/>
    <cellStyle name="Currency 2 8 3" xfId="4290" xr:uid="{00000000-0005-0000-0000-0000220D0000}"/>
    <cellStyle name="Currency 2 8 4" xfId="4291" xr:uid="{00000000-0005-0000-0000-0000230D0000}"/>
    <cellStyle name="Currency 2 8 5" xfId="4292" xr:uid="{00000000-0005-0000-0000-0000240D0000}"/>
    <cellStyle name="Currency 2 9" xfId="4293" xr:uid="{00000000-0005-0000-0000-0000250D0000}"/>
    <cellStyle name="Currency 2 9 2" xfId="4294" xr:uid="{00000000-0005-0000-0000-0000260D0000}"/>
    <cellStyle name="Currency 2 9 3" xfId="4295" xr:uid="{00000000-0005-0000-0000-0000270D0000}"/>
    <cellStyle name="Currency 2 9 4" xfId="4296" xr:uid="{00000000-0005-0000-0000-0000280D0000}"/>
    <cellStyle name="Currency 2 9 5" xfId="4297" xr:uid="{00000000-0005-0000-0000-0000290D0000}"/>
    <cellStyle name="Custom - Style8" xfId="4298" xr:uid="{00000000-0005-0000-0000-00002A0D0000}"/>
    <cellStyle name="Data   - Style2" xfId="4299" xr:uid="{00000000-0005-0000-0000-00002B0D0000}"/>
    <cellStyle name="Data   - Style2 10" xfId="4300" xr:uid="{00000000-0005-0000-0000-00002C0D0000}"/>
    <cellStyle name="Data   - Style2 10 2" xfId="4301" xr:uid="{00000000-0005-0000-0000-00002D0D0000}"/>
    <cellStyle name="Data   - Style2 11" xfId="4302" xr:uid="{00000000-0005-0000-0000-00002E0D0000}"/>
    <cellStyle name="Data   - Style2 11 2" xfId="4303" xr:uid="{00000000-0005-0000-0000-00002F0D0000}"/>
    <cellStyle name="Data   - Style2 12" xfId="4304" xr:uid="{00000000-0005-0000-0000-0000300D0000}"/>
    <cellStyle name="Data   - Style2 12 2" xfId="4305" xr:uid="{00000000-0005-0000-0000-0000310D0000}"/>
    <cellStyle name="Data   - Style2 13" xfId="4306" xr:uid="{00000000-0005-0000-0000-0000320D0000}"/>
    <cellStyle name="Data   - Style2 13 2" xfId="4307" xr:uid="{00000000-0005-0000-0000-0000330D0000}"/>
    <cellStyle name="Data   - Style2 14" xfId="4308" xr:uid="{00000000-0005-0000-0000-0000340D0000}"/>
    <cellStyle name="Data   - Style2 14 2" xfId="4309" xr:uid="{00000000-0005-0000-0000-0000350D0000}"/>
    <cellStyle name="Data   - Style2 15" xfId="4310" xr:uid="{00000000-0005-0000-0000-0000360D0000}"/>
    <cellStyle name="Data   - Style2 15 2" xfId="4311" xr:uid="{00000000-0005-0000-0000-0000370D0000}"/>
    <cellStyle name="Data   - Style2 16" xfId="4312" xr:uid="{00000000-0005-0000-0000-0000380D0000}"/>
    <cellStyle name="Data   - Style2 16 2" xfId="4313" xr:uid="{00000000-0005-0000-0000-0000390D0000}"/>
    <cellStyle name="Data   - Style2 17" xfId="4314" xr:uid="{00000000-0005-0000-0000-00003A0D0000}"/>
    <cellStyle name="Data   - Style2 2" xfId="4315" xr:uid="{00000000-0005-0000-0000-00003B0D0000}"/>
    <cellStyle name="Data   - Style2 2 10" xfId="4316" xr:uid="{00000000-0005-0000-0000-00003C0D0000}"/>
    <cellStyle name="Data   - Style2 2 10 2" xfId="4317" xr:uid="{00000000-0005-0000-0000-00003D0D0000}"/>
    <cellStyle name="Data   - Style2 2 11" xfId="4318" xr:uid="{00000000-0005-0000-0000-00003E0D0000}"/>
    <cellStyle name="Data   - Style2 2 2" xfId="4319" xr:uid="{00000000-0005-0000-0000-00003F0D0000}"/>
    <cellStyle name="Data   - Style2 2 2 2" xfId="4320" xr:uid="{00000000-0005-0000-0000-0000400D0000}"/>
    <cellStyle name="Data   - Style2 2 3" xfId="4321" xr:uid="{00000000-0005-0000-0000-0000410D0000}"/>
    <cellStyle name="Data   - Style2 2 3 2" xfId="4322" xr:uid="{00000000-0005-0000-0000-0000420D0000}"/>
    <cellStyle name="Data   - Style2 2 4" xfId="4323" xr:uid="{00000000-0005-0000-0000-0000430D0000}"/>
    <cellStyle name="Data   - Style2 2 4 2" xfId="4324" xr:uid="{00000000-0005-0000-0000-0000440D0000}"/>
    <cellStyle name="Data   - Style2 2 5" xfId="4325" xr:uid="{00000000-0005-0000-0000-0000450D0000}"/>
    <cellStyle name="Data   - Style2 2 5 2" xfId="4326" xr:uid="{00000000-0005-0000-0000-0000460D0000}"/>
    <cellStyle name="Data   - Style2 2 6" xfId="4327" xr:uid="{00000000-0005-0000-0000-0000470D0000}"/>
    <cellStyle name="Data   - Style2 2 6 2" xfId="4328" xr:uid="{00000000-0005-0000-0000-0000480D0000}"/>
    <cellStyle name="Data   - Style2 2 7" xfId="4329" xr:uid="{00000000-0005-0000-0000-0000490D0000}"/>
    <cellStyle name="Data   - Style2 2 7 2" xfId="4330" xr:uid="{00000000-0005-0000-0000-00004A0D0000}"/>
    <cellStyle name="Data   - Style2 2 8" xfId="4331" xr:uid="{00000000-0005-0000-0000-00004B0D0000}"/>
    <cellStyle name="Data   - Style2 2 8 2" xfId="4332" xr:uid="{00000000-0005-0000-0000-00004C0D0000}"/>
    <cellStyle name="Data   - Style2 2 9" xfId="4333" xr:uid="{00000000-0005-0000-0000-00004D0D0000}"/>
    <cellStyle name="Data   - Style2 2 9 2" xfId="4334" xr:uid="{00000000-0005-0000-0000-00004E0D0000}"/>
    <cellStyle name="Data   - Style2 3" xfId="4335" xr:uid="{00000000-0005-0000-0000-00004F0D0000}"/>
    <cellStyle name="Data   - Style2 3 10" xfId="4336" xr:uid="{00000000-0005-0000-0000-0000500D0000}"/>
    <cellStyle name="Data   - Style2 3 10 2" xfId="4337" xr:uid="{00000000-0005-0000-0000-0000510D0000}"/>
    <cellStyle name="Data   - Style2 3 11" xfId="4338" xr:uid="{00000000-0005-0000-0000-0000520D0000}"/>
    <cellStyle name="Data   - Style2 3 2" xfId="4339" xr:uid="{00000000-0005-0000-0000-0000530D0000}"/>
    <cellStyle name="Data   - Style2 3 2 2" xfId="4340" xr:uid="{00000000-0005-0000-0000-0000540D0000}"/>
    <cellStyle name="Data   - Style2 3 3" xfId="4341" xr:uid="{00000000-0005-0000-0000-0000550D0000}"/>
    <cellStyle name="Data   - Style2 3 3 2" xfId="4342" xr:uid="{00000000-0005-0000-0000-0000560D0000}"/>
    <cellStyle name="Data   - Style2 3 4" xfId="4343" xr:uid="{00000000-0005-0000-0000-0000570D0000}"/>
    <cellStyle name="Data   - Style2 3 4 2" xfId="4344" xr:uid="{00000000-0005-0000-0000-0000580D0000}"/>
    <cellStyle name="Data   - Style2 3 5" xfId="4345" xr:uid="{00000000-0005-0000-0000-0000590D0000}"/>
    <cellStyle name="Data   - Style2 3 5 2" xfId="4346" xr:uid="{00000000-0005-0000-0000-00005A0D0000}"/>
    <cellStyle name="Data   - Style2 3 6" xfId="4347" xr:uid="{00000000-0005-0000-0000-00005B0D0000}"/>
    <cellStyle name="Data   - Style2 3 6 2" xfId="4348" xr:uid="{00000000-0005-0000-0000-00005C0D0000}"/>
    <cellStyle name="Data   - Style2 3 7" xfId="4349" xr:uid="{00000000-0005-0000-0000-00005D0D0000}"/>
    <cellStyle name="Data   - Style2 3 7 2" xfId="4350" xr:uid="{00000000-0005-0000-0000-00005E0D0000}"/>
    <cellStyle name="Data   - Style2 3 8" xfId="4351" xr:uid="{00000000-0005-0000-0000-00005F0D0000}"/>
    <cellStyle name="Data   - Style2 3 8 2" xfId="4352" xr:uid="{00000000-0005-0000-0000-0000600D0000}"/>
    <cellStyle name="Data   - Style2 3 9" xfId="4353" xr:uid="{00000000-0005-0000-0000-0000610D0000}"/>
    <cellStyle name="Data   - Style2 3 9 2" xfId="4354" xr:uid="{00000000-0005-0000-0000-0000620D0000}"/>
    <cellStyle name="Data   - Style2 4" xfId="4355" xr:uid="{00000000-0005-0000-0000-0000630D0000}"/>
    <cellStyle name="Data   - Style2 4 10" xfId="4356" xr:uid="{00000000-0005-0000-0000-0000640D0000}"/>
    <cellStyle name="Data   - Style2 4 10 2" xfId="4357" xr:uid="{00000000-0005-0000-0000-0000650D0000}"/>
    <cellStyle name="Data   - Style2 4 11" xfId="4358" xr:uid="{00000000-0005-0000-0000-0000660D0000}"/>
    <cellStyle name="Data   - Style2 4 2" xfId="4359" xr:uid="{00000000-0005-0000-0000-0000670D0000}"/>
    <cellStyle name="Data   - Style2 4 2 2" xfId="4360" xr:uid="{00000000-0005-0000-0000-0000680D0000}"/>
    <cellStyle name="Data   - Style2 4 3" xfId="4361" xr:uid="{00000000-0005-0000-0000-0000690D0000}"/>
    <cellStyle name="Data   - Style2 4 3 2" xfId="4362" xr:uid="{00000000-0005-0000-0000-00006A0D0000}"/>
    <cellStyle name="Data   - Style2 4 4" xfId="4363" xr:uid="{00000000-0005-0000-0000-00006B0D0000}"/>
    <cellStyle name="Data   - Style2 4 4 2" xfId="4364" xr:uid="{00000000-0005-0000-0000-00006C0D0000}"/>
    <cellStyle name="Data   - Style2 4 5" xfId="4365" xr:uid="{00000000-0005-0000-0000-00006D0D0000}"/>
    <cellStyle name="Data   - Style2 4 5 2" xfId="4366" xr:uid="{00000000-0005-0000-0000-00006E0D0000}"/>
    <cellStyle name="Data   - Style2 4 6" xfId="4367" xr:uid="{00000000-0005-0000-0000-00006F0D0000}"/>
    <cellStyle name="Data   - Style2 4 6 2" xfId="4368" xr:uid="{00000000-0005-0000-0000-0000700D0000}"/>
    <cellStyle name="Data   - Style2 4 7" xfId="4369" xr:uid="{00000000-0005-0000-0000-0000710D0000}"/>
    <cellStyle name="Data   - Style2 4 7 2" xfId="4370" xr:uid="{00000000-0005-0000-0000-0000720D0000}"/>
    <cellStyle name="Data   - Style2 4 8" xfId="4371" xr:uid="{00000000-0005-0000-0000-0000730D0000}"/>
    <cellStyle name="Data   - Style2 4 8 2" xfId="4372" xr:uid="{00000000-0005-0000-0000-0000740D0000}"/>
    <cellStyle name="Data   - Style2 4 9" xfId="4373" xr:uid="{00000000-0005-0000-0000-0000750D0000}"/>
    <cellStyle name="Data   - Style2 4 9 2" xfId="4374" xr:uid="{00000000-0005-0000-0000-0000760D0000}"/>
    <cellStyle name="Data   - Style2 5" xfId="4375" xr:uid="{00000000-0005-0000-0000-0000770D0000}"/>
    <cellStyle name="Data   - Style2 5 10" xfId="4376" xr:uid="{00000000-0005-0000-0000-0000780D0000}"/>
    <cellStyle name="Data   - Style2 5 10 2" xfId="4377" xr:uid="{00000000-0005-0000-0000-0000790D0000}"/>
    <cellStyle name="Data   - Style2 5 11" xfId="4378" xr:uid="{00000000-0005-0000-0000-00007A0D0000}"/>
    <cellStyle name="Data   - Style2 5 2" xfId="4379" xr:uid="{00000000-0005-0000-0000-00007B0D0000}"/>
    <cellStyle name="Data   - Style2 5 2 2" xfId="4380" xr:uid="{00000000-0005-0000-0000-00007C0D0000}"/>
    <cellStyle name="Data   - Style2 5 3" xfId="4381" xr:uid="{00000000-0005-0000-0000-00007D0D0000}"/>
    <cellStyle name="Data   - Style2 5 3 2" xfId="4382" xr:uid="{00000000-0005-0000-0000-00007E0D0000}"/>
    <cellStyle name="Data   - Style2 5 4" xfId="4383" xr:uid="{00000000-0005-0000-0000-00007F0D0000}"/>
    <cellStyle name="Data   - Style2 5 4 2" xfId="4384" xr:uid="{00000000-0005-0000-0000-0000800D0000}"/>
    <cellStyle name="Data   - Style2 5 5" xfId="4385" xr:uid="{00000000-0005-0000-0000-0000810D0000}"/>
    <cellStyle name="Data   - Style2 5 5 2" xfId="4386" xr:uid="{00000000-0005-0000-0000-0000820D0000}"/>
    <cellStyle name="Data   - Style2 5 6" xfId="4387" xr:uid="{00000000-0005-0000-0000-0000830D0000}"/>
    <cellStyle name="Data   - Style2 5 6 2" xfId="4388" xr:uid="{00000000-0005-0000-0000-0000840D0000}"/>
    <cellStyle name="Data   - Style2 5 7" xfId="4389" xr:uid="{00000000-0005-0000-0000-0000850D0000}"/>
    <cellStyle name="Data   - Style2 5 7 2" xfId="4390" xr:uid="{00000000-0005-0000-0000-0000860D0000}"/>
    <cellStyle name="Data   - Style2 5 8" xfId="4391" xr:uid="{00000000-0005-0000-0000-0000870D0000}"/>
    <cellStyle name="Data   - Style2 5 8 2" xfId="4392" xr:uid="{00000000-0005-0000-0000-0000880D0000}"/>
    <cellStyle name="Data   - Style2 5 9" xfId="4393" xr:uid="{00000000-0005-0000-0000-0000890D0000}"/>
    <cellStyle name="Data   - Style2 5 9 2" xfId="4394" xr:uid="{00000000-0005-0000-0000-00008A0D0000}"/>
    <cellStyle name="Data   - Style2 6" xfId="4395" xr:uid="{00000000-0005-0000-0000-00008B0D0000}"/>
    <cellStyle name="Data   - Style2 6 10" xfId="4396" xr:uid="{00000000-0005-0000-0000-00008C0D0000}"/>
    <cellStyle name="Data   - Style2 6 10 2" xfId="4397" xr:uid="{00000000-0005-0000-0000-00008D0D0000}"/>
    <cellStyle name="Data   - Style2 6 11" xfId="4398" xr:uid="{00000000-0005-0000-0000-00008E0D0000}"/>
    <cellStyle name="Data   - Style2 6 2" xfId="4399" xr:uid="{00000000-0005-0000-0000-00008F0D0000}"/>
    <cellStyle name="Data   - Style2 6 2 2" xfId="4400" xr:uid="{00000000-0005-0000-0000-0000900D0000}"/>
    <cellStyle name="Data   - Style2 6 3" xfId="4401" xr:uid="{00000000-0005-0000-0000-0000910D0000}"/>
    <cellStyle name="Data   - Style2 6 3 2" xfId="4402" xr:uid="{00000000-0005-0000-0000-0000920D0000}"/>
    <cellStyle name="Data   - Style2 6 4" xfId="4403" xr:uid="{00000000-0005-0000-0000-0000930D0000}"/>
    <cellStyle name="Data   - Style2 6 4 2" xfId="4404" xr:uid="{00000000-0005-0000-0000-0000940D0000}"/>
    <cellStyle name="Data   - Style2 6 5" xfId="4405" xr:uid="{00000000-0005-0000-0000-0000950D0000}"/>
    <cellStyle name="Data   - Style2 6 5 2" xfId="4406" xr:uid="{00000000-0005-0000-0000-0000960D0000}"/>
    <cellStyle name="Data   - Style2 6 6" xfId="4407" xr:uid="{00000000-0005-0000-0000-0000970D0000}"/>
    <cellStyle name="Data   - Style2 6 6 2" xfId="4408" xr:uid="{00000000-0005-0000-0000-0000980D0000}"/>
    <cellStyle name="Data   - Style2 6 7" xfId="4409" xr:uid="{00000000-0005-0000-0000-0000990D0000}"/>
    <cellStyle name="Data   - Style2 6 7 2" xfId="4410" xr:uid="{00000000-0005-0000-0000-00009A0D0000}"/>
    <cellStyle name="Data   - Style2 6 8" xfId="4411" xr:uid="{00000000-0005-0000-0000-00009B0D0000}"/>
    <cellStyle name="Data   - Style2 6 8 2" xfId="4412" xr:uid="{00000000-0005-0000-0000-00009C0D0000}"/>
    <cellStyle name="Data   - Style2 6 9" xfId="4413" xr:uid="{00000000-0005-0000-0000-00009D0D0000}"/>
    <cellStyle name="Data   - Style2 6 9 2" xfId="4414" xr:uid="{00000000-0005-0000-0000-00009E0D0000}"/>
    <cellStyle name="Data   - Style2 7" xfId="4415" xr:uid="{00000000-0005-0000-0000-00009F0D0000}"/>
    <cellStyle name="Data   - Style2 7 10" xfId="4416" xr:uid="{00000000-0005-0000-0000-0000A00D0000}"/>
    <cellStyle name="Data   - Style2 7 10 2" xfId="4417" xr:uid="{00000000-0005-0000-0000-0000A10D0000}"/>
    <cellStyle name="Data   - Style2 7 11" xfId="4418" xr:uid="{00000000-0005-0000-0000-0000A20D0000}"/>
    <cellStyle name="Data   - Style2 7 2" xfId="4419" xr:uid="{00000000-0005-0000-0000-0000A30D0000}"/>
    <cellStyle name="Data   - Style2 7 2 2" xfId="4420" xr:uid="{00000000-0005-0000-0000-0000A40D0000}"/>
    <cellStyle name="Data   - Style2 7 3" xfId="4421" xr:uid="{00000000-0005-0000-0000-0000A50D0000}"/>
    <cellStyle name="Data   - Style2 7 3 2" xfId="4422" xr:uid="{00000000-0005-0000-0000-0000A60D0000}"/>
    <cellStyle name="Data   - Style2 7 4" xfId="4423" xr:uid="{00000000-0005-0000-0000-0000A70D0000}"/>
    <cellStyle name="Data   - Style2 7 4 2" xfId="4424" xr:uid="{00000000-0005-0000-0000-0000A80D0000}"/>
    <cellStyle name="Data   - Style2 7 5" xfId="4425" xr:uid="{00000000-0005-0000-0000-0000A90D0000}"/>
    <cellStyle name="Data   - Style2 7 5 2" xfId="4426" xr:uid="{00000000-0005-0000-0000-0000AA0D0000}"/>
    <cellStyle name="Data   - Style2 7 6" xfId="4427" xr:uid="{00000000-0005-0000-0000-0000AB0D0000}"/>
    <cellStyle name="Data   - Style2 7 6 2" xfId="4428" xr:uid="{00000000-0005-0000-0000-0000AC0D0000}"/>
    <cellStyle name="Data   - Style2 7 7" xfId="4429" xr:uid="{00000000-0005-0000-0000-0000AD0D0000}"/>
    <cellStyle name="Data   - Style2 7 7 2" xfId="4430" xr:uid="{00000000-0005-0000-0000-0000AE0D0000}"/>
    <cellStyle name="Data   - Style2 7 8" xfId="4431" xr:uid="{00000000-0005-0000-0000-0000AF0D0000}"/>
    <cellStyle name="Data   - Style2 7 8 2" xfId="4432" xr:uid="{00000000-0005-0000-0000-0000B00D0000}"/>
    <cellStyle name="Data   - Style2 7 9" xfId="4433" xr:uid="{00000000-0005-0000-0000-0000B10D0000}"/>
    <cellStyle name="Data   - Style2 7 9 2" xfId="4434" xr:uid="{00000000-0005-0000-0000-0000B20D0000}"/>
    <cellStyle name="Data   - Style2 8" xfId="4435" xr:uid="{00000000-0005-0000-0000-0000B30D0000}"/>
    <cellStyle name="Data   - Style2 8 2" xfId="4436" xr:uid="{00000000-0005-0000-0000-0000B40D0000}"/>
    <cellStyle name="Data   - Style2 9" xfId="4437" xr:uid="{00000000-0005-0000-0000-0000B50D0000}"/>
    <cellStyle name="Data   - Style2 9 2" xfId="4438" xr:uid="{00000000-0005-0000-0000-0000B60D0000}"/>
    <cellStyle name="Date" xfId="4439" xr:uid="{00000000-0005-0000-0000-0000B70D0000}"/>
    <cellStyle name="Date 2" xfId="4440" xr:uid="{00000000-0005-0000-0000-0000B80D0000}"/>
    <cellStyle name="Date 3" xfId="4441" xr:uid="{00000000-0005-0000-0000-0000B90D0000}"/>
    <cellStyle name="Date 4" xfId="4442" xr:uid="{00000000-0005-0000-0000-0000BA0D0000}"/>
    <cellStyle name="Date 5" xfId="4443" xr:uid="{00000000-0005-0000-0000-0000BB0D0000}"/>
    <cellStyle name="Date 6" xfId="4444" xr:uid="{00000000-0005-0000-0000-0000BC0D0000}"/>
    <cellStyle name="Date 7" xfId="4445" xr:uid="{00000000-0005-0000-0000-0000BD0D0000}"/>
    <cellStyle name="Date 8" xfId="4446" xr:uid="{00000000-0005-0000-0000-0000BE0D0000}"/>
    <cellStyle name="Description" xfId="4447" xr:uid="{00000000-0005-0000-0000-0000BF0D0000}"/>
    <cellStyle name="Emphasis 1" xfId="4448" xr:uid="{00000000-0005-0000-0000-0000C00D0000}"/>
    <cellStyle name="Emphasis 2" xfId="4449" xr:uid="{00000000-0005-0000-0000-0000C10D0000}"/>
    <cellStyle name="Emphasis 3" xfId="4450" xr:uid="{00000000-0005-0000-0000-0000C20D0000}"/>
    <cellStyle name="Entered" xfId="4451" xr:uid="{00000000-0005-0000-0000-0000C30D0000}"/>
    <cellStyle name="Euro" xfId="4452" xr:uid="{00000000-0005-0000-0000-0000C40D0000}"/>
    <cellStyle name="Excel Built-in Normal" xfId="4453" xr:uid="{00000000-0005-0000-0000-0000C50D0000}"/>
    <cellStyle name="Explanatory Text 2" xfId="141" xr:uid="{00000000-0005-0000-0000-00004E020000}"/>
    <cellStyle name="Explanatory Text 2 10" xfId="4454" xr:uid="{00000000-0005-0000-0000-0000C70D0000}"/>
    <cellStyle name="Explanatory Text 2 11" xfId="4455" xr:uid="{00000000-0005-0000-0000-0000C80D0000}"/>
    <cellStyle name="Explanatory Text 2 12" xfId="4456" xr:uid="{00000000-0005-0000-0000-0000C90D0000}"/>
    <cellStyle name="Explanatory Text 2 13" xfId="4457" xr:uid="{00000000-0005-0000-0000-0000CA0D0000}"/>
    <cellStyle name="Explanatory Text 2 14" xfId="4458" xr:uid="{00000000-0005-0000-0000-0000CB0D0000}"/>
    <cellStyle name="Explanatory Text 2 15" xfId="4459" xr:uid="{00000000-0005-0000-0000-0000CC0D0000}"/>
    <cellStyle name="Explanatory Text 2 16" xfId="4460" xr:uid="{00000000-0005-0000-0000-0000CD0D0000}"/>
    <cellStyle name="Explanatory Text 2 2" xfId="4461" xr:uid="{00000000-0005-0000-0000-0000CE0D0000}"/>
    <cellStyle name="Explanatory Text 2 2 10" xfId="4462" xr:uid="{00000000-0005-0000-0000-0000CF0D0000}"/>
    <cellStyle name="Explanatory Text 2 2 11" xfId="4463" xr:uid="{00000000-0005-0000-0000-0000D00D0000}"/>
    <cellStyle name="Explanatory Text 2 2 12" xfId="4464" xr:uid="{00000000-0005-0000-0000-0000D10D0000}"/>
    <cellStyle name="Explanatory Text 2 2 13" xfId="4465" xr:uid="{00000000-0005-0000-0000-0000D20D0000}"/>
    <cellStyle name="Explanatory Text 2 2 14" xfId="4466" xr:uid="{00000000-0005-0000-0000-0000D30D0000}"/>
    <cellStyle name="Explanatory Text 2 2 2" xfId="4467" xr:uid="{00000000-0005-0000-0000-0000D40D0000}"/>
    <cellStyle name="Explanatory Text 2 2 3" xfId="4468" xr:uid="{00000000-0005-0000-0000-0000D50D0000}"/>
    <cellStyle name="Explanatory Text 2 2 4" xfId="4469" xr:uid="{00000000-0005-0000-0000-0000D60D0000}"/>
    <cellStyle name="Explanatory Text 2 2 5" xfId="4470" xr:uid="{00000000-0005-0000-0000-0000D70D0000}"/>
    <cellStyle name="Explanatory Text 2 2 6" xfId="4471" xr:uid="{00000000-0005-0000-0000-0000D80D0000}"/>
    <cellStyle name="Explanatory Text 2 2 7" xfId="4472" xr:uid="{00000000-0005-0000-0000-0000D90D0000}"/>
    <cellStyle name="Explanatory Text 2 2 8" xfId="4473" xr:uid="{00000000-0005-0000-0000-0000DA0D0000}"/>
    <cellStyle name="Explanatory Text 2 2 9" xfId="4474" xr:uid="{00000000-0005-0000-0000-0000DB0D0000}"/>
    <cellStyle name="Explanatory Text 2 3" xfId="4475" xr:uid="{00000000-0005-0000-0000-0000DC0D0000}"/>
    <cellStyle name="Explanatory Text 2 4" xfId="4476" xr:uid="{00000000-0005-0000-0000-0000DD0D0000}"/>
    <cellStyle name="Explanatory Text 2 5" xfId="4477" xr:uid="{00000000-0005-0000-0000-0000DE0D0000}"/>
    <cellStyle name="Explanatory Text 2 6" xfId="4478" xr:uid="{00000000-0005-0000-0000-0000DF0D0000}"/>
    <cellStyle name="Explanatory Text 2 7" xfId="4479" xr:uid="{00000000-0005-0000-0000-0000E00D0000}"/>
    <cellStyle name="Explanatory Text 2 8" xfId="4480" xr:uid="{00000000-0005-0000-0000-0000E10D0000}"/>
    <cellStyle name="Explanatory Text 2 9" xfId="4481" xr:uid="{00000000-0005-0000-0000-0000E20D0000}"/>
    <cellStyle name="Explanatory Text 3" xfId="4482" xr:uid="{00000000-0005-0000-0000-0000E30D0000}"/>
    <cellStyle name="Explanatory Text 4" xfId="4483" xr:uid="{00000000-0005-0000-0000-0000E40D0000}"/>
    <cellStyle name="Explanatory Text 5" xfId="4484" xr:uid="{00000000-0005-0000-0000-0000E50D0000}"/>
    <cellStyle name="F2" xfId="4485" xr:uid="{00000000-0005-0000-0000-0000E60D0000}"/>
    <cellStyle name="F2 2" xfId="4486" xr:uid="{00000000-0005-0000-0000-0000E70D0000}"/>
    <cellStyle name="F2 3" xfId="4487" xr:uid="{00000000-0005-0000-0000-0000E80D0000}"/>
    <cellStyle name="F2 4" xfId="4488" xr:uid="{00000000-0005-0000-0000-0000E90D0000}"/>
    <cellStyle name="F2 5" xfId="4489" xr:uid="{00000000-0005-0000-0000-0000EA0D0000}"/>
    <cellStyle name="F2 6" xfId="4490" xr:uid="{00000000-0005-0000-0000-0000EB0D0000}"/>
    <cellStyle name="F2 7" xfId="4491" xr:uid="{00000000-0005-0000-0000-0000EC0D0000}"/>
    <cellStyle name="F2 8" xfId="4492" xr:uid="{00000000-0005-0000-0000-0000ED0D0000}"/>
    <cellStyle name="F3" xfId="4493" xr:uid="{00000000-0005-0000-0000-0000EE0D0000}"/>
    <cellStyle name="F3 2" xfId="4494" xr:uid="{00000000-0005-0000-0000-0000EF0D0000}"/>
    <cellStyle name="F3 3" xfId="4495" xr:uid="{00000000-0005-0000-0000-0000F00D0000}"/>
    <cellStyle name="F3 4" xfId="4496" xr:uid="{00000000-0005-0000-0000-0000F10D0000}"/>
    <cellStyle name="F3 5" xfId="4497" xr:uid="{00000000-0005-0000-0000-0000F20D0000}"/>
    <cellStyle name="F3 6" xfId="4498" xr:uid="{00000000-0005-0000-0000-0000F30D0000}"/>
    <cellStyle name="F3 7" xfId="4499" xr:uid="{00000000-0005-0000-0000-0000F40D0000}"/>
    <cellStyle name="F3 8" xfId="4500" xr:uid="{00000000-0005-0000-0000-0000F50D0000}"/>
    <cellStyle name="F4" xfId="4501" xr:uid="{00000000-0005-0000-0000-0000F60D0000}"/>
    <cellStyle name="F4 2" xfId="4502" xr:uid="{00000000-0005-0000-0000-0000F70D0000}"/>
    <cellStyle name="F4 3" xfId="4503" xr:uid="{00000000-0005-0000-0000-0000F80D0000}"/>
    <cellStyle name="F4 4" xfId="4504" xr:uid="{00000000-0005-0000-0000-0000F90D0000}"/>
    <cellStyle name="F4 5" xfId="4505" xr:uid="{00000000-0005-0000-0000-0000FA0D0000}"/>
    <cellStyle name="F4 6" xfId="4506" xr:uid="{00000000-0005-0000-0000-0000FB0D0000}"/>
    <cellStyle name="F4 7" xfId="4507" xr:uid="{00000000-0005-0000-0000-0000FC0D0000}"/>
    <cellStyle name="F4 8" xfId="4508" xr:uid="{00000000-0005-0000-0000-0000FD0D0000}"/>
    <cellStyle name="F5" xfId="4509" xr:uid="{00000000-0005-0000-0000-0000FE0D0000}"/>
    <cellStyle name="F5 2" xfId="4510" xr:uid="{00000000-0005-0000-0000-0000FF0D0000}"/>
    <cellStyle name="F5 3" xfId="4511" xr:uid="{00000000-0005-0000-0000-0000000E0000}"/>
    <cellStyle name="F5 4" xfId="4512" xr:uid="{00000000-0005-0000-0000-0000010E0000}"/>
    <cellStyle name="F5 5" xfId="4513" xr:uid="{00000000-0005-0000-0000-0000020E0000}"/>
    <cellStyle name="F5 6" xfId="4514" xr:uid="{00000000-0005-0000-0000-0000030E0000}"/>
    <cellStyle name="F5 7" xfId="4515" xr:uid="{00000000-0005-0000-0000-0000040E0000}"/>
    <cellStyle name="F5 8" xfId="4516" xr:uid="{00000000-0005-0000-0000-0000050E0000}"/>
    <cellStyle name="F6" xfId="4517" xr:uid="{00000000-0005-0000-0000-0000060E0000}"/>
    <cellStyle name="F6 2" xfId="4518" xr:uid="{00000000-0005-0000-0000-0000070E0000}"/>
    <cellStyle name="F6 3" xfId="4519" xr:uid="{00000000-0005-0000-0000-0000080E0000}"/>
    <cellStyle name="F6 4" xfId="4520" xr:uid="{00000000-0005-0000-0000-0000090E0000}"/>
    <cellStyle name="F6 5" xfId="4521" xr:uid="{00000000-0005-0000-0000-00000A0E0000}"/>
    <cellStyle name="F6 6" xfId="4522" xr:uid="{00000000-0005-0000-0000-00000B0E0000}"/>
    <cellStyle name="F6 7" xfId="4523" xr:uid="{00000000-0005-0000-0000-00000C0E0000}"/>
    <cellStyle name="F6 8" xfId="4524" xr:uid="{00000000-0005-0000-0000-00000D0E0000}"/>
    <cellStyle name="F7" xfId="4525" xr:uid="{00000000-0005-0000-0000-00000E0E0000}"/>
    <cellStyle name="F7 2" xfId="4526" xr:uid="{00000000-0005-0000-0000-00000F0E0000}"/>
    <cellStyle name="F7 3" xfId="4527" xr:uid="{00000000-0005-0000-0000-0000100E0000}"/>
    <cellStyle name="F7 4" xfId="4528" xr:uid="{00000000-0005-0000-0000-0000110E0000}"/>
    <cellStyle name="F7 5" xfId="4529" xr:uid="{00000000-0005-0000-0000-0000120E0000}"/>
    <cellStyle name="F7 6" xfId="4530" xr:uid="{00000000-0005-0000-0000-0000130E0000}"/>
    <cellStyle name="F7 7" xfId="4531" xr:uid="{00000000-0005-0000-0000-0000140E0000}"/>
    <cellStyle name="F7 8" xfId="4532" xr:uid="{00000000-0005-0000-0000-0000150E0000}"/>
    <cellStyle name="F8" xfId="4533" xr:uid="{00000000-0005-0000-0000-0000160E0000}"/>
    <cellStyle name="F8 2" xfId="4534" xr:uid="{00000000-0005-0000-0000-0000170E0000}"/>
    <cellStyle name="F8 3" xfId="4535" xr:uid="{00000000-0005-0000-0000-0000180E0000}"/>
    <cellStyle name="F8 4" xfId="4536" xr:uid="{00000000-0005-0000-0000-0000190E0000}"/>
    <cellStyle name="F8 5" xfId="4537" xr:uid="{00000000-0005-0000-0000-00001A0E0000}"/>
    <cellStyle name="F8 6" xfId="4538" xr:uid="{00000000-0005-0000-0000-00001B0E0000}"/>
    <cellStyle name="F8 7" xfId="4539" xr:uid="{00000000-0005-0000-0000-00001C0E0000}"/>
    <cellStyle name="F8 8" xfId="4540" xr:uid="{00000000-0005-0000-0000-00001D0E0000}"/>
    <cellStyle name="Fixed" xfId="4541" xr:uid="{00000000-0005-0000-0000-00001E0E0000}"/>
    <cellStyle name="Fixed 2" xfId="4542" xr:uid="{00000000-0005-0000-0000-00001F0E0000}"/>
    <cellStyle name="Fixed 3" xfId="4543" xr:uid="{00000000-0005-0000-0000-0000200E0000}"/>
    <cellStyle name="Fixed 4" xfId="4544" xr:uid="{00000000-0005-0000-0000-0000210E0000}"/>
    <cellStyle name="Fixed 5" xfId="4545" xr:uid="{00000000-0005-0000-0000-0000220E0000}"/>
    <cellStyle name="Fixed 6" xfId="4546" xr:uid="{00000000-0005-0000-0000-0000230E0000}"/>
    <cellStyle name="Fixed 7" xfId="4547" xr:uid="{00000000-0005-0000-0000-0000240E0000}"/>
    <cellStyle name="Fixed 8" xfId="4548" xr:uid="{00000000-0005-0000-0000-0000250E0000}"/>
    <cellStyle name="Foottitle" xfId="4549" xr:uid="{00000000-0005-0000-0000-0000260E0000}"/>
    <cellStyle name="FORM" xfId="4550" xr:uid="{00000000-0005-0000-0000-0000270E0000}"/>
    <cellStyle name="Formula" xfId="4551" xr:uid="{00000000-0005-0000-0000-0000280E0000}"/>
    <cellStyle name="Good 2" xfId="142" xr:uid="{00000000-0005-0000-0000-00004F020000}"/>
    <cellStyle name="Good 2 10" xfId="4552" xr:uid="{00000000-0005-0000-0000-00002A0E0000}"/>
    <cellStyle name="Good 2 11" xfId="4553" xr:uid="{00000000-0005-0000-0000-00002B0E0000}"/>
    <cellStyle name="Good 2 12" xfId="4554" xr:uid="{00000000-0005-0000-0000-00002C0E0000}"/>
    <cellStyle name="Good 2 13" xfId="4555" xr:uid="{00000000-0005-0000-0000-00002D0E0000}"/>
    <cellStyle name="Good 2 14" xfId="4556" xr:uid="{00000000-0005-0000-0000-00002E0E0000}"/>
    <cellStyle name="Good 2 15" xfId="4557" xr:uid="{00000000-0005-0000-0000-00002F0E0000}"/>
    <cellStyle name="Good 2 16" xfId="4558" xr:uid="{00000000-0005-0000-0000-0000300E0000}"/>
    <cellStyle name="Good 2 2" xfId="4559" xr:uid="{00000000-0005-0000-0000-0000310E0000}"/>
    <cellStyle name="Good 2 2 10" xfId="4560" xr:uid="{00000000-0005-0000-0000-0000320E0000}"/>
    <cellStyle name="Good 2 2 11" xfId="4561" xr:uid="{00000000-0005-0000-0000-0000330E0000}"/>
    <cellStyle name="Good 2 2 12" xfId="4562" xr:uid="{00000000-0005-0000-0000-0000340E0000}"/>
    <cellStyle name="Good 2 2 13" xfId="4563" xr:uid="{00000000-0005-0000-0000-0000350E0000}"/>
    <cellStyle name="Good 2 2 14" xfId="4564" xr:uid="{00000000-0005-0000-0000-0000360E0000}"/>
    <cellStyle name="Good 2 2 2" xfId="4565" xr:uid="{00000000-0005-0000-0000-0000370E0000}"/>
    <cellStyle name="Good 2 2 3" xfId="4566" xr:uid="{00000000-0005-0000-0000-0000380E0000}"/>
    <cellStyle name="Good 2 2 4" xfId="4567" xr:uid="{00000000-0005-0000-0000-0000390E0000}"/>
    <cellStyle name="Good 2 2 5" xfId="4568" xr:uid="{00000000-0005-0000-0000-00003A0E0000}"/>
    <cellStyle name="Good 2 2 6" xfId="4569" xr:uid="{00000000-0005-0000-0000-00003B0E0000}"/>
    <cellStyle name="Good 2 2 7" xfId="4570" xr:uid="{00000000-0005-0000-0000-00003C0E0000}"/>
    <cellStyle name="Good 2 2 8" xfId="4571" xr:uid="{00000000-0005-0000-0000-00003D0E0000}"/>
    <cellStyle name="Good 2 2 9" xfId="4572" xr:uid="{00000000-0005-0000-0000-00003E0E0000}"/>
    <cellStyle name="Good 2 3" xfId="4573" xr:uid="{00000000-0005-0000-0000-00003F0E0000}"/>
    <cellStyle name="Good 2 4" xfId="4574" xr:uid="{00000000-0005-0000-0000-0000400E0000}"/>
    <cellStyle name="Good 2 5" xfId="4575" xr:uid="{00000000-0005-0000-0000-0000410E0000}"/>
    <cellStyle name="Good 2 6" xfId="4576" xr:uid="{00000000-0005-0000-0000-0000420E0000}"/>
    <cellStyle name="Good 2 7" xfId="4577" xr:uid="{00000000-0005-0000-0000-0000430E0000}"/>
    <cellStyle name="Good 2 8" xfId="4578" xr:uid="{00000000-0005-0000-0000-0000440E0000}"/>
    <cellStyle name="Good 2 9" xfId="4579" xr:uid="{00000000-0005-0000-0000-0000450E0000}"/>
    <cellStyle name="Good 3" xfId="4580" xr:uid="{00000000-0005-0000-0000-0000460E0000}"/>
    <cellStyle name="Good 4" xfId="4581" xr:uid="{00000000-0005-0000-0000-0000470E0000}"/>
    <cellStyle name="Good 5" xfId="4582" xr:uid="{00000000-0005-0000-0000-0000480E0000}"/>
    <cellStyle name="Grey" xfId="4583" xr:uid="{00000000-0005-0000-0000-0000490E0000}"/>
    <cellStyle name="header" xfId="4584" xr:uid="{00000000-0005-0000-0000-00004A0E0000}"/>
    <cellStyle name="Header1" xfId="4585" xr:uid="{00000000-0005-0000-0000-00004B0E0000}"/>
    <cellStyle name="Header2" xfId="4586" xr:uid="{00000000-0005-0000-0000-00004C0E0000}"/>
    <cellStyle name="Header2 10" xfId="4587" xr:uid="{00000000-0005-0000-0000-00004D0E0000}"/>
    <cellStyle name="Header2 10 10" xfId="4588" xr:uid="{00000000-0005-0000-0000-00004E0E0000}"/>
    <cellStyle name="Header2 10 11" xfId="4589" xr:uid="{00000000-0005-0000-0000-00004F0E0000}"/>
    <cellStyle name="Header2 10 12" xfId="4590" xr:uid="{00000000-0005-0000-0000-0000500E0000}"/>
    <cellStyle name="Header2 10 13" xfId="4591" xr:uid="{00000000-0005-0000-0000-0000510E0000}"/>
    <cellStyle name="Header2 10 14" xfId="4592" xr:uid="{00000000-0005-0000-0000-0000520E0000}"/>
    <cellStyle name="Header2 10 15" xfId="4593" xr:uid="{00000000-0005-0000-0000-0000530E0000}"/>
    <cellStyle name="Header2 10 2" xfId="4594" xr:uid="{00000000-0005-0000-0000-0000540E0000}"/>
    <cellStyle name="Header2 10 2 10" xfId="4595" xr:uid="{00000000-0005-0000-0000-0000550E0000}"/>
    <cellStyle name="Header2 10 2 11" xfId="4596" xr:uid="{00000000-0005-0000-0000-0000560E0000}"/>
    <cellStyle name="Header2 10 2 12" xfId="4597" xr:uid="{00000000-0005-0000-0000-0000570E0000}"/>
    <cellStyle name="Header2 10 2 13" xfId="4598" xr:uid="{00000000-0005-0000-0000-0000580E0000}"/>
    <cellStyle name="Header2 10 2 14" xfId="4599" xr:uid="{00000000-0005-0000-0000-0000590E0000}"/>
    <cellStyle name="Header2 10 2 2" xfId="4600" xr:uid="{00000000-0005-0000-0000-00005A0E0000}"/>
    <cellStyle name="Header2 10 2 3" xfId="4601" xr:uid="{00000000-0005-0000-0000-00005B0E0000}"/>
    <cellStyle name="Header2 10 2 4" xfId="4602" xr:uid="{00000000-0005-0000-0000-00005C0E0000}"/>
    <cellStyle name="Header2 10 2 5" xfId="4603" xr:uid="{00000000-0005-0000-0000-00005D0E0000}"/>
    <cellStyle name="Header2 10 2 6" xfId="4604" xr:uid="{00000000-0005-0000-0000-00005E0E0000}"/>
    <cellStyle name="Header2 10 2 7" xfId="4605" xr:uid="{00000000-0005-0000-0000-00005F0E0000}"/>
    <cellStyle name="Header2 10 2 8" xfId="4606" xr:uid="{00000000-0005-0000-0000-0000600E0000}"/>
    <cellStyle name="Header2 10 2 9" xfId="4607" xr:uid="{00000000-0005-0000-0000-0000610E0000}"/>
    <cellStyle name="Header2 10 3" xfId="4608" xr:uid="{00000000-0005-0000-0000-0000620E0000}"/>
    <cellStyle name="Header2 10 4" xfId="4609" xr:uid="{00000000-0005-0000-0000-0000630E0000}"/>
    <cellStyle name="Header2 10 5" xfId="4610" xr:uid="{00000000-0005-0000-0000-0000640E0000}"/>
    <cellStyle name="Header2 10 6" xfId="4611" xr:uid="{00000000-0005-0000-0000-0000650E0000}"/>
    <cellStyle name="Header2 10 7" xfId="4612" xr:uid="{00000000-0005-0000-0000-0000660E0000}"/>
    <cellStyle name="Header2 10 8" xfId="4613" xr:uid="{00000000-0005-0000-0000-0000670E0000}"/>
    <cellStyle name="Header2 10 9" xfId="4614" xr:uid="{00000000-0005-0000-0000-0000680E0000}"/>
    <cellStyle name="Header2 11" xfId="4615" xr:uid="{00000000-0005-0000-0000-0000690E0000}"/>
    <cellStyle name="Header2 11 10" xfId="4616" xr:uid="{00000000-0005-0000-0000-00006A0E0000}"/>
    <cellStyle name="Header2 11 11" xfId="4617" xr:uid="{00000000-0005-0000-0000-00006B0E0000}"/>
    <cellStyle name="Header2 11 12" xfId="4618" xr:uid="{00000000-0005-0000-0000-00006C0E0000}"/>
    <cellStyle name="Header2 11 13" xfId="4619" xr:uid="{00000000-0005-0000-0000-00006D0E0000}"/>
    <cellStyle name="Header2 11 14" xfId="4620" xr:uid="{00000000-0005-0000-0000-00006E0E0000}"/>
    <cellStyle name="Header2 11 15" xfId="4621" xr:uid="{00000000-0005-0000-0000-00006F0E0000}"/>
    <cellStyle name="Header2 11 2" xfId="4622" xr:uid="{00000000-0005-0000-0000-0000700E0000}"/>
    <cellStyle name="Header2 11 2 10" xfId="4623" xr:uid="{00000000-0005-0000-0000-0000710E0000}"/>
    <cellStyle name="Header2 11 2 11" xfId="4624" xr:uid="{00000000-0005-0000-0000-0000720E0000}"/>
    <cellStyle name="Header2 11 2 12" xfId="4625" xr:uid="{00000000-0005-0000-0000-0000730E0000}"/>
    <cellStyle name="Header2 11 2 13" xfId="4626" xr:uid="{00000000-0005-0000-0000-0000740E0000}"/>
    <cellStyle name="Header2 11 2 14" xfId="4627" xr:uid="{00000000-0005-0000-0000-0000750E0000}"/>
    <cellStyle name="Header2 11 2 2" xfId="4628" xr:uid="{00000000-0005-0000-0000-0000760E0000}"/>
    <cellStyle name="Header2 11 2 3" xfId="4629" xr:uid="{00000000-0005-0000-0000-0000770E0000}"/>
    <cellStyle name="Header2 11 2 4" xfId="4630" xr:uid="{00000000-0005-0000-0000-0000780E0000}"/>
    <cellStyle name="Header2 11 2 5" xfId="4631" xr:uid="{00000000-0005-0000-0000-0000790E0000}"/>
    <cellStyle name="Header2 11 2 6" xfId="4632" xr:uid="{00000000-0005-0000-0000-00007A0E0000}"/>
    <cellStyle name="Header2 11 2 7" xfId="4633" xr:uid="{00000000-0005-0000-0000-00007B0E0000}"/>
    <cellStyle name="Header2 11 2 8" xfId="4634" xr:uid="{00000000-0005-0000-0000-00007C0E0000}"/>
    <cellStyle name="Header2 11 2 9" xfId="4635" xr:uid="{00000000-0005-0000-0000-00007D0E0000}"/>
    <cellStyle name="Header2 11 3" xfId="4636" xr:uid="{00000000-0005-0000-0000-00007E0E0000}"/>
    <cellStyle name="Header2 11 4" xfId="4637" xr:uid="{00000000-0005-0000-0000-00007F0E0000}"/>
    <cellStyle name="Header2 11 5" xfId="4638" xr:uid="{00000000-0005-0000-0000-0000800E0000}"/>
    <cellStyle name="Header2 11 6" xfId="4639" xr:uid="{00000000-0005-0000-0000-0000810E0000}"/>
    <cellStyle name="Header2 11 7" xfId="4640" xr:uid="{00000000-0005-0000-0000-0000820E0000}"/>
    <cellStyle name="Header2 11 8" xfId="4641" xr:uid="{00000000-0005-0000-0000-0000830E0000}"/>
    <cellStyle name="Header2 11 9" xfId="4642" xr:uid="{00000000-0005-0000-0000-0000840E0000}"/>
    <cellStyle name="Header2 12" xfId="4643" xr:uid="{00000000-0005-0000-0000-0000850E0000}"/>
    <cellStyle name="Header2 12 10" xfId="4644" xr:uid="{00000000-0005-0000-0000-0000860E0000}"/>
    <cellStyle name="Header2 12 11" xfId="4645" xr:uid="{00000000-0005-0000-0000-0000870E0000}"/>
    <cellStyle name="Header2 12 12" xfId="4646" xr:uid="{00000000-0005-0000-0000-0000880E0000}"/>
    <cellStyle name="Header2 12 13" xfId="4647" xr:uid="{00000000-0005-0000-0000-0000890E0000}"/>
    <cellStyle name="Header2 12 14" xfId="4648" xr:uid="{00000000-0005-0000-0000-00008A0E0000}"/>
    <cellStyle name="Header2 12 15" xfId="4649" xr:uid="{00000000-0005-0000-0000-00008B0E0000}"/>
    <cellStyle name="Header2 12 2" xfId="4650" xr:uid="{00000000-0005-0000-0000-00008C0E0000}"/>
    <cellStyle name="Header2 12 2 10" xfId="4651" xr:uid="{00000000-0005-0000-0000-00008D0E0000}"/>
    <cellStyle name="Header2 12 2 11" xfId="4652" xr:uid="{00000000-0005-0000-0000-00008E0E0000}"/>
    <cellStyle name="Header2 12 2 12" xfId="4653" xr:uid="{00000000-0005-0000-0000-00008F0E0000}"/>
    <cellStyle name="Header2 12 2 13" xfId="4654" xr:uid="{00000000-0005-0000-0000-0000900E0000}"/>
    <cellStyle name="Header2 12 2 14" xfId="4655" xr:uid="{00000000-0005-0000-0000-0000910E0000}"/>
    <cellStyle name="Header2 12 2 2" xfId="4656" xr:uid="{00000000-0005-0000-0000-0000920E0000}"/>
    <cellStyle name="Header2 12 2 3" xfId="4657" xr:uid="{00000000-0005-0000-0000-0000930E0000}"/>
    <cellStyle name="Header2 12 2 4" xfId="4658" xr:uid="{00000000-0005-0000-0000-0000940E0000}"/>
    <cellStyle name="Header2 12 2 5" xfId="4659" xr:uid="{00000000-0005-0000-0000-0000950E0000}"/>
    <cellStyle name="Header2 12 2 6" xfId="4660" xr:uid="{00000000-0005-0000-0000-0000960E0000}"/>
    <cellStyle name="Header2 12 2 7" xfId="4661" xr:uid="{00000000-0005-0000-0000-0000970E0000}"/>
    <cellStyle name="Header2 12 2 8" xfId="4662" xr:uid="{00000000-0005-0000-0000-0000980E0000}"/>
    <cellStyle name="Header2 12 2 9" xfId="4663" xr:uid="{00000000-0005-0000-0000-0000990E0000}"/>
    <cellStyle name="Header2 12 3" xfId="4664" xr:uid="{00000000-0005-0000-0000-00009A0E0000}"/>
    <cellStyle name="Header2 12 4" xfId="4665" xr:uid="{00000000-0005-0000-0000-00009B0E0000}"/>
    <cellStyle name="Header2 12 5" xfId="4666" xr:uid="{00000000-0005-0000-0000-00009C0E0000}"/>
    <cellStyle name="Header2 12 6" xfId="4667" xr:uid="{00000000-0005-0000-0000-00009D0E0000}"/>
    <cellStyle name="Header2 12 7" xfId="4668" xr:uid="{00000000-0005-0000-0000-00009E0E0000}"/>
    <cellStyle name="Header2 12 8" xfId="4669" xr:uid="{00000000-0005-0000-0000-00009F0E0000}"/>
    <cellStyle name="Header2 12 9" xfId="4670" xr:uid="{00000000-0005-0000-0000-0000A00E0000}"/>
    <cellStyle name="Header2 13" xfId="4671" xr:uid="{00000000-0005-0000-0000-0000A10E0000}"/>
    <cellStyle name="Header2 13 10" xfId="4672" xr:uid="{00000000-0005-0000-0000-0000A20E0000}"/>
    <cellStyle name="Header2 13 11" xfId="4673" xr:uid="{00000000-0005-0000-0000-0000A30E0000}"/>
    <cellStyle name="Header2 13 12" xfId="4674" xr:uid="{00000000-0005-0000-0000-0000A40E0000}"/>
    <cellStyle name="Header2 13 13" xfId="4675" xr:uid="{00000000-0005-0000-0000-0000A50E0000}"/>
    <cellStyle name="Header2 13 14" xfId="4676" xr:uid="{00000000-0005-0000-0000-0000A60E0000}"/>
    <cellStyle name="Header2 13 15" xfId="4677" xr:uid="{00000000-0005-0000-0000-0000A70E0000}"/>
    <cellStyle name="Header2 13 2" xfId="4678" xr:uid="{00000000-0005-0000-0000-0000A80E0000}"/>
    <cellStyle name="Header2 13 2 10" xfId="4679" xr:uid="{00000000-0005-0000-0000-0000A90E0000}"/>
    <cellStyle name="Header2 13 2 11" xfId="4680" xr:uid="{00000000-0005-0000-0000-0000AA0E0000}"/>
    <cellStyle name="Header2 13 2 12" xfId="4681" xr:uid="{00000000-0005-0000-0000-0000AB0E0000}"/>
    <cellStyle name="Header2 13 2 13" xfId="4682" xr:uid="{00000000-0005-0000-0000-0000AC0E0000}"/>
    <cellStyle name="Header2 13 2 14" xfId="4683" xr:uid="{00000000-0005-0000-0000-0000AD0E0000}"/>
    <cellStyle name="Header2 13 2 2" xfId="4684" xr:uid="{00000000-0005-0000-0000-0000AE0E0000}"/>
    <cellStyle name="Header2 13 2 3" xfId="4685" xr:uid="{00000000-0005-0000-0000-0000AF0E0000}"/>
    <cellStyle name="Header2 13 2 4" xfId="4686" xr:uid="{00000000-0005-0000-0000-0000B00E0000}"/>
    <cellStyle name="Header2 13 2 5" xfId="4687" xr:uid="{00000000-0005-0000-0000-0000B10E0000}"/>
    <cellStyle name="Header2 13 2 6" xfId="4688" xr:uid="{00000000-0005-0000-0000-0000B20E0000}"/>
    <cellStyle name="Header2 13 2 7" xfId="4689" xr:uid="{00000000-0005-0000-0000-0000B30E0000}"/>
    <cellStyle name="Header2 13 2 8" xfId="4690" xr:uid="{00000000-0005-0000-0000-0000B40E0000}"/>
    <cellStyle name="Header2 13 2 9" xfId="4691" xr:uid="{00000000-0005-0000-0000-0000B50E0000}"/>
    <cellStyle name="Header2 13 3" xfId="4692" xr:uid="{00000000-0005-0000-0000-0000B60E0000}"/>
    <cellStyle name="Header2 13 4" xfId="4693" xr:uid="{00000000-0005-0000-0000-0000B70E0000}"/>
    <cellStyle name="Header2 13 5" xfId="4694" xr:uid="{00000000-0005-0000-0000-0000B80E0000}"/>
    <cellStyle name="Header2 13 6" xfId="4695" xr:uid="{00000000-0005-0000-0000-0000B90E0000}"/>
    <cellStyle name="Header2 13 7" xfId="4696" xr:uid="{00000000-0005-0000-0000-0000BA0E0000}"/>
    <cellStyle name="Header2 13 8" xfId="4697" xr:uid="{00000000-0005-0000-0000-0000BB0E0000}"/>
    <cellStyle name="Header2 13 9" xfId="4698" xr:uid="{00000000-0005-0000-0000-0000BC0E0000}"/>
    <cellStyle name="Header2 14" xfId="4699" xr:uid="{00000000-0005-0000-0000-0000BD0E0000}"/>
    <cellStyle name="Header2 14 10" xfId="4700" xr:uid="{00000000-0005-0000-0000-0000BE0E0000}"/>
    <cellStyle name="Header2 14 11" xfId="4701" xr:uid="{00000000-0005-0000-0000-0000BF0E0000}"/>
    <cellStyle name="Header2 14 12" xfId="4702" xr:uid="{00000000-0005-0000-0000-0000C00E0000}"/>
    <cellStyle name="Header2 14 13" xfId="4703" xr:uid="{00000000-0005-0000-0000-0000C10E0000}"/>
    <cellStyle name="Header2 14 14" xfId="4704" xr:uid="{00000000-0005-0000-0000-0000C20E0000}"/>
    <cellStyle name="Header2 14 15" xfId="4705" xr:uid="{00000000-0005-0000-0000-0000C30E0000}"/>
    <cellStyle name="Header2 14 2" xfId="4706" xr:uid="{00000000-0005-0000-0000-0000C40E0000}"/>
    <cellStyle name="Header2 14 2 10" xfId="4707" xr:uid="{00000000-0005-0000-0000-0000C50E0000}"/>
    <cellStyle name="Header2 14 2 11" xfId="4708" xr:uid="{00000000-0005-0000-0000-0000C60E0000}"/>
    <cellStyle name="Header2 14 2 12" xfId="4709" xr:uid="{00000000-0005-0000-0000-0000C70E0000}"/>
    <cellStyle name="Header2 14 2 13" xfId="4710" xr:uid="{00000000-0005-0000-0000-0000C80E0000}"/>
    <cellStyle name="Header2 14 2 14" xfId="4711" xr:uid="{00000000-0005-0000-0000-0000C90E0000}"/>
    <cellStyle name="Header2 14 2 2" xfId="4712" xr:uid="{00000000-0005-0000-0000-0000CA0E0000}"/>
    <cellStyle name="Header2 14 2 3" xfId="4713" xr:uid="{00000000-0005-0000-0000-0000CB0E0000}"/>
    <cellStyle name="Header2 14 2 4" xfId="4714" xr:uid="{00000000-0005-0000-0000-0000CC0E0000}"/>
    <cellStyle name="Header2 14 2 5" xfId="4715" xr:uid="{00000000-0005-0000-0000-0000CD0E0000}"/>
    <cellStyle name="Header2 14 2 6" xfId="4716" xr:uid="{00000000-0005-0000-0000-0000CE0E0000}"/>
    <cellStyle name="Header2 14 2 7" xfId="4717" xr:uid="{00000000-0005-0000-0000-0000CF0E0000}"/>
    <cellStyle name="Header2 14 2 8" xfId="4718" xr:uid="{00000000-0005-0000-0000-0000D00E0000}"/>
    <cellStyle name="Header2 14 2 9" xfId="4719" xr:uid="{00000000-0005-0000-0000-0000D10E0000}"/>
    <cellStyle name="Header2 14 3" xfId="4720" xr:uid="{00000000-0005-0000-0000-0000D20E0000}"/>
    <cellStyle name="Header2 14 4" xfId="4721" xr:uid="{00000000-0005-0000-0000-0000D30E0000}"/>
    <cellStyle name="Header2 14 5" xfId="4722" xr:uid="{00000000-0005-0000-0000-0000D40E0000}"/>
    <cellStyle name="Header2 14 6" xfId="4723" xr:uid="{00000000-0005-0000-0000-0000D50E0000}"/>
    <cellStyle name="Header2 14 7" xfId="4724" xr:uid="{00000000-0005-0000-0000-0000D60E0000}"/>
    <cellStyle name="Header2 14 8" xfId="4725" xr:uid="{00000000-0005-0000-0000-0000D70E0000}"/>
    <cellStyle name="Header2 14 9" xfId="4726" xr:uid="{00000000-0005-0000-0000-0000D80E0000}"/>
    <cellStyle name="Header2 15" xfId="4727" xr:uid="{00000000-0005-0000-0000-0000D90E0000}"/>
    <cellStyle name="Header2 15 10" xfId="4728" xr:uid="{00000000-0005-0000-0000-0000DA0E0000}"/>
    <cellStyle name="Header2 15 11" xfId="4729" xr:uid="{00000000-0005-0000-0000-0000DB0E0000}"/>
    <cellStyle name="Header2 15 12" xfId="4730" xr:uid="{00000000-0005-0000-0000-0000DC0E0000}"/>
    <cellStyle name="Header2 15 13" xfId="4731" xr:uid="{00000000-0005-0000-0000-0000DD0E0000}"/>
    <cellStyle name="Header2 15 14" xfId="4732" xr:uid="{00000000-0005-0000-0000-0000DE0E0000}"/>
    <cellStyle name="Header2 15 15" xfId="4733" xr:uid="{00000000-0005-0000-0000-0000DF0E0000}"/>
    <cellStyle name="Header2 15 2" xfId="4734" xr:uid="{00000000-0005-0000-0000-0000E00E0000}"/>
    <cellStyle name="Header2 15 2 10" xfId="4735" xr:uid="{00000000-0005-0000-0000-0000E10E0000}"/>
    <cellStyle name="Header2 15 2 11" xfId="4736" xr:uid="{00000000-0005-0000-0000-0000E20E0000}"/>
    <cellStyle name="Header2 15 2 12" xfId="4737" xr:uid="{00000000-0005-0000-0000-0000E30E0000}"/>
    <cellStyle name="Header2 15 2 13" xfId="4738" xr:uid="{00000000-0005-0000-0000-0000E40E0000}"/>
    <cellStyle name="Header2 15 2 14" xfId="4739" xr:uid="{00000000-0005-0000-0000-0000E50E0000}"/>
    <cellStyle name="Header2 15 2 2" xfId="4740" xr:uid="{00000000-0005-0000-0000-0000E60E0000}"/>
    <cellStyle name="Header2 15 2 3" xfId="4741" xr:uid="{00000000-0005-0000-0000-0000E70E0000}"/>
    <cellStyle name="Header2 15 2 4" xfId="4742" xr:uid="{00000000-0005-0000-0000-0000E80E0000}"/>
    <cellStyle name="Header2 15 2 5" xfId="4743" xr:uid="{00000000-0005-0000-0000-0000E90E0000}"/>
    <cellStyle name="Header2 15 2 6" xfId="4744" xr:uid="{00000000-0005-0000-0000-0000EA0E0000}"/>
    <cellStyle name="Header2 15 2 7" xfId="4745" xr:uid="{00000000-0005-0000-0000-0000EB0E0000}"/>
    <cellStyle name="Header2 15 2 8" xfId="4746" xr:uid="{00000000-0005-0000-0000-0000EC0E0000}"/>
    <cellStyle name="Header2 15 2 9" xfId="4747" xr:uid="{00000000-0005-0000-0000-0000ED0E0000}"/>
    <cellStyle name="Header2 15 3" xfId="4748" xr:uid="{00000000-0005-0000-0000-0000EE0E0000}"/>
    <cellStyle name="Header2 15 4" xfId="4749" xr:uid="{00000000-0005-0000-0000-0000EF0E0000}"/>
    <cellStyle name="Header2 15 5" xfId="4750" xr:uid="{00000000-0005-0000-0000-0000F00E0000}"/>
    <cellStyle name="Header2 15 6" xfId="4751" xr:uid="{00000000-0005-0000-0000-0000F10E0000}"/>
    <cellStyle name="Header2 15 7" xfId="4752" xr:uid="{00000000-0005-0000-0000-0000F20E0000}"/>
    <cellStyle name="Header2 15 8" xfId="4753" xr:uid="{00000000-0005-0000-0000-0000F30E0000}"/>
    <cellStyle name="Header2 15 9" xfId="4754" xr:uid="{00000000-0005-0000-0000-0000F40E0000}"/>
    <cellStyle name="Header2 16" xfId="4755" xr:uid="{00000000-0005-0000-0000-0000F50E0000}"/>
    <cellStyle name="Header2 16 10" xfId="4756" xr:uid="{00000000-0005-0000-0000-0000F60E0000}"/>
    <cellStyle name="Header2 16 11" xfId="4757" xr:uid="{00000000-0005-0000-0000-0000F70E0000}"/>
    <cellStyle name="Header2 16 12" xfId="4758" xr:uid="{00000000-0005-0000-0000-0000F80E0000}"/>
    <cellStyle name="Header2 16 13" xfId="4759" xr:uid="{00000000-0005-0000-0000-0000F90E0000}"/>
    <cellStyle name="Header2 16 14" xfId="4760" xr:uid="{00000000-0005-0000-0000-0000FA0E0000}"/>
    <cellStyle name="Header2 16 15" xfId="4761" xr:uid="{00000000-0005-0000-0000-0000FB0E0000}"/>
    <cellStyle name="Header2 16 2" xfId="4762" xr:uid="{00000000-0005-0000-0000-0000FC0E0000}"/>
    <cellStyle name="Header2 16 2 10" xfId="4763" xr:uid="{00000000-0005-0000-0000-0000FD0E0000}"/>
    <cellStyle name="Header2 16 2 11" xfId="4764" xr:uid="{00000000-0005-0000-0000-0000FE0E0000}"/>
    <cellStyle name="Header2 16 2 12" xfId="4765" xr:uid="{00000000-0005-0000-0000-0000FF0E0000}"/>
    <cellStyle name="Header2 16 2 13" xfId="4766" xr:uid="{00000000-0005-0000-0000-0000000F0000}"/>
    <cellStyle name="Header2 16 2 14" xfId="4767" xr:uid="{00000000-0005-0000-0000-0000010F0000}"/>
    <cellStyle name="Header2 16 2 2" xfId="4768" xr:uid="{00000000-0005-0000-0000-0000020F0000}"/>
    <cellStyle name="Header2 16 2 3" xfId="4769" xr:uid="{00000000-0005-0000-0000-0000030F0000}"/>
    <cellStyle name="Header2 16 2 4" xfId="4770" xr:uid="{00000000-0005-0000-0000-0000040F0000}"/>
    <cellStyle name="Header2 16 2 5" xfId="4771" xr:uid="{00000000-0005-0000-0000-0000050F0000}"/>
    <cellStyle name="Header2 16 2 6" xfId="4772" xr:uid="{00000000-0005-0000-0000-0000060F0000}"/>
    <cellStyle name="Header2 16 2 7" xfId="4773" xr:uid="{00000000-0005-0000-0000-0000070F0000}"/>
    <cellStyle name="Header2 16 2 8" xfId="4774" xr:uid="{00000000-0005-0000-0000-0000080F0000}"/>
    <cellStyle name="Header2 16 2 9" xfId="4775" xr:uid="{00000000-0005-0000-0000-0000090F0000}"/>
    <cellStyle name="Header2 16 3" xfId="4776" xr:uid="{00000000-0005-0000-0000-00000A0F0000}"/>
    <cellStyle name="Header2 16 4" xfId="4777" xr:uid="{00000000-0005-0000-0000-00000B0F0000}"/>
    <cellStyle name="Header2 16 5" xfId="4778" xr:uid="{00000000-0005-0000-0000-00000C0F0000}"/>
    <cellStyle name="Header2 16 6" xfId="4779" xr:uid="{00000000-0005-0000-0000-00000D0F0000}"/>
    <cellStyle name="Header2 16 7" xfId="4780" xr:uid="{00000000-0005-0000-0000-00000E0F0000}"/>
    <cellStyle name="Header2 16 8" xfId="4781" xr:uid="{00000000-0005-0000-0000-00000F0F0000}"/>
    <cellStyle name="Header2 16 9" xfId="4782" xr:uid="{00000000-0005-0000-0000-0000100F0000}"/>
    <cellStyle name="Header2 17" xfId="4783" xr:uid="{00000000-0005-0000-0000-0000110F0000}"/>
    <cellStyle name="Header2 17 10" xfId="4784" xr:uid="{00000000-0005-0000-0000-0000120F0000}"/>
    <cellStyle name="Header2 17 11" xfId="4785" xr:uid="{00000000-0005-0000-0000-0000130F0000}"/>
    <cellStyle name="Header2 17 12" xfId="4786" xr:uid="{00000000-0005-0000-0000-0000140F0000}"/>
    <cellStyle name="Header2 17 13" xfId="4787" xr:uid="{00000000-0005-0000-0000-0000150F0000}"/>
    <cellStyle name="Header2 17 14" xfId="4788" xr:uid="{00000000-0005-0000-0000-0000160F0000}"/>
    <cellStyle name="Header2 17 2" xfId="4789" xr:uid="{00000000-0005-0000-0000-0000170F0000}"/>
    <cellStyle name="Header2 17 3" xfId="4790" xr:uid="{00000000-0005-0000-0000-0000180F0000}"/>
    <cellStyle name="Header2 17 4" xfId="4791" xr:uid="{00000000-0005-0000-0000-0000190F0000}"/>
    <cellStyle name="Header2 17 5" xfId="4792" xr:uid="{00000000-0005-0000-0000-00001A0F0000}"/>
    <cellStyle name="Header2 17 6" xfId="4793" xr:uid="{00000000-0005-0000-0000-00001B0F0000}"/>
    <cellStyle name="Header2 17 7" xfId="4794" xr:uid="{00000000-0005-0000-0000-00001C0F0000}"/>
    <cellStyle name="Header2 17 8" xfId="4795" xr:uid="{00000000-0005-0000-0000-00001D0F0000}"/>
    <cellStyle name="Header2 17 9" xfId="4796" xr:uid="{00000000-0005-0000-0000-00001E0F0000}"/>
    <cellStyle name="Header2 18" xfId="4797" xr:uid="{00000000-0005-0000-0000-00001F0F0000}"/>
    <cellStyle name="Header2 19" xfId="4798" xr:uid="{00000000-0005-0000-0000-0000200F0000}"/>
    <cellStyle name="Header2 2" xfId="4799" xr:uid="{00000000-0005-0000-0000-0000210F0000}"/>
    <cellStyle name="Header2 2 10" xfId="4800" xr:uid="{00000000-0005-0000-0000-0000220F0000}"/>
    <cellStyle name="Header2 2 10 10" xfId="4801" xr:uid="{00000000-0005-0000-0000-0000230F0000}"/>
    <cellStyle name="Header2 2 10 11" xfId="4802" xr:uid="{00000000-0005-0000-0000-0000240F0000}"/>
    <cellStyle name="Header2 2 10 12" xfId="4803" xr:uid="{00000000-0005-0000-0000-0000250F0000}"/>
    <cellStyle name="Header2 2 10 13" xfId="4804" xr:uid="{00000000-0005-0000-0000-0000260F0000}"/>
    <cellStyle name="Header2 2 10 14" xfId="4805" xr:uid="{00000000-0005-0000-0000-0000270F0000}"/>
    <cellStyle name="Header2 2 10 15" xfId="4806" xr:uid="{00000000-0005-0000-0000-0000280F0000}"/>
    <cellStyle name="Header2 2 10 2" xfId="4807" xr:uid="{00000000-0005-0000-0000-0000290F0000}"/>
    <cellStyle name="Header2 2 10 2 10" xfId="4808" xr:uid="{00000000-0005-0000-0000-00002A0F0000}"/>
    <cellStyle name="Header2 2 10 2 11" xfId="4809" xr:uid="{00000000-0005-0000-0000-00002B0F0000}"/>
    <cellStyle name="Header2 2 10 2 12" xfId="4810" xr:uid="{00000000-0005-0000-0000-00002C0F0000}"/>
    <cellStyle name="Header2 2 10 2 13" xfId="4811" xr:uid="{00000000-0005-0000-0000-00002D0F0000}"/>
    <cellStyle name="Header2 2 10 2 14" xfId="4812" xr:uid="{00000000-0005-0000-0000-00002E0F0000}"/>
    <cellStyle name="Header2 2 10 2 2" xfId="4813" xr:uid="{00000000-0005-0000-0000-00002F0F0000}"/>
    <cellStyle name="Header2 2 10 2 3" xfId="4814" xr:uid="{00000000-0005-0000-0000-0000300F0000}"/>
    <cellStyle name="Header2 2 10 2 4" xfId="4815" xr:uid="{00000000-0005-0000-0000-0000310F0000}"/>
    <cellStyle name="Header2 2 10 2 5" xfId="4816" xr:uid="{00000000-0005-0000-0000-0000320F0000}"/>
    <cellStyle name="Header2 2 10 2 6" xfId="4817" xr:uid="{00000000-0005-0000-0000-0000330F0000}"/>
    <cellStyle name="Header2 2 10 2 7" xfId="4818" xr:uid="{00000000-0005-0000-0000-0000340F0000}"/>
    <cellStyle name="Header2 2 10 2 8" xfId="4819" xr:uid="{00000000-0005-0000-0000-0000350F0000}"/>
    <cellStyle name="Header2 2 10 2 9" xfId="4820" xr:uid="{00000000-0005-0000-0000-0000360F0000}"/>
    <cellStyle name="Header2 2 10 3" xfId="4821" xr:uid="{00000000-0005-0000-0000-0000370F0000}"/>
    <cellStyle name="Header2 2 10 4" xfId="4822" xr:uid="{00000000-0005-0000-0000-0000380F0000}"/>
    <cellStyle name="Header2 2 10 5" xfId="4823" xr:uid="{00000000-0005-0000-0000-0000390F0000}"/>
    <cellStyle name="Header2 2 10 6" xfId="4824" xr:uid="{00000000-0005-0000-0000-00003A0F0000}"/>
    <cellStyle name="Header2 2 10 7" xfId="4825" xr:uid="{00000000-0005-0000-0000-00003B0F0000}"/>
    <cellStyle name="Header2 2 10 8" xfId="4826" xr:uid="{00000000-0005-0000-0000-00003C0F0000}"/>
    <cellStyle name="Header2 2 10 9" xfId="4827" xr:uid="{00000000-0005-0000-0000-00003D0F0000}"/>
    <cellStyle name="Header2 2 11" xfId="4828" xr:uid="{00000000-0005-0000-0000-00003E0F0000}"/>
    <cellStyle name="Header2 2 11 10" xfId="4829" xr:uid="{00000000-0005-0000-0000-00003F0F0000}"/>
    <cellStyle name="Header2 2 11 11" xfId="4830" xr:uid="{00000000-0005-0000-0000-0000400F0000}"/>
    <cellStyle name="Header2 2 11 12" xfId="4831" xr:uid="{00000000-0005-0000-0000-0000410F0000}"/>
    <cellStyle name="Header2 2 11 13" xfId="4832" xr:uid="{00000000-0005-0000-0000-0000420F0000}"/>
    <cellStyle name="Header2 2 11 14" xfId="4833" xr:uid="{00000000-0005-0000-0000-0000430F0000}"/>
    <cellStyle name="Header2 2 11 2" xfId="4834" xr:uid="{00000000-0005-0000-0000-0000440F0000}"/>
    <cellStyle name="Header2 2 11 3" xfId="4835" xr:uid="{00000000-0005-0000-0000-0000450F0000}"/>
    <cellStyle name="Header2 2 11 4" xfId="4836" xr:uid="{00000000-0005-0000-0000-0000460F0000}"/>
    <cellStyle name="Header2 2 11 5" xfId="4837" xr:uid="{00000000-0005-0000-0000-0000470F0000}"/>
    <cellStyle name="Header2 2 11 6" xfId="4838" xr:uid="{00000000-0005-0000-0000-0000480F0000}"/>
    <cellStyle name="Header2 2 11 7" xfId="4839" xr:uid="{00000000-0005-0000-0000-0000490F0000}"/>
    <cellStyle name="Header2 2 11 8" xfId="4840" xr:uid="{00000000-0005-0000-0000-00004A0F0000}"/>
    <cellStyle name="Header2 2 11 9" xfId="4841" xr:uid="{00000000-0005-0000-0000-00004B0F0000}"/>
    <cellStyle name="Header2 2 12" xfId="4842" xr:uid="{00000000-0005-0000-0000-00004C0F0000}"/>
    <cellStyle name="Header2 2 13" xfId="4843" xr:uid="{00000000-0005-0000-0000-00004D0F0000}"/>
    <cellStyle name="Header2 2 14" xfId="4844" xr:uid="{00000000-0005-0000-0000-00004E0F0000}"/>
    <cellStyle name="Header2 2 15" xfId="4845" xr:uid="{00000000-0005-0000-0000-00004F0F0000}"/>
    <cellStyle name="Header2 2 16" xfId="4846" xr:uid="{00000000-0005-0000-0000-0000500F0000}"/>
    <cellStyle name="Header2 2 17" xfId="4847" xr:uid="{00000000-0005-0000-0000-0000510F0000}"/>
    <cellStyle name="Header2 2 18" xfId="4848" xr:uid="{00000000-0005-0000-0000-0000520F0000}"/>
    <cellStyle name="Header2 2 19" xfId="4849" xr:uid="{00000000-0005-0000-0000-0000530F0000}"/>
    <cellStyle name="Header2 2 2" xfId="4850" xr:uid="{00000000-0005-0000-0000-0000540F0000}"/>
    <cellStyle name="Header2 2 2 10" xfId="4851" xr:uid="{00000000-0005-0000-0000-0000550F0000}"/>
    <cellStyle name="Header2 2 2 11" xfId="4852" xr:uid="{00000000-0005-0000-0000-0000560F0000}"/>
    <cellStyle name="Header2 2 2 12" xfId="4853" xr:uid="{00000000-0005-0000-0000-0000570F0000}"/>
    <cellStyle name="Header2 2 2 13" xfId="4854" xr:uid="{00000000-0005-0000-0000-0000580F0000}"/>
    <cellStyle name="Header2 2 2 14" xfId="4855" xr:uid="{00000000-0005-0000-0000-0000590F0000}"/>
    <cellStyle name="Header2 2 2 15" xfId="4856" xr:uid="{00000000-0005-0000-0000-00005A0F0000}"/>
    <cellStyle name="Header2 2 2 2" xfId="4857" xr:uid="{00000000-0005-0000-0000-00005B0F0000}"/>
    <cellStyle name="Header2 2 2 2 10" xfId="4858" xr:uid="{00000000-0005-0000-0000-00005C0F0000}"/>
    <cellStyle name="Header2 2 2 2 11" xfId="4859" xr:uid="{00000000-0005-0000-0000-00005D0F0000}"/>
    <cellStyle name="Header2 2 2 2 12" xfId="4860" xr:uid="{00000000-0005-0000-0000-00005E0F0000}"/>
    <cellStyle name="Header2 2 2 2 13" xfId="4861" xr:uid="{00000000-0005-0000-0000-00005F0F0000}"/>
    <cellStyle name="Header2 2 2 2 14" xfId="4862" xr:uid="{00000000-0005-0000-0000-0000600F0000}"/>
    <cellStyle name="Header2 2 2 2 2" xfId="4863" xr:uid="{00000000-0005-0000-0000-0000610F0000}"/>
    <cellStyle name="Header2 2 2 2 3" xfId="4864" xr:uid="{00000000-0005-0000-0000-0000620F0000}"/>
    <cellStyle name="Header2 2 2 2 4" xfId="4865" xr:uid="{00000000-0005-0000-0000-0000630F0000}"/>
    <cellStyle name="Header2 2 2 2 5" xfId="4866" xr:uid="{00000000-0005-0000-0000-0000640F0000}"/>
    <cellStyle name="Header2 2 2 2 6" xfId="4867" xr:uid="{00000000-0005-0000-0000-0000650F0000}"/>
    <cellStyle name="Header2 2 2 2 7" xfId="4868" xr:uid="{00000000-0005-0000-0000-0000660F0000}"/>
    <cellStyle name="Header2 2 2 2 8" xfId="4869" xr:uid="{00000000-0005-0000-0000-0000670F0000}"/>
    <cellStyle name="Header2 2 2 2 9" xfId="4870" xr:uid="{00000000-0005-0000-0000-0000680F0000}"/>
    <cellStyle name="Header2 2 2 3" xfId="4871" xr:uid="{00000000-0005-0000-0000-0000690F0000}"/>
    <cellStyle name="Header2 2 2 4" xfId="4872" xr:uid="{00000000-0005-0000-0000-00006A0F0000}"/>
    <cellStyle name="Header2 2 2 5" xfId="4873" xr:uid="{00000000-0005-0000-0000-00006B0F0000}"/>
    <cellStyle name="Header2 2 2 6" xfId="4874" xr:uid="{00000000-0005-0000-0000-00006C0F0000}"/>
    <cellStyle name="Header2 2 2 7" xfId="4875" xr:uid="{00000000-0005-0000-0000-00006D0F0000}"/>
    <cellStyle name="Header2 2 2 8" xfId="4876" xr:uid="{00000000-0005-0000-0000-00006E0F0000}"/>
    <cellStyle name="Header2 2 2 9" xfId="4877" xr:uid="{00000000-0005-0000-0000-00006F0F0000}"/>
    <cellStyle name="Header2 2 20" xfId="4878" xr:uid="{00000000-0005-0000-0000-0000700F0000}"/>
    <cellStyle name="Header2 2 21" xfId="4879" xr:uid="{00000000-0005-0000-0000-0000710F0000}"/>
    <cellStyle name="Header2 2 22" xfId="4880" xr:uid="{00000000-0005-0000-0000-0000720F0000}"/>
    <cellStyle name="Header2 2 23" xfId="4881" xr:uid="{00000000-0005-0000-0000-0000730F0000}"/>
    <cellStyle name="Header2 2 24" xfId="4882" xr:uid="{00000000-0005-0000-0000-0000740F0000}"/>
    <cellStyle name="Header2 2 3" xfId="4883" xr:uid="{00000000-0005-0000-0000-0000750F0000}"/>
    <cellStyle name="Header2 2 3 10" xfId="4884" xr:uid="{00000000-0005-0000-0000-0000760F0000}"/>
    <cellStyle name="Header2 2 3 11" xfId="4885" xr:uid="{00000000-0005-0000-0000-0000770F0000}"/>
    <cellStyle name="Header2 2 3 12" xfId="4886" xr:uid="{00000000-0005-0000-0000-0000780F0000}"/>
    <cellStyle name="Header2 2 3 13" xfId="4887" xr:uid="{00000000-0005-0000-0000-0000790F0000}"/>
    <cellStyle name="Header2 2 3 14" xfId="4888" xr:uid="{00000000-0005-0000-0000-00007A0F0000}"/>
    <cellStyle name="Header2 2 3 15" xfId="4889" xr:uid="{00000000-0005-0000-0000-00007B0F0000}"/>
    <cellStyle name="Header2 2 3 2" xfId="4890" xr:uid="{00000000-0005-0000-0000-00007C0F0000}"/>
    <cellStyle name="Header2 2 3 2 10" xfId="4891" xr:uid="{00000000-0005-0000-0000-00007D0F0000}"/>
    <cellStyle name="Header2 2 3 2 11" xfId="4892" xr:uid="{00000000-0005-0000-0000-00007E0F0000}"/>
    <cellStyle name="Header2 2 3 2 12" xfId="4893" xr:uid="{00000000-0005-0000-0000-00007F0F0000}"/>
    <cellStyle name="Header2 2 3 2 13" xfId="4894" xr:uid="{00000000-0005-0000-0000-0000800F0000}"/>
    <cellStyle name="Header2 2 3 2 14" xfId="4895" xr:uid="{00000000-0005-0000-0000-0000810F0000}"/>
    <cellStyle name="Header2 2 3 2 2" xfId="4896" xr:uid="{00000000-0005-0000-0000-0000820F0000}"/>
    <cellStyle name="Header2 2 3 2 3" xfId="4897" xr:uid="{00000000-0005-0000-0000-0000830F0000}"/>
    <cellStyle name="Header2 2 3 2 4" xfId="4898" xr:uid="{00000000-0005-0000-0000-0000840F0000}"/>
    <cellStyle name="Header2 2 3 2 5" xfId="4899" xr:uid="{00000000-0005-0000-0000-0000850F0000}"/>
    <cellStyle name="Header2 2 3 2 6" xfId="4900" xr:uid="{00000000-0005-0000-0000-0000860F0000}"/>
    <cellStyle name="Header2 2 3 2 7" xfId="4901" xr:uid="{00000000-0005-0000-0000-0000870F0000}"/>
    <cellStyle name="Header2 2 3 2 8" xfId="4902" xr:uid="{00000000-0005-0000-0000-0000880F0000}"/>
    <cellStyle name="Header2 2 3 2 9" xfId="4903" xr:uid="{00000000-0005-0000-0000-0000890F0000}"/>
    <cellStyle name="Header2 2 3 3" xfId="4904" xr:uid="{00000000-0005-0000-0000-00008A0F0000}"/>
    <cellStyle name="Header2 2 3 4" xfId="4905" xr:uid="{00000000-0005-0000-0000-00008B0F0000}"/>
    <cellStyle name="Header2 2 3 5" xfId="4906" xr:uid="{00000000-0005-0000-0000-00008C0F0000}"/>
    <cellStyle name="Header2 2 3 6" xfId="4907" xr:uid="{00000000-0005-0000-0000-00008D0F0000}"/>
    <cellStyle name="Header2 2 3 7" xfId="4908" xr:uid="{00000000-0005-0000-0000-00008E0F0000}"/>
    <cellStyle name="Header2 2 3 8" xfId="4909" xr:uid="{00000000-0005-0000-0000-00008F0F0000}"/>
    <cellStyle name="Header2 2 3 9" xfId="4910" xr:uid="{00000000-0005-0000-0000-0000900F0000}"/>
    <cellStyle name="Header2 2 4" xfId="4911" xr:uid="{00000000-0005-0000-0000-0000910F0000}"/>
    <cellStyle name="Header2 2 4 10" xfId="4912" xr:uid="{00000000-0005-0000-0000-0000920F0000}"/>
    <cellStyle name="Header2 2 4 11" xfId="4913" xr:uid="{00000000-0005-0000-0000-0000930F0000}"/>
    <cellStyle name="Header2 2 4 12" xfId="4914" xr:uid="{00000000-0005-0000-0000-0000940F0000}"/>
    <cellStyle name="Header2 2 4 13" xfId="4915" xr:uid="{00000000-0005-0000-0000-0000950F0000}"/>
    <cellStyle name="Header2 2 4 14" xfId="4916" xr:uid="{00000000-0005-0000-0000-0000960F0000}"/>
    <cellStyle name="Header2 2 4 15" xfId="4917" xr:uid="{00000000-0005-0000-0000-0000970F0000}"/>
    <cellStyle name="Header2 2 4 2" xfId="4918" xr:uid="{00000000-0005-0000-0000-0000980F0000}"/>
    <cellStyle name="Header2 2 4 2 10" xfId="4919" xr:uid="{00000000-0005-0000-0000-0000990F0000}"/>
    <cellStyle name="Header2 2 4 2 11" xfId="4920" xr:uid="{00000000-0005-0000-0000-00009A0F0000}"/>
    <cellStyle name="Header2 2 4 2 12" xfId="4921" xr:uid="{00000000-0005-0000-0000-00009B0F0000}"/>
    <cellStyle name="Header2 2 4 2 13" xfId="4922" xr:uid="{00000000-0005-0000-0000-00009C0F0000}"/>
    <cellStyle name="Header2 2 4 2 14" xfId="4923" xr:uid="{00000000-0005-0000-0000-00009D0F0000}"/>
    <cellStyle name="Header2 2 4 2 2" xfId="4924" xr:uid="{00000000-0005-0000-0000-00009E0F0000}"/>
    <cellStyle name="Header2 2 4 2 3" xfId="4925" xr:uid="{00000000-0005-0000-0000-00009F0F0000}"/>
    <cellStyle name="Header2 2 4 2 4" xfId="4926" xr:uid="{00000000-0005-0000-0000-0000A00F0000}"/>
    <cellStyle name="Header2 2 4 2 5" xfId="4927" xr:uid="{00000000-0005-0000-0000-0000A10F0000}"/>
    <cellStyle name="Header2 2 4 2 6" xfId="4928" xr:uid="{00000000-0005-0000-0000-0000A20F0000}"/>
    <cellStyle name="Header2 2 4 2 7" xfId="4929" xr:uid="{00000000-0005-0000-0000-0000A30F0000}"/>
    <cellStyle name="Header2 2 4 2 8" xfId="4930" xr:uid="{00000000-0005-0000-0000-0000A40F0000}"/>
    <cellStyle name="Header2 2 4 2 9" xfId="4931" xr:uid="{00000000-0005-0000-0000-0000A50F0000}"/>
    <cellStyle name="Header2 2 4 3" xfId="4932" xr:uid="{00000000-0005-0000-0000-0000A60F0000}"/>
    <cellStyle name="Header2 2 4 4" xfId="4933" xr:uid="{00000000-0005-0000-0000-0000A70F0000}"/>
    <cellStyle name="Header2 2 4 5" xfId="4934" xr:uid="{00000000-0005-0000-0000-0000A80F0000}"/>
    <cellStyle name="Header2 2 4 6" xfId="4935" xr:uid="{00000000-0005-0000-0000-0000A90F0000}"/>
    <cellStyle name="Header2 2 4 7" xfId="4936" xr:uid="{00000000-0005-0000-0000-0000AA0F0000}"/>
    <cellStyle name="Header2 2 4 8" xfId="4937" xr:uid="{00000000-0005-0000-0000-0000AB0F0000}"/>
    <cellStyle name="Header2 2 4 9" xfId="4938" xr:uid="{00000000-0005-0000-0000-0000AC0F0000}"/>
    <cellStyle name="Header2 2 5" xfId="4939" xr:uid="{00000000-0005-0000-0000-0000AD0F0000}"/>
    <cellStyle name="Header2 2 5 10" xfId="4940" xr:uid="{00000000-0005-0000-0000-0000AE0F0000}"/>
    <cellStyle name="Header2 2 5 11" xfId="4941" xr:uid="{00000000-0005-0000-0000-0000AF0F0000}"/>
    <cellStyle name="Header2 2 5 12" xfId="4942" xr:uid="{00000000-0005-0000-0000-0000B00F0000}"/>
    <cellStyle name="Header2 2 5 13" xfId="4943" xr:uid="{00000000-0005-0000-0000-0000B10F0000}"/>
    <cellStyle name="Header2 2 5 14" xfId="4944" xr:uid="{00000000-0005-0000-0000-0000B20F0000}"/>
    <cellStyle name="Header2 2 5 15" xfId="4945" xr:uid="{00000000-0005-0000-0000-0000B30F0000}"/>
    <cellStyle name="Header2 2 5 2" xfId="4946" xr:uid="{00000000-0005-0000-0000-0000B40F0000}"/>
    <cellStyle name="Header2 2 5 2 10" xfId="4947" xr:uid="{00000000-0005-0000-0000-0000B50F0000}"/>
    <cellStyle name="Header2 2 5 2 11" xfId="4948" xr:uid="{00000000-0005-0000-0000-0000B60F0000}"/>
    <cellStyle name="Header2 2 5 2 12" xfId="4949" xr:uid="{00000000-0005-0000-0000-0000B70F0000}"/>
    <cellStyle name="Header2 2 5 2 13" xfId="4950" xr:uid="{00000000-0005-0000-0000-0000B80F0000}"/>
    <cellStyle name="Header2 2 5 2 14" xfId="4951" xr:uid="{00000000-0005-0000-0000-0000B90F0000}"/>
    <cellStyle name="Header2 2 5 2 2" xfId="4952" xr:uid="{00000000-0005-0000-0000-0000BA0F0000}"/>
    <cellStyle name="Header2 2 5 2 3" xfId="4953" xr:uid="{00000000-0005-0000-0000-0000BB0F0000}"/>
    <cellStyle name="Header2 2 5 2 4" xfId="4954" xr:uid="{00000000-0005-0000-0000-0000BC0F0000}"/>
    <cellStyle name="Header2 2 5 2 5" xfId="4955" xr:uid="{00000000-0005-0000-0000-0000BD0F0000}"/>
    <cellStyle name="Header2 2 5 2 6" xfId="4956" xr:uid="{00000000-0005-0000-0000-0000BE0F0000}"/>
    <cellStyle name="Header2 2 5 2 7" xfId="4957" xr:uid="{00000000-0005-0000-0000-0000BF0F0000}"/>
    <cellStyle name="Header2 2 5 2 8" xfId="4958" xr:uid="{00000000-0005-0000-0000-0000C00F0000}"/>
    <cellStyle name="Header2 2 5 2 9" xfId="4959" xr:uid="{00000000-0005-0000-0000-0000C10F0000}"/>
    <cellStyle name="Header2 2 5 3" xfId="4960" xr:uid="{00000000-0005-0000-0000-0000C20F0000}"/>
    <cellStyle name="Header2 2 5 4" xfId="4961" xr:uid="{00000000-0005-0000-0000-0000C30F0000}"/>
    <cellStyle name="Header2 2 5 5" xfId="4962" xr:uid="{00000000-0005-0000-0000-0000C40F0000}"/>
    <cellStyle name="Header2 2 5 6" xfId="4963" xr:uid="{00000000-0005-0000-0000-0000C50F0000}"/>
    <cellStyle name="Header2 2 5 7" xfId="4964" xr:uid="{00000000-0005-0000-0000-0000C60F0000}"/>
    <cellStyle name="Header2 2 5 8" xfId="4965" xr:uid="{00000000-0005-0000-0000-0000C70F0000}"/>
    <cellStyle name="Header2 2 5 9" xfId="4966" xr:uid="{00000000-0005-0000-0000-0000C80F0000}"/>
    <cellStyle name="Header2 2 6" xfId="4967" xr:uid="{00000000-0005-0000-0000-0000C90F0000}"/>
    <cellStyle name="Header2 2 6 10" xfId="4968" xr:uid="{00000000-0005-0000-0000-0000CA0F0000}"/>
    <cellStyle name="Header2 2 6 11" xfId="4969" xr:uid="{00000000-0005-0000-0000-0000CB0F0000}"/>
    <cellStyle name="Header2 2 6 12" xfId="4970" xr:uid="{00000000-0005-0000-0000-0000CC0F0000}"/>
    <cellStyle name="Header2 2 6 13" xfId="4971" xr:uid="{00000000-0005-0000-0000-0000CD0F0000}"/>
    <cellStyle name="Header2 2 6 14" xfId="4972" xr:uid="{00000000-0005-0000-0000-0000CE0F0000}"/>
    <cellStyle name="Header2 2 6 15" xfId="4973" xr:uid="{00000000-0005-0000-0000-0000CF0F0000}"/>
    <cellStyle name="Header2 2 6 2" xfId="4974" xr:uid="{00000000-0005-0000-0000-0000D00F0000}"/>
    <cellStyle name="Header2 2 6 2 10" xfId="4975" xr:uid="{00000000-0005-0000-0000-0000D10F0000}"/>
    <cellStyle name="Header2 2 6 2 11" xfId="4976" xr:uid="{00000000-0005-0000-0000-0000D20F0000}"/>
    <cellStyle name="Header2 2 6 2 12" xfId="4977" xr:uid="{00000000-0005-0000-0000-0000D30F0000}"/>
    <cellStyle name="Header2 2 6 2 13" xfId="4978" xr:uid="{00000000-0005-0000-0000-0000D40F0000}"/>
    <cellStyle name="Header2 2 6 2 14" xfId="4979" xr:uid="{00000000-0005-0000-0000-0000D50F0000}"/>
    <cellStyle name="Header2 2 6 2 2" xfId="4980" xr:uid="{00000000-0005-0000-0000-0000D60F0000}"/>
    <cellStyle name="Header2 2 6 2 3" xfId="4981" xr:uid="{00000000-0005-0000-0000-0000D70F0000}"/>
    <cellStyle name="Header2 2 6 2 4" xfId="4982" xr:uid="{00000000-0005-0000-0000-0000D80F0000}"/>
    <cellStyle name="Header2 2 6 2 5" xfId="4983" xr:uid="{00000000-0005-0000-0000-0000D90F0000}"/>
    <cellStyle name="Header2 2 6 2 6" xfId="4984" xr:uid="{00000000-0005-0000-0000-0000DA0F0000}"/>
    <cellStyle name="Header2 2 6 2 7" xfId="4985" xr:uid="{00000000-0005-0000-0000-0000DB0F0000}"/>
    <cellStyle name="Header2 2 6 2 8" xfId="4986" xr:uid="{00000000-0005-0000-0000-0000DC0F0000}"/>
    <cellStyle name="Header2 2 6 2 9" xfId="4987" xr:uid="{00000000-0005-0000-0000-0000DD0F0000}"/>
    <cellStyle name="Header2 2 6 3" xfId="4988" xr:uid="{00000000-0005-0000-0000-0000DE0F0000}"/>
    <cellStyle name="Header2 2 6 4" xfId="4989" xr:uid="{00000000-0005-0000-0000-0000DF0F0000}"/>
    <cellStyle name="Header2 2 6 5" xfId="4990" xr:uid="{00000000-0005-0000-0000-0000E00F0000}"/>
    <cellStyle name="Header2 2 6 6" xfId="4991" xr:uid="{00000000-0005-0000-0000-0000E10F0000}"/>
    <cellStyle name="Header2 2 6 7" xfId="4992" xr:uid="{00000000-0005-0000-0000-0000E20F0000}"/>
    <cellStyle name="Header2 2 6 8" xfId="4993" xr:uid="{00000000-0005-0000-0000-0000E30F0000}"/>
    <cellStyle name="Header2 2 6 9" xfId="4994" xr:uid="{00000000-0005-0000-0000-0000E40F0000}"/>
    <cellStyle name="Header2 2 7" xfId="4995" xr:uid="{00000000-0005-0000-0000-0000E50F0000}"/>
    <cellStyle name="Header2 2 7 10" xfId="4996" xr:uid="{00000000-0005-0000-0000-0000E60F0000}"/>
    <cellStyle name="Header2 2 7 11" xfId="4997" xr:uid="{00000000-0005-0000-0000-0000E70F0000}"/>
    <cellStyle name="Header2 2 7 12" xfId="4998" xr:uid="{00000000-0005-0000-0000-0000E80F0000}"/>
    <cellStyle name="Header2 2 7 13" xfId="4999" xr:uid="{00000000-0005-0000-0000-0000E90F0000}"/>
    <cellStyle name="Header2 2 7 14" xfId="5000" xr:uid="{00000000-0005-0000-0000-0000EA0F0000}"/>
    <cellStyle name="Header2 2 7 15" xfId="5001" xr:uid="{00000000-0005-0000-0000-0000EB0F0000}"/>
    <cellStyle name="Header2 2 7 2" xfId="5002" xr:uid="{00000000-0005-0000-0000-0000EC0F0000}"/>
    <cellStyle name="Header2 2 7 2 10" xfId="5003" xr:uid="{00000000-0005-0000-0000-0000ED0F0000}"/>
    <cellStyle name="Header2 2 7 2 11" xfId="5004" xr:uid="{00000000-0005-0000-0000-0000EE0F0000}"/>
    <cellStyle name="Header2 2 7 2 12" xfId="5005" xr:uid="{00000000-0005-0000-0000-0000EF0F0000}"/>
    <cellStyle name="Header2 2 7 2 13" xfId="5006" xr:uid="{00000000-0005-0000-0000-0000F00F0000}"/>
    <cellStyle name="Header2 2 7 2 14" xfId="5007" xr:uid="{00000000-0005-0000-0000-0000F10F0000}"/>
    <cellStyle name="Header2 2 7 2 2" xfId="5008" xr:uid="{00000000-0005-0000-0000-0000F20F0000}"/>
    <cellStyle name="Header2 2 7 2 3" xfId="5009" xr:uid="{00000000-0005-0000-0000-0000F30F0000}"/>
    <cellStyle name="Header2 2 7 2 4" xfId="5010" xr:uid="{00000000-0005-0000-0000-0000F40F0000}"/>
    <cellStyle name="Header2 2 7 2 5" xfId="5011" xr:uid="{00000000-0005-0000-0000-0000F50F0000}"/>
    <cellStyle name="Header2 2 7 2 6" xfId="5012" xr:uid="{00000000-0005-0000-0000-0000F60F0000}"/>
    <cellStyle name="Header2 2 7 2 7" xfId="5013" xr:uid="{00000000-0005-0000-0000-0000F70F0000}"/>
    <cellStyle name="Header2 2 7 2 8" xfId="5014" xr:uid="{00000000-0005-0000-0000-0000F80F0000}"/>
    <cellStyle name="Header2 2 7 2 9" xfId="5015" xr:uid="{00000000-0005-0000-0000-0000F90F0000}"/>
    <cellStyle name="Header2 2 7 3" xfId="5016" xr:uid="{00000000-0005-0000-0000-0000FA0F0000}"/>
    <cellStyle name="Header2 2 7 4" xfId="5017" xr:uid="{00000000-0005-0000-0000-0000FB0F0000}"/>
    <cellStyle name="Header2 2 7 5" xfId="5018" xr:uid="{00000000-0005-0000-0000-0000FC0F0000}"/>
    <cellStyle name="Header2 2 7 6" xfId="5019" xr:uid="{00000000-0005-0000-0000-0000FD0F0000}"/>
    <cellStyle name="Header2 2 7 7" xfId="5020" xr:uid="{00000000-0005-0000-0000-0000FE0F0000}"/>
    <cellStyle name="Header2 2 7 8" xfId="5021" xr:uid="{00000000-0005-0000-0000-0000FF0F0000}"/>
    <cellStyle name="Header2 2 7 9" xfId="5022" xr:uid="{00000000-0005-0000-0000-000000100000}"/>
    <cellStyle name="Header2 2 8" xfId="5023" xr:uid="{00000000-0005-0000-0000-000001100000}"/>
    <cellStyle name="Header2 2 8 10" xfId="5024" xr:uid="{00000000-0005-0000-0000-000002100000}"/>
    <cellStyle name="Header2 2 8 11" xfId="5025" xr:uid="{00000000-0005-0000-0000-000003100000}"/>
    <cellStyle name="Header2 2 8 12" xfId="5026" xr:uid="{00000000-0005-0000-0000-000004100000}"/>
    <cellStyle name="Header2 2 8 13" xfId="5027" xr:uid="{00000000-0005-0000-0000-000005100000}"/>
    <cellStyle name="Header2 2 8 14" xfId="5028" xr:uid="{00000000-0005-0000-0000-000006100000}"/>
    <cellStyle name="Header2 2 8 15" xfId="5029" xr:uid="{00000000-0005-0000-0000-000007100000}"/>
    <cellStyle name="Header2 2 8 2" xfId="5030" xr:uid="{00000000-0005-0000-0000-000008100000}"/>
    <cellStyle name="Header2 2 8 2 10" xfId="5031" xr:uid="{00000000-0005-0000-0000-000009100000}"/>
    <cellStyle name="Header2 2 8 2 11" xfId="5032" xr:uid="{00000000-0005-0000-0000-00000A100000}"/>
    <cellStyle name="Header2 2 8 2 12" xfId="5033" xr:uid="{00000000-0005-0000-0000-00000B100000}"/>
    <cellStyle name="Header2 2 8 2 13" xfId="5034" xr:uid="{00000000-0005-0000-0000-00000C100000}"/>
    <cellStyle name="Header2 2 8 2 14" xfId="5035" xr:uid="{00000000-0005-0000-0000-00000D100000}"/>
    <cellStyle name="Header2 2 8 2 2" xfId="5036" xr:uid="{00000000-0005-0000-0000-00000E100000}"/>
    <cellStyle name="Header2 2 8 2 3" xfId="5037" xr:uid="{00000000-0005-0000-0000-00000F100000}"/>
    <cellStyle name="Header2 2 8 2 4" xfId="5038" xr:uid="{00000000-0005-0000-0000-000010100000}"/>
    <cellStyle name="Header2 2 8 2 5" xfId="5039" xr:uid="{00000000-0005-0000-0000-000011100000}"/>
    <cellStyle name="Header2 2 8 2 6" xfId="5040" xr:uid="{00000000-0005-0000-0000-000012100000}"/>
    <cellStyle name="Header2 2 8 2 7" xfId="5041" xr:uid="{00000000-0005-0000-0000-000013100000}"/>
    <cellStyle name="Header2 2 8 2 8" xfId="5042" xr:uid="{00000000-0005-0000-0000-000014100000}"/>
    <cellStyle name="Header2 2 8 2 9" xfId="5043" xr:uid="{00000000-0005-0000-0000-000015100000}"/>
    <cellStyle name="Header2 2 8 3" xfId="5044" xr:uid="{00000000-0005-0000-0000-000016100000}"/>
    <cellStyle name="Header2 2 8 4" xfId="5045" xr:uid="{00000000-0005-0000-0000-000017100000}"/>
    <cellStyle name="Header2 2 8 5" xfId="5046" xr:uid="{00000000-0005-0000-0000-000018100000}"/>
    <cellStyle name="Header2 2 8 6" xfId="5047" xr:uid="{00000000-0005-0000-0000-000019100000}"/>
    <cellStyle name="Header2 2 8 7" xfId="5048" xr:uid="{00000000-0005-0000-0000-00001A100000}"/>
    <cellStyle name="Header2 2 8 8" xfId="5049" xr:uid="{00000000-0005-0000-0000-00001B100000}"/>
    <cellStyle name="Header2 2 8 9" xfId="5050" xr:uid="{00000000-0005-0000-0000-00001C100000}"/>
    <cellStyle name="Header2 2 9" xfId="5051" xr:uid="{00000000-0005-0000-0000-00001D100000}"/>
    <cellStyle name="Header2 2 9 10" xfId="5052" xr:uid="{00000000-0005-0000-0000-00001E100000}"/>
    <cellStyle name="Header2 2 9 11" xfId="5053" xr:uid="{00000000-0005-0000-0000-00001F100000}"/>
    <cellStyle name="Header2 2 9 12" xfId="5054" xr:uid="{00000000-0005-0000-0000-000020100000}"/>
    <cellStyle name="Header2 2 9 13" xfId="5055" xr:uid="{00000000-0005-0000-0000-000021100000}"/>
    <cellStyle name="Header2 2 9 14" xfId="5056" xr:uid="{00000000-0005-0000-0000-000022100000}"/>
    <cellStyle name="Header2 2 9 15" xfId="5057" xr:uid="{00000000-0005-0000-0000-000023100000}"/>
    <cellStyle name="Header2 2 9 2" xfId="5058" xr:uid="{00000000-0005-0000-0000-000024100000}"/>
    <cellStyle name="Header2 2 9 2 10" xfId="5059" xr:uid="{00000000-0005-0000-0000-000025100000}"/>
    <cellStyle name="Header2 2 9 2 11" xfId="5060" xr:uid="{00000000-0005-0000-0000-000026100000}"/>
    <cellStyle name="Header2 2 9 2 12" xfId="5061" xr:uid="{00000000-0005-0000-0000-000027100000}"/>
    <cellStyle name="Header2 2 9 2 13" xfId="5062" xr:uid="{00000000-0005-0000-0000-000028100000}"/>
    <cellStyle name="Header2 2 9 2 14" xfId="5063" xr:uid="{00000000-0005-0000-0000-000029100000}"/>
    <cellStyle name="Header2 2 9 2 2" xfId="5064" xr:uid="{00000000-0005-0000-0000-00002A100000}"/>
    <cellStyle name="Header2 2 9 2 3" xfId="5065" xr:uid="{00000000-0005-0000-0000-00002B100000}"/>
    <cellStyle name="Header2 2 9 2 4" xfId="5066" xr:uid="{00000000-0005-0000-0000-00002C100000}"/>
    <cellStyle name="Header2 2 9 2 5" xfId="5067" xr:uid="{00000000-0005-0000-0000-00002D100000}"/>
    <cellStyle name="Header2 2 9 2 6" xfId="5068" xr:uid="{00000000-0005-0000-0000-00002E100000}"/>
    <cellStyle name="Header2 2 9 2 7" xfId="5069" xr:uid="{00000000-0005-0000-0000-00002F100000}"/>
    <cellStyle name="Header2 2 9 2 8" xfId="5070" xr:uid="{00000000-0005-0000-0000-000030100000}"/>
    <cellStyle name="Header2 2 9 2 9" xfId="5071" xr:uid="{00000000-0005-0000-0000-000031100000}"/>
    <cellStyle name="Header2 2 9 3" xfId="5072" xr:uid="{00000000-0005-0000-0000-000032100000}"/>
    <cellStyle name="Header2 2 9 4" xfId="5073" xr:uid="{00000000-0005-0000-0000-000033100000}"/>
    <cellStyle name="Header2 2 9 5" xfId="5074" xr:uid="{00000000-0005-0000-0000-000034100000}"/>
    <cellStyle name="Header2 2 9 6" xfId="5075" xr:uid="{00000000-0005-0000-0000-000035100000}"/>
    <cellStyle name="Header2 2 9 7" xfId="5076" xr:uid="{00000000-0005-0000-0000-000036100000}"/>
    <cellStyle name="Header2 2 9 8" xfId="5077" xr:uid="{00000000-0005-0000-0000-000037100000}"/>
    <cellStyle name="Header2 2 9 9" xfId="5078" xr:uid="{00000000-0005-0000-0000-000038100000}"/>
    <cellStyle name="Header2 20" xfId="5079" xr:uid="{00000000-0005-0000-0000-000039100000}"/>
    <cellStyle name="Header2 21" xfId="5080" xr:uid="{00000000-0005-0000-0000-00003A100000}"/>
    <cellStyle name="Header2 22" xfId="5081" xr:uid="{00000000-0005-0000-0000-00003B100000}"/>
    <cellStyle name="Header2 23" xfId="5082" xr:uid="{00000000-0005-0000-0000-00003C100000}"/>
    <cellStyle name="Header2 24" xfId="5083" xr:uid="{00000000-0005-0000-0000-00003D100000}"/>
    <cellStyle name="Header2 25" xfId="5084" xr:uid="{00000000-0005-0000-0000-00003E100000}"/>
    <cellStyle name="Header2 26" xfId="5085" xr:uid="{00000000-0005-0000-0000-00003F100000}"/>
    <cellStyle name="Header2 27" xfId="5086" xr:uid="{00000000-0005-0000-0000-000040100000}"/>
    <cellStyle name="Header2 28" xfId="5087" xr:uid="{00000000-0005-0000-0000-000041100000}"/>
    <cellStyle name="Header2 29" xfId="5088" xr:uid="{00000000-0005-0000-0000-000042100000}"/>
    <cellStyle name="Header2 3" xfId="5089" xr:uid="{00000000-0005-0000-0000-000043100000}"/>
    <cellStyle name="Header2 3 10" xfId="5090" xr:uid="{00000000-0005-0000-0000-000044100000}"/>
    <cellStyle name="Header2 3 10 10" xfId="5091" xr:uid="{00000000-0005-0000-0000-000045100000}"/>
    <cellStyle name="Header2 3 10 11" xfId="5092" xr:uid="{00000000-0005-0000-0000-000046100000}"/>
    <cellStyle name="Header2 3 10 12" xfId="5093" xr:uid="{00000000-0005-0000-0000-000047100000}"/>
    <cellStyle name="Header2 3 10 13" xfId="5094" xr:uid="{00000000-0005-0000-0000-000048100000}"/>
    <cellStyle name="Header2 3 10 14" xfId="5095" xr:uid="{00000000-0005-0000-0000-000049100000}"/>
    <cellStyle name="Header2 3 10 15" xfId="5096" xr:uid="{00000000-0005-0000-0000-00004A100000}"/>
    <cellStyle name="Header2 3 10 2" xfId="5097" xr:uid="{00000000-0005-0000-0000-00004B100000}"/>
    <cellStyle name="Header2 3 10 2 10" xfId="5098" xr:uid="{00000000-0005-0000-0000-00004C100000}"/>
    <cellStyle name="Header2 3 10 2 11" xfId="5099" xr:uid="{00000000-0005-0000-0000-00004D100000}"/>
    <cellStyle name="Header2 3 10 2 12" xfId="5100" xr:uid="{00000000-0005-0000-0000-00004E100000}"/>
    <cellStyle name="Header2 3 10 2 13" xfId="5101" xr:uid="{00000000-0005-0000-0000-00004F100000}"/>
    <cellStyle name="Header2 3 10 2 14" xfId="5102" xr:uid="{00000000-0005-0000-0000-000050100000}"/>
    <cellStyle name="Header2 3 10 2 2" xfId="5103" xr:uid="{00000000-0005-0000-0000-000051100000}"/>
    <cellStyle name="Header2 3 10 2 3" xfId="5104" xr:uid="{00000000-0005-0000-0000-000052100000}"/>
    <cellStyle name="Header2 3 10 2 4" xfId="5105" xr:uid="{00000000-0005-0000-0000-000053100000}"/>
    <cellStyle name="Header2 3 10 2 5" xfId="5106" xr:uid="{00000000-0005-0000-0000-000054100000}"/>
    <cellStyle name="Header2 3 10 2 6" xfId="5107" xr:uid="{00000000-0005-0000-0000-000055100000}"/>
    <cellStyle name="Header2 3 10 2 7" xfId="5108" xr:uid="{00000000-0005-0000-0000-000056100000}"/>
    <cellStyle name="Header2 3 10 2 8" xfId="5109" xr:uid="{00000000-0005-0000-0000-000057100000}"/>
    <cellStyle name="Header2 3 10 2 9" xfId="5110" xr:uid="{00000000-0005-0000-0000-000058100000}"/>
    <cellStyle name="Header2 3 10 3" xfId="5111" xr:uid="{00000000-0005-0000-0000-000059100000}"/>
    <cellStyle name="Header2 3 10 4" xfId="5112" xr:uid="{00000000-0005-0000-0000-00005A100000}"/>
    <cellStyle name="Header2 3 10 5" xfId="5113" xr:uid="{00000000-0005-0000-0000-00005B100000}"/>
    <cellStyle name="Header2 3 10 6" xfId="5114" xr:uid="{00000000-0005-0000-0000-00005C100000}"/>
    <cellStyle name="Header2 3 10 7" xfId="5115" xr:uid="{00000000-0005-0000-0000-00005D100000}"/>
    <cellStyle name="Header2 3 10 8" xfId="5116" xr:uid="{00000000-0005-0000-0000-00005E100000}"/>
    <cellStyle name="Header2 3 10 9" xfId="5117" xr:uid="{00000000-0005-0000-0000-00005F100000}"/>
    <cellStyle name="Header2 3 11" xfId="5118" xr:uid="{00000000-0005-0000-0000-000060100000}"/>
    <cellStyle name="Header2 3 11 10" xfId="5119" xr:uid="{00000000-0005-0000-0000-000061100000}"/>
    <cellStyle name="Header2 3 11 11" xfId="5120" xr:uid="{00000000-0005-0000-0000-000062100000}"/>
    <cellStyle name="Header2 3 11 12" xfId="5121" xr:uid="{00000000-0005-0000-0000-000063100000}"/>
    <cellStyle name="Header2 3 11 13" xfId="5122" xr:uid="{00000000-0005-0000-0000-000064100000}"/>
    <cellStyle name="Header2 3 11 14" xfId="5123" xr:uid="{00000000-0005-0000-0000-000065100000}"/>
    <cellStyle name="Header2 3 11 2" xfId="5124" xr:uid="{00000000-0005-0000-0000-000066100000}"/>
    <cellStyle name="Header2 3 11 3" xfId="5125" xr:uid="{00000000-0005-0000-0000-000067100000}"/>
    <cellStyle name="Header2 3 11 4" xfId="5126" xr:uid="{00000000-0005-0000-0000-000068100000}"/>
    <cellStyle name="Header2 3 11 5" xfId="5127" xr:uid="{00000000-0005-0000-0000-000069100000}"/>
    <cellStyle name="Header2 3 11 6" xfId="5128" xr:uid="{00000000-0005-0000-0000-00006A100000}"/>
    <cellStyle name="Header2 3 11 7" xfId="5129" xr:uid="{00000000-0005-0000-0000-00006B100000}"/>
    <cellStyle name="Header2 3 11 8" xfId="5130" xr:uid="{00000000-0005-0000-0000-00006C100000}"/>
    <cellStyle name="Header2 3 11 9" xfId="5131" xr:uid="{00000000-0005-0000-0000-00006D100000}"/>
    <cellStyle name="Header2 3 12" xfId="5132" xr:uid="{00000000-0005-0000-0000-00006E100000}"/>
    <cellStyle name="Header2 3 13" xfId="5133" xr:uid="{00000000-0005-0000-0000-00006F100000}"/>
    <cellStyle name="Header2 3 14" xfId="5134" xr:uid="{00000000-0005-0000-0000-000070100000}"/>
    <cellStyle name="Header2 3 15" xfId="5135" xr:uid="{00000000-0005-0000-0000-000071100000}"/>
    <cellStyle name="Header2 3 16" xfId="5136" xr:uid="{00000000-0005-0000-0000-000072100000}"/>
    <cellStyle name="Header2 3 17" xfId="5137" xr:uid="{00000000-0005-0000-0000-000073100000}"/>
    <cellStyle name="Header2 3 18" xfId="5138" xr:uid="{00000000-0005-0000-0000-000074100000}"/>
    <cellStyle name="Header2 3 19" xfId="5139" xr:uid="{00000000-0005-0000-0000-000075100000}"/>
    <cellStyle name="Header2 3 2" xfId="5140" xr:uid="{00000000-0005-0000-0000-000076100000}"/>
    <cellStyle name="Header2 3 2 10" xfId="5141" xr:uid="{00000000-0005-0000-0000-000077100000}"/>
    <cellStyle name="Header2 3 2 11" xfId="5142" xr:uid="{00000000-0005-0000-0000-000078100000}"/>
    <cellStyle name="Header2 3 2 12" xfId="5143" xr:uid="{00000000-0005-0000-0000-000079100000}"/>
    <cellStyle name="Header2 3 2 13" xfId="5144" xr:uid="{00000000-0005-0000-0000-00007A100000}"/>
    <cellStyle name="Header2 3 2 14" xfId="5145" xr:uid="{00000000-0005-0000-0000-00007B100000}"/>
    <cellStyle name="Header2 3 2 15" xfId="5146" xr:uid="{00000000-0005-0000-0000-00007C100000}"/>
    <cellStyle name="Header2 3 2 2" xfId="5147" xr:uid="{00000000-0005-0000-0000-00007D100000}"/>
    <cellStyle name="Header2 3 2 2 10" xfId="5148" xr:uid="{00000000-0005-0000-0000-00007E100000}"/>
    <cellStyle name="Header2 3 2 2 11" xfId="5149" xr:uid="{00000000-0005-0000-0000-00007F100000}"/>
    <cellStyle name="Header2 3 2 2 12" xfId="5150" xr:uid="{00000000-0005-0000-0000-000080100000}"/>
    <cellStyle name="Header2 3 2 2 13" xfId="5151" xr:uid="{00000000-0005-0000-0000-000081100000}"/>
    <cellStyle name="Header2 3 2 2 14" xfId="5152" xr:uid="{00000000-0005-0000-0000-000082100000}"/>
    <cellStyle name="Header2 3 2 2 2" xfId="5153" xr:uid="{00000000-0005-0000-0000-000083100000}"/>
    <cellStyle name="Header2 3 2 2 3" xfId="5154" xr:uid="{00000000-0005-0000-0000-000084100000}"/>
    <cellStyle name="Header2 3 2 2 4" xfId="5155" xr:uid="{00000000-0005-0000-0000-000085100000}"/>
    <cellStyle name="Header2 3 2 2 5" xfId="5156" xr:uid="{00000000-0005-0000-0000-000086100000}"/>
    <cellStyle name="Header2 3 2 2 6" xfId="5157" xr:uid="{00000000-0005-0000-0000-000087100000}"/>
    <cellStyle name="Header2 3 2 2 7" xfId="5158" xr:uid="{00000000-0005-0000-0000-000088100000}"/>
    <cellStyle name="Header2 3 2 2 8" xfId="5159" xr:uid="{00000000-0005-0000-0000-000089100000}"/>
    <cellStyle name="Header2 3 2 2 9" xfId="5160" xr:uid="{00000000-0005-0000-0000-00008A100000}"/>
    <cellStyle name="Header2 3 2 3" xfId="5161" xr:uid="{00000000-0005-0000-0000-00008B100000}"/>
    <cellStyle name="Header2 3 2 4" xfId="5162" xr:uid="{00000000-0005-0000-0000-00008C100000}"/>
    <cellStyle name="Header2 3 2 5" xfId="5163" xr:uid="{00000000-0005-0000-0000-00008D100000}"/>
    <cellStyle name="Header2 3 2 6" xfId="5164" xr:uid="{00000000-0005-0000-0000-00008E100000}"/>
    <cellStyle name="Header2 3 2 7" xfId="5165" xr:uid="{00000000-0005-0000-0000-00008F100000}"/>
    <cellStyle name="Header2 3 2 8" xfId="5166" xr:uid="{00000000-0005-0000-0000-000090100000}"/>
    <cellStyle name="Header2 3 2 9" xfId="5167" xr:uid="{00000000-0005-0000-0000-000091100000}"/>
    <cellStyle name="Header2 3 20" xfId="5168" xr:uid="{00000000-0005-0000-0000-000092100000}"/>
    <cellStyle name="Header2 3 21" xfId="5169" xr:uid="{00000000-0005-0000-0000-000093100000}"/>
    <cellStyle name="Header2 3 22" xfId="5170" xr:uid="{00000000-0005-0000-0000-000094100000}"/>
    <cellStyle name="Header2 3 23" xfId="5171" xr:uid="{00000000-0005-0000-0000-000095100000}"/>
    <cellStyle name="Header2 3 24" xfId="5172" xr:uid="{00000000-0005-0000-0000-000096100000}"/>
    <cellStyle name="Header2 3 3" xfId="5173" xr:uid="{00000000-0005-0000-0000-000097100000}"/>
    <cellStyle name="Header2 3 3 10" xfId="5174" xr:uid="{00000000-0005-0000-0000-000098100000}"/>
    <cellStyle name="Header2 3 3 11" xfId="5175" xr:uid="{00000000-0005-0000-0000-000099100000}"/>
    <cellStyle name="Header2 3 3 12" xfId="5176" xr:uid="{00000000-0005-0000-0000-00009A100000}"/>
    <cellStyle name="Header2 3 3 13" xfId="5177" xr:uid="{00000000-0005-0000-0000-00009B100000}"/>
    <cellStyle name="Header2 3 3 14" xfId="5178" xr:uid="{00000000-0005-0000-0000-00009C100000}"/>
    <cellStyle name="Header2 3 3 15" xfId="5179" xr:uid="{00000000-0005-0000-0000-00009D100000}"/>
    <cellStyle name="Header2 3 3 2" xfId="5180" xr:uid="{00000000-0005-0000-0000-00009E100000}"/>
    <cellStyle name="Header2 3 3 2 10" xfId="5181" xr:uid="{00000000-0005-0000-0000-00009F100000}"/>
    <cellStyle name="Header2 3 3 2 11" xfId="5182" xr:uid="{00000000-0005-0000-0000-0000A0100000}"/>
    <cellStyle name="Header2 3 3 2 12" xfId="5183" xr:uid="{00000000-0005-0000-0000-0000A1100000}"/>
    <cellStyle name="Header2 3 3 2 13" xfId="5184" xr:uid="{00000000-0005-0000-0000-0000A2100000}"/>
    <cellStyle name="Header2 3 3 2 14" xfId="5185" xr:uid="{00000000-0005-0000-0000-0000A3100000}"/>
    <cellStyle name="Header2 3 3 2 2" xfId="5186" xr:uid="{00000000-0005-0000-0000-0000A4100000}"/>
    <cellStyle name="Header2 3 3 2 3" xfId="5187" xr:uid="{00000000-0005-0000-0000-0000A5100000}"/>
    <cellStyle name="Header2 3 3 2 4" xfId="5188" xr:uid="{00000000-0005-0000-0000-0000A6100000}"/>
    <cellStyle name="Header2 3 3 2 5" xfId="5189" xr:uid="{00000000-0005-0000-0000-0000A7100000}"/>
    <cellStyle name="Header2 3 3 2 6" xfId="5190" xr:uid="{00000000-0005-0000-0000-0000A8100000}"/>
    <cellStyle name="Header2 3 3 2 7" xfId="5191" xr:uid="{00000000-0005-0000-0000-0000A9100000}"/>
    <cellStyle name="Header2 3 3 2 8" xfId="5192" xr:uid="{00000000-0005-0000-0000-0000AA100000}"/>
    <cellStyle name="Header2 3 3 2 9" xfId="5193" xr:uid="{00000000-0005-0000-0000-0000AB100000}"/>
    <cellStyle name="Header2 3 3 3" xfId="5194" xr:uid="{00000000-0005-0000-0000-0000AC100000}"/>
    <cellStyle name="Header2 3 3 4" xfId="5195" xr:uid="{00000000-0005-0000-0000-0000AD100000}"/>
    <cellStyle name="Header2 3 3 5" xfId="5196" xr:uid="{00000000-0005-0000-0000-0000AE100000}"/>
    <cellStyle name="Header2 3 3 6" xfId="5197" xr:uid="{00000000-0005-0000-0000-0000AF100000}"/>
    <cellStyle name="Header2 3 3 7" xfId="5198" xr:uid="{00000000-0005-0000-0000-0000B0100000}"/>
    <cellStyle name="Header2 3 3 8" xfId="5199" xr:uid="{00000000-0005-0000-0000-0000B1100000}"/>
    <cellStyle name="Header2 3 3 9" xfId="5200" xr:uid="{00000000-0005-0000-0000-0000B2100000}"/>
    <cellStyle name="Header2 3 4" xfId="5201" xr:uid="{00000000-0005-0000-0000-0000B3100000}"/>
    <cellStyle name="Header2 3 4 10" xfId="5202" xr:uid="{00000000-0005-0000-0000-0000B4100000}"/>
    <cellStyle name="Header2 3 4 11" xfId="5203" xr:uid="{00000000-0005-0000-0000-0000B5100000}"/>
    <cellStyle name="Header2 3 4 12" xfId="5204" xr:uid="{00000000-0005-0000-0000-0000B6100000}"/>
    <cellStyle name="Header2 3 4 13" xfId="5205" xr:uid="{00000000-0005-0000-0000-0000B7100000}"/>
    <cellStyle name="Header2 3 4 14" xfId="5206" xr:uid="{00000000-0005-0000-0000-0000B8100000}"/>
    <cellStyle name="Header2 3 4 15" xfId="5207" xr:uid="{00000000-0005-0000-0000-0000B9100000}"/>
    <cellStyle name="Header2 3 4 2" xfId="5208" xr:uid="{00000000-0005-0000-0000-0000BA100000}"/>
    <cellStyle name="Header2 3 4 2 10" xfId="5209" xr:uid="{00000000-0005-0000-0000-0000BB100000}"/>
    <cellStyle name="Header2 3 4 2 11" xfId="5210" xr:uid="{00000000-0005-0000-0000-0000BC100000}"/>
    <cellStyle name="Header2 3 4 2 12" xfId="5211" xr:uid="{00000000-0005-0000-0000-0000BD100000}"/>
    <cellStyle name="Header2 3 4 2 13" xfId="5212" xr:uid="{00000000-0005-0000-0000-0000BE100000}"/>
    <cellStyle name="Header2 3 4 2 14" xfId="5213" xr:uid="{00000000-0005-0000-0000-0000BF100000}"/>
    <cellStyle name="Header2 3 4 2 2" xfId="5214" xr:uid="{00000000-0005-0000-0000-0000C0100000}"/>
    <cellStyle name="Header2 3 4 2 3" xfId="5215" xr:uid="{00000000-0005-0000-0000-0000C1100000}"/>
    <cellStyle name="Header2 3 4 2 4" xfId="5216" xr:uid="{00000000-0005-0000-0000-0000C2100000}"/>
    <cellStyle name="Header2 3 4 2 5" xfId="5217" xr:uid="{00000000-0005-0000-0000-0000C3100000}"/>
    <cellStyle name="Header2 3 4 2 6" xfId="5218" xr:uid="{00000000-0005-0000-0000-0000C4100000}"/>
    <cellStyle name="Header2 3 4 2 7" xfId="5219" xr:uid="{00000000-0005-0000-0000-0000C5100000}"/>
    <cellStyle name="Header2 3 4 2 8" xfId="5220" xr:uid="{00000000-0005-0000-0000-0000C6100000}"/>
    <cellStyle name="Header2 3 4 2 9" xfId="5221" xr:uid="{00000000-0005-0000-0000-0000C7100000}"/>
    <cellStyle name="Header2 3 4 3" xfId="5222" xr:uid="{00000000-0005-0000-0000-0000C8100000}"/>
    <cellStyle name="Header2 3 4 4" xfId="5223" xr:uid="{00000000-0005-0000-0000-0000C9100000}"/>
    <cellStyle name="Header2 3 4 5" xfId="5224" xr:uid="{00000000-0005-0000-0000-0000CA100000}"/>
    <cellStyle name="Header2 3 4 6" xfId="5225" xr:uid="{00000000-0005-0000-0000-0000CB100000}"/>
    <cellStyle name="Header2 3 4 7" xfId="5226" xr:uid="{00000000-0005-0000-0000-0000CC100000}"/>
    <cellStyle name="Header2 3 4 8" xfId="5227" xr:uid="{00000000-0005-0000-0000-0000CD100000}"/>
    <cellStyle name="Header2 3 4 9" xfId="5228" xr:uid="{00000000-0005-0000-0000-0000CE100000}"/>
    <cellStyle name="Header2 3 5" xfId="5229" xr:uid="{00000000-0005-0000-0000-0000CF100000}"/>
    <cellStyle name="Header2 3 5 10" xfId="5230" xr:uid="{00000000-0005-0000-0000-0000D0100000}"/>
    <cellStyle name="Header2 3 5 11" xfId="5231" xr:uid="{00000000-0005-0000-0000-0000D1100000}"/>
    <cellStyle name="Header2 3 5 12" xfId="5232" xr:uid="{00000000-0005-0000-0000-0000D2100000}"/>
    <cellStyle name="Header2 3 5 13" xfId="5233" xr:uid="{00000000-0005-0000-0000-0000D3100000}"/>
    <cellStyle name="Header2 3 5 14" xfId="5234" xr:uid="{00000000-0005-0000-0000-0000D4100000}"/>
    <cellStyle name="Header2 3 5 15" xfId="5235" xr:uid="{00000000-0005-0000-0000-0000D5100000}"/>
    <cellStyle name="Header2 3 5 2" xfId="5236" xr:uid="{00000000-0005-0000-0000-0000D6100000}"/>
    <cellStyle name="Header2 3 5 2 10" xfId="5237" xr:uid="{00000000-0005-0000-0000-0000D7100000}"/>
    <cellStyle name="Header2 3 5 2 11" xfId="5238" xr:uid="{00000000-0005-0000-0000-0000D8100000}"/>
    <cellStyle name="Header2 3 5 2 12" xfId="5239" xr:uid="{00000000-0005-0000-0000-0000D9100000}"/>
    <cellStyle name="Header2 3 5 2 13" xfId="5240" xr:uid="{00000000-0005-0000-0000-0000DA100000}"/>
    <cellStyle name="Header2 3 5 2 14" xfId="5241" xr:uid="{00000000-0005-0000-0000-0000DB100000}"/>
    <cellStyle name="Header2 3 5 2 2" xfId="5242" xr:uid="{00000000-0005-0000-0000-0000DC100000}"/>
    <cellStyle name="Header2 3 5 2 3" xfId="5243" xr:uid="{00000000-0005-0000-0000-0000DD100000}"/>
    <cellStyle name="Header2 3 5 2 4" xfId="5244" xr:uid="{00000000-0005-0000-0000-0000DE100000}"/>
    <cellStyle name="Header2 3 5 2 5" xfId="5245" xr:uid="{00000000-0005-0000-0000-0000DF100000}"/>
    <cellStyle name="Header2 3 5 2 6" xfId="5246" xr:uid="{00000000-0005-0000-0000-0000E0100000}"/>
    <cellStyle name="Header2 3 5 2 7" xfId="5247" xr:uid="{00000000-0005-0000-0000-0000E1100000}"/>
    <cellStyle name="Header2 3 5 2 8" xfId="5248" xr:uid="{00000000-0005-0000-0000-0000E2100000}"/>
    <cellStyle name="Header2 3 5 2 9" xfId="5249" xr:uid="{00000000-0005-0000-0000-0000E3100000}"/>
    <cellStyle name="Header2 3 5 3" xfId="5250" xr:uid="{00000000-0005-0000-0000-0000E4100000}"/>
    <cellStyle name="Header2 3 5 4" xfId="5251" xr:uid="{00000000-0005-0000-0000-0000E5100000}"/>
    <cellStyle name="Header2 3 5 5" xfId="5252" xr:uid="{00000000-0005-0000-0000-0000E6100000}"/>
    <cellStyle name="Header2 3 5 6" xfId="5253" xr:uid="{00000000-0005-0000-0000-0000E7100000}"/>
    <cellStyle name="Header2 3 5 7" xfId="5254" xr:uid="{00000000-0005-0000-0000-0000E8100000}"/>
    <cellStyle name="Header2 3 5 8" xfId="5255" xr:uid="{00000000-0005-0000-0000-0000E9100000}"/>
    <cellStyle name="Header2 3 5 9" xfId="5256" xr:uid="{00000000-0005-0000-0000-0000EA100000}"/>
    <cellStyle name="Header2 3 6" xfId="5257" xr:uid="{00000000-0005-0000-0000-0000EB100000}"/>
    <cellStyle name="Header2 3 6 10" xfId="5258" xr:uid="{00000000-0005-0000-0000-0000EC100000}"/>
    <cellStyle name="Header2 3 6 11" xfId="5259" xr:uid="{00000000-0005-0000-0000-0000ED100000}"/>
    <cellStyle name="Header2 3 6 12" xfId="5260" xr:uid="{00000000-0005-0000-0000-0000EE100000}"/>
    <cellStyle name="Header2 3 6 13" xfId="5261" xr:uid="{00000000-0005-0000-0000-0000EF100000}"/>
    <cellStyle name="Header2 3 6 14" xfId="5262" xr:uid="{00000000-0005-0000-0000-0000F0100000}"/>
    <cellStyle name="Header2 3 6 15" xfId="5263" xr:uid="{00000000-0005-0000-0000-0000F1100000}"/>
    <cellStyle name="Header2 3 6 2" xfId="5264" xr:uid="{00000000-0005-0000-0000-0000F2100000}"/>
    <cellStyle name="Header2 3 6 2 10" xfId="5265" xr:uid="{00000000-0005-0000-0000-0000F3100000}"/>
    <cellStyle name="Header2 3 6 2 11" xfId="5266" xr:uid="{00000000-0005-0000-0000-0000F4100000}"/>
    <cellStyle name="Header2 3 6 2 12" xfId="5267" xr:uid="{00000000-0005-0000-0000-0000F5100000}"/>
    <cellStyle name="Header2 3 6 2 13" xfId="5268" xr:uid="{00000000-0005-0000-0000-0000F6100000}"/>
    <cellStyle name="Header2 3 6 2 14" xfId="5269" xr:uid="{00000000-0005-0000-0000-0000F7100000}"/>
    <cellStyle name="Header2 3 6 2 2" xfId="5270" xr:uid="{00000000-0005-0000-0000-0000F8100000}"/>
    <cellStyle name="Header2 3 6 2 3" xfId="5271" xr:uid="{00000000-0005-0000-0000-0000F9100000}"/>
    <cellStyle name="Header2 3 6 2 4" xfId="5272" xr:uid="{00000000-0005-0000-0000-0000FA100000}"/>
    <cellStyle name="Header2 3 6 2 5" xfId="5273" xr:uid="{00000000-0005-0000-0000-0000FB100000}"/>
    <cellStyle name="Header2 3 6 2 6" xfId="5274" xr:uid="{00000000-0005-0000-0000-0000FC100000}"/>
    <cellStyle name="Header2 3 6 2 7" xfId="5275" xr:uid="{00000000-0005-0000-0000-0000FD100000}"/>
    <cellStyle name="Header2 3 6 2 8" xfId="5276" xr:uid="{00000000-0005-0000-0000-0000FE100000}"/>
    <cellStyle name="Header2 3 6 2 9" xfId="5277" xr:uid="{00000000-0005-0000-0000-0000FF100000}"/>
    <cellStyle name="Header2 3 6 3" xfId="5278" xr:uid="{00000000-0005-0000-0000-000000110000}"/>
    <cellStyle name="Header2 3 6 4" xfId="5279" xr:uid="{00000000-0005-0000-0000-000001110000}"/>
    <cellStyle name="Header2 3 6 5" xfId="5280" xr:uid="{00000000-0005-0000-0000-000002110000}"/>
    <cellStyle name="Header2 3 6 6" xfId="5281" xr:uid="{00000000-0005-0000-0000-000003110000}"/>
    <cellStyle name="Header2 3 6 7" xfId="5282" xr:uid="{00000000-0005-0000-0000-000004110000}"/>
    <cellStyle name="Header2 3 6 8" xfId="5283" xr:uid="{00000000-0005-0000-0000-000005110000}"/>
    <cellStyle name="Header2 3 6 9" xfId="5284" xr:uid="{00000000-0005-0000-0000-000006110000}"/>
    <cellStyle name="Header2 3 7" xfId="5285" xr:uid="{00000000-0005-0000-0000-000007110000}"/>
    <cellStyle name="Header2 3 7 10" xfId="5286" xr:uid="{00000000-0005-0000-0000-000008110000}"/>
    <cellStyle name="Header2 3 7 11" xfId="5287" xr:uid="{00000000-0005-0000-0000-000009110000}"/>
    <cellStyle name="Header2 3 7 12" xfId="5288" xr:uid="{00000000-0005-0000-0000-00000A110000}"/>
    <cellStyle name="Header2 3 7 13" xfId="5289" xr:uid="{00000000-0005-0000-0000-00000B110000}"/>
    <cellStyle name="Header2 3 7 14" xfId="5290" xr:uid="{00000000-0005-0000-0000-00000C110000}"/>
    <cellStyle name="Header2 3 7 15" xfId="5291" xr:uid="{00000000-0005-0000-0000-00000D110000}"/>
    <cellStyle name="Header2 3 7 2" xfId="5292" xr:uid="{00000000-0005-0000-0000-00000E110000}"/>
    <cellStyle name="Header2 3 7 2 10" xfId="5293" xr:uid="{00000000-0005-0000-0000-00000F110000}"/>
    <cellStyle name="Header2 3 7 2 11" xfId="5294" xr:uid="{00000000-0005-0000-0000-000010110000}"/>
    <cellStyle name="Header2 3 7 2 12" xfId="5295" xr:uid="{00000000-0005-0000-0000-000011110000}"/>
    <cellStyle name="Header2 3 7 2 13" xfId="5296" xr:uid="{00000000-0005-0000-0000-000012110000}"/>
    <cellStyle name="Header2 3 7 2 14" xfId="5297" xr:uid="{00000000-0005-0000-0000-000013110000}"/>
    <cellStyle name="Header2 3 7 2 2" xfId="5298" xr:uid="{00000000-0005-0000-0000-000014110000}"/>
    <cellStyle name="Header2 3 7 2 3" xfId="5299" xr:uid="{00000000-0005-0000-0000-000015110000}"/>
    <cellStyle name="Header2 3 7 2 4" xfId="5300" xr:uid="{00000000-0005-0000-0000-000016110000}"/>
    <cellStyle name="Header2 3 7 2 5" xfId="5301" xr:uid="{00000000-0005-0000-0000-000017110000}"/>
    <cellStyle name="Header2 3 7 2 6" xfId="5302" xr:uid="{00000000-0005-0000-0000-000018110000}"/>
    <cellStyle name="Header2 3 7 2 7" xfId="5303" xr:uid="{00000000-0005-0000-0000-000019110000}"/>
    <cellStyle name="Header2 3 7 2 8" xfId="5304" xr:uid="{00000000-0005-0000-0000-00001A110000}"/>
    <cellStyle name="Header2 3 7 2 9" xfId="5305" xr:uid="{00000000-0005-0000-0000-00001B110000}"/>
    <cellStyle name="Header2 3 7 3" xfId="5306" xr:uid="{00000000-0005-0000-0000-00001C110000}"/>
    <cellStyle name="Header2 3 7 4" xfId="5307" xr:uid="{00000000-0005-0000-0000-00001D110000}"/>
    <cellStyle name="Header2 3 7 5" xfId="5308" xr:uid="{00000000-0005-0000-0000-00001E110000}"/>
    <cellStyle name="Header2 3 7 6" xfId="5309" xr:uid="{00000000-0005-0000-0000-00001F110000}"/>
    <cellStyle name="Header2 3 7 7" xfId="5310" xr:uid="{00000000-0005-0000-0000-000020110000}"/>
    <cellStyle name="Header2 3 7 8" xfId="5311" xr:uid="{00000000-0005-0000-0000-000021110000}"/>
    <cellStyle name="Header2 3 7 9" xfId="5312" xr:uid="{00000000-0005-0000-0000-000022110000}"/>
    <cellStyle name="Header2 3 8" xfId="5313" xr:uid="{00000000-0005-0000-0000-000023110000}"/>
    <cellStyle name="Header2 3 8 10" xfId="5314" xr:uid="{00000000-0005-0000-0000-000024110000}"/>
    <cellStyle name="Header2 3 8 11" xfId="5315" xr:uid="{00000000-0005-0000-0000-000025110000}"/>
    <cellStyle name="Header2 3 8 12" xfId="5316" xr:uid="{00000000-0005-0000-0000-000026110000}"/>
    <cellStyle name="Header2 3 8 13" xfId="5317" xr:uid="{00000000-0005-0000-0000-000027110000}"/>
    <cellStyle name="Header2 3 8 14" xfId="5318" xr:uid="{00000000-0005-0000-0000-000028110000}"/>
    <cellStyle name="Header2 3 8 15" xfId="5319" xr:uid="{00000000-0005-0000-0000-000029110000}"/>
    <cellStyle name="Header2 3 8 2" xfId="5320" xr:uid="{00000000-0005-0000-0000-00002A110000}"/>
    <cellStyle name="Header2 3 8 2 10" xfId="5321" xr:uid="{00000000-0005-0000-0000-00002B110000}"/>
    <cellStyle name="Header2 3 8 2 11" xfId="5322" xr:uid="{00000000-0005-0000-0000-00002C110000}"/>
    <cellStyle name="Header2 3 8 2 12" xfId="5323" xr:uid="{00000000-0005-0000-0000-00002D110000}"/>
    <cellStyle name="Header2 3 8 2 13" xfId="5324" xr:uid="{00000000-0005-0000-0000-00002E110000}"/>
    <cellStyle name="Header2 3 8 2 14" xfId="5325" xr:uid="{00000000-0005-0000-0000-00002F110000}"/>
    <cellStyle name="Header2 3 8 2 2" xfId="5326" xr:uid="{00000000-0005-0000-0000-000030110000}"/>
    <cellStyle name="Header2 3 8 2 3" xfId="5327" xr:uid="{00000000-0005-0000-0000-000031110000}"/>
    <cellStyle name="Header2 3 8 2 4" xfId="5328" xr:uid="{00000000-0005-0000-0000-000032110000}"/>
    <cellStyle name="Header2 3 8 2 5" xfId="5329" xr:uid="{00000000-0005-0000-0000-000033110000}"/>
    <cellStyle name="Header2 3 8 2 6" xfId="5330" xr:uid="{00000000-0005-0000-0000-000034110000}"/>
    <cellStyle name="Header2 3 8 2 7" xfId="5331" xr:uid="{00000000-0005-0000-0000-000035110000}"/>
    <cellStyle name="Header2 3 8 2 8" xfId="5332" xr:uid="{00000000-0005-0000-0000-000036110000}"/>
    <cellStyle name="Header2 3 8 2 9" xfId="5333" xr:uid="{00000000-0005-0000-0000-000037110000}"/>
    <cellStyle name="Header2 3 8 3" xfId="5334" xr:uid="{00000000-0005-0000-0000-000038110000}"/>
    <cellStyle name="Header2 3 8 4" xfId="5335" xr:uid="{00000000-0005-0000-0000-000039110000}"/>
    <cellStyle name="Header2 3 8 5" xfId="5336" xr:uid="{00000000-0005-0000-0000-00003A110000}"/>
    <cellStyle name="Header2 3 8 6" xfId="5337" xr:uid="{00000000-0005-0000-0000-00003B110000}"/>
    <cellStyle name="Header2 3 8 7" xfId="5338" xr:uid="{00000000-0005-0000-0000-00003C110000}"/>
    <cellStyle name="Header2 3 8 8" xfId="5339" xr:uid="{00000000-0005-0000-0000-00003D110000}"/>
    <cellStyle name="Header2 3 8 9" xfId="5340" xr:uid="{00000000-0005-0000-0000-00003E110000}"/>
    <cellStyle name="Header2 3 9" xfId="5341" xr:uid="{00000000-0005-0000-0000-00003F110000}"/>
    <cellStyle name="Header2 3 9 10" xfId="5342" xr:uid="{00000000-0005-0000-0000-000040110000}"/>
    <cellStyle name="Header2 3 9 11" xfId="5343" xr:uid="{00000000-0005-0000-0000-000041110000}"/>
    <cellStyle name="Header2 3 9 12" xfId="5344" xr:uid="{00000000-0005-0000-0000-000042110000}"/>
    <cellStyle name="Header2 3 9 13" xfId="5345" xr:uid="{00000000-0005-0000-0000-000043110000}"/>
    <cellStyle name="Header2 3 9 14" xfId="5346" xr:uid="{00000000-0005-0000-0000-000044110000}"/>
    <cellStyle name="Header2 3 9 15" xfId="5347" xr:uid="{00000000-0005-0000-0000-000045110000}"/>
    <cellStyle name="Header2 3 9 2" xfId="5348" xr:uid="{00000000-0005-0000-0000-000046110000}"/>
    <cellStyle name="Header2 3 9 2 10" xfId="5349" xr:uid="{00000000-0005-0000-0000-000047110000}"/>
    <cellStyle name="Header2 3 9 2 11" xfId="5350" xr:uid="{00000000-0005-0000-0000-000048110000}"/>
    <cellStyle name="Header2 3 9 2 12" xfId="5351" xr:uid="{00000000-0005-0000-0000-000049110000}"/>
    <cellStyle name="Header2 3 9 2 13" xfId="5352" xr:uid="{00000000-0005-0000-0000-00004A110000}"/>
    <cellStyle name="Header2 3 9 2 14" xfId="5353" xr:uid="{00000000-0005-0000-0000-00004B110000}"/>
    <cellStyle name="Header2 3 9 2 2" xfId="5354" xr:uid="{00000000-0005-0000-0000-00004C110000}"/>
    <cellStyle name="Header2 3 9 2 3" xfId="5355" xr:uid="{00000000-0005-0000-0000-00004D110000}"/>
    <cellStyle name="Header2 3 9 2 4" xfId="5356" xr:uid="{00000000-0005-0000-0000-00004E110000}"/>
    <cellStyle name="Header2 3 9 2 5" xfId="5357" xr:uid="{00000000-0005-0000-0000-00004F110000}"/>
    <cellStyle name="Header2 3 9 2 6" xfId="5358" xr:uid="{00000000-0005-0000-0000-000050110000}"/>
    <cellStyle name="Header2 3 9 2 7" xfId="5359" xr:uid="{00000000-0005-0000-0000-000051110000}"/>
    <cellStyle name="Header2 3 9 2 8" xfId="5360" xr:uid="{00000000-0005-0000-0000-000052110000}"/>
    <cellStyle name="Header2 3 9 2 9" xfId="5361" xr:uid="{00000000-0005-0000-0000-000053110000}"/>
    <cellStyle name="Header2 3 9 3" xfId="5362" xr:uid="{00000000-0005-0000-0000-000054110000}"/>
    <cellStyle name="Header2 3 9 4" xfId="5363" xr:uid="{00000000-0005-0000-0000-000055110000}"/>
    <cellStyle name="Header2 3 9 5" xfId="5364" xr:uid="{00000000-0005-0000-0000-000056110000}"/>
    <cellStyle name="Header2 3 9 6" xfId="5365" xr:uid="{00000000-0005-0000-0000-000057110000}"/>
    <cellStyle name="Header2 3 9 7" xfId="5366" xr:uid="{00000000-0005-0000-0000-000058110000}"/>
    <cellStyle name="Header2 3 9 8" xfId="5367" xr:uid="{00000000-0005-0000-0000-000059110000}"/>
    <cellStyle name="Header2 3 9 9" xfId="5368" xr:uid="{00000000-0005-0000-0000-00005A110000}"/>
    <cellStyle name="Header2 30" xfId="5369" xr:uid="{00000000-0005-0000-0000-00005B110000}"/>
    <cellStyle name="Header2 4" xfId="5370" xr:uid="{00000000-0005-0000-0000-00005C110000}"/>
    <cellStyle name="Header2 4 10" xfId="5371" xr:uid="{00000000-0005-0000-0000-00005D110000}"/>
    <cellStyle name="Header2 4 10 10" xfId="5372" xr:uid="{00000000-0005-0000-0000-00005E110000}"/>
    <cellStyle name="Header2 4 10 11" xfId="5373" xr:uid="{00000000-0005-0000-0000-00005F110000}"/>
    <cellStyle name="Header2 4 10 12" xfId="5374" xr:uid="{00000000-0005-0000-0000-000060110000}"/>
    <cellStyle name="Header2 4 10 13" xfId="5375" xr:uid="{00000000-0005-0000-0000-000061110000}"/>
    <cellStyle name="Header2 4 10 14" xfId="5376" xr:uid="{00000000-0005-0000-0000-000062110000}"/>
    <cellStyle name="Header2 4 10 15" xfId="5377" xr:uid="{00000000-0005-0000-0000-000063110000}"/>
    <cellStyle name="Header2 4 10 2" xfId="5378" xr:uid="{00000000-0005-0000-0000-000064110000}"/>
    <cellStyle name="Header2 4 10 2 10" xfId="5379" xr:uid="{00000000-0005-0000-0000-000065110000}"/>
    <cellStyle name="Header2 4 10 2 11" xfId="5380" xr:uid="{00000000-0005-0000-0000-000066110000}"/>
    <cellStyle name="Header2 4 10 2 12" xfId="5381" xr:uid="{00000000-0005-0000-0000-000067110000}"/>
    <cellStyle name="Header2 4 10 2 13" xfId="5382" xr:uid="{00000000-0005-0000-0000-000068110000}"/>
    <cellStyle name="Header2 4 10 2 14" xfId="5383" xr:uid="{00000000-0005-0000-0000-000069110000}"/>
    <cellStyle name="Header2 4 10 2 2" xfId="5384" xr:uid="{00000000-0005-0000-0000-00006A110000}"/>
    <cellStyle name="Header2 4 10 2 3" xfId="5385" xr:uid="{00000000-0005-0000-0000-00006B110000}"/>
    <cellStyle name="Header2 4 10 2 4" xfId="5386" xr:uid="{00000000-0005-0000-0000-00006C110000}"/>
    <cellStyle name="Header2 4 10 2 5" xfId="5387" xr:uid="{00000000-0005-0000-0000-00006D110000}"/>
    <cellStyle name="Header2 4 10 2 6" xfId="5388" xr:uid="{00000000-0005-0000-0000-00006E110000}"/>
    <cellStyle name="Header2 4 10 2 7" xfId="5389" xr:uid="{00000000-0005-0000-0000-00006F110000}"/>
    <cellStyle name="Header2 4 10 2 8" xfId="5390" xr:uid="{00000000-0005-0000-0000-000070110000}"/>
    <cellStyle name="Header2 4 10 2 9" xfId="5391" xr:uid="{00000000-0005-0000-0000-000071110000}"/>
    <cellStyle name="Header2 4 10 3" xfId="5392" xr:uid="{00000000-0005-0000-0000-000072110000}"/>
    <cellStyle name="Header2 4 10 4" xfId="5393" xr:uid="{00000000-0005-0000-0000-000073110000}"/>
    <cellStyle name="Header2 4 10 5" xfId="5394" xr:uid="{00000000-0005-0000-0000-000074110000}"/>
    <cellStyle name="Header2 4 10 6" xfId="5395" xr:uid="{00000000-0005-0000-0000-000075110000}"/>
    <cellStyle name="Header2 4 10 7" xfId="5396" xr:uid="{00000000-0005-0000-0000-000076110000}"/>
    <cellStyle name="Header2 4 10 8" xfId="5397" xr:uid="{00000000-0005-0000-0000-000077110000}"/>
    <cellStyle name="Header2 4 10 9" xfId="5398" xr:uid="{00000000-0005-0000-0000-000078110000}"/>
    <cellStyle name="Header2 4 11" xfId="5399" xr:uid="{00000000-0005-0000-0000-000079110000}"/>
    <cellStyle name="Header2 4 11 10" xfId="5400" xr:uid="{00000000-0005-0000-0000-00007A110000}"/>
    <cellStyle name="Header2 4 11 11" xfId="5401" xr:uid="{00000000-0005-0000-0000-00007B110000}"/>
    <cellStyle name="Header2 4 11 12" xfId="5402" xr:uid="{00000000-0005-0000-0000-00007C110000}"/>
    <cellStyle name="Header2 4 11 13" xfId="5403" xr:uid="{00000000-0005-0000-0000-00007D110000}"/>
    <cellStyle name="Header2 4 11 14" xfId="5404" xr:uid="{00000000-0005-0000-0000-00007E110000}"/>
    <cellStyle name="Header2 4 11 2" xfId="5405" xr:uid="{00000000-0005-0000-0000-00007F110000}"/>
    <cellStyle name="Header2 4 11 3" xfId="5406" xr:uid="{00000000-0005-0000-0000-000080110000}"/>
    <cellStyle name="Header2 4 11 4" xfId="5407" xr:uid="{00000000-0005-0000-0000-000081110000}"/>
    <cellStyle name="Header2 4 11 5" xfId="5408" xr:uid="{00000000-0005-0000-0000-000082110000}"/>
    <cellStyle name="Header2 4 11 6" xfId="5409" xr:uid="{00000000-0005-0000-0000-000083110000}"/>
    <cellStyle name="Header2 4 11 7" xfId="5410" xr:uid="{00000000-0005-0000-0000-000084110000}"/>
    <cellStyle name="Header2 4 11 8" xfId="5411" xr:uid="{00000000-0005-0000-0000-000085110000}"/>
    <cellStyle name="Header2 4 11 9" xfId="5412" xr:uid="{00000000-0005-0000-0000-000086110000}"/>
    <cellStyle name="Header2 4 12" xfId="5413" xr:uid="{00000000-0005-0000-0000-000087110000}"/>
    <cellStyle name="Header2 4 13" xfId="5414" xr:uid="{00000000-0005-0000-0000-000088110000}"/>
    <cellStyle name="Header2 4 14" xfId="5415" xr:uid="{00000000-0005-0000-0000-000089110000}"/>
    <cellStyle name="Header2 4 15" xfId="5416" xr:uid="{00000000-0005-0000-0000-00008A110000}"/>
    <cellStyle name="Header2 4 16" xfId="5417" xr:uid="{00000000-0005-0000-0000-00008B110000}"/>
    <cellStyle name="Header2 4 17" xfId="5418" xr:uid="{00000000-0005-0000-0000-00008C110000}"/>
    <cellStyle name="Header2 4 18" xfId="5419" xr:uid="{00000000-0005-0000-0000-00008D110000}"/>
    <cellStyle name="Header2 4 19" xfId="5420" xr:uid="{00000000-0005-0000-0000-00008E110000}"/>
    <cellStyle name="Header2 4 2" xfId="5421" xr:uid="{00000000-0005-0000-0000-00008F110000}"/>
    <cellStyle name="Header2 4 2 10" xfId="5422" xr:uid="{00000000-0005-0000-0000-000090110000}"/>
    <cellStyle name="Header2 4 2 11" xfId="5423" xr:uid="{00000000-0005-0000-0000-000091110000}"/>
    <cellStyle name="Header2 4 2 12" xfId="5424" xr:uid="{00000000-0005-0000-0000-000092110000}"/>
    <cellStyle name="Header2 4 2 13" xfId="5425" xr:uid="{00000000-0005-0000-0000-000093110000}"/>
    <cellStyle name="Header2 4 2 14" xfId="5426" xr:uid="{00000000-0005-0000-0000-000094110000}"/>
    <cellStyle name="Header2 4 2 15" xfId="5427" xr:uid="{00000000-0005-0000-0000-000095110000}"/>
    <cellStyle name="Header2 4 2 2" xfId="5428" xr:uid="{00000000-0005-0000-0000-000096110000}"/>
    <cellStyle name="Header2 4 2 2 10" xfId="5429" xr:uid="{00000000-0005-0000-0000-000097110000}"/>
    <cellStyle name="Header2 4 2 2 11" xfId="5430" xr:uid="{00000000-0005-0000-0000-000098110000}"/>
    <cellStyle name="Header2 4 2 2 12" xfId="5431" xr:uid="{00000000-0005-0000-0000-000099110000}"/>
    <cellStyle name="Header2 4 2 2 13" xfId="5432" xr:uid="{00000000-0005-0000-0000-00009A110000}"/>
    <cellStyle name="Header2 4 2 2 14" xfId="5433" xr:uid="{00000000-0005-0000-0000-00009B110000}"/>
    <cellStyle name="Header2 4 2 2 2" xfId="5434" xr:uid="{00000000-0005-0000-0000-00009C110000}"/>
    <cellStyle name="Header2 4 2 2 3" xfId="5435" xr:uid="{00000000-0005-0000-0000-00009D110000}"/>
    <cellStyle name="Header2 4 2 2 4" xfId="5436" xr:uid="{00000000-0005-0000-0000-00009E110000}"/>
    <cellStyle name="Header2 4 2 2 5" xfId="5437" xr:uid="{00000000-0005-0000-0000-00009F110000}"/>
    <cellStyle name="Header2 4 2 2 6" xfId="5438" xr:uid="{00000000-0005-0000-0000-0000A0110000}"/>
    <cellStyle name="Header2 4 2 2 7" xfId="5439" xr:uid="{00000000-0005-0000-0000-0000A1110000}"/>
    <cellStyle name="Header2 4 2 2 8" xfId="5440" xr:uid="{00000000-0005-0000-0000-0000A2110000}"/>
    <cellStyle name="Header2 4 2 2 9" xfId="5441" xr:uid="{00000000-0005-0000-0000-0000A3110000}"/>
    <cellStyle name="Header2 4 2 3" xfId="5442" xr:uid="{00000000-0005-0000-0000-0000A4110000}"/>
    <cellStyle name="Header2 4 2 4" xfId="5443" xr:uid="{00000000-0005-0000-0000-0000A5110000}"/>
    <cellStyle name="Header2 4 2 5" xfId="5444" xr:uid="{00000000-0005-0000-0000-0000A6110000}"/>
    <cellStyle name="Header2 4 2 6" xfId="5445" xr:uid="{00000000-0005-0000-0000-0000A7110000}"/>
    <cellStyle name="Header2 4 2 7" xfId="5446" xr:uid="{00000000-0005-0000-0000-0000A8110000}"/>
    <cellStyle name="Header2 4 2 8" xfId="5447" xr:uid="{00000000-0005-0000-0000-0000A9110000}"/>
    <cellStyle name="Header2 4 2 9" xfId="5448" xr:uid="{00000000-0005-0000-0000-0000AA110000}"/>
    <cellStyle name="Header2 4 20" xfId="5449" xr:uid="{00000000-0005-0000-0000-0000AB110000}"/>
    <cellStyle name="Header2 4 21" xfId="5450" xr:uid="{00000000-0005-0000-0000-0000AC110000}"/>
    <cellStyle name="Header2 4 22" xfId="5451" xr:uid="{00000000-0005-0000-0000-0000AD110000}"/>
    <cellStyle name="Header2 4 23" xfId="5452" xr:uid="{00000000-0005-0000-0000-0000AE110000}"/>
    <cellStyle name="Header2 4 24" xfId="5453" xr:uid="{00000000-0005-0000-0000-0000AF110000}"/>
    <cellStyle name="Header2 4 3" xfId="5454" xr:uid="{00000000-0005-0000-0000-0000B0110000}"/>
    <cellStyle name="Header2 4 3 10" xfId="5455" xr:uid="{00000000-0005-0000-0000-0000B1110000}"/>
    <cellStyle name="Header2 4 3 11" xfId="5456" xr:uid="{00000000-0005-0000-0000-0000B2110000}"/>
    <cellStyle name="Header2 4 3 12" xfId="5457" xr:uid="{00000000-0005-0000-0000-0000B3110000}"/>
    <cellStyle name="Header2 4 3 13" xfId="5458" xr:uid="{00000000-0005-0000-0000-0000B4110000}"/>
    <cellStyle name="Header2 4 3 14" xfId="5459" xr:uid="{00000000-0005-0000-0000-0000B5110000}"/>
    <cellStyle name="Header2 4 3 15" xfId="5460" xr:uid="{00000000-0005-0000-0000-0000B6110000}"/>
    <cellStyle name="Header2 4 3 2" xfId="5461" xr:uid="{00000000-0005-0000-0000-0000B7110000}"/>
    <cellStyle name="Header2 4 3 2 10" xfId="5462" xr:uid="{00000000-0005-0000-0000-0000B8110000}"/>
    <cellStyle name="Header2 4 3 2 11" xfId="5463" xr:uid="{00000000-0005-0000-0000-0000B9110000}"/>
    <cellStyle name="Header2 4 3 2 12" xfId="5464" xr:uid="{00000000-0005-0000-0000-0000BA110000}"/>
    <cellStyle name="Header2 4 3 2 13" xfId="5465" xr:uid="{00000000-0005-0000-0000-0000BB110000}"/>
    <cellStyle name="Header2 4 3 2 14" xfId="5466" xr:uid="{00000000-0005-0000-0000-0000BC110000}"/>
    <cellStyle name="Header2 4 3 2 2" xfId="5467" xr:uid="{00000000-0005-0000-0000-0000BD110000}"/>
    <cellStyle name="Header2 4 3 2 3" xfId="5468" xr:uid="{00000000-0005-0000-0000-0000BE110000}"/>
    <cellStyle name="Header2 4 3 2 4" xfId="5469" xr:uid="{00000000-0005-0000-0000-0000BF110000}"/>
    <cellStyle name="Header2 4 3 2 5" xfId="5470" xr:uid="{00000000-0005-0000-0000-0000C0110000}"/>
    <cellStyle name="Header2 4 3 2 6" xfId="5471" xr:uid="{00000000-0005-0000-0000-0000C1110000}"/>
    <cellStyle name="Header2 4 3 2 7" xfId="5472" xr:uid="{00000000-0005-0000-0000-0000C2110000}"/>
    <cellStyle name="Header2 4 3 2 8" xfId="5473" xr:uid="{00000000-0005-0000-0000-0000C3110000}"/>
    <cellStyle name="Header2 4 3 2 9" xfId="5474" xr:uid="{00000000-0005-0000-0000-0000C4110000}"/>
    <cellStyle name="Header2 4 3 3" xfId="5475" xr:uid="{00000000-0005-0000-0000-0000C5110000}"/>
    <cellStyle name="Header2 4 3 4" xfId="5476" xr:uid="{00000000-0005-0000-0000-0000C6110000}"/>
    <cellStyle name="Header2 4 3 5" xfId="5477" xr:uid="{00000000-0005-0000-0000-0000C7110000}"/>
    <cellStyle name="Header2 4 3 6" xfId="5478" xr:uid="{00000000-0005-0000-0000-0000C8110000}"/>
    <cellStyle name="Header2 4 3 7" xfId="5479" xr:uid="{00000000-0005-0000-0000-0000C9110000}"/>
    <cellStyle name="Header2 4 3 8" xfId="5480" xr:uid="{00000000-0005-0000-0000-0000CA110000}"/>
    <cellStyle name="Header2 4 3 9" xfId="5481" xr:uid="{00000000-0005-0000-0000-0000CB110000}"/>
    <cellStyle name="Header2 4 4" xfId="5482" xr:uid="{00000000-0005-0000-0000-0000CC110000}"/>
    <cellStyle name="Header2 4 4 10" xfId="5483" xr:uid="{00000000-0005-0000-0000-0000CD110000}"/>
    <cellStyle name="Header2 4 4 11" xfId="5484" xr:uid="{00000000-0005-0000-0000-0000CE110000}"/>
    <cellStyle name="Header2 4 4 12" xfId="5485" xr:uid="{00000000-0005-0000-0000-0000CF110000}"/>
    <cellStyle name="Header2 4 4 13" xfId="5486" xr:uid="{00000000-0005-0000-0000-0000D0110000}"/>
    <cellStyle name="Header2 4 4 14" xfId="5487" xr:uid="{00000000-0005-0000-0000-0000D1110000}"/>
    <cellStyle name="Header2 4 4 15" xfId="5488" xr:uid="{00000000-0005-0000-0000-0000D2110000}"/>
    <cellStyle name="Header2 4 4 2" xfId="5489" xr:uid="{00000000-0005-0000-0000-0000D3110000}"/>
    <cellStyle name="Header2 4 4 2 10" xfId="5490" xr:uid="{00000000-0005-0000-0000-0000D4110000}"/>
    <cellStyle name="Header2 4 4 2 11" xfId="5491" xr:uid="{00000000-0005-0000-0000-0000D5110000}"/>
    <cellStyle name="Header2 4 4 2 12" xfId="5492" xr:uid="{00000000-0005-0000-0000-0000D6110000}"/>
    <cellStyle name="Header2 4 4 2 13" xfId="5493" xr:uid="{00000000-0005-0000-0000-0000D7110000}"/>
    <cellStyle name="Header2 4 4 2 14" xfId="5494" xr:uid="{00000000-0005-0000-0000-0000D8110000}"/>
    <cellStyle name="Header2 4 4 2 2" xfId="5495" xr:uid="{00000000-0005-0000-0000-0000D9110000}"/>
    <cellStyle name="Header2 4 4 2 3" xfId="5496" xr:uid="{00000000-0005-0000-0000-0000DA110000}"/>
    <cellStyle name="Header2 4 4 2 4" xfId="5497" xr:uid="{00000000-0005-0000-0000-0000DB110000}"/>
    <cellStyle name="Header2 4 4 2 5" xfId="5498" xr:uid="{00000000-0005-0000-0000-0000DC110000}"/>
    <cellStyle name="Header2 4 4 2 6" xfId="5499" xr:uid="{00000000-0005-0000-0000-0000DD110000}"/>
    <cellStyle name="Header2 4 4 2 7" xfId="5500" xr:uid="{00000000-0005-0000-0000-0000DE110000}"/>
    <cellStyle name="Header2 4 4 2 8" xfId="5501" xr:uid="{00000000-0005-0000-0000-0000DF110000}"/>
    <cellStyle name="Header2 4 4 2 9" xfId="5502" xr:uid="{00000000-0005-0000-0000-0000E0110000}"/>
    <cellStyle name="Header2 4 4 3" xfId="5503" xr:uid="{00000000-0005-0000-0000-0000E1110000}"/>
    <cellStyle name="Header2 4 4 4" xfId="5504" xr:uid="{00000000-0005-0000-0000-0000E2110000}"/>
    <cellStyle name="Header2 4 4 5" xfId="5505" xr:uid="{00000000-0005-0000-0000-0000E3110000}"/>
    <cellStyle name="Header2 4 4 6" xfId="5506" xr:uid="{00000000-0005-0000-0000-0000E4110000}"/>
    <cellStyle name="Header2 4 4 7" xfId="5507" xr:uid="{00000000-0005-0000-0000-0000E5110000}"/>
    <cellStyle name="Header2 4 4 8" xfId="5508" xr:uid="{00000000-0005-0000-0000-0000E6110000}"/>
    <cellStyle name="Header2 4 4 9" xfId="5509" xr:uid="{00000000-0005-0000-0000-0000E7110000}"/>
    <cellStyle name="Header2 4 5" xfId="5510" xr:uid="{00000000-0005-0000-0000-0000E8110000}"/>
    <cellStyle name="Header2 4 5 10" xfId="5511" xr:uid="{00000000-0005-0000-0000-0000E9110000}"/>
    <cellStyle name="Header2 4 5 11" xfId="5512" xr:uid="{00000000-0005-0000-0000-0000EA110000}"/>
    <cellStyle name="Header2 4 5 12" xfId="5513" xr:uid="{00000000-0005-0000-0000-0000EB110000}"/>
    <cellStyle name="Header2 4 5 13" xfId="5514" xr:uid="{00000000-0005-0000-0000-0000EC110000}"/>
    <cellStyle name="Header2 4 5 14" xfId="5515" xr:uid="{00000000-0005-0000-0000-0000ED110000}"/>
    <cellStyle name="Header2 4 5 15" xfId="5516" xr:uid="{00000000-0005-0000-0000-0000EE110000}"/>
    <cellStyle name="Header2 4 5 2" xfId="5517" xr:uid="{00000000-0005-0000-0000-0000EF110000}"/>
    <cellStyle name="Header2 4 5 2 10" xfId="5518" xr:uid="{00000000-0005-0000-0000-0000F0110000}"/>
    <cellStyle name="Header2 4 5 2 11" xfId="5519" xr:uid="{00000000-0005-0000-0000-0000F1110000}"/>
    <cellStyle name="Header2 4 5 2 12" xfId="5520" xr:uid="{00000000-0005-0000-0000-0000F2110000}"/>
    <cellStyle name="Header2 4 5 2 13" xfId="5521" xr:uid="{00000000-0005-0000-0000-0000F3110000}"/>
    <cellStyle name="Header2 4 5 2 14" xfId="5522" xr:uid="{00000000-0005-0000-0000-0000F4110000}"/>
    <cellStyle name="Header2 4 5 2 2" xfId="5523" xr:uid="{00000000-0005-0000-0000-0000F5110000}"/>
    <cellStyle name="Header2 4 5 2 3" xfId="5524" xr:uid="{00000000-0005-0000-0000-0000F6110000}"/>
    <cellStyle name="Header2 4 5 2 4" xfId="5525" xr:uid="{00000000-0005-0000-0000-0000F7110000}"/>
    <cellStyle name="Header2 4 5 2 5" xfId="5526" xr:uid="{00000000-0005-0000-0000-0000F8110000}"/>
    <cellStyle name="Header2 4 5 2 6" xfId="5527" xr:uid="{00000000-0005-0000-0000-0000F9110000}"/>
    <cellStyle name="Header2 4 5 2 7" xfId="5528" xr:uid="{00000000-0005-0000-0000-0000FA110000}"/>
    <cellStyle name="Header2 4 5 2 8" xfId="5529" xr:uid="{00000000-0005-0000-0000-0000FB110000}"/>
    <cellStyle name="Header2 4 5 2 9" xfId="5530" xr:uid="{00000000-0005-0000-0000-0000FC110000}"/>
    <cellStyle name="Header2 4 5 3" xfId="5531" xr:uid="{00000000-0005-0000-0000-0000FD110000}"/>
    <cellStyle name="Header2 4 5 4" xfId="5532" xr:uid="{00000000-0005-0000-0000-0000FE110000}"/>
    <cellStyle name="Header2 4 5 5" xfId="5533" xr:uid="{00000000-0005-0000-0000-0000FF110000}"/>
    <cellStyle name="Header2 4 5 6" xfId="5534" xr:uid="{00000000-0005-0000-0000-000000120000}"/>
    <cellStyle name="Header2 4 5 7" xfId="5535" xr:uid="{00000000-0005-0000-0000-000001120000}"/>
    <cellStyle name="Header2 4 5 8" xfId="5536" xr:uid="{00000000-0005-0000-0000-000002120000}"/>
    <cellStyle name="Header2 4 5 9" xfId="5537" xr:uid="{00000000-0005-0000-0000-000003120000}"/>
    <cellStyle name="Header2 4 6" xfId="5538" xr:uid="{00000000-0005-0000-0000-000004120000}"/>
    <cellStyle name="Header2 4 6 10" xfId="5539" xr:uid="{00000000-0005-0000-0000-000005120000}"/>
    <cellStyle name="Header2 4 6 11" xfId="5540" xr:uid="{00000000-0005-0000-0000-000006120000}"/>
    <cellStyle name="Header2 4 6 12" xfId="5541" xr:uid="{00000000-0005-0000-0000-000007120000}"/>
    <cellStyle name="Header2 4 6 13" xfId="5542" xr:uid="{00000000-0005-0000-0000-000008120000}"/>
    <cellStyle name="Header2 4 6 14" xfId="5543" xr:uid="{00000000-0005-0000-0000-000009120000}"/>
    <cellStyle name="Header2 4 6 15" xfId="5544" xr:uid="{00000000-0005-0000-0000-00000A120000}"/>
    <cellStyle name="Header2 4 6 2" xfId="5545" xr:uid="{00000000-0005-0000-0000-00000B120000}"/>
    <cellStyle name="Header2 4 6 2 10" xfId="5546" xr:uid="{00000000-0005-0000-0000-00000C120000}"/>
    <cellStyle name="Header2 4 6 2 11" xfId="5547" xr:uid="{00000000-0005-0000-0000-00000D120000}"/>
    <cellStyle name="Header2 4 6 2 12" xfId="5548" xr:uid="{00000000-0005-0000-0000-00000E120000}"/>
    <cellStyle name="Header2 4 6 2 13" xfId="5549" xr:uid="{00000000-0005-0000-0000-00000F120000}"/>
    <cellStyle name="Header2 4 6 2 14" xfId="5550" xr:uid="{00000000-0005-0000-0000-000010120000}"/>
    <cellStyle name="Header2 4 6 2 2" xfId="5551" xr:uid="{00000000-0005-0000-0000-000011120000}"/>
    <cellStyle name="Header2 4 6 2 3" xfId="5552" xr:uid="{00000000-0005-0000-0000-000012120000}"/>
    <cellStyle name="Header2 4 6 2 4" xfId="5553" xr:uid="{00000000-0005-0000-0000-000013120000}"/>
    <cellStyle name="Header2 4 6 2 5" xfId="5554" xr:uid="{00000000-0005-0000-0000-000014120000}"/>
    <cellStyle name="Header2 4 6 2 6" xfId="5555" xr:uid="{00000000-0005-0000-0000-000015120000}"/>
    <cellStyle name="Header2 4 6 2 7" xfId="5556" xr:uid="{00000000-0005-0000-0000-000016120000}"/>
    <cellStyle name="Header2 4 6 2 8" xfId="5557" xr:uid="{00000000-0005-0000-0000-000017120000}"/>
    <cellStyle name="Header2 4 6 2 9" xfId="5558" xr:uid="{00000000-0005-0000-0000-000018120000}"/>
    <cellStyle name="Header2 4 6 3" xfId="5559" xr:uid="{00000000-0005-0000-0000-000019120000}"/>
    <cellStyle name="Header2 4 6 4" xfId="5560" xr:uid="{00000000-0005-0000-0000-00001A120000}"/>
    <cellStyle name="Header2 4 6 5" xfId="5561" xr:uid="{00000000-0005-0000-0000-00001B120000}"/>
    <cellStyle name="Header2 4 6 6" xfId="5562" xr:uid="{00000000-0005-0000-0000-00001C120000}"/>
    <cellStyle name="Header2 4 6 7" xfId="5563" xr:uid="{00000000-0005-0000-0000-00001D120000}"/>
    <cellStyle name="Header2 4 6 8" xfId="5564" xr:uid="{00000000-0005-0000-0000-00001E120000}"/>
    <cellStyle name="Header2 4 6 9" xfId="5565" xr:uid="{00000000-0005-0000-0000-00001F120000}"/>
    <cellStyle name="Header2 4 7" xfId="5566" xr:uid="{00000000-0005-0000-0000-000020120000}"/>
    <cellStyle name="Header2 4 7 10" xfId="5567" xr:uid="{00000000-0005-0000-0000-000021120000}"/>
    <cellStyle name="Header2 4 7 11" xfId="5568" xr:uid="{00000000-0005-0000-0000-000022120000}"/>
    <cellStyle name="Header2 4 7 12" xfId="5569" xr:uid="{00000000-0005-0000-0000-000023120000}"/>
    <cellStyle name="Header2 4 7 13" xfId="5570" xr:uid="{00000000-0005-0000-0000-000024120000}"/>
    <cellStyle name="Header2 4 7 14" xfId="5571" xr:uid="{00000000-0005-0000-0000-000025120000}"/>
    <cellStyle name="Header2 4 7 15" xfId="5572" xr:uid="{00000000-0005-0000-0000-000026120000}"/>
    <cellStyle name="Header2 4 7 2" xfId="5573" xr:uid="{00000000-0005-0000-0000-000027120000}"/>
    <cellStyle name="Header2 4 7 2 10" xfId="5574" xr:uid="{00000000-0005-0000-0000-000028120000}"/>
    <cellStyle name="Header2 4 7 2 11" xfId="5575" xr:uid="{00000000-0005-0000-0000-000029120000}"/>
    <cellStyle name="Header2 4 7 2 12" xfId="5576" xr:uid="{00000000-0005-0000-0000-00002A120000}"/>
    <cellStyle name="Header2 4 7 2 13" xfId="5577" xr:uid="{00000000-0005-0000-0000-00002B120000}"/>
    <cellStyle name="Header2 4 7 2 14" xfId="5578" xr:uid="{00000000-0005-0000-0000-00002C120000}"/>
    <cellStyle name="Header2 4 7 2 2" xfId="5579" xr:uid="{00000000-0005-0000-0000-00002D120000}"/>
    <cellStyle name="Header2 4 7 2 3" xfId="5580" xr:uid="{00000000-0005-0000-0000-00002E120000}"/>
    <cellStyle name="Header2 4 7 2 4" xfId="5581" xr:uid="{00000000-0005-0000-0000-00002F120000}"/>
    <cellStyle name="Header2 4 7 2 5" xfId="5582" xr:uid="{00000000-0005-0000-0000-000030120000}"/>
    <cellStyle name="Header2 4 7 2 6" xfId="5583" xr:uid="{00000000-0005-0000-0000-000031120000}"/>
    <cellStyle name="Header2 4 7 2 7" xfId="5584" xr:uid="{00000000-0005-0000-0000-000032120000}"/>
    <cellStyle name="Header2 4 7 2 8" xfId="5585" xr:uid="{00000000-0005-0000-0000-000033120000}"/>
    <cellStyle name="Header2 4 7 2 9" xfId="5586" xr:uid="{00000000-0005-0000-0000-000034120000}"/>
    <cellStyle name="Header2 4 7 3" xfId="5587" xr:uid="{00000000-0005-0000-0000-000035120000}"/>
    <cellStyle name="Header2 4 7 4" xfId="5588" xr:uid="{00000000-0005-0000-0000-000036120000}"/>
    <cellStyle name="Header2 4 7 5" xfId="5589" xr:uid="{00000000-0005-0000-0000-000037120000}"/>
    <cellStyle name="Header2 4 7 6" xfId="5590" xr:uid="{00000000-0005-0000-0000-000038120000}"/>
    <cellStyle name="Header2 4 7 7" xfId="5591" xr:uid="{00000000-0005-0000-0000-000039120000}"/>
    <cellStyle name="Header2 4 7 8" xfId="5592" xr:uid="{00000000-0005-0000-0000-00003A120000}"/>
    <cellStyle name="Header2 4 7 9" xfId="5593" xr:uid="{00000000-0005-0000-0000-00003B120000}"/>
    <cellStyle name="Header2 4 8" xfId="5594" xr:uid="{00000000-0005-0000-0000-00003C120000}"/>
    <cellStyle name="Header2 4 8 10" xfId="5595" xr:uid="{00000000-0005-0000-0000-00003D120000}"/>
    <cellStyle name="Header2 4 8 11" xfId="5596" xr:uid="{00000000-0005-0000-0000-00003E120000}"/>
    <cellStyle name="Header2 4 8 12" xfId="5597" xr:uid="{00000000-0005-0000-0000-00003F120000}"/>
    <cellStyle name="Header2 4 8 13" xfId="5598" xr:uid="{00000000-0005-0000-0000-000040120000}"/>
    <cellStyle name="Header2 4 8 14" xfId="5599" xr:uid="{00000000-0005-0000-0000-000041120000}"/>
    <cellStyle name="Header2 4 8 15" xfId="5600" xr:uid="{00000000-0005-0000-0000-000042120000}"/>
    <cellStyle name="Header2 4 8 2" xfId="5601" xr:uid="{00000000-0005-0000-0000-000043120000}"/>
    <cellStyle name="Header2 4 8 2 10" xfId="5602" xr:uid="{00000000-0005-0000-0000-000044120000}"/>
    <cellStyle name="Header2 4 8 2 11" xfId="5603" xr:uid="{00000000-0005-0000-0000-000045120000}"/>
    <cellStyle name="Header2 4 8 2 12" xfId="5604" xr:uid="{00000000-0005-0000-0000-000046120000}"/>
    <cellStyle name="Header2 4 8 2 13" xfId="5605" xr:uid="{00000000-0005-0000-0000-000047120000}"/>
    <cellStyle name="Header2 4 8 2 14" xfId="5606" xr:uid="{00000000-0005-0000-0000-000048120000}"/>
    <cellStyle name="Header2 4 8 2 2" xfId="5607" xr:uid="{00000000-0005-0000-0000-000049120000}"/>
    <cellStyle name="Header2 4 8 2 3" xfId="5608" xr:uid="{00000000-0005-0000-0000-00004A120000}"/>
    <cellStyle name="Header2 4 8 2 4" xfId="5609" xr:uid="{00000000-0005-0000-0000-00004B120000}"/>
    <cellStyle name="Header2 4 8 2 5" xfId="5610" xr:uid="{00000000-0005-0000-0000-00004C120000}"/>
    <cellStyle name="Header2 4 8 2 6" xfId="5611" xr:uid="{00000000-0005-0000-0000-00004D120000}"/>
    <cellStyle name="Header2 4 8 2 7" xfId="5612" xr:uid="{00000000-0005-0000-0000-00004E120000}"/>
    <cellStyle name="Header2 4 8 2 8" xfId="5613" xr:uid="{00000000-0005-0000-0000-00004F120000}"/>
    <cellStyle name="Header2 4 8 2 9" xfId="5614" xr:uid="{00000000-0005-0000-0000-000050120000}"/>
    <cellStyle name="Header2 4 8 3" xfId="5615" xr:uid="{00000000-0005-0000-0000-000051120000}"/>
    <cellStyle name="Header2 4 8 4" xfId="5616" xr:uid="{00000000-0005-0000-0000-000052120000}"/>
    <cellStyle name="Header2 4 8 5" xfId="5617" xr:uid="{00000000-0005-0000-0000-000053120000}"/>
    <cellStyle name="Header2 4 8 6" xfId="5618" xr:uid="{00000000-0005-0000-0000-000054120000}"/>
    <cellStyle name="Header2 4 8 7" xfId="5619" xr:uid="{00000000-0005-0000-0000-000055120000}"/>
    <cellStyle name="Header2 4 8 8" xfId="5620" xr:uid="{00000000-0005-0000-0000-000056120000}"/>
    <cellStyle name="Header2 4 8 9" xfId="5621" xr:uid="{00000000-0005-0000-0000-000057120000}"/>
    <cellStyle name="Header2 4 9" xfId="5622" xr:uid="{00000000-0005-0000-0000-000058120000}"/>
    <cellStyle name="Header2 4 9 10" xfId="5623" xr:uid="{00000000-0005-0000-0000-000059120000}"/>
    <cellStyle name="Header2 4 9 11" xfId="5624" xr:uid="{00000000-0005-0000-0000-00005A120000}"/>
    <cellStyle name="Header2 4 9 12" xfId="5625" xr:uid="{00000000-0005-0000-0000-00005B120000}"/>
    <cellStyle name="Header2 4 9 13" xfId="5626" xr:uid="{00000000-0005-0000-0000-00005C120000}"/>
    <cellStyle name="Header2 4 9 14" xfId="5627" xr:uid="{00000000-0005-0000-0000-00005D120000}"/>
    <cellStyle name="Header2 4 9 15" xfId="5628" xr:uid="{00000000-0005-0000-0000-00005E120000}"/>
    <cellStyle name="Header2 4 9 2" xfId="5629" xr:uid="{00000000-0005-0000-0000-00005F120000}"/>
    <cellStyle name="Header2 4 9 2 10" xfId="5630" xr:uid="{00000000-0005-0000-0000-000060120000}"/>
    <cellStyle name="Header2 4 9 2 11" xfId="5631" xr:uid="{00000000-0005-0000-0000-000061120000}"/>
    <cellStyle name="Header2 4 9 2 12" xfId="5632" xr:uid="{00000000-0005-0000-0000-000062120000}"/>
    <cellStyle name="Header2 4 9 2 13" xfId="5633" xr:uid="{00000000-0005-0000-0000-000063120000}"/>
    <cellStyle name="Header2 4 9 2 14" xfId="5634" xr:uid="{00000000-0005-0000-0000-000064120000}"/>
    <cellStyle name="Header2 4 9 2 2" xfId="5635" xr:uid="{00000000-0005-0000-0000-000065120000}"/>
    <cellStyle name="Header2 4 9 2 3" xfId="5636" xr:uid="{00000000-0005-0000-0000-000066120000}"/>
    <cellStyle name="Header2 4 9 2 4" xfId="5637" xr:uid="{00000000-0005-0000-0000-000067120000}"/>
    <cellStyle name="Header2 4 9 2 5" xfId="5638" xr:uid="{00000000-0005-0000-0000-000068120000}"/>
    <cellStyle name="Header2 4 9 2 6" xfId="5639" xr:uid="{00000000-0005-0000-0000-000069120000}"/>
    <cellStyle name="Header2 4 9 2 7" xfId="5640" xr:uid="{00000000-0005-0000-0000-00006A120000}"/>
    <cellStyle name="Header2 4 9 2 8" xfId="5641" xr:uid="{00000000-0005-0000-0000-00006B120000}"/>
    <cellStyle name="Header2 4 9 2 9" xfId="5642" xr:uid="{00000000-0005-0000-0000-00006C120000}"/>
    <cellStyle name="Header2 4 9 3" xfId="5643" xr:uid="{00000000-0005-0000-0000-00006D120000}"/>
    <cellStyle name="Header2 4 9 4" xfId="5644" xr:uid="{00000000-0005-0000-0000-00006E120000}"/>
    <cellStyle name="Header2 4 9 5" xfId="5645" xr:uid="{00000000-0005-0000-0000-00006F120000}"/>
    <cellStyle name="Header2 4 9 6" xfId="5646" xr:uid="{00000000-0005-0000-0000-000070120000}"/>
    <cellStyle name="Header2 4 9 7" xfId="5647" xr:uid="{00000000-0005-0000-0000-000071120000}"/>
    <cellStyle name="Header2 4 9 8" xfId="5648" xr:uid="{00000000-0005-0000-0000-000072120000}"/>
    <cellStyle name="Header2 4 9 9" xfId="5649" xr:uid="{00000000-0005-0000-0000-000073120000}"/>
    <cellStyle name="Header2 5" xfId="5650" xr:uid="{00000000-0005-0000-0000-000074120000}"/>
    <cellStyle name="Header2 5 10" xfId="5651" xr:uid="{00000000-0005-0000-0000-000075120000}"/>
    <cellStyle name="Header2 5 10 10" xfId="5652" xr:uid="{00000000-0005-0000-0000-000076120000}"/>
    <cellStyle name="Header2 5 10 11" xfId="5653" xr:uid="{00000000-0005-0000-0000-000077120000}"/>
    <cellStyle name="Header2 5 10 12" xfId="5654" xr:uid="{00000000-0005-0000-0000-000078120000}"/>
    <cellStyle name="Header2 5 10 13" xfId="5655" xr:uid="{00000000-0005-0000-0000-000079120000}"/>
    <cellStyle name="Header2 5 10 14" xfId="5656" xr:uid="{00000000-0005-0000-0000-00007A120000}"/>
    <cellStyle name="Header2 5 10 15" xfId="5657" xr:uid="{00000000-0005-0000-0000-00007B120000}"/>
    <cellStyle name="Header2 5 10 2" xfId="5658" xr:uid="{00000000-0005-0000-0000-00007C120000}"/>
    <cellStyle name="Header2 5 10 2 10" xfId="5659" xr:uid="{00000000-0005-0000-0000-00007D120000}"/>
    <cellStyle name="Header2 5 10 2 11" xfId="5660" xr:uid="{00000000-0005-0000-0000-00007E120000}"/>
    <cellStyle name="Header2 5 10 2 12" xfId="5661" xr:uid="{00000000-0005-0000-0000-00007F120000}"/>
    <cellStyle name="Header2 5 10 2 13" xfId="5662" xr:uid="{00000000-0005-0000-0000-000080120000}"/>
    <cellStyle name="Header2 5 10 2 14" xfId="5663" xr:uid="{00000000-0005-0000-0000-000081120000}"/>
    <cellStyle name="Header2 5 10 2 2" xfId="5664" xr:uid="{00000000-0005-0000-0000-000082120000}"/>
    <cellStyle name="Header2 5 10 2 3" xfId="5665" xr:uid="{00000000-0005-0000-0000-000083120000}"/>
    <cellStyle name="Header2 5 10 2 4" xfId="5666" xr:uid="{00000000-0005-0000-0000-000084120000}"/>
    <cellStyle name="Header2 5 10 2 5" xfId="5667" xr:uid="{00000000-0005-0000-0000-000085120000}"/>
    <cellStyle name="Header2 5 10 2 6" xfId="5668" xr:uid="{00000000-0005-0000-0000-000086120000}"/>
    <cellStyle name="Header2 5 10 2 7" xfId="5669" xr:uid="{00000000-0005-0000-0000-000087120000}"/>
    <cellStyle name="Header2 5 10 2 8" xfId="5670" xr:uid="{00000000-0005-0000-0000-000088120000}"/>
    <cellStyle name="Header2 5 10 2 9" xfId="5671" xr:uid="{00000000-0005-0000-0000-000089120000}"/>
    <cellStyle name="Header2 5 10 3" xfId="5672" xr:uid="{00000000-0005-0000-0000-00008A120000}"/>
    <cellStyle name="Header2 5 10 4" xfId="5673" xr:uid="{00000000-0005-0000-0000-00008B120000}"/>
    <cellStyle name="Header2 5 10 5" xfId="5674" xr:uid="{00000000-0005-0000-0000-00008C120000}"/>
    <cellStyle name="Header2 5 10 6" xfId="5675" xr:uid="{00000000-0005-0000-0000-00008D120000}"/>
    <cellStyle name="Header2 5 10 7" xfId="5676" xr:uid="{00000000-0005-0000-0000-00008E120000}"/>
    <cellStyle name="Header2 5 10 8" xfId="5677" xr:uid="{00000000-0005-0000-0000-00008F120000}"/>
    <cellStyle name="Header2 5 10 9" xfId="5678" xr:uid="{00000000-0005-0000-0000-000090120000}"/>
    <cellStyle name="Header2 5 11" xfId="5679" xr:uid="{00000000-0005-0000-0000-000091120000}"/>
    <cellStyle name="Header2 5 11 10" xfId="5680" xr:uid="{00000000-0005-0000-0000-000092120000}"/>
    <cellStyle name="Header2 5 11 11" xfId="5681" xr:uid="{00000000-0005-0000-0000-000093120000}"/>
    <cellStyle name="Header2 5 11 12" xfId="5682" xr:uid="{00000000-0005-0000-0000-000094120000}"/>
    <cellStyle name="Header2 5 11 13" xfId="5683" xr:uid="{00000000-0005-0000-0000-000095120000}"/>
    <cellStyle name="Header2 5 11 14" xfId="5684" xr:uid="{00000000-0005-0000-0000-000096120000}"/>
    <cellStyle name="Header2 5 11 2" xfId="5685" xr:uid="{00000000-0005-0000-0000-000097120000}"/>
    <cellStyle name="Header2 5 11 3" xfId="5686" xr:uid="{00000000-0005-0000-0000-000098120000}"/>
    <cellStyle name="Header2 5 11 4" xfId="5687" xr:uid="{00000000-0005-0000-0000-000099120000}"/>
    <cellStyle name="Header2 5 11 5" xfId="5688" xr:uid="{00000000-0005-0000-0000-00009A120000}"/>
    <cellStyle name="Header2 5 11 6" xfId="5689" xr:uid="{00000000-0005-0000-0000-00009B120000}"/>
    <cellStyle name="Header2 5 11 7" xfId="5690" xr:uid="{00000000-0005-0000-0000-00009C120000}"/>
    <cellStyle name="Header2 5 11 8" xfId="5691" xr:uid="{00000000-0005-0000-0000-00009D120000}"/>
    <cellStyle name="Header2 5 11 9" xfId="5692" xr:uid="{00000000-0005-0000-0000-00009E120000}"/>
    <cellStyle name="Header2 5 12" xfId="5693" xr:uid="{00000000-0005-0000-0000-00009F120000}"/>
    <cellStyle name="Header2 5 13" xfId="5694" xr:uid="{00000000-0005-0000-0000-0000A0120000}"/>
    <cellStyle name="Header2 5 14" xfId="5695" xr:uid="{00000000-0005-0000-0000-0000A1120000}"/>
    <cellStyle name="Header2 5 15" xfId="5696" xr:uid="{00000000-0005-0000-0000-0000A2120000}"/>
    <cellStyle name="Header2 5 16" xfId="5697" xr:uid="{00000000-0005-0000-0000-0000A3120000}"/>
    <cellStyle name="Header2 5 17" xfId="5698" xr:uid="{00000000-0005-0000-0000-0000A4120000}"/>
    <cellStyle name="Header2 5 18" xfId="5699" xr:uid="{00000000-0005-0000-0000-0000A5120000}"/>
    <cellStyle name="Header2 5 19" xfId="5700" xr:uid="{00000000-0005-0000-0000-0000A6120000}"/>
    <cellStyle name="Header2 5 2" xfId="5701" xr:uid="{00000000-0005-0000-0000-0000A7120000}"/>
    <cellStyle name="Header2 5 2 10" xfId="5702" xr:uid="{00000000-0005-0000-0000-0000A8120000}"/>
    <cellStyle name="Header2 5 2 11" xfId="5703" xr:uid="{00000000-0005-0000-0000-0000A9120000}"/>
    <cellStyle name="Header2 5 2 12" xfId="5704" xr:uid="{00000000-0005-0000-0000-0000AA120000}"/>
    <cellStyle name="Header2 5 2 13" xfId="5705" xr:uid="{00000000-0005-0000-0000-0000AB120000}"/>
    <cellStyle name="Header2 5 2 14" xfId="5706" xr:uid="{00000000-0005-0000-0000-0000AC120000}"/>
    <cellStyle name="Header2 5 2 15" xfId="5707" xr:uid="{00000000-0005-0000-0000-0000AD120000}"/>
    <cellStyle name="Header2 5 2 2" xfId="5708" xr:uid="{00000000-0005-0000-0000-0000AE120000}"/>
    <cellStyle name="Header2 5 2 2 10" xfId="5709" xr:uid="{00000000-0005-0000-0000-0000AF120000}"/>
    <cellStyle name="Header2 5 2 2 11" xfId="5710" xr:uid="{00000000-0005-0000-0000-0000B0120000}"/>
    <cellStyle name="Header2 5 2 2 12" xfId="5711" xr:uid="{00000000-0005-0000-0000-0000B1120000}"/>
    <cellStyle name="Header2 5 2 2 13" xfId="5712" xr:uid="{00000000-0005-0000-0000-0000B2120000}"/>
    <cellStyle name="Header2 5 2 2 14" xfId="5713" xr:uid="{00000000-0005-0000-0000-0000B3120000}"/>
    <cellStyle name="Header2 5 2 2 2" xfId="5714" xr:uid="{00000000-0005-0000-0000-0000B4120000}"/>
    <cellStyle name="Header2 5 2 2 3" xfId="5715" xr:uid="{00000000-0005-0000-0000-0000B5120000}"/>
    <cellStyle name="Header2 5 2 2 4" xfId="5716" xr:uid="{00000000-0005-0000-0000-0000B6120000}"/>
    <cellStyle name="Header2 5 2 2 5" xfId="5717" xr:uid="{00000000-0005-0000-0000-0000B7120000}"/>
    <cellStyle name="Header2 5 2 2 6" xfId="5718" xr:uid="{00000000-0005-0000-0000-0000B8120000}"/>
    <cellStyle name="Header2 5 2 2 7" xfId="5719" xr:uid="{00000000-0005-0000-0000-0000B9120000}"/>
    <cellStyle name="Header2 5 2 2 8" xfId="5720" xr:uid="{00000000-0005-0000-0000-0000BA120000}"/>
    <cellStyle name="Header2 5 2 2 9" xfId="5721" xr:uid="{00000000-0005-0000-0000-0000BB120000}"/>
    <cellStyle name="Header2 5 2 3" xfId="5722" xr:uid="{00000000-0005-0000-0000-0000BC120000}"/>
    <cellStyle name="Header2 5 2 4" xfId="5723" xr:uid="{00000000-0005-0000-0000-0000BD120000}"/>
    <cellStyle name="Header2 5 2 5" xfId="5724" xr:uid="{00000000-0005-0000-0000-0000BE120000}"/>
    <cellStyle name="Header2 5 2 6" xfId="5725" xr:uid="{00000000-0005-0000-0000-0000BF120000}"/>
    <cellStyle name="Header2 5 2 7" xfId="5726" xr:uid="{00000000-0005-0000-0000-0000C0120000}"/>
    <cellStyle name="Header2 5 2 8" xfId="5727" xr:uid="{00000000-0005-0000-0000-0000C1120000}"/>
    <cellStyle name="Header2 5 2 9" xfId="5728" xr:uid="{00000000-0005-0000-0000-0000C2120000}"/>
    <cellStyle name="Header2 5 20" xfId="5729" xr:uid="{00000000-0005-0000-0000-0000C3120000}"/>
    <cellStyle name="Header2 5 21" xfId="5730" xr:uid="{00000000-0005-0000-0000-0000C4120000}"/>
    <cellStyle name="Header2 5 22" xfId="5731" xr:uid="{00000000-0005-0000-0000-0000C5120000}"/>
    <cellStyle name="Header2 5 23" xfId="5732" xr:uid="{00000000-0005-0000-0000-0000C6120000}"/>
    <cellStyle name="Header2 5 24" xfId="5733" xr:uid="{00000000-0005-0000-0000-0000C7120000}"/>
    <cellStyle name="Header2 5 3" xfId="5734" xr:uid="{00000000-0005-0000-0000-0000C8120000}"/>
    <cellStyle name="Header2 5 3 10" xfId="5735" xr:uid="{00000000-0005-0000-0000-0000C9120000}"/>
    <cellStyle name="Header2 5 3 11" xfId="5736" xr:uid="{00000000-0005-0000-0000-0000CA120000}"/>
    <cellStyle name="Header2 5 3 12" xfId="5737" xr:uid="{00000000-0005-0000-0000-0000CB120000}"/>
    <cellStyle name="Header2 5 3 13" xfId="5738" xr:uid="{00000000-0005-0000-0000-0000CC120000}"/>
    <cellStyle name="Header2 5 3 14" xfId="5739" xr:uid="{00000000-0005-0000-0000-0000CD120000}"/>
    <cellStyle name="Header2 5 3 15" xfId="5740" xr:uid="{00000000-0005-0000-0000-0000CE120000}"/>
    <cellStyle name="Header2 5 3 2" xfId="5741" xr:uid="{00000000-0005-0000-0000-0000CF120000}"/>
    <cellStyle name="Header2 5 3 2 10" xfId="5742" xr:uid="{00000000-0005-0000-0000-0000D0120000}"/>
    <cellStyle name="Header2 5 3 2 11" xfId="5743" xr:uid="{00000000-0005-0000-0000-0000D1120000}"/>
    <cellStyle name="Header2 5 3 2 12" xfId="5744" xr:uid="{00000000-0005-0000-0000-0000D2120000}"/>
    <cellStyle name="Header2 5 3 2 13" xfId="5745" xr:uid="{00000000-0005-0000-0000-0000D3120000}"/>
    <cellStyle name="Header2 5 3 2 14" xfId="5746" xr:uid="{00000000-0005-0000-0000-0000D4120000}"/>
    <cellStyle name="Header2 5 3 2 2" xfId="5747" xr:uid="{00000000-0005-0000-0000-0000D5120000}"/>
    <cellStyle name="Header2 5 3 2 3" xfId="5748" xr:uid="{00000000-0005-0000-0000-0000D6120000}"/>
    <cellStyle name="Header2 5 3 2 4" xfId="5749" xr:uid="{00000000-0005-0000-0000-0000D7120000}"/>
    <cellStyle name="Header2 5 3 2 5" xfId="5750" xr:uid="{00000000-0005-0000-0000-0000D8120000}"/>
    <cellStyle name="Header2 5 3 2 6" xfId="5751" xr:uid="{00000000-0005-0000-0000-0000D9120000}"/>
    <cellStyle name="Header2 5 3 2 7" xfId="5752" xr:uid="{00000000-0005-0000-0000-0000DA120000}"/>
    <cellStyle name="Header2 5 3 2 8" xfId="5753" xr:uid="{00000000-0005-0000-0000-0000DB120000}"/>
    <cellStyle name="Header2 5 3 2 9" xfId="5754" xr:uid="{00000000-0005-0000-0000-0000DC120000}"/>
    <cellStyle name="Header2 5 3 3" xfId="5755" xr:uid="{00000000-0005-0000-0000-0000DD120000}"/>
    <cellStyle name="Header2 5 3 4" xfId="5756" xr:uid="{00000000-0005-0000-0000-0000DE120000}"/>
    <cellStyle name="Header2 5 3 5" xfId="5757" xr:uid="{00000000-0005-0000-0000-0000DF120000}"/>
    <cellStyle name="Header2 5 3 6" xfId="5758" xr:uid="{00000000-0005-0000-0000-0000E0120000}"/>
    <cellStyle name="Header2 5 3 7" xfId="5759" xr:uid="{00000000-0005-0000-0000-0000E1120000}"/>
    <cellStyle name="Header2 5 3 8" xfId="5760" xr:uid="{00000000-0005-0000-0000-0000E2120000}"/>
    <cellStyle name="Header2 5 3 9" xfId="5761" xr:uid="{00000000-0005-0000-0000-0000E3120000}"/>
    <cellStyle name="Header2 5 4" xfId="5762" xr:uid="{00000000-0005-0000-0000-0000E4120000}"/>
    <cellStyle name="Header2 5 4 10" xfId="5763" xr:uid="{00000000-0005-0000-0000-0000E5120000}"/>
    <cellStyle name="Header2 5 4 11" xfId="5764" xr:uid="{00000000-0005-0000-0000-0000E6120000}"/>
    <cellStyle name="Header2 5 4 12" xfId="5765" xr:uid="{00000000-0005-0000-0000-0000E7120000}"/>
    <cellStyle name="Header2 5 4 13" xfId="5766" xr:uid="{00000000-0005-0000-0000-0000E8120000}"/>
    <cellStyle name="Header2 5 4 14" xfId="5767" xr:uid="{00000000-0005-0000-0000-0000E9120000}"/>
    <cellStyle name="Header2 5 4 15" xfId="5768" xr:uid="{00000000-0005-0000-0000-0000EA120000}"/>
    <cellStyle name="Header2 5 4 2" xfId="5769" xr:uid="{00000000-0005-0000-0000-0000EB120000}"/>
    <cellStyle name="Header2 5 4 2 10" xfId="5770" xr:uid="{00000000-0005-0000-0000-0000EC120000}"/>
    <cellStyle name="Header2 5 4 2 11" xfId="5771" xr:uid="{00000000-0005-0000-0000-0000ED120000}"/>
    <cellStyle name="Header2 5 4 2 12" xfId="5772" xr:uid="{00000000-0005-0000-0000-0000EE120000}"/>
    <cellStyle name="Header2 5 4 2 13" xfId="5773" xr:uid="{00000000-0005-0000-0000-0000EF120000}"/>
    <cellStyle name="Header2 5 4 2 14" xfId="5774" xr:uid="{00000000-0005-0000-0000-0000F0120000}"/>
    <cellStyle name="Header2 5 4 2 2" xfId="5775" xr:uid="{00000000-0005-0000-0000-0000F1120000}"/>
    <cellStyle name="Header2 5 4 2 3" xfId="5776" xr:uid="{00000000-0005-0000-0000-0000F2120000}"/>
    <cellStyle name="Header2 5 4 2 4" xfId="5777" xr:uid="{00000000-0005-0000-0000-0000F3120000}"/>
    <cellStyle name="Header2 5 4 2 5" xfId="5778" xr:uid="{00000000-0005-0000-0000-0000F4120000}"/>
    <cellStyle name="Header2 5 4 2 6" xfId="5779" xr:uid="{00000000-0005-0000-0000-0000F5120000}"/>
    <cellStyle name="Header2 5 4 2 7" xfId="5780" xr:uid="{00000000-0005-0000-0000-0000F6120000}"/>
    <cellStyle name="Header2 5 4 2 8" xfId="5781" xr:uid="{00000000-0005-0000-0000-0000F7120000}"/>
    <cellStyle name="Header2 5 4 2 9" xfId="5782" xr:uid="{00000000-0005-0000-0000-0000F8120000}"/>
    <cellStyle name="Header2 5 4 3" xfId="5783" xr:uid="{00000000-0005-0000-0000-0000F9120000}"/>
    <cellStyle name="Header2 5 4 4" xfId="5784" xr:uid="{00000000-0005-0000-0000-0000FA120000}"/>
    <cellStyle name="Header2 5 4 5" xfId="5785" xr:uid="{00000000-0005-0000-0000-0000FB120000}"/>
    <cellStyle name="Header2 5 4 6" xfId="5786" xr:uid="{00000000-0005-0000-0000-0000FC120000}"/>
    <cellStyle name="Header2 5 4 7" xfId="5787" xr:uid="{00000000-0005-0000-0000-0000FD120000}"/>
    <cellStyle name="Header2 5 4 8" xfId="5788" xr:uid="{00000000-0005-0000-0000-0000FE120000}"/>
    <cellStyle name="Header2 5 4 9" xfId="5789" xr:uid="{00000000-0005-0000-0000-0000FF120000}"/>
    <cellStyle name="Header2 5 5" xfId="5790" xr:uid="{00000000-0005-0000-0000-000000130000}"/>
    <cellStyle name="Header2 5 5 10" xfId="5791" xr:uid="{00000000-0005-0000-0000-000001130000}"/>
    <cellStyle name="Header2 5 5 11" xfId="5792" xr:uid="{00000000-0005-0000-0000-000002130000}"/>
    <cellStyle name="Header2 5 5 12" xfId="5793" xr:uid="{00000000-0005-0000-0000-000003130000}"/>
    <cellStyle name="Header2 5 5 13" xfId="5794" xr:uid="{00000000-0005-0000-0000-000004130000}"/>
    <cellStyle name="Header2 5 5 14" xfId="5795" xr:uid="{00000000-0005-0000-0000-000005130000}"/>
    <cellStyle name="Header2 5 5 15" xfId="5796" xr:uid="{00000000-0005-0000-0000-000006130000}"/>
    <cellStyle name="Header2 5 5 2" xfId="5797" xr:uid="{00000000-0005-0000-0000-000007130000}"/>
    <cellStyle name="Header2 5 5 2 10" xfId="5798" xr:uid="{00000000-0005-0000-0000-000008130000}"/>
    <cellStyle name="Header2 5 5 2 11" xfId="5799" xr:uid="{00000000-0005-0000-0000-000009130000}"/>
    <cellStyle name="Header2 5 5 2 12" xfId="5800" xr:uid="{00000000-0005-0000-0000-00000A130000}"/>
    <cellStyle name="Header2 5 5 2 13" xfId="5801" xr:uid="{00000000-0005-0000-0000-00000B130000}"/>
    <cellStyle name="Header2 5 5 2 14" xfId="5802" xr:uid="{00000000-0005-0000-0000-00000C130000}"/>
    <cellStyle name="Header2 5 5 2 2" xfId="5803" xr:uid="{00000000-0005-0000-0000-00000D130000}"/>
    <cellStyle name="Header2 5 5 2 3" xfId="5804" xr:uid="{00000000-0005-0000-0000-00000E130000}"/>
    <cellStyle name="Header2 5 5 2 4" xfId="5805" xr:uid="{00000000-0005-0000-0000-00000F130000}"/>
    <cellStyle name="Header2 5 5 2 5" xfId="5806" xr:uid="{00000000-0005-0000-0000-000010130000}"/>
    <cellStyle name="Header2 5 5 2 6" xfId="5807" xr:uid="{00000000-0005-0000-0000-000011130000}"/>
    <cellStyle name="Header2 5 5 2 7" xfId="5808" xr:uid="{00000000-0005-0000-0000-000012130000}"/>
    <cellStyle name="Header2 5 5 2 8" xfId="5809" xr:uid="{00000000-0005-0000-0000-000013130000}"/>
    <cellStyle name="Header2 5 5 2 9" xfId="5810" xr:uid="{00000000-0005-0000-0000-000014130000}"/>
    <cellStyle name="Header2 5 5 3" xfId="5811" xr:uid="{00000000-0005-0000-0000-000015130000}"/>
    <cellStyle name="Header2 5 5 4" xfId="5812" xr:uid="{00000000-0005-0000-0000-000016130000}"/>
    <cellStyle name="Header2 5 5 5" xfId="5813" xr:uid="{00000000-0005-0000-0000-000017130000}"/>
    <cellStyle name="Header2 5 5 6" xfId="5814" xr:uid="{00000000-0005-0000-0000-000018130000}"/>
    <cellStyle name="Header2 5 5 7" xfId="5815" xr:uid="{00000000-0005-0000-0000-000019130000}"/>
    <cellStyle name="Header2 5 5 8" xfId="5816" xr:uid="{00000000-0005-0000-0000-00001A130000}"/>
    <cellStyle name="Header2 5 5 9" xfId="5817" xr:uid="{00000000-0005-0000-0000-00001B130000}"/>
    <cellStyle name="Header2 5 6" xfId="5818" xr:uid="{00000000-0005-0000-0000-00001C130000}"/>
    <cellStyle name="Header2 5 6 10" xfId="5819" xr:uid="{00000000-0005-0000-0000-00001D130000}"/>
    <cellStyle name="Header2 5 6 11" xfId="5820" xr:uid="{00000000-0005-0000-0000-00001E130000}"/>
    <cellStyle name="Header2 5 6 12" xfId="5821" xr:uid="{00000000-0005-0000-0000-00001F130000}"/>
    <cellStyle name="Header2 5 6 13" xfId="5822" xr:uid="{00000000-0005-0000-0000-000020130000}"/>
    <cellStyle name="Header2 5 6 14" xfId="5823" xr:uid="{00000000-0005-0000-0000-000021130000}"/>
    <cellStyle name="Header2 5 6 15" xfId="5824" xr:uid="{00000000-0005-0000-0000-000022130000}"/>
    <cellStyle name="Header2 5 6 2" xfId="5825" xr:uid="{00000000-0005-0000-0000-000023130000}"/>
    <cellStyle name="Header2 5 6 2 10" xfId="5826" xr:uid="{00000000-0005-0000-0000-000024130000}"/>
    <cellStyle name="Header2 5 6 2 11" xfId="5827" xr:uid="{00000000-0005-0000-0000-000025130000}"/>
    <cellStyle name="Header2 5 6 2 12" xfId="5828" xr:uid="{00000000-0005-0000-0000-000026130000}"/>
    <cellStyle name="Header2 5 6 2 13" xfId="5829" xr:uid="{00000000-0005-0000-0000-000027130000}"/>
    <cellStyle name="Header2 5 6 2 14" xfId="5830" xr:uid="{00000000-0005-0000-0000-000028130000}"/>
    <cellStyle name="Header2 5 6 2 2" xfId="5831" xr:uid="{00000000-0005-0000-0000-000029130000}"/>
    <cellStyle name="Header2 5 6 2 3" xfId="5832" xr:uid="{00000000-0005-0000-0000-00002A130000}"/>
    <cellStyle name="Header2 5 6 2 4" xfId="5833" xr:uid="{00000000-0005-0000-0000-00002B130000}"/>
    <cellStyle name="Header2 5 6 2 5" xfId="5834" xr:uid="{00000000-0005-0000-0000-00002C130000}"/>
    <cellStyle name="Header2 5 6 2 6" xfId="5835" xr:uid="{00000000-0005-0000-0000-00002D130000}"/>
    <cellStyle name="Header2 5 6 2 7" xfId="5836" xr:uid="{00000000-0005-0000-0000-00002E130000}"/>
    <cellStyle name="Header2 5 6 2 8" xfId="5837" xr:uid="{00000000-0005-0000-0000-00002F130000}"/>
    <cellStyle name="Header2 5 6 2 9" xfId="5838" xr:uid="{00000000-0005-0000-0000-000030130000}"/>
    <cellStyle name="Header2 5 6 3" xfId="5839" xr:uid="{00000000-0005-0000-0000-000031130000}"/>
    <cellStyle name="Header2 5 6 4" xfId="5840" xr:uid="{00000000-0005-0000-0000-000032130000}"/>
    <cellStyle name="Header2 5 6 5" xfId="5841" xr:uid="{00000000-0005-0000-0000-000033130000}"/>
    <cellStyle name="Header2 5 6 6" xfId="5842" xr:uid="{00000000-0005-0000-0000-000034130000}"/>
    <cellStyle name="Header2 5 6 7" xfId="5843" xr:uid="{00000000-0005-0000-0000-000035130000}"/>
    <cellStyle name="Header2 5 6 8" xfId="5844" xr:uid="{00000000-0005-0000-0000-000036130000}"/>
    <cellStyle name="Header2 5 6 9" xfId="5845" xr:uid="{00000000-0005-0000-0000-000037130000}"/>
    <cellStyle name="Header2 5 7" xfId="5846" xr:uid="{00000000-0005-0000-0000-000038130000}"/>
    <cellStyle name="Header2 5 7 10" xfId="5847" xr:uid="{00000000-0005-0000-0000-000039130000}"/>
    <cellStyle name="Header2 5 7 11" xfId="5848" xr:uid="{00000000-0005-0000-0000-00003A130000}"/>
    <cellStyle name="Header2 5 7 12" xfId="5849" xr:uid="{00000000-0005-0000-0000-00003B130000}"/>
    <cellStyle name="Header2 5 7 13" xfId="5850" xr:uid="{00000000-0005-0000-0000-00003C130000}"/>
    <cellStyle name="Header2 5 7 14" xfId="5851" xr:uid="{00000000-0005-0000-0000-00003D130000}"/>
    <cellStyle name="Header2 5 7 15" xfId="5852" xr:uid="{00000000-0005-0000-0000-00003E130000}"/>
    <cellStyle name="Header2 5 7 2" xfId="5853" xr:uid="{00000000-0005-0000-0000-00003F130000}"/>
    <cellStyle name="Header2 5 7 2 10" xfId="5854" xr:uid="{00000000-0005-0000-0000-000040130000}"/>
    <cellStyle name="Header2 5 7 2 11" xfId="5855" xr:uid="{00000000-0005-0000-0000-000041130000}"/>
    <cellStyle name="Header2 5 7 2 12" xfId="5856" xr:uid="{00000000-0005-0000-0000-000042130000}"/>
    <cellStyle name="Header2 5 7 2 13" xfId="5857" xr:uid="{00000000-0005-0000-0000-000043130000}"/>
    <cellStyle name="Header2 5 7 2 14" xfId="5858" xr:uid="{00000000-0005-0000-0000-000044130000}"/>
    <cellStyle name="Header2 5 7 2 2" xfId="5859" xr:uid="{00000000-0005-0000-0000-000045130000}"/>
    <cellStyle name="Header2 5 7 2 3" xfId="5860" xr:uid="{00000000-0005-0000-0000-000046130000}"/>
    <cellStyle name="Header2 5 7 2 4" xfId="5861" xr:uid="{00000000-0005-0000-0000-000047130000}"/>
    <cellStyle name="Header2 5 7 2 5" xfId="5862" xr:uid="{00000000-0005-0000-0000-000048130000}"/>
    <cellStyle name="Header2 5 7 2 6" xfId="5863" xr:uid="{00000000-0005-0000-0000-000049130000}"/>
    <cellStyle name="Header2 5 7 2 7" xfId="5864" xr:uid="{00000000-0005-0000-0000-00004A130000}"/>
    <cellStyle name="Header2 5 7 2 8" xfId="5865" xr:uid="{00000000-0005-0000-0000-00004B130000}"/>
    <cellStyle name="Header2 5 7 2 9" xfId="5866" xr:uid="{00000000-0005-0000-0000-00004C130000}"/>
    <cellStyle name="Header2 5 7 3" xfId="5867" xr:uid="{00000000-0005-0000-0000-00004D130000}"/>
    <cellStyle name="Header2 5 7 4" xfId="5868" xr:uid="{00000000-0005-0000-0000-00004E130000}"/>
    <cellStyle name="Header2 5 7 5" xfId="5869" xr:uid="{00000000-0005-0000-0000-00004F130000}"/>
    <cellStyle name="Header2 5 7 6" xfId="5870" xr:uid="{00000000-0005-0000-0000-000050130000}"/>
    <cellStyle name="Header2 5 7 7" xfId="5871" xr:uid="{00000000-0005-0000-0000-000051130000}"/>
    <cellStyle name="Header2 5 7 8" xfId="5872" xr:uid="{00000000-0005-0000-0000-000052130000}"/>
    <cellStyle name="Header2 5 7 9" xfId="5873" xr:uid="{00000000-0005-0000-0000-000053130000}"/>
    <cellStyle name="Header2 5 8" xfId="5874" xr:uid="{00000000-0005-0000-0000-000054130000}"/>
    <cellStyle name="Header2 5 8 10" xfId="5875" xr:uid="{00000000-0005-0000-0000-000055130000}"/>
    <cellStyle name="Header2 5 8 11" xfId="5876" xr:uid="{00000000-0005-0000-0000-000056130000}"/>
    <cellStyle name="Header2 5 8 12" xfId="5877" xr:uid="{00000000-0005-0000-0000-000057130000}"/>
    <cellStyle name="Header2 5 8 13" xfId="5878" xr:uid="{00000000-0005-0000-0000-000058130000}"/>
    <cellStyle name="Header2 5 8 14" xfId="5879" xr:uid="{00000000-0005-0000-0000-000059130000}"/>
    <cellStyle name="Header2 5 8 15" xfId="5880" xr:uid="{00000000-0005-0000-0000-00005A130000}"/>
    <cellStyle name="Header2 5 8 2" xfId="5881" xr:uid="{00000000-0005-0000-0000-00005B130000}"/>
    <cellStyle name="Header2 5 8 2 10" xfId="5882" xr:uid="{00000000-0005-0000-0000-00005C130000}"/>
    <cellStyle name="Header2 5 8 2 11" xfId="5883" xr:uid="{00000000-0005-0000-0000-00005D130000}"/>
    <cellStyle name="Header2 5 8 2 12" xfId="5884" xr:uid="{00000000-0005-0000-0000-00005E130000}"/>
    <cellStyle name="Header2 5 8 2 13" xfId="5885" xr:uid="{00000000-0005-0000-0000-00005F130000}"/>
    <cellStyle name="Header2 5 8 2 14" xfId="5886" xr:uid="{00000000-0005-0000-0000-000060130000}"/>
    <cellStyle name="Header2 5 8 2 2" xfId="5887" xr:uid="{00000000-0005-0000-0000-000061130000}"/>
    <cellStyle name="Header2 5 8 2 3" xfId="5888" xr:uid="{00000000-0005-0000-0000-000062130000}"/>
    <cellStyle name="Header2 5 8 2 4" xfId="5889" xr:uid="{00000000-0005-0000-0000-000063130000}"/>
    <cellStyle name="Header2 5 8 2 5" xfId="5890" xr:uid="{00000000-0005-0000-0000-000064130000}"/>
    <cellStyle name="Header2 5 8 2 6" xfId="5891" xr:uid="{00000000-0005-0000-0000-000065130000}"/>
    <cellStyle name="Header2 5 8 2 7" xfId="5892" xr:uid="{00000000-0005-0000-0000-000066130000}"/>
    <cellStyle name="Header2 5 8 2 8" xfId="5893" xr:uid="{00000000-0005-0000-0000-000067130000}"/>
    <cellStyle name="Header2 5 8 2 9" xfId="5894" xr:uid="{00000000-0005-0000-0000-000068130000}"/>
    <cellStyle name="Header2 5 8 3" xfId="5895" xr:uid="{00000000-0005-0000-0000-000069130000}"/>
    <cellStyle name="Header2 5 8 4" xfId="5896" xr:uid="{00000000-0005-0000-0000-00006A130000}"/>
    <cellStyle name="Header2 5 8 5" xfId="5897" xr:uid="{00000000-0005-0000-0000-00006B130000}"/>
    <cellStyle name="Header2 5 8 6" xfId="5898" xr:uid="{00000000-0005-0000-0000-00006C130000}"/>
    <cellStyle name="Header2 5 8 7" xfId="5899" xr:uid="{00000000-0005-0000-0000-00006D130000}"/>
    <cellStyle name="Header2 5 8 8" xfId="5900" xr:uid="{00000000-0005-0000-0000-00006E130000}"/>
    <cellStyle name="Header2 5 8 9" xfId="5901" xr:uid="{00000000-0005-0000-0000-00006F130000}"/>
    <cellStyle name="Header2 5 9" xfId="5902" xr:uid="{00000000-0005-0000-0000-000070130000}"/>
    <cellStyle name="Header2 5 9 10" xfId="5903" xr:uid="{00000000-0005-0000-0000-000071130000}"/>
    <cellStyle name="Header2 5 9 11" xfId="5904" xr:uid="{00000000-0005-0000-0000-000072130000}"/>
    <cellStyle name="Header2 5 9 12" xfId="5905" xr:uid="{00000000-0005-0000-0000-000073130000}"/>
    <cellStyle name="Header2 5 9 13" xfId="5906" xr:uid="{00000000-0005-0000-0000-000074130000}"/>
    <cellStyle name="Header2 5 9 14" xfId="5907" xr:uid="{00000000-0005-0000-0000-000075130000}"/>
    <cellStyle name="Header2 5 9 15" xfId="5908" xr:uid="{00000000-0005-0000-0000-000076130000}"/>
    <cellStyle name="Header2 5 9 2" xfId="5909" xr:uid="{00000000-0005-0000-0000-000077130000}"/>
    <cellStyle name="Header2 5 9 2 10" xfId="5910" xr:uid="{00000000-0005-0000-0000-000078130000}"/>
    <cellStyle name="Header2 5 9 2 11" xfId="5911" xr:uid="{00000000-0005-0000-0000-000079130000}"/>
    <cellStyle name="Header2 5 9 2 12" xfId="5912" xr:uid="{00000000-0005-0000-0000-00007A130000}"/>
    <cellStyle name="Header2 5 9 2 13" xfId="5913" xr:uid="{00000000-0005-0000-0000-00007B130000}"/>
    <cellStyle name="Header2 5 9 2 14" xfId="5914" xr:uid="{00000000-0005-0000-0000-00007C130000}"/>
    <cellStyle name="Header2 5 9 2 2" xfId="5915" xr:uid="{00000000-0005-0000-0000-00007D130000}"/>
    <cellStyle name="Header2 5 9 2 3" xfId="5916" xr:uid="{00000000-0005-0000-0000-00007E130000}"/>
    <cellStyle name="Header2 5 9 2 4" xfId="5917" xr:uid="{00000000-0005-0000-0000-00007F130000}"/>
    <cellStyle name="Header2 5 9 2 5" xfId="5918" xr:uid="{00000000-0005-0000-0000-000080130000}"/>
    <cellStyle name="Header2 5 9 2 6" xfId="5919" xr:uid="{00000000-0005-0000-0000-000081130000}"/>
    <cellStyle name="Header2 5 9 2 7" xfId="5920" xr:uid="{00000000-0005-0000-0000-000082130000}"/>
    <cellStyle name="Header2 5 9 2 8" xfId="5921" xr:uid="{00000000-0005-0000-0000-000083130000}"/>
    <cellStyle name="Header2 5 9 2 9" xfId="5922" xr:uid="{00000000-0005-0000-0000-000084130000}"/>
    <cellStyle name="Header2 5 9 3" xfId="5923" xr:uid="{00000000-0005-0000-0000-000085130000}"/>
    <cellStyle name="Header2 5 9 4" xfId="5924" xr:uid="{00000000-0005-0000-0000-000086130000}"/>
    <cellStyle name="Header2 5 9 5" xfId="5925" xr:uid="{00000000-0005-0000-0000-000087130000}"/>
    <cellStyle name="Header2 5 9 6" xfId="5926" xr:uid="{00000000-0005-0000-0000-000088130000}"/>
    <cellStyle name="Header2 5 9 7" xfId="5927" xr:uid="{00000000-0005-0000-0000-000089130000}"/>
    <cellStyle name="Header2 5 9 8" xfId="5928" xr:uid="{00000000-0005-0000-0000-00008A130000}"/>
    <cellStyle name="Header2 5 9 9" xfId="5929" xr:uid="{00000000-0005-0000-0000-00008B130000}"/>
    <cellStyle name="Header2 6" xfId="5930" xr:uid="{00000000-0005-0000-0000-00008C130000}"/>
    <cellStyle name="Header2 6 10" xfId="5931" xr:uid="{00000000-0005-0000-0000-00008D130000}"/>
    <cellStyle name="Header2 6 10 10" xfId="5932" xr:uid="{00000000-0005-0000-0000-00008E130000}"/>
    <cellStyle name="Header2 6 10 11" xfId="5933" xr:uid="{00000000-0005-0000-0000-00008F130000}"/>
    <cellStyle name="Header2 6 10 12" xfId="5934" xr:uid="{00000000-0005-0000-0000-000090130000}"/>
    <cellStyle name="Header2 6 10 13" xfId="5935" xr:uid="{00000000-0005-0000-0000-000091130000}"/>
    <cellStyle name="Header2 6 10 14" xfId="5936" xr:uid="{00000000-0005-0000-0000-000092130000}"/>
    <cellStyle name="Header2 6 10 15" xfId="5937" xr:uid="{00000000-0005-0000-0000-000093130000}"/>
    <cellStyle name="Header2 6 10 2" xfId="5938" xr:uid="{00000000-0005-0000-0000-000094130000}"/>
    <cellStyle name="Header2 6 10 2 10" xfId="5939" xr:uid="{00000000-0005-0000-0000-000095130000}"/>
    <cellStyle name="Header2 6 10 2 11" xfId="5940" xr:uid="{00000000-0005-0000-0000-000096130000}"/>
    <cellStyle name="Header2 6 10 2 12" xfId="5941" xr:uid="{00000000-0005-0000-0000-000097130000}"/>
    <cellStyle name="Header2 6 10 2 13" xfId="5942" xr:uid="{00000000-0005-0000-0000-000098130000}"/>
    <cellStyle name="Header2 6 10 2 14" xfId="5943" xr:uid="{00000000-0005-0000-0000-000099130000}"/>
    <cellStyle name="Header2 6 10 2 2" xfId="5944" xr:uid="{00000000-0005-0000-0000-00009A130000}"/>
    <cellStyle name="Header2 6 10 2 3" xfId="5945" xr:uid="{00000000-0005-0000-0000-00009B130000}"/>
    <cellStyle name="Header2 6 10 2 4" xfId="5946" xr:uid="{00000000-0005-0000-0000-00009C130000}"/>
    <cellStyle name="Header2 6 10 2 5" xfId="5947" xr:uid="{00000000-0005-0000-0000-00009D130000}"/>
    <cellStyle name="Header2 6 10 2 6" xfId="5948" xr:uid="{00000000-0005-0000-0000-00009E130000}"/>
    <cellStyle name="Header2 6 10 2 7" xfId="5949" xr:uid="{00000000-0005-0000-0000-00009F130000}"/>
    <cellStyle name="Header2 6 10 2 8" xfId="5950" xr:uid="{00000000-0005-0000-0000-0000A0130000}"/>
    <cellStyle name="Header2 6 10 2 9" xfId="5951" xr:uid="{00000000-0005-0000-0000-0000A1130000}"/>
    <cellStyle name="Header2 6 10 3" xfId="5952" xr:uid="{00000000-0005-0000-0000-0000A2130000}"/>
    <cellStyle name="Header2 6 10 4" xfId="5953" xr:uid="{00000000-0005-0000-0000-0000A3130000}"/>
    <cellStyle name="Header2 6 10 5" xfId="5954" xr:uid="{00000000-0005-0000-0000-0000A4130000}"/>
    <cellStyle name="Header2 6 10 6" xfId="5955" xr:uid="{00000000-0005-0000-0000-0000A5130000}"/>
    <cellStyle name="Header2 6 10 7" xfId="5956" xr:uid="{00000000-0005-0000-0000-0000A6130000}"/>
    <cellStyle name="Header2 6 10 8" xfId="5957" xr:uid="{00000000-0005-0000-0000-0000A7130000}"/>
    <cellStyle name="Header2 6 10 9" xfId="5958" xr:uid="{00000000-0005-0000-0000-0000A8130000}"/>
    <cellStyle name="Header2 6 11" xfId="5959" xr:uid="{00000000-0005-0000-0000-0000A9130000}"/>
    <cellStyle name="Header2 6 11 10" xfId="5960" xr:uid="{00000000-0005-0000-0000-0000AA130000}"/>
    <cellStyle name="Header2 6 11 11" xfId="5961" xr:uid="{00000000-0005-0000-0000-0000AB130000}"/>
    <cellStyle name="Header2 6 11 12" xfId="5962" xr:uid="{00000000-0005-0000-0000-0000AC130000}"/>
    <cellStyle name="Header2 6 11 13" xfId="5963" xr:uid="{00000000-0005-0000-0000-0000AD130000}"/>
    <cellStyle name="Header2 6 11 14" xfId="5964" xr:uid="{00000000-0005-0000-0000-0000AE130000}"/>
    <cellStyle name="Header2 6 11 2" xfId="5965" xr:uid="{00000000-0005-0000-0000-0000AF130000}"/>
    <cellStyle name="Header2 6 11 3" xfId="5966" xr:uid="{00000000-0005-0000-0000-0000B0130000}"/>
    <cellStyle name="Header2 6 11 4" xfId="5967" xr:uid="{00000000-0005-0000-0000-0000B1130000}"/>
    <cellStyle name="Header2 6 11 5" xfId="5968" xr:uid="{00000000-0005-0000-0000-0000B2130000}"/>
    <cellStyle name="Header2 6 11 6" xfId="5969" xr:uid="{00000000-0005-0000-0000-0000B3130000}"/>
    <cellStyle name="Header2 6 11 7" xfId="5970" xr:uid="{00000000-0005-0000-0000-0000B4130000}"/>
    <cellStyle name="Header2 6 11 8" xfId="5971" xr:uid="{00000000-0005-0000-0000-0000B5130000}"/>
    <cellStyle name="Header2 6 11 9" xfId="5972" xr:uid="{00000000-0005-0000-0000-0000B6130000}"/>
    <cellStyle name="Header2 6 12" xfId="5973" xr:uid="{00000000-0005-0000-0000-0000B7130000}"/>
    <cellStyle name="Header2 6 13" xfId="5974" xr:uid="{00000000-0005-0000-0000-0000B8130000}"/>
    <cellStyle name="Header2 6 14" xfId="5975" xr:uid="{00000000-0005-0000-0000-0000B9130000}"/>
    <cellStyle name="Header2 6 15" xfId="5976" xr:uid="{00000000-0005-0000-0000-0000BA130000}"/>
    <cellStyle name="Header2 6 16" xfId="5977" xr:uid="{00000000-0005-0000-0000-0000BB130000}"/>
    <cellStyle name="Header2 6 17" xfId="5978" xr:uid="{00000000-0005-0000-0000-0000BC130000}"/>
    <cellStyle name="Header2 6 18" xfId="5979" xr:uid="{00000000-0005-0000-0000-0000BD130000}"/>
    <cellStyle name="Header2 6 19" xfId="5980" xr:uid="{00000000-0005-0000-0000-0000BE130000}"/>
    <cellStyle name="Header2 6 2" xfId="5981" xr:uid="{00000000-0005-0000-0000-0000BF130000}"/>
    <cellStyle name="Header2 6 2 10" xfId="5982" xr:uid="{00000000-0005-0000-0000-0000C0130000}"/>
    <cellStyle name="Header2 6 2 11" xfId="5983" xr:uid="{00000000-0005-0000-0000-0000C1130000}"/>
    <cellStyle name="Header2 6 2 12" xfId="5984" xr:uid="{00000000-0005-0000-0000-0000C2130000}"/>
    <cellStyle name="Header2 6 2 13" xfId="5985" xr:uid="{00000000-0005-0000-0000-0000C3130000}"/>
    <cellStyle name="Header2 6 2 14" xfId="5986" xr:uid="{00000000-0005-0000-0000-0000C4130000}"/>
    <cellStyle name="Header2 6 2 15" xfId="5987" xr:uid="{00000000-0005-0000-0000-0000C5130000}"/>
    <cellStyle name="Header2 6 2 2" xfId="5988" xr:uid="{00000000-0005-0000-0000-0000C6130000}"/>
    <cellStyle name="Header2 6 2 2 10" xfId="5989" xr:uid="{00000000-0005-0000-0000-0000C7130000}"/>
    <cellStyle name="Header2 6 2 2 11" xfId="5990" xr:uid="{00000000-0005-0000-0000-0000C8130000}"/>
    <cellStyle name="Header2 6 2 2 12" xfId="5991" xr:uid="{00000000-0005-0000-0000-0000C9130000}"/>
    <cellStyle name="Header2 6 2 2 13" xfId="5992" xr:uid="{00000000-0005-0000-0000-0000CA130000}"/>
    <cellStyle name="Header2 6 2 2 14" xfId="5993" xr:uid="{00000000-0005-0000-0000-0000CB130000}"/>
    <cellStyle name="Header2 6 2 2 2" xfId="5994" xr:uid="{00000000-0005-0000-0000-0000CC130000}"/>
    <cellStyle name="Header2 6 2 2 3" xfId="5995" xr:uid="{00000000-0005-0000-0000-0000CD130000}"/>
    <cellStyle name="Header2 6 2 2 4" xfId="5996" xr:uid="{00000000-0005-0000-0000-0000CE130000}"/>
    <cellStyle name="Header2 6 2 2 5" xfId="5997" xr:uid="{00000000-0005-0000-0000-0000CF130000}"/>
    <cellStyle name="Header2 6 2 2 6" xfId="5998" xr:uid="{00000000-0005-0000-0000-0000D0130000}"/>
    <cellStyle name="Header2 6 2 2 7" xfId="5999" xr:uid="{00000000-0005-0000-0000-0000D1130000}"/>
    <cellStyle name="Header2 6 2 2 8" xfId="6000" xr:uid="{00000000-0005-0000-0000-0000D2130000}"/>
    <cellStyle name="Header2 6 2 2 9" xfId="6001" xr:uid="{00000000-0005-0000-0000-0000D3130000}"/>
    <cellStyle name="Header2 6 2 3" xfId="6002" xr:uid="{00000000-0005-0000-0000-0000D4130000}"/>
    <cellStyle name="Header2 6 2 4" xfId="6003" xr:uid="{00000000-0005-0000-0000-0000D5130000}"/>
    <cellStyle name="Header2 6 2 5" xfId="6004" xr:uid="{00000000-0005-0000-0000-0000D6130000}"/>
    <cellStyle name="Header2 6 2 6" xfId="6005" xr:uid="{00000000-0005-0000-0000-0000D7130000}"/>
    <cellStyle name="Header2 6 2 7" xfId="6006" xr:uid="{00000000-0005-0000-0000-0000D8130000}"/>
    <cellStyle name="Header2 6 2 8" xfId="6007" xr:uid="{00000000-0005-0000-0000-0000D9130000}"/>
    <cellStyle name="Header2 6 2 9" xfId="6008" xr:uid="{00000000-0005-0000-0000-0000DA130000}"/>
    <cellStyle name="Header2 6 20" xfId="6009" xr:uid="{00000000-0005-0000-0000-0000DB130000}"/>
    <cellStyle name="Header2 6 21" xfId="6010" xr:uid="{00000000-0005-0000-0000-0000DC130000}"/>
    <cellStyle name="Header2 6 22" xfId="6011" xr:uid="{00000000-0005-0000-0000-0000DD130000}"/>
    <cellStyle name="Header2 6 23" xfId="6012" xr:uid="{00000000-0005-0000-0000-0000DE130000}"/>
    <cellStyle name="Header2 6 24" xfId="6013" xr:uid="{00000000-0005-0000-0000-0000DF130000}"/>
    <cellStyle name="Header2 6 3" xfId="6014" xr:uid="{00000000-0005-0000-0000-0000E0130000}"/>
    <cellStyle name="Header2 6 3 10" xfId="6015" xr:uid="{00000000-0005-0000-0000-0000E1130000}"/>
    <cellStyle name="Header2 6 3 11" xfId="6016" xr:uid="{00000000-0005-0000-0000-0000E2130000}"/>
    <cellStyle name="Header2 6 3 12" xfId="6017" xr:uid="{00000000-0005-0000-0000-0000E3130000}"/>
    <cellStyle name="Header2 6 3 13" xfId="6018" xr:uid="{00000000-0005-0000-0000-0000E4130000}"/>
    <cellStyle name="Header2 6 3 14" xfId="6019" xr:uid="{00000000-0005-0000-0000-0000E5130000}"/>
    <cellStyle name="Header2 6 3 15" xfId="6020" xr:uid="{00000000-0005-0000-0000-0000E6130000}"/>
    <cellStyle name="Header2 6 3 2" xfId="6021" xr:uid="{00000000-0005-0000-0000-0000E7130000}"/>
    <cellStyle name="Header2 6 3 2 10" xfId="6022" xr:uid="{00000000-0005-0000-0000-0000E8130000}"/>
    <cellStyle name="Header2 6 3 2 11" xfId="6023" xr:uid="{00000000-0005-0000-0000-0000E9130000}"/>
    <cellStyle name="Header2 6 3 2 12" xfId="6024" xr:uid="{00000000-0005-0000-0000-0000EA130000}"/>
    <cellStyle name="Header2 6 3 2 13" xfId="6025" xr:uid="{00000000-0005-0000-0000-0000EB130000}"/>
    <cellStyle name="Header2 6 3 2 14" xfId="6026" xr:uid="{00000000-0005-0000-0000-0000EC130000}"/>
    <cellStyle name="Header2 6 3 2 2" xfId="6027" xr:uid="{00000000-0005-0000-0000-0000ED130000}"/>
    <cellStyle name="Header2 6 3 2 3" xfId="6028" xr:uid="{00000000-0005-0000-0000-0000EE130000}"/>
    <cellStyle name="Header2 6 3 2 4" xfId="6029" xr:uid="{00000000-0005-0000-0000-0000EF130000}"/>
    <cellStyle name="Header2 6 3 2 5" xfId="6030" xr:uid="{00000000-0005-0000-0000-0000F0130000}"/>
    <cellStyle name="Header2 6 3 2 6" xfId="6031" xr:uid="{00000000-0005-0000-0000-0000F1130000}"/>
    <cellStyle name="Header2 6 3 2 7" xfId="6032" xr:uid="{00000000-0005-0000-0000-0000F2130000}"/>
    <cellStyle name="Header2 6 3 2 8" xfId="6033" xr:uid="{00000000-0005-0000-0000-0000F3130000}"/>
    <cellStyle name="Header2 6 3 2 9" xfId="6034" xr:uid="{00000000-0005-0000-0000-0000F4130000}"/>
    <cellStyle name="Header2 6 3 3" xfId="6035" xr:uid="{00000000-0005-0000-0000-0000F5130000}"/>
    <cellStyle name="Header2 6 3 4" xfId="6036" xr:uid="{00000000-0005-0000-0000-0000F6130000}"/>
    <cellStyle name="Header2 6 3 5" xfId="6037" xr:uid="{00000000-0005-0000-0000-0000F7130000}"/>
    <cellStyle name="Header2 6 3 6" xfId="6038" xr:uid="{00000000-0005-0000-0000-0000F8130000}"/>
    <cellStyle name="Header2 6 3 7" xfId="6039" xr:uid="{00000000-0005-0000-0000-0000F9130000}"/>
    <cellStyle name="Header2 6 3 8" xfId="6040" xr:uid="{00000000-0005-0000-0000-0000FA130000}"/>
    <cellStyle name="Header2 6 3 9" xfId="6041" xr:uid="{00000000-0005-0000-0000-0000FB130000}"/>
    <cellStyle name="Header2 6 4" xfId="6042" xr:uid="{00000000-0005-0000-0000-0000FC130000}"/>
    <cellStyle name="Header2 6 4 10" xfId="6043" xr:uid="{00000000-0005-0000-0000-0000FD130000}"/>
    <cellStyle name="Header2 6 4 11" xfId="6044" xr:uid="{00000000-0005-0000-0000-0000FE130000}"/>
    <cellStyle name="Header2 6 4 12" xfId="6045" xr:uid="{00000000-0005-0000-0000-0000FF130000}"/>
    <cellStyle name="Header2 6 4 13" xfId="6046" xr:uid="{00000000-0005-0000-0000-000000140000}"/>
    <cellStyle name="Header2 6 4 14" xfId="6047" xr:uid="{00000000-0005-0000-0000-000001140000}"/>
    <cellStyle name="Header2 6 4 15" xfId="6048" xr:uid="{00000000-0005-0000-0000-000002140000}"/>
    <cellStyle name="Header2 6 4 2" xfId="6049" xr:uid="{00000000-0005-0000-0000-000003140000}"/>
    <cellStyle name="Header2 6 4 2 10" xfId="6050" xr:uid="{00000000-0005-0000-0000-000004140000}"/>
    <cellStyle name="Header2 6 4 2 11" xfId="6051" xr:uid="{00000000-0005-0000-0000-000005140000}"/>
    <cellStyle name="Header2 6 4 2 12" xfId="6052" xr:uid="{00000000-0005-0000-0000-000006140000}"/>
    <cellStyle name="Header2 6 4 2 13" xfId="6053" xr:uid="{00000000-0005-0000-0000-000007140000}"/>
    <cellStyle name="Header2 6 4 2 14" xfId="6054" xr:uid="{00000000-0005-0000-0000-000008140000}"/>
    <cellStyle name="Header2 6 4 2 2" xfId="6055" xr:uid="{00000000-0005-0000-0000-000009140000}"/>
    <cellStyle name="Header2 6 4 2 3" xfId="6056" xr:uid="{00000000-0005-0000-0000-00000A140000}"/>
    <cellStyle name="Header2 6 4 2 4" xfId="6057" xr:uid="{00000000-0005-0000-0000-00000B140000}"/>
    <cellStyle name="Header2 6 4 2 5" xfId="6058" xr:uid="{00000000-0005-0000-0000-00000C140000}"/>
    <cellStyle name="Header2 6 4 2 6" xfId="6059" xr:uid="{00000000-0005-0000-0000-00000D140000}"/>
    <cellStyle name="Header2 6 4 2 7" xfId="6060" xr:uid="{00000000-0005-0000-0000-00000E140000}"/>
    <cellStyle name="Header2 6 4 2 8" xfId="6061" xr:uid="{00000000-0005-0000-0000-00000F140000}"/>
    <cellStyle name="Header2 6 4 2 9" xfId="6062" xr:uid="{00000000-0005-0000-0000-000010140000}"/>
    <cellStyle name="Header2 6 4 3" xfId="6063" xr:uid="{00000000-0005-0000-0000-000011140000}"/>
    <cellStyle name="Header2 6 4 4" xfId="6064" xr:uid="{00000000-0005-0000-0000-000012140000}"/>
    <cellStyle name="Header2 6 4 5" xfId="6065" xr:uid="{00000000-0005-0000-0000-000013140000}"/>
    <cellStyle name="Header2 6 4 6" xfId="6066" xr:uid="{00000000-0005-0000-0000-000014140000}"/>
    <cellStyle name="Header2 6 4 7" xfId="6067" xr:uid="{00000000-0005-0000-0000-000015140000}"/>
    <cellStyle name="Header2 6 4 8" xfId="6068" xr:uid="{00000000-0005-0000-0000-000016140000}"/>
    <cellStyle name="Header2 6 4 9" xfId="6069" xr:uid="{00000000-0005-0000-0000-000017140000}"/>
    <cellStyle name="Header2 6 5" xfId="6070" xr:uid="{00000000-0005-0000-0000-000018140000}"/>
    <cellStyle name="Header2 6 5 10" xfId="6071" xr:uid="{00000000-0005-0000-0000-000019140000}"/>
    <cellStyle name="Header2 6 5 11" xfId="6072" xr:uid="{00000000-0005-0000-0000-00001A140000}"/>
    <cellStyle name="Header2 6 5 12" xfId="6073" xr:uid="{00000000-0005-0000-0000-00001B140000}"/>
    <cellStyle name="Header2 6 5 13" xfId="6074" xr:uid="{00000000-0005-0000-0000-00001C140000}"/>
    <cellStyle name="Header2 6 5 14" xfId="6075" xr:uid="{00000000-0005-0000-0000-00001D140000}"/>
    <cellStyle name="Header2 6 5 15" xfId="6076" xr:uid="{00000000-0005-0000-0000-00001E140000}"/>
    <cellStyle name="Header2 6 5 2" xfId="6077" xr:uid="{00000000-0005-0000-0000-00001F140000}"/>
    <cellStyle name="Header2 6 5 2 10" xfId="6078" xr:uid="{00000000-0005-0000-0000-000020140000}"/>
    <cellStyle name="Header2 6 5 2 11" xfId="6079" xr:uid="{00000000-0005-0000-0000-000021140000}"/>
    <cellStyle name="Header2 6 5 2 12" xfId="6080" xr:uid="{00000000-0005-0000-0000-000022140000}"/>
    <cellStyle name="Header2 6 5 2 13" xfId="6081" xr:uid="{00000000-0005-0000-0000-000023140000}"/>
    <cellStyle name="Header2 6 5 2 14" xfId="6082" xr:uid="{00000000-0005-0000-0000-000024140000}"/>
    <cellStyle name="Header2 6 5 2 2" xfId="6083" xr:uid="{00000000-0005-0000-0000-000025140000}"/>
    <cellStyle name="Header2 6 5 2 3" xfId="6084" xr:uid="{00000000-0005-0000-0000-000026140000}"/>
    <cellStyle name="Header2 6 5 2 4" xfId="6085" xr:uid="{00000000-0005-0000-0000-000027140000}"/>
    <cellStyle name="Header2 6 5 2 5" xfId="6086" xr:uid="{00000000-0005-0000-0000-000028140000}"/>
    <cellStyle name="Header2 6 5 2 6" xfId="6087" xr:uid="{00000000-0005-0000-0000-000029140000}"/>
    <cellStyle name="Header2 6 5 2 7" xfId="6088" xr:uid="{00000000-0005-0000-0000-00002A140000}"/>
    <cellStyle name="Header2 6 5 2 8" xfId="6089" xr:uid="{00000000-0005-0000-0000-00002B140000}"/>
    <cellStyle name="Header2 6 5 2 9" xfId="6090" xr:uid="{00000000-0005-0000-0000-00002C140000}"/>
    <cellStyle name="Header2 6 5 3" xfId="6091" xr:uid="{00000000-0005-0000-0000-00002D140000}"/>
    <cellStyle name="Header2 6 5 4" xfId="6092" xr:uid="{00000000-0005-0000-0000-00002E140000}"/>
    <cellStyle name="Header2 6 5 5" xfId="6093" xr:uid="{00000000-0005-0000-0000-00002F140000}"/>
    <cellStyle name="Header2 6 5 6" xfId="6094" xr:uid="{00000000-0005-0000-0000-000030140000}"/>
    <cellStyle name="Header2 6 5 7" xfId="6095" xr:uid="{00000000-0005-0000-0000-000031140000}"/>
    <cellStyle name="Header2 6 5 8" xfId="6096" xr:uid="{00000000-0005-0000-0000-000032140000}"/>
    <cellStyle name="Header2 6 5 9" xfId="6097" xr:uid="{00000000-0005-0000-0000-000033140000}"/>
    <cellStyle name="Header2 6 6" xfId="6098" xr:uid="{00000000-0005-0000-0000-000034140000}"/>
    <cellStyle name="Header2 6 6 10" xfId="6099" xr:uid="{00000000-0005-0000-0000-000035140000}"/>
    <cellStyle name="Header2 6 6 11" xfId="6100" xr:uid="{00000000-0005-0000-0000-000036140000}"/>
    <cellStyle name="Header2 6 6 12" xfId="6101" xr:uid="{00000000-0005-0000-0000-000037140000}"/>
    <cellStyle name="Header2 6 6 13" xfId="6102" xr:uid="{00000000-0005-0000-0000-000038140000}"/>
    <cellStyle name="Header2 6 6 14" xfId="6103" xr:uid="{00000000-0005-0000-0000-000039140000}"/>
    <cellStyle name="Header2 6 6 15" xfId="6104" xr:uid="{00000000-0005-0000-0000-00003A140000}"/>
    <cellStyle name="Header2 6 6 2" xfId="6105" xr:uid="{00000000-0005-0000-0000-00003B140000}"/>
    <cellStyle name="Header2 6 6 2 10" xfId="6106" xr:uid="{00000000-0005-0000-0000-00003C140000}"/>
    <cellStyle name="Header2 6 6 2 11" xfId="6107" xr:uid="{00000000-0005-0000-0000-00003D140000}"/>
    <cellStyle name="Header2 6 6 2 12" xfId="6108" xr:uid="{00000000-0005-0000-0000-00003E140000}"/>
    <cellStyle name="Header2 6 6 2 13" xfId="6109" xr:uid="{00000000-0005-0000-0000-00003F140000}"/>
    <cellStyle name="Header2 6 6 2 14" xfId="6110" xr:uid="{00000000-0005-0000-0000-000040140000}"/>
    <cellStyle name="Header2 6 6 2 2" xfId="6111" xr:uid="{00000000-0005-0000-0000-000041140000}"/>
    <cellStyle name="Header2 6 6 2 3" xfId="6112" xr:uid="{00000000-0005-0000-0000-000042140000}"/>
    <cellStyle name="Header2 6 6 2 4" xfId="6113" xr:uid="{00000000-0005-0000-0000-000043140000}"/>
    <cellStyle name="Header2 6 6 2 5" xfId="6114" xr:uid="{00000000-0005-0000-0000-000044140000}"/>
    <cellStyle name="Header2 6 6 2 6" xfId="6115" xr:uid="{00000000-0005-0000-0000-000045140000}"/>
    <cellStyle name="Header2 6 6 2 7" xfId="6116" xr:uid="{00000000-0005-0000-0000-000046140000}"/>
    <cellStyle name="Header2 6 6 2 8" xfId="6117" xr:uid="{00000000-0005-0000-0000-000047140000}"/>
    <cellStyle name="Header2 6 6 2 9" xfId="6118" xr:uid="{00000000-0005-0000-0000-000048140000}"/>
    <cellStyle name="Header2 6 6 3" xfId="6119" xr:uid="{00000000-0005-0000-0000-000049140000}"/>
    <cellStyle name="Header2 6 6 4" xfId="6120" xr:uid="{00000000-0005-0000-0000-00004A140000}"/>
    <cellStyle name="Header2 6 6 5" xfId="6121" xr:uid="{00000000-0005-0000-0000-00004B140000}"/>
    <cellStyle name="Header2 6 6 6" xfId="6122" xr:uid="{00000000-0005-0000-0000-00004C140000}"/>
    <cellStyle name="Header2 6 6 7" xfId="6123" xr:uid="{00000000-0005-0000-0000-00004D140000}"/>
    <cellStyle name="Header2 6 6 8" xfId="6124" xr:uid="{00000000-0005-0000-0000-00004E140000}"/>
    <cellStyle name="Header2 6 6 9" xfId="6125" xr:uid="{00000000-0005-0000-0000-00004F140000}"/>
    <cellStyle name="Header2 6 7" xfId="6126" xr:uid="{00000000-0005-0000-0000-000050140000}"/>
    <cellStyle name="Header2 6 7 10" xfId="6127" xr:uid="{00000000-0005-0000-0000-000051140000}"/>
    <cellStyle name="Header2 6 7 11" xfId="6128" xr:uid="{00000000-0005-0000-0000-000052140000}"/>
    <cellStyle name="Header2 6 7 12" xfId="6129" xr:uid="{00000000-0005-0000-0000-000053140000}"/>
    <cellStyle name="Header2 6 7 13" xfId="6130" xr:uid="{00000000-0005-0000-0000-000054140000}"/>
    <cellStyle name="Header2 6 7 14" xfId="6131" xr:uid="{00000000-0005-0000-0000-000055140000}"/>
    <cellStyle name="Header2 6 7 15" xfId="6132" xr:uid="{00000000-0005-0000-0000-000056140000}"/>
    <cellStyle name="Header2 6 7 2" xfId="6133" xr:uid="{00000000-0005-0000-0000-000057140000}"/>
    <cellStyle name="Header2 6 7 2 10" xfId="6134" xr:uid="{00000000-0005-0000-0000-000058140000}"/>
    <cellStyle name="Header2 6 7 2 11" xfId="6135" xr:uid="{00000000-0005-0000-0000-000059140000}"/>
    <cellStyle name="Header2 6 7 2 12" xfId="6136" xr:uid="{00000000-0005-0000-0000-00005A140000}"/>
    <cellStyle name="Header2 6 7 2 13" xfId="6137" xr:uid="{00000000-0005-0000-0000-00005B140000}"/>
    <cellStyle name="Header2 6 7 2 14" xfId="6138" xr:uid="{00000000-0005-0000-0000-00005C140000}"/>
    <cellStyle name="Header2 6 7 2 2" xfId="6139" xr:uid="{00000000-0005-0000-0000-00005D140000}"/>
    <cellStyle name="Header2 6 7 2 3" xfId="6140" xr:uid="{00000000-0005-0000-0000-00005E140000}"/>
    <cellStyle name="Header2 6 7 2 4" xfId="6141" xr:uid="{00000000-0005-0000-0000-00005F140000}"/>
    <cellStyle name="Header2 6 7 2 5" xfId="6142" xr:uid="{00000000-0005-0000-0000-000060140000}"/>
    <cellStyle name="Header2 6 7 2 6" xfId="6143" xr:uid="{00000000-0005-0000-0000-000061140000}"/>
    <cellStyle name="Header2 6 7 2 7" xfId="6144" xr:uid="{00000000-0005-0000-0000-000062140000}"/>
    <cellStyle name="Header2 6 7 2 8" xfId="6145" xr:uid="{00000000-0005-0000-0000-000063140000}"/>
    <cellStyle name="Header2 6 7 2 9" xfId="6146" xr:uid="{00000000-0005-0000-0000-000064140000}"/>
    <cellStyle name="Header2 6 7 3" xfId="6147" xr:uid="{00000000-0005-0000-0000-000065140000}"/>
    <cellStyle name="Header2 6 7 4" xfId="6148" xr:uid="{00000000-0005-0000-0000-000066140000}"/>
    <cellStyle name="Header2 6 7 5" xfId="6149" xr:uid="{00000000-0005-0000-0000-000067140000}"/>
    <cellStyle name="Header2 6 7 6" xfId="6150" xr:uid="{00000000-0005-0000-0000-000068140000}"/>
    <cellStyle name="Header2 6 7 7" xfId="6151" xr:uid="{00000000-0005-0000-0000-000069140000}"/>
    <cellStyle name="Header2 6 7 8" xfId="6152" xr:uid="{00000000-0005-0000-0000-00006A140000}"/>
    <cellStyle name="Header2 6 7 9" xfId="6153" xr:uid="{00000000-0005-0000-0000-00006B140000}"/>
    <cellStyle name="Header2 6 8" xfId="6154" xr:uid="{00000000-0005-0000-0000-00006C140000}"/>
    <cellStyle name="Header2 6 8 10" xfId="6155" xr:uid="{00000000-0005-0000-0000-00006D140000}"/>
    <cellStyle name="Header2 6 8 11" xfId="6156" xr:uid="{00000000-0005-0000-0000-00006E140000}"/>
    <cellStyle name="Header2 6 8 12" xfId="6157" xr:uid="{00000000-0005-0000-0000-00006F140000}"/>
    <cellStyle name="Header2 6 8 13" xfId="6158" xr:uid="{00000000-0005-0000-0000-000070140000}"/>
    <cellStyle name="Header2 6 8 14" xfId="6159" xr:uid="{00000000-0005-0000-0000-000071140000}"/>
    <cellStyle name="Header2 6 8 15" xfId="6160" xr:uid="{00000000-0005-0000-0000-000072140000}"/>
    <cellStyle name="Header2 6 8 2" xfId="6161" xr:uid="{00000000-0005-0000-0000-000073140000}"/>
    <cellStyle name="Header2 6 8 2 10" xfId="6162" xr:uid="{00000000-0005-0000-0000-000074140000}"/>
    <cellStyle name="Header2 6 8 2 11" xfId="6163" xr:uid="{00000000-0005-0000-0000-000075140000}"/>
    <cellStyle name="Header2 6 8 2 12" xfId="6164" xr:uid="{00000000-0005-0000-0000-000076140000}"/>
    <cellStyle name="Header2 6 8 2 13" xfId="6165" xr:uid="{00000000-0005-0000-0000-000077140000}"/>
    <cellStyle name="Header2 6 8 2 14" xfId="6166" xr:uid="{00000000-0005-0000-0000-000078140000}"/>
    <cellStyle name="Header2 6 8 2 2" xfId="6167" xr:uid="{00000000-0005-0000-0000-000079140000}"/>
    <cellStyle name="Header2 6 8 2 3" xfId="6168" xr:uid="{00000000-0005-0000-0000-00007A140000}"/>
    <cellStyle name="Header2 6 8 2 4" xfId="6169" xr:uid="{00000000-0005-0000-0000-00007B140000}"/>
    <cellStyle name="Header2 6 8 2 5" xfId="6170" xr:uid="{00000000-0005-0000-0000-00007C140000}"/>
    <cellStyle name="Header2 6 8 2 6" xfId="6171" xr:uid="{00000000-0005-0000-0000-00007D140000}"/>
    <cellStyle name="Header2 6 8 2 7" xfId="6172" xr:uid="{00000000-0005-0000-0000-00007E140000}"/>
    <cellStyle name="Header2 6 8 2 8" xfId="6173" xr:uid="{00000000-0005-0000-0000-00007F140000}"/>
    <cellStyle name="Header2 6 8 2 9" xfId="6174" xr:uid="{00000000-0005-0000-0000-000080140000}"/>
    <cellStyle name="Header2 6 8 3" xfId="6175" xr:uid="{00000000-0005-0000-0000-000081140000}"/>
    <cellStyle name="Header2 6 8 4" xfId="6176" xr:uid="{00000000-0005-0000-0000-000082140000}"/>
    <cellStyle name="Header2 6 8 5" xfId="6177" xr:uid="{00000000-0005-0000-0000-000083140000}"/>
    <cellStyle name="Header2 6 8 6" xfId="6178" xr:uid="{00000000-0005-0000-0000-000084140000}"/>
    <cellStyle name="Header2 6 8 7" xfId="6179" xr:uid="{00000000-0005-0000-0000-000085140000}"/>
    <cellStyle name="Header2 6 8 8" xfId="6180" xr:uid="{00000000-0005-0000-0000-000086140000}"/>
    <cellStyle name="Header2 6 8 9" xfId="6181" xr:uid="{00000000-0005-0000-0000-000087140000}"/>
    <cellStyle name="Header2 6 9" xfId="6182" xr:uid="{00000000-0005-0000-0000-000088140000}"/>
    <cellStyle name="Header2 6 9 10" xfId="6183" xr:uid="{00000000-0005-0000-0000-000089140000}"/>
    <cellStyle name="Header2 6 9 11" xfId="6184" xr:uid="{00000000-0005-0000-0000-00008A140000}"/>
    <cellStyle name="Header2 6 9 12" xfId="6185" xr:uid="{00000000-0005-0000-0000-00008B140000}"/>
    <cellStyle name="Header2 6 9 13" xfId="6186" xr:uid="{00000000-0005-0000-0000-00008C140000}"/>
    <cellStyle name="Header2 6 9 14" xfId="6187" xr:uid="{00000000-0005-0000-0000-00008D140000}"/>
    <cellStyle name="Header2 6 9 15" xfId="6188" xr:uid="{00000000-0005-0000-0000-00008E140000}"/>
    <cellStyle name="Header2 6 9 2" xfId="6189" xr:uid="{00000000-0005-0000-0000-00008F140000}"/>
    <cellStyle name="Header2 6 9 2 10" xfId="6190" xr:uid="{00000000-0005-0000-0000-000090140000}"/>
    <cellStyle name="Header2 6 9 2 11" xfId="6191" xr:uid="{00000000-0005-0000-0000-000091140000}"/>
    <cellStyle name="Header2 6 9 2 12" xfId="6192" xr:uid="{00000000-0005-0000-0000-000092140000}"/>
    <cellStyle name="Header2 6 9 2 13" xfId="6193" xr:uid="{00000000-0005-0000-0000-000093140000}"/>
    <cellStyle name="Header2 6 9 2 14" xfId="6194" xr:uid="{00000000-0005-0000-0000-000094140000}"/>
    <cellStyle name="Header2 6 9 2 2" xfId="6195" xr:uid="{00000000-0005-0000-0000-000095140000}"/>
    <cellStyle name="Header2 6 9 2 3" xfId="6196" xr:uid="{00000000-0005-0000-0000-000096140000}"/>
    <cellStyle name="Header2 6 9 2 4" xfId="6197" xr:uid="{00000000-0005-0000-0000-000097140000}"/>
    <cellStyle name="Header2 6 9 2 5" xfId="6198" xr:uid="{00000000-0005-0000-0000-000098140000}"/>
    <cellStyle name="Header2 6 9 2 6" xfId="6199" xr:uid="{00000000-0005-0000-0000-000099140000}"/>
    <cellStyle name="Header2 6 9 2 7" xfId="6200" xr:uid="{00000000-0005-0000-0000-00009A140000}"/>
    <cellStyle name="Header2 6 9 2 8" xfId="6201" xr:uid="{00000000-0005-0000-0000-00009B140000}"/>
    <cellStyle name="Header2 6 9 2 9" xfId="6202" xr:uid="{00000000-0005-0000-0000-00009C140000}"/>
    <cellStyle name="Header2 6 9 3" xfId="6203" xr:uid="{00000000-0005-0000-0000-00009D140000}"/>
    <cellStyle name="Header2 6 9 4" xfId="6204" xr:uid="{00000000-0005-0000-0000-00009E140000}"/>
    <cellStyle name="Header2 6 9 5" xfId="6205" xr:uid="{00000000-0005-0000-0000-00009F140000}"/>
    <cellStyle name="Header2 6 9 6" xfId="6206" xr:uid="{00000000-0005-0000-0000-0000A0140000}"/>
    <cellStyle name="Header2 6 9 7" xfId="6207" xr:uid="{00000000-0005-0000-0000-0000A1140000}"/>
    <cellStyle name="Header2 6 9 8" xfId="6208" xr:uid="{00000000-0005-0000-0000-0000A2140000}"/>
    <cellStyle name="Header2 6 9 9" xfId="6209" xr:uid="{00000000-0005-0000-0000-0000A3140000}"/>
    <cellStyle name="Header2 7" xfId="6210" xr:uid="{00000000-0005-0000-0000-0000A4140000}"/>
    <cellStyle name="Header2 7 10" xfId="6211" xr:uid="{00000000-0005-0000-0000-0000A5140000}"/>
    <cellStyle name="Header2 7 10 10" xfId="6212" xr:uid="{00000000-0005-0000-0000-0000A6140000}"/>
    <cellStyle name="Header2 7 10 11" xfId="6213" xr:uid="{00000000-0005-0000-0000-0000A7140000}"/>
    <cellStyle name="Header2 7 10 12" xfId="6214" xr:uid="{00000000-0005-0000-0000-0000A8140000}"/>
    <cellStyle name="Header2 7 10 13" xfId="6215" xr:uid="{00000000-0005-0000-0000-0000A9140000}"/>
    <cellStyle name="Header2 7 10 14" xfId="6216" xr:uid="{00000000-0005-0000-0000-0000AA140000}"/>
    <cellStyle name="Header2 7 10 15" xfId="6217" xr:uid="{00000000-0005-0000-0000-0000AB140000}"/>
    <cellStyle name="Header2 7 10 2" xfId="6218" xr:uid="{00000000-0005-0000-0000-0000AC140000}"/>
    <cellStyle name="Header2 7 10 2 10" xfId="6219" xr:uid="{00000000-0005-0000-0000-0000AD140000}"/>
    <cellStyle name="Header2 7 10 2 11" xfId="6220" xr:uid="{00000000-0005-0000-0000-0000AE140000}"/>
    <cellStyle name="Header2 7 10 2 12" xfId="6221" xr:uid="{00000000-0005-0000-0000-0000AF140000}"/>
    <cellStyle name="Header2 7 10 2 13" xfId="6222" xr:uid="{00000000-0005-0000-0000-0000B0140000}"/>
    <cellStyle name="Header2 7 10 2 14" xfId="6223" xr:uid="{00000000-0005-0000-0000-0000B1140000}"/>
    <cellStyle name="Header2 7 10 2 2" xfId="6224" xr:uid="{00000000-0005-0000-0000-0000B2140000}"/>
    <cellStyle name="Header2 7 10 2 3" xfId="6225" xr:uid="{00000000-0005-0000-0000-0000B3140000}"/>
    <cellStyle name="Header2 7 10 2 4" xfId="6226" xr:uid="{00000000-0005-0000-0000-0000B4140000}"/>
    <cellStyle name="Header2 7 10 2 5" xfId="6227" xr:uid="{00000000-0005-0000-0000-0000B5140000}"/>
    <cellStyle name="Header2 7 10 2 6" xfId="6228" xr:uid="{00000000-0005-0000-0000-0000B6140000}"/>
    <cellStyle name="Header2 7 10 2 7" xfId="6229" xr:uid="{00000000-0005-0000-0000-0000B7140000}"/>
    <cellStyle name="Header2 7 10 2 8" xfId="6230" xr:uid="{00000000-0005-0000-0000-0000B8140000}"/>
    <cellStyle name="Header2 7 10 2 9" xfId="6231" xr:uid="{00000000-0005-0000-0000-0000B9140000}"/>
    <cellStyle name="Header2 7 10 3" xfId="6232" xr:uid="{00000000-0005-0000-0000-0000BA140000}"/>
    <cellStyle name="Header2 7 10 4" xfId="6233" xr:uid="{00000000-0005-0000-0000-0000BB140000}"/>
    <cellStyle name="Header2 7 10 5" xfId="6234" xr:uid="{00000000-0005-0000-0000-0000BC140000}"/>
    <cellStyle name="Header2 7 10 6" xfId="6235" xr:uid="{00000000-0005-0000-0000-0000BD140000}"/>
    <cellStyle name="Header2 7 10 7" xfId="6236" xr:uid="{00000000-0005-0000-0000-0000BE140000}"/>
    <cellStyle name="Header2 7 10 8" xfId="6237" xr:uid="{00000000-0005-0000-0000-0000BF140000}"/>
    <cellStyle name="Header2 7 10 9" xfId="6238" xr:uid="{00000000-0005-0000-0000-0000C0140000}"/>
    <cellStyle name="Header2 7 11" xfId="6239" xr:uid="{00000000-0005-0000-0000-0000C1140000}"/>
    <cellStyle name="Header2 7 11 10" xfId="6240" xr:uid="{00000000-0005-0000-0000-0000C2140000}"/>
    <cellStyle name="Header2 7 11 11" xfId="6241" xr:uid="{00000000-0005-0000-0000-0000C3140000}"/>
    <cellStyle name="Header2 7 11 12" xfId="6242" xr:uid="{00000000-0005-0000-0000-0000C4140000}"/>
    <cellStyle name="Header2 7 11 13" xfId="6243" xr:uid="{00000000-0005-0000-0000-0000C5140000}"/>
    <cellStyle name="Header2 7 11 14" xfId="6244" xr:uid="{00000000-0005-0000-0000-0000C6140000}"/>
    <cellStyle name="Header2 7 11 2" xfId="6245" xr:uid="{00000000-0005-0000-0000-0000C7140000}"/>
    <cellStyle name="Header2 7 11 3" xfId="6246" xr:uid="{00000000-0005-0000-0000-0000C8140000}"/>
    <cellStyle name="Header2 7 11 4" xfId="6247" xr:uid="{00000000-0005-0000-0000-0000C9140000}"/>
    <cellStyle name="Header2 7 11 5" xfId="6248" xr:uid="{00000000-0005-0000-0000-0000CA140000}"/>
    <cellStyle name="Header2 7 11 6" xfId="6249" xr:uid="{00000000-0005-0000-0000-0000CB140000}"/>
    <cellStyle name="Header2 7 11 7" xfId="6250" xr:uid="{00000000-0005-0000-0000-0000CC140000}"/>
    <cellStyle name="Header2 7 11 8" xfId="6251" xr:uid="{00000000-0005-0000-0000-0000CD140000}"/>
    <cellStyle name="Header2 7 11 9" xfId="6252" xr:uid="{00000000-0005-0000-0000-0000CE140000}"/>
    <cellStyle name="Header2 7 12" xfId="6253" xr:uid="{00000000-0005-0000-0000-0000CF140000}"/>
    <cellStyle name="Header2 7 13" xfId="6254" xr:uid="{00000000-0005-0000-0000-0000D0140000}"/>
    <cellStyle name="Header2 7 14" xfId="6255" xr:uid="{00000000-0005-0000-0000-0000D1140000}"/>
    <cellStyle name="Header2 7 15" xfId="6256" xr:uid="{00000000-0005-0000-0000-0000D2140000}"/>
    <cellStyle name="Header2 7 16" xfId="6257" xr:uid="{00000000-0005-0000-0000-0000D3140000}"/>
    <cellStyle name="Header2 7 17" xfId="6258" xr:uid="{00000000-0005-0000-0000-0000D4140000}"/>
    <cellStyle name="Header2 7 18" xfId="6259" xr:uid="{00000000-0005-0000-0000-0000D5140000}"/>
    <cellStyle name="Header2 7 19" xfId="6260" xr:uid="{00000000-0005-0000-0000-0000D6140000}"/>
    <cellStyle name="Header2 7 2" xfId="6261" xr:uid="{00000000-0005-0000-0000-0000D7140000}"/>
    <cellStyle name="Header2 7 2 10" xfId="6262" xr:uid="{00000000-0005-0000-0000-0000D8140000}"/>
    <cellStyle name="Header2 7 2 11" xfId="6263" xr:uid="{00000000-0005-0000-0000-0000D9140000}"/>
    <cellStyle name="Header2 7 2 12" xfId="6264" xr:uid="{00000000-0005-0000-0000-0000DA140000}"/>
    <cellStyle name="Header2 7 2 13" xfId="6265" xr:uid="{00000000-0005-0000-0000-0000DB140000}"/>
    <cellStyle name="Header2 7 2 14" xfId="6266" xr:uid="{00000000-0005-0000-0000-0000DC140000}"/>
    <cellStyle name="Header2 7 2 15" xfId="6267" xr:uid="{00000000-0005-0000-0000-0000DD140000}"/>
    <cellStyle name="Header2 7 2 2" xfId="6268" xr:uid="{00000000-0005-0000-0000-0000DE140000}"/>
    <cellStyle name="Header2 7 2 2 10" xfId="6269" xr:uid="{00000000-0005-0000-0000-0000DF140000}"/>
    <cellStyle name="Header2 7 2 2 11" xfId="6270" xr:uid="{00000000-0005-0000-0000-0000E0140000}"/>
    <cellStyle name="Header2 7 2 2 12" xfId="6271" xr:uid="{00000000-0005-0000-0000-0000E1140000}"/>
    <cellStyle name="Header2 7 2 2 13" xfId="6272" xr:uid="{00000000-0005-0000-0000-0000E2140000}"/>
    <cellStyle name="Header2 7 2 2 14" xfId="6273" xr:uid="{00000000-0005-0000-0000-0000E3140000}"/>
    <cellStyle name="Header2 7 2 2 2" xfId="6274" xr:uid="{00000000-0005-0000-0000-0000E4140000}"/>
    <cellStyle name="Header2 7 2 2 3" xfId="6275" xr:uid="{00000000-0005-0000-0000-0000E5140000}"/>
    <cellStyle name="Header2 7 2 2 4" xfId="6276" xr:uid="{00000000-0005-0000-0000-0000E6140000}"/>
    <cellStyle name="Header2 7 2 2 5" xfId="6277" xr:uid="{00000000-0005-0000-0000-0000E7140000}"/>
    <cellStyle name="Header2 7 2 2 6" xfId="6278" xr:uid="{00000000-0005-0000-0000-0000E8140000}"/>
    <cellStyle name="Header2 7 2 2 7" xfId="6279" xr:uid="{00000000-0005-0000-0000-0000E9140000}"/>
    <cellStyle name="Header2 7 2 2 8" xfId="6280" xr:uid="{00000000-0005-0000-0000-0000EA140000}"/>
    <cellStyle name="Header2 7 2 2 9" xfId="6281" xr:uid="{00000000-0005-0000-0000-0000EB140000}"/>
    <cellStyle name="Header2 7 2 3" xfId="6282" xr:uid="{00000000-0005-0000-0000-0000EC140000}"/>
    <cellStyle name="Header2 7 2 4" xfId="6283" xr:uid="{00000000-0005-0000-0000-0000ED140000}"/>
    <cellStyle name="Header2 7 2 5" xfId="6284" xr:uid="{00000000-0005-0000-0000-0000EE140000}"/>
    <cellStyle name="Header2 7 2 6" xfId="6285" xr:uid="{00000000-0005-0000-0000-0000EF140000}"/>
    <cellStyle name="Header2 7 2 7" xfId="6286" xr:uid="{00000000-0005-0000-0000-0000F0140000}"/>
    <cellStyle name="Header2 7 2 8" xfId="6287" xr:uid="{00000000-0005-0000-0000-0000F1140000}"/>
    <cellStyle name="Header2 7 2 9" xfId="6288" xr:uid="{00000000-0005-0000-0000-0000F2140000}"/>
    <cellStyle name="Header2 7 20" xfId="6289" xr:uid="{00000000-0005-0000-0000-0000F3140000}"/>
    <cellStyle name="Header2 7 21" xfId="6290" xr:uid="{00000000-0005-0000-0000-0000F4140000}"/>
    <cellStyle name="Header2 7 22" xfId="6291" xr:uid="{00000000-0005-0000-0000-0000F5140000}"/>
    <cellStyle name="Header2 7 23" xfId="6292" xr:uid="{00000000-0005-0000-0000-0000F6140000}"/>
    <cellStyle name="Header2 7 24" xfId="6293" xr:uid="{00000000-0005-0000-0000-0000F7140000}"/>
    <cellStyle name="Header2 7 3" xfId="6294" xr:uid="{00000000-0005-0000-0000-0000F8140000}"/>
    <cellStyle name="Header2 7 3 10" xfId="6295" xr:uid="{00000000-0005-0000-0000-0000F9140000}"/>
    <cellStyle name="Header2 7 3 11" xfId="6296" xr:uid="{00000000-0005-0000-0000-0000FA140000}"/>
    <cellStyle name="Header2 7 3 12" xfId="6297" xr:uid="{00000000-0005-0000-0000-0000FB140000}"/>
    <cellStyle name="Header2 7 3 13" xfId="6298" xr:uid="{00000000-0005-0000-0000-0000FC140000}"/>
    <cellStyle name="Header2 7 3 14" xfId="6299" xr:uid="{00000000-0005-0000-0000-0000FD140000}"/>
    <cellStyle name="Header2 7 3 15" xfId="6300" xr:uid="{00000000-0005-0000-0000-0000FE140000}"/>
    <cellStyle name="Header2 7 3 2" xfId="6301" xr:uid="{00000000-0005-0000-0000-0000FF140000}"/>
    <cellStyle name="Header2 7 3 2 10" xfId="6302" xr:uid="{00000000-0005-0000-0000-000000150000}"/>
    <cellStyle name="Header2 7 3 2 11" xfId="6303" xr:uid="{00000000-0005-0000-0000-000001150000}"/>
    <cellStyle name="Header2 7 3 2 12" xfId="6304" xr:uid="{00000000-0005-0000-0000-000002150000}"/>
    <cellStyle name="Header2 7 3 2 13" xfId="6305" xr:uid="{00000000-0005-0000-0000-000003150000}"/>
    <cellStyle name="Header2 7 3 2 14" xfId="6306" xr:uid="{00000000-0005-0000-0000-000004150000}"/>
    <cellStyle name="Header2 7 3 2 2" xfId="6307" xr:uid="{00000000-0005-0000-0000-000005150000}"/>
    <cellStyle name="Header2 7 3 2 3" xfId="6308" xr:uid="{00000000-0005-0000-0000-000006150000}"/>
    <cellStyle name="Header2 7 3 2 4" xfId="6309" xr:uid="{00000000-0005-0000-0000-000007150000}"/>
    <cellStyle name="Header2 7 3 2 5" xfId="6310" xr:uid="{00000000-0005-0000-0000-000008150000}"/>
    <cellStyle name="Header2 7 3 2 6" xfId="6311" xr:uid="{00000000-0005-0000-0000-000009150000}"/>
    <cellStyle name="Header2 7 3 2 7" xfId="6312" xr:uid="{00000000-0005-0000-0000-00000A150000}"/>
    <cellStyle name="Header2 7 3 2 8" xfId="6313" xr:uid="{00000000-0005-0000-0000-00000B150000}"/>
    <cellStyle name="Header2 7 3 2 9" xfId="6314" xr:uid="{00000000-0005-0000-0000-00000C150000}"/>
    <cellStyle name="Header2 7 3 3" xfId="6315" xr:uid="{00000000-0005-0000-0000-00000D150000}"/>
    <cellStyle name="Header2 7 3 4" xfId="6316" xr:uid="{00000000-0005-0000-0000-00000E150000}"/>
    <cellStyle name="Header2 7 3 5" xfId="6317" xr:uid="{00000000-0005-0000-0000-00000F150000}"/>
    <cellStyle name="Header2 7 3 6" xfId="6318" xr:uid="{00000000-0005-0000-0000-000010150000}"/>
    <cellStyle name="Header2 7 3 7" xfId="6319" xr:uid="{00000000-0005-0000-0000-000011150000}"/>
    <cellStyle name="Header2 7 3 8" xfId="6320" xr:uid="{00000000-0005-0000-0000-000012150000}"/>
    <cellStyle name="Header2 7 3 9" xfId="6321" xr:uid="{00000000-0005-0000-0000-000013150000}"/>
    <cellStyle name="Header2 7 4" xfId="6322" xr:uid="{00000000-0005-0000-0000-000014150000}"/>
    <cellStyle name="Header2 7 4 10" xfId="6323" xr:uid="{00000000-0005-0000-0000-000015150000}"/>
    <cellStyle name="Header2 7 4 11" xfId="6324" xr:uid="{00000000-0005-0000-0000-000016150000}"/>
    <cellStyle name="Header2 7 4 12" xfId="6325" xr:uid="{00000000-0005-0000-0000-000017150000}"/>
    <cellStyle name="Header2 7 4 13" xfId="6326" xr:uid="{00000000-0005-0000-0000-000018150000}"/>
    <cellStyle name="Header2 7 4 14" xfId="6327" xr:uid="{00000000-0005-0000-0000-000019150000}"/>
    <cellStyle name="Header2 7 4 15" xfId="6328" xr:uid="{00000000-0005-0000-0000-00001A150000}"/>
    <cellStyle name="Header2 7 4 2" xfId="6329" xr:uid="{00000000-0005-0000-0000-00001B150000}"/>
    <cellStyle name="Header2 7 4 2 10" xfId="6330" xr:uid="{00000000-0005-0000-0000-00001C150000}"/>
    <cellStyle name="Header2 7 4 2 11" xfId="6331" xr:uid="{00000000-0005-0000-0000-00001D150000}"/>
    <cellStyle name="Header2 7 4 2 12" xfId="6332" xr:uid="{00000000-0005-0000-0000-00001E150000}"/>
    <cellStyle name="Header2 7 4 2 13" xfId="6333" xr:uid="{00000000-0005-0000-0000-00001F150000}"/>
    <cellStyle name="Header2 7 4 2 14" xfId="6334" xr:uid="{00000000-0005-0000-0000-000020150000}"/>
    <cellStyle name="Header2 7 4 2 2" xfId="6335" xr:uid="{00000000-0005-0000-0000-000021150000}"/>
    <cellStyle name="Header2 7 4 2 3" xfId="6336" xr:uid="{00000000-0005-0000-0000-000022150000}"/>
    <cellStyle name="Header2 7 4 2 4" xfId="6337" xr:uid="{00000000-0005-0000-0000-000023150000}"/>
    <cellStyle name="Header2 7 4 2 5" xfId="6338" xr:uid="{00000000-0005-0000-0000-000024150000}"/>
    <cellStyle name="Header2 7 4 2 6" xfId="6339" xr:uid="{00000000-0005-0000-0000-000025150000}"/>
    <cellStyle name="Header2 7 4 2 7" xfId="6340" xr:uid="{00000000-0005-0000-0000-000026150000}"/>
    <cellStyle name="Header2 7 4 2 8" xfId="6341" xr:uid="{00000000-0005-0000-0000-000027150000}"/>
    <cellStyle name="Header2 7 4 2 9" xfId="6342" xr:uid="{00000000-0005-0000-0000-000028150000}"/>
    <cellStyle name="Header2 7 4 3" xfId="6343" xr:uid="{00000000-0005-0000-0000-000029150000}"/>
    <cellStyle name="Header2 7 4 4" xfId="6344" xr:uid="{00000000-0005-0000-0000-00002A150000}"/>
    <cellStyle name="Header2 7 4 5" xfId="6345" xr:uid="{00000000-0005-0000-0000-00002B150000}"/>
    <cellStyle name="Header2 7 4 6" xfId="6346" xr:uid="{00000000-0005-0000-0000-00002C150000}"/>
    <cellStyle name="Header2 7 4 7" xfId="6347" xr:uid="{00000000-0005-0000-0000-00002D150000}"/>
    <cellStyle name="Header2 7 4 8" xfId="6348" xr:uid="{00000000-0005-0000-0000-00002E150000}"/>
    <cellStyle name="Header2 7 4 9" xfId="6349" xr:uid="{00000000-0005-0000-0000-00002F150000}"/>
    <cellStyle name="Header2 7 5" xfId="6350" xr:uid="{00000000-0005-0000-0000-000030150000}"/>
    <cellStyle name="Header2 7 5 10" xfId="6351" xr:uid="{00000000-0005-0000-0000-000031150000}"/>
    <cellStyle name="Header2 7 5 11" xfId="6352" xr:uid="{00000000-0005-0000-0000-000032150000}"/>
    <cellStyle name="Header2 7 5 12" xfId="6353" xr:uid="{00000000-0005-0000-0000-000033150000}"/>
    <cellStyle name="Header2 7 5 13" xfId="6354" xr:uid="{00000000-0005-0000-0000-000034150000}"/>
    <cellStyle name="Header2 7 5 14" xfId="6355" xr:uid="{00000000-0005-0000-0000-000035150000}"/>
    <cellStyle name="Header2 7 5 15" xfId="6356" xr:uid="{00000000-0005-0000-0000-000036150000}"/>
    <cellStyle name="Header2 7 5 2" xfId="6357" xr:uid="{00000000-0005-0000-0000-000037150000}"/>
    <cellStyle name="Header2 7 5 2 10" xfId="6358" xr:uid="{00000000-0005-0000-0000-000038150000}"/>
    <cellStyle name="Header2 7 5 2 11" xfId="6359" xr:uid="{00000000-0005-0000-0000-000039150000}"/>
    <cellStyle name="Header2 7 5 2 12" xfId="6360" xr:uid="{00000000-0005-0000-0000-00003A150000}"/>
    <cellStyle name="Header2 7 5 2 13" xfId="6361" xr:uid="{00000000-0005-0000-0000-00003B150000}"/>
    <cellStyle name="Header2 7 5 2 14" xfId="6362" xr:uid="{00000000-0005-0000-0000-00003C150000}"/>
    <cellStyle name="Header2 7 5 2 2" xfId="6363" xr:uid="{00000000-0005-0000-0000-00003D150000}"/>
    <cellStyle name="Header2 7 5 2 3" xfId="6364" xr:uid="{00000000-0005-0000-0000-00003E150000}"/>
    <cellStyle name="Header2 7 5 2 4" xfId="6365" xr:uid="{00000000-0005-0000-0000-00003F150000}"/>
    <cellStyle name="Header2 7 5 2 5" xfId="6366" xr:uid="{00000000-0005-0000-0000-000040150000}"/>
    <cellStyle name="Header2 7 5 2 6" xfId="6367" xr:uid="{00000000-0005-0000-0000-000041150000}"/>
    <cellStyle name="Header2 7 5 2 7" xfId="6368" xr:uid="{00000000-0005-0000-0000-000042150000}"/>
    <cellStyle name="Header2 7 5 2 8" xfId="6369" xr:uid="{00000000-0005-0000-0000-000043150000}"/>
    <cellStyle name="Header2 7 5 2 9" xfId="6370" xr:uid="{00000000-0005-0000-0000-000044150000}"/>
    <cellStyle name="Header2 7 5 3" xfId="6371" xr:uid="{00000000-0005-0000-0000-000045150000}"/>
    <cellStyle name="Header2 7 5 4" xfId="6372" xr:uid="{00000000-0005-0000-0000-000046150000}"/>
    <cellStyle name="Header2 7 5 5" xfId="6373" xr:uid="{00000000-0005-0000-0000-000047150000}"/>
    <cellStyle name="Header2 7 5 6" xfId="6374" xr:uid="{00000000-0005-0000-0000-000048150000}"/>
    <cellStyle name="Header2 7 5 7" xfId="6375" xr:uid="{00000000-0005-0000-0000-000049150000}"/>
    <cellStyle name="Header2 7 5 8" xfId="6376" xr:uid="{00000000-0005-0000-0000-00004A150000}"/>
    <cellStyle name="Header2 7 5 9" xfId="6377" xr:uid="{00000000-0005-0000-0000-00004B150000}"/>
    <cellStyle name="Header2 7 6" xfId="6378" xr:uid="{00000000-0005-0000-0000-00004C150000}"/>
    <cellStyle name="Header2 7 6 10" xfId="6379" xr:uid="{00000000-0005-0000-0000-00004D150000}"/>
    <cellStyle name="Header2 7 6 11" xfId="6380" xr:uid="{00000000-0005-0000-0000-00004E150000}"/>
    <cellStyle name="Header2 7 6 12" xfId="6381" xr:uid="{00000000-0005-0000-0000-00004F150000}"/>
    <cellStyle name="Header2 7 6 13" xfId="6382" xr:uid="{00000000-0005-0000-0000-000050150000}"/>
    <cellStyle name="Header2 7 6 14" xfId="6383" xr:uid="{00000000-0005-0000-0000-000051150000}"/>
    <cellStyle name="Header2 7 6 15" xfId="6384" xr:uid="{00000000-0005-0000-0000-000052150000}"/>
    <cellStyle name="Header2 7 6 2" xfId="6385" xr:uid="{00000000-0005-0000-0000-000053150000}"/>
    <cellStyle name="Header2 7 6 2 10" xfId="6386" xr:uid="{00000000-0005-0000-0000-000054150000}"/>
    <cellStyle name="Header2 7 6 2 11" xfId="6387" xr:uid="{00000000-0005-0000-0000-000055150000}"/>
    <cellStyle name="Header2 7 6 2 12" xfId="6388" xr:uid="{00000000-0005-0000-0000-000056150000}"/>
    <cellStyle name="Header2 7 6 2 13" xfId="6389" xr:uid="{00000000-0005-0000-0000-000057150000}"/>
    <cellStyle name="Header2 7 6 2 14" xfId="6390" xr:uid="{00000000-0005-0000-0000-000058150000}"/>
    <cellStyle name="Header2 7 6 2 2" xfId="6391" xr:uid="{00000000-0005-0000-0000-000059150000}"/>
    <cellStyle name="Header2 7 6 2 3" xfId="6392" xr:uid="{00000000-0005-0000-0000-00005A150000}"/>
    <cellStyle name="Header2 7 6 2 4" xfId="6393" xr:uid="{00000000-0005-0000-0000-00005B150000}"/>
    <cellStyle name="Header2 7 6 2 5" xfId="6394" xr:uid="{00000000-0005-0000-0000-00005C150000}"/>
    <cellStyle name="Header2 7 6 2 6" xfId="6395" xr:uid="{00000000-0005-0000-0000-00005D150000}"/>
    <cellStyle name="Header2 7 6 2 7" xfId="6396" xr:uid="{00000000-0005-0000-0000-00005E150000}"/>
    <cellStyle name="Header2 7 6 2 8" xfId="6397" xr:uid="{00000000-0005-0000-0000-00005F150000}"/>
    <cellStyle name="Header2 7 6 2 9" xfId="6398" xr:uid="{00000000-0005-0000-0000-000060150000}"/>
    <cellStyle name="Header2 7 6 3" xfId="6399" xr:uid="{00000000-0005-0000-0000-000061150000}"/>
    <cellStyle name="Header2 7 6 4" xfId="6400" xr:uid="{00000000-0005-0000-0000-000062150000}"/>
    <cellStyle name="Header2 7 6 5" xfId="6401" xr:uid="{00000000-0005-0000-0000-000063150000}"/>
    <cellStyle name="Header2 7 6 6" xfId="6402" xr:uid="{00000000-0005-0000-0000-000064150000}"/>
    <cellStyle name="Header2 7 6 7" xfId="6403" xr:uid="{00000000-0005-0000-0000-000065150000}"/>
    <cellStyle name="Header2 7 6 8" xfId="6404" xr:uid="{00000000-0005-0000-0000-000066150000}"/>
    <cellStyle name="Header2 7 6 9" xfId="6405" xr:uid="{00000000-0005-0000-0000-000067150000}"/>
    <cellStyle name="Header2 7 7" xfId="6406" xr:uid="{00000000-0005-0000-0000-000068150000}"/>
    <cellStyle name="Header2 7 7 10" xfId="6407" xr:uid="{00000000-0005-0000-0000-000069150000}"/>
    <cellStyle name="Header2 7 7 11" xfId="6408" xr:uid="{00000000-0005-0000-0000-00006A150000}"/>
    <cellStyle name="Header2 7 7 12" xfId="6409" xr:uid="{00000000-0005-0000-0000-00006B150000}"/>
    <cellStyle name="Header2 7 7 13" xfId="6410" xr:uid="{00000000-0005-0000-0000-00006C150000}"/>
    <cellStyle name="Header2 7 7 14" xfId="6411" xr:uid="{00000000-0005-0000-0000-00006D150000}"/>
    <cellStyle name="Header2 7 7 15" xfId="6412" xr:uid="{00000000-0005-0000-0000-00006E150000}"/>
    <cellStyle name="Header2 7 7 2" xfId="6413" xr:uid="{00000000-0005-0000-0000-00006F150000}"/>
    <cellStyle name="Header2 7 7 2 10" xfId="6414" xr:uid="{00000000-0005-0000-0000-000070150000}"/>
    <cellStyle name="Header2 7 7 2 11" xfId="6415" xr:uid="{00000000-0005-0000-0000-000071150000}"/>
    <cellStyle name="Header2 7 7 2 12" xfId="6416" xr:uid="{00000000-0005-0000-0000-000072150000}"/>
    <cellStyle name="Header2 7 7 2 13" xfId="6417" xr:uid="{00000000-0005-0000-0000-000073150000}"/>
    <cellStyle name="Header2 7 7 2 14" xfId="6418" xr:uid="{00000000-0005-0000-0000-000074150000}"/>
    <cellStyle name="Header2 7 7 2 2" xfId="6419" xr:uid="{00000000-0005-0000-0000-000075150000}"/>
    <cellStyle name="Header2 7 7 2 3" xfId="6420" xr:uid="{00000000-0005-0000-0000-000076150000}"/>
    <cellStyle name="Header2 7 7 2 4" xfId="6421" xr:uid="{00000000-0005-0000-0000-000077150000}"/>
    <cellStyle name="Header2 7 7 2 5" xfId="6422" xr:uid="{00000000-0005-0000-0000-000078150000}"/>
    <cellStyle name="Header2 7 7 2 6" xfId="6423" xr:uid="{00000000-0005-0000-0000-000079150000}"/>
    <cellStyle name="Header2 7 7 2 7" xfId="6424" xr:uid="{00000000-0005-0000-0000-00007A150000}"/>
    <cellStyle name="Header2 7 7 2 8" xfId="6425" xr:uid="{00000000-0005-0000-0000-00007B150000}"/>
    <cellStyle name="Header2 7 7 2 9" xfId="6426" xr:uid="{00000000-0005-0000-0000-00007C150000}"/>
    <cellStyle name="Header2 7 7 3" xfId="6427" xr:uid="{00000000-0005-0000-0000-00007D150000}"/>
    <cellStyle name="Header2 7 7 4" xfId="6428" xr:uid="{00000000-0005-0000-0000-00007E150000}"/>
    <cellStyle name="Header2 7 7 5" xfId="6429" xr:uid="{00000000-0005-0000-0000-00007F150000}"/>
    <cellStyle name="Header2 7 7 6" xfId="6430" xr:uid="{00000000-0005-0000-0000-000080150000}"/>
    <cellStyle name="Header2 7 7 7" xfId="6431" xr:uid="{00000000-0005-0000-0000-000081150000}"/>
    <cellStyle name="Header2 7 7 8" xfId="6432" xr:uid="{00000000-0005-0000-0000-000082150000}"/>
    <cellStyle name="Header2 7 7 9" xfId="6433" xr:uid="{00000000-0005-0000-0000-000083150000}"/>
    <cellStyle name="Header2 7 8" xfId="6434" xr:uid="{00000000-0005-0000-0000-000084150000}"/>
    <cellStyle name="Header2 7 8 10" xfId="6435" xr:uid="{00000000-0005-0000-0000-000085150000}"/>
    <cellStyle name="Header2 7 8 11" xfId="6436" xr:uid="{00000000-0005-0000-0000-000086150000}"/>
    <cellStyle name="Header2 7 8 12" xfId="6437" xr:uid="{00000000-0005-0000-0000-000087150000}"/>
    <cellStyle name="Header2 7 8 13" xfId="6438" xr:uid="{00000000-0005-0000-0000-000088150000}"/>
    <cellStyle name="Header2 7 8 14" xfId="6439" xr:uid="{00000000-0005-0000-0000-000089150000}"/>
    <cellStyle name="Header2 7 8 15" xfId="6440" xr:uid="{00000000-0005-0000-0000-00008A150000}"/>
    <cellStyle name="Header2 7 8 2" xfId="6441" xr:uid="{00000000-0005-0000-0000-00008B150000}"/>
    <cellStyle name="Header2 7 8 2 10" xfId="6442" xr:uid="{00000000-0005-0000-0000-00008C150000}"/>
    <cellStyle name="Header2 7 8 2 11" xfId="6443" xr:uid="{00000000-0005-0000-0000-00008D150000}"/>
    <cellStyle name="Header2 7 8 2 12" xfId="6444" xr:uid="{00000000-0005-0000-0000-00008E150000}"/>
    <cellStyle name="Header2 7 8 2 13" xfId="6445" xr:uid="{00000000-0005-0000-0000-00008F150000}"/>
    <cellStyle name="Header2 7 8 2 14" xfId="6446" xr:uid="{00000000-0005-0000-0000-000090150000}"/>
    <cellStyle name="Header2 7 8 2 2" xfId="6447" xr:uid="{00000000-0005-0000-0000-000091150000}"/>
    <cellStyle name="Header2 7 8 2 3" xfId="6448" xr:uid="{00000000-0005-0000-0000-000092150000}"/>
    <cellStyle name="Header2 7 8 2 4" xfId="6449" xr:uid="{00000000-0005-0000-0000-000093150000}"/>
    <cellStyle name="Header2 7 8 2 5" xfId="6450" xr:uid="{00000000-0005-0000-0000-000094150000}"/>
    <cellStyle name="Header2 7 8 2 6" xfId="6451" xr:uid="{00000000-0005-0000-0000-000095150000}"/>
    <cellStyle name="Header2 7 8 2 7" xfId="6452" xr:uid="{00000000-0005-0000-0000-000096150000}"/>
    <cellStyle name="Header2 7 8 2 8" xfId="6453" xr:uid="{00000000-0005-0000-0000-000097150000}"/>
    <cellStyle name="Header2 7 8 2 9" xfId="6454" xr:uid="{00000000-0005-0000-0000-000098150000}"/>
    <cellStyle name="Header2 7 8 3" xfId="6455" xr:uid="{00000000-0005-0000-0000-000099150000}"/>
    <cellStyle name="Header2 7 8 4" xfId="6456" xr:uid="{00000000-0005-0000-0000-00009A150000}"/>
    <cellStyle name="Header2 7 8 5" xfId="6457" xr:uid="{00000000-0005-0000-0000-00009B150000}"/>
    <cellStyle name="Header2 7 8 6" xfId="6458" xr:uid="{00000000-0005-0000-0000-00009C150000}"/>
    <cellStyle name="Header2 7 8 7" xfId="6459" xr:uid="{00000000-0005-0000-0000-00009D150000}"/>
    <cellStyle name="Header2 7 8 8" xfId="6460" xr:uid="{00000000-0005-0000-0000-00009E150000}"/>
    <cellStyle name="Header2 7 8 9" xfId="6461" xr:uid="{00000000-0005-0000-0000-00009F150000}"/>
    <cellStyle name="Header2 7 9" xfId="6462" xr:uid="{00000000-0005-0000-0000-0000A0150000}"/>
    <cellStyle name="Header2 7 9 10" xfId="6463" xr:uid="{00000000-0005-0000-0000-0000A1150000}"/>
    <cellStyle name="Header2 7 9 11" xfId="6464" xr:uid="{00000000-0005-0000-0000-0000A2150000}"/>
    <cellStyle name="Header2 7 9 12" xfId="6465" xr:uid="{00000000-0005-0000-0000-0000A3150000}"/>
    <cellStyle name="Header2 7 9 13" xfId="6466" xr:uid="{00000000-0005-0000-0000-0000A4150000}"/>
    <cellStyle name="Header2 7 9 14" xfId="6467" xr:uid="{00000000-0005-0000-0000-0000A5150000}"/>
    <cellStyle name="Header2 7 9 15" xfId="6468" xr:uid="{00000000-0005-0000-0000-0000A6150000}"/>
    <cellStyle name="Header2 7 9 2" xfId="6469" xr:uid="{00000000-0005-0000-0000-0000A7150000}"/>
    <cellStyle name="Header2 7 9 2 10" xfId="6470" xr:uid="{00000000-0005-0000-0000-0000A8150000}"/>
    <cellStyle name="Header2 7 9 2 11" xfId="6471" xr:uid="{00000000-0005-0000-0000-0000A9150000}"/>
    <cellStyle name="Header2 7 9 2 12" xfId="6472" xr:uid="{00000000-0005-0000-0000-0000AA150000}"/>
    <cellStyle name="Header2 7 9 2 13" xfId="6473" xr:uid="{00000000-0005-0000-0000-0000AB150000}"/>
    <cellStyle name="Header2 7 9 2 14" xfId="6474" xr:uid="{00000000-0005-0000-0000-0000AC150000}"/>
    <cellStyle name="Header2 7 9 2 2" xfId="6475" xr:uid="{00000000-0005-0000-0000-0000AD150000}"/>
    <cellStyle name="Header2 7 9 2 3" xfId="6476" xr:uid="{00000000-0005-0000-0000-0000AE150000}"/>
    <cellStyle name="Header2 7 9 2 4" xfId="6477" xr:uid="{00000000-0005-0000-0000-0000AF150000}"/>
    <cellStyle name="Header2 7 9 2 5" xfId="6478" xr:uid="{00000000-0005-0000-0000-0000B0150000}"/>
    <cellStyle name="Header2 7 9 2 6" xfId="6479" xr:uid="{00000000-0005-0000-0000-0000B1150000}"/>
    <cellStyle name="Header2 7 9 2 7" xfId="6480" xr:uid="{00000000-0005-0000-0000-0000B2150000}"/>
    <cellStyle name="Header2 7 9 2 8" xfId="6481" xr:uid="{00000000-0005-0000-0000-0000B3150000}"/>
    <cellStyle name="Header2 7 9 2 9" xfId="6482" xr:uid="{00000000-0005-0000-0000-0000B4150000}"/>
    <cellStyle name="Header2 7 9 3" xfId="6483" xr:uid="{00000000-0005-0000-0000-0000B5150000}"/>
    <cellStyle name="Header2 7 9 4" xfId="6484" xr:uid="{00000000-0005-0000-0000-0000B6150000}"/>
    <cellStyle name="Header2 7 9 5" xfId="6485" xr:uid="{00000000-0005-0000-0000-0000B7150000}"/>
    <cellStyle name="Header2 7 9 6" xfId="6486" xr:uid="{00000000-0005-0000-0000-0000B8150000}"/>
    <cellStyle name="Header2 7 9 7" xfId="6487" xr:uid="{00000000-0005-0000-0000-0000B9150000}"/>
    <cellStyle name="Header2 7 9 8" xfId="6488" xr:uid="{00000000-0005-0000-0000-0000BA150000}"/>
    <cellStyle name="Header2 7 9 9" xfId="6489" xr:uid="{00000000-0005-0000-0000-0000BB150000}"/>
    <cellStyle name="Header2 8" xfId="6490" xr:uid="{00000000-0005-0000-0000-0000BC150000}"/>
    <cellStyle name="Header2 8 10" xfId="6491" xr:uid="{00000000-0005-0000-0000-0000BD150000}"/>
    <cellStyle name="Header2 8 11" xfId="6492" xr:uid="{00000000-0005-0000-0000-0000BE150000}"/>
    <cellStyle name="Header2 8 12" xfId="6493" xr:uid="{00000000-0005-0000-0000-0000BF150000}"/>
    <cellStyle name="Header2 8 13" xfId="6494" xr:uid="{00000000-0005-0000-0000-0000C0150000}"/>
    <cellStyle name="Header2 8 14" xfId="6495" xr:uid="{00000000-0005-0000-0000-0000C1150000}"/>
    <cellStyle name="Header2 8 15" xfId="6496" xr:uid="{00000000-0005-0000-0000-0000C2150000}"/>
    <cellStyle name="Header2 8 2" xfId="6497" xr:uid="{00000000-0005-0000-0000-0000C3150000}"/>
    <cellStyle name="Header2 8 2 10" xfId="6498" xr:uid="{00000000-0005-0000-0000-0000C4150000}"/>
    <cellStyle name="Header2 8 2 11" xfId="6499" xr:uid="{00000000-0005-0000-0000-0000C5150000}"/>
    <cellStyle name="Header2 8 2 12" xfId="6500" xr:uid="{00000000-0005-0000-0000-0000C6150000}"/>
    <cellStyle name="Header2 8 2 13" xfId="6501" xr:uid="{00000000-0005-0000-0000-0000C7150000}"/>
    <cellStyle name="Header2 8 2 14" xfId="6502" xr:uid="{00000000-0005-0000-0000-0000C8150000}"/>
    <cellStyle name="Header2 8 2 2" xfId="6503" xr:uid="{00000000-0005-0000-0000-0000C9150000}"/>
    <cellStyle name="Header2 8 2 3" xfId="6504" xr:uid="{00000000-0005-0000-0000-0000CA150000}"/>
    <cellStyle name="Header2 8 2 4" xfId="6505" xr:uid="{00000000-0005-0000-0000-0000CB150000}"/>
    <cellStyle name="Header2 8 2 5" xfId="6506" xr:uid="{00000000-0005-0000-0000-0000CC150000}"/>
    <cellStyle name="Header2 8 2 6" xfId="6507" xr:uid="{00000000-0005-0000-0000-0000CD150000}"/>
    <cellStyle name="Header2 8 2 7" xfId="6508" xr:uid="{00000000-0005-0000-0000-0000CE150000}"/>
    <cellStyle name="Header2 8 2 8" xfId="6509" xr:uid="{00000000-0005-0000-0000-0000CF150000}"/>
    <cellStyle name="Header2 8 2 9" xfId="6510" xr:uid="{00000000-0005-0000-0000-0000D0150000}"/>
    <cellStyle name="Header2 8 3" xfId="6511" xr:uid="{00000000-0005-0000-0000-0000D1150000}"/>
    <cellStyle name="Header2 8 4" xfId="6512" xr:uid="{00000000-0005-0000-0000-0000D2150000}"/>
    <cellStyle name="Header2 8 5" xfId="6513" xr:uid="{00000000-0005-0000-0000-0000D3150000}"/>
    <cellStyle name="Header2 8 6" xfId="6514" xr:uid="{00000000-0005-0000-0000-0000D4150000}"/>
    <cellStyle name="Header2 8 7" xfId="6515" xr:uid="{00000000-0005-0000-0000-0000D5150000}"/>
    <cellStyle name="Header2 8 8" xfId="6516" xr:uid="{00000000-0005-0000-0000-0000D6150000}"/>
    <cellStyle name="Header2 8 9" xfId="6517" xr:uid="{00000000-0005-0000-0000-0000D7150000}"/>
    <cellStyle name="Header2 9" xfId="6518" xr:uid="{00000000-0005-0000-0000-0000D8150000}"/>
    <cellStyle name="Header2 9 10" xfId="6519" xr:uid="{00000000-0005-0000-0000-0000D9150000}"/>
    <cellStyle name="Header2 9 11" xfId="6520" xr:uid="{00000000-0005-0000-0000-0000DA150000}"/>
    <cellStyle name="Header2 9 12" xfId="6521" xr:uid="{00000000-0005-0000-0000-0000DB150000}"/>
    <cellStyle name="Header2 9 13" xfId="6522" xr:uid="{00000000-0005-0000-0000-0000DC150000}"/>
    <cellStyle name="Header2 9 14" xfId="6523" xr:uid="{00000000-0005-0000-0000-0000DD150000}"/>
    <cellStyle name="Header2 9 15" xfId="6524" xr:uid="{00000000-0005-0000-0000-0000DE150000}"/>
    <cellStyle name="Header2 9 2" xfId="6525" xr:uid="{00000000-0005-0000-0000-0000DF150000}"/>
    <cellStyle name="Header2 9 2 10" xfId="6526" xr:uid="{00000000-0005-0000-0000-0000E0150000}"/>
    <cellStyle name="Header2 9 2 11" xfId="6527" xr:uid="{00000000-0005-0000-0000-0000E1150000}"/>
    <cellStyle name="Header2 9 2 12" xfId="6528" xr:uid="{00000000-0005-0000-0000-0000E2150000}"/>
    <cellStyle name="Header2 9 2 13" xfId="6529" xr:uid="{00000000-0005-0000-0000-0000E3150000}"/>
    <cellStyle name="Header2 9 2 14" xfId="6530" xr:uid="{00000000-0005-0000-0000-0000E4150000}"/>
    <cellStyle name="Header2 9 2 2" xfId="6531" xr:uid="{00000000-0005-0000-0000-0000E5150000}"/>
    <cellStyle name="Header2 9 2 3" xfId="6532" xr:uid="{00000000-0005-0000-0000-0000E6150000}"/>
    <cellStyle name="Header2 9 2 4" xfId="6533" xr:uid="{00000000-0005-0000-0000-0000E7150000}"/>
    <cellStyle name="Header2 9 2 5" xfId="6534" xr:uid="{00000000-0005-0000-0000-0000E8150000}"/>
    <cellStyle name="Header2 9 2 6" xfId="6535" xr:uid="{00000000-0005-0000-0000-0000E9150000}"/>
    <cellStyle name="Header2 9 2 7" xfId="6536" xr:uid="{00000000-0005-0000-0000-0000EA150000}"/>
    <cellStyle name="Header2 9 2 8" xfId="6537" xr:uid="{00000000-0005-0000-0000-0000EB150000}"/>
    <cellStyle name="Header2 9 2 9" xfId="6538" xr:uid="{00000000-0005-0000-0000-0000EC150000}"/>
    <cellStyle name="Header2 9 3" xfId="6539" xr:uid="{00000000-0005-0000-0000-0000ED150000}"/>
    <cellStyle name="Header2 9 4" xfId="6540" xr:uid="{00000000-0005-0000-0000-0000EE150000}"/>
    <cellStyle name="Header2 9 5" xfId="6541" xr:uid="{00000000-0005-0000-0000-0000EF150000}"/>
    <cellStyle name="Header2 9 6" xfId="6542" xr:uid="{00000000-0005-0000-0000-0000F0150000}"/>
    <cellStyle name="Header2 9 7" xfId="6543" xr:uid="{00000000-0005-0000-0000-0000F1150000}"/>
    <cellStyle name="Header2 9 8" xfId="6544" xr:uid="{00000000-0005-0000-0000-0000F2150000}"/>
    <cellStyle name="Header2 9 9" xfId="6545" xr:uid="{00000000-0005-0000-0000-0000F3150000}"/>
    <cellStyle name="Heading 1 2" xfId="143" xr:uid="{00000000-0005-0000-0000-000050020000}"/>
    <cellStyle name="Heading 1 2 10" xfId="6546" xr:uid="{00000000-0005-0000-0000-0000F5150000}"/>
    <cellStyle name="Heading 1 2 11" xfId="6547" xr:uid="{00000000-0005-0000-0000-0000F6150000}"/>
    <cellStyle name="Heading 1 2 12" xfId="6548" xr:uid="{00000000-0005-0000-0000-0000F7150000}"/>
    <cellStyle name="Heading 1 2 13" xfId="6549" xr:uid="{00000000-0005-0000-0000-0000F8150000}"/>
    <cellStyle name="Heading 1 2 14" xfId="6550" xr:uid="{00000000-0005-0000-0000-0000F9150000}"/>
    <cellStyle name="Heading 1 2 15" xfId="6551" xr:uid="{00000000-0005-0000-0000-0000FA150000}"/>
    <cellStyle name="Heading 1 2 16" xfId="6552" xr:uid="{00000000-0005-0000-0000-0000FB150000}"/>
    <cellStyle name="Heading 1 2 2" xfId="6553" xr:uid="{00000000-0005-0000-0000-0000FC150000}"/>
    <cellStyle name="Heading 1 2 2 10" xfId="6554" xr:uid="{00000000-0005-0000-0000-0000FD150000}"/>
    <cellStyle name="Heading 1 2 2 11" xfId="6555" xr:uid="{00000000-0005-0000-0000-0000FE150000}"/>
    <cellStyle name="Heading 1 2 2 12" xfId="6556" xr:uid="{00000000-0005-0000-0000-0000FF150000}"/>
    <cellStyle name="Heading 1 2 2 13" xfId="6557" xr:uid="{00000000-0005-0000-0000-000000160000}"/>
    <cellStyle name="Heading 1 2 2 14" xfId="6558" xr:uid="{00000000-0005-0000-0000-000001160000}"/>
    <cellStyle name="Heading 1 2 2 2" xfId="6559" xr:uid="{00000000-0005-0000-0000-000002160000}"/>
    <cellStyle name="Heading 1 2 2 3" xfId="6560" xr:uid="{00000000-0005-0000-0000-000003160000}"/>
    <cellStyle name="Heading 1 2 2 4" xfId="6561" xr:uid="{00000000-0005-0000-0000-000004160000}"/>
    <cellStyle name="Heading 1 2 2 5" xfId="6562" xr:uid="{00000000-0005-0000-0000-000005160000}"/>
    <cellStyle name="Heading 1 2 2 6" xfId="6563" xr:uid="{00000000-0005-0000-0000-000006160000}"/>
    <cellStyle name="Heading 1 2 2 7" xfId="6564" xr:uid="{00000000-0005-0000-0000-000007160000}"/>
    <cellStyle name="Heading 1 2 2 8" xfId="6565" xr:uid="{00000000-0005-0000-0000-000008160000}"/>
    <cellStyle name="Heading 1 2 2 9" xfId="6566" xr:uid="{00000000-0005-0000-0000-000009160000}"/>
    <cellStyle name="Heading 1 2 3" xfId="6567" xr:uid="{00000000-0005-0000-0000-00000A160000}"/>
    <cellStyle name="Heading 1 2 4" xfId="6568" xr:uid="{00000000-0005-0000-0000-00000B160000}"/>
    <cellStyle name="Heading 1 2 5" xfId="6569" xr:uid="{00000000-0005-0000-0000-00000C160000}"/>
    <cellStyle name="Heading 1 2 6" xfId="6570" xr:uid="{00000000-0005-0000-0000-00000D160000}"/>
    <cellStyle name="Heading 1 2 7" xfId="6571" xr:uid="{00000000-0005-0000-0000-00000E160000}"/>
    <cellStyle name="Heading 1 2 8" xfId="6572" xr:uid="{00000000-0005-0000-0000-00000F160000}"/>
    <cellStyle name="Heading 1 2 9" xfId="6573" xr:uid="{00000000-0005-0000-0000-000010160000}"/>
    <cellStyle name="Heading 1 3" xfId="6574" xr:uid="{00000000-0005-0000-0000-000011160000}"/>
    <cellStyle name="Heading 1 4" xfId="6575" xr:uid="{00000000-0005-0000-0000-000012160000}"/>
    <cellStyle name="Heading 1 5" xfId="6576" xr:uid="{00000000-0005-0000-0000-000013160000}"/>
    <cellStyle name="Heading 2 2" xfId="144" xr:uid="{00000000-0005-0000-0000-000051020000}"/>
    <cellStyle name="Heading 2 2 10" xfId="6577" xr:uid="{00000000-0005-0000-0000-000015160000}"/>
    <cellStyle name="Heading 2 2 11" xfId="6578" xr:uid="{00000000-0005-0000-0000-000016160000}"/>
    <cellStyle name="Heading 2 2 12" xfId="6579" xr:uid="{00000000-0005-0000-0000-000017160000}"/>
    <cellStyle name="Heading 2 2 13" xfId="6580" xr:uid="{00000000-0005-0000-0000-000018160000}"/>
    <cellStyle name="Heading 2 2 14" xfId="6581" xr:uid="{00000000-0005-0000-0000-000019160000}"/>
    <cellStyle name="Heading 2 2 15" xfId="6582" xr:uid="{00000000-0005-0000-0000-00001A160000}"/>
    <cellStyle name="Heading 2 2 16" xfId="6583" xr:uid="{00000000-0005-0000-0000-00001B160000}"/>
    <cellStyle name="Heading 2 2 2" xfId="6584" xr:uid="{00000000-0005-0000-0000-00001C160000}"/>
    <cellStyle name="Heading 2 2 2 10" xfId="6585" xr:uid="{00000000-0005-0000-0000-00001D160000}"/>
    <cellStyle name="Heading 2 2 2 11" xfId="6586" xr:uid="{00000000-0005-0000-0000-00001E160000}"/>
    <cellStyle name="Heading 2 2 2 12" xfId="6587" xr:uid="{00000000-0005-0000-0000-00001F160000}"/>
    <cellStyle name="Heading 2 2 2 13" xfId="6588" xr:uid="{00000000-0005-0000-0000-000020160000}"/>
    <cellStyle name="Heading 2 2 2 14" xfId="6589" xr:uid="{00000000-0005-0000-0000-000021160000}"/>
    <cellStyle name="Heading 2 2 2 2" xfId="6590" xr:uid="{00000000-0005-0000-0000-000022160000}"/>
    <cellStyle name="Heading 2 2 2 3" xfId="6591" xr:uid="{00000000-0005-0000-0000-000023160000}"/>
    <cellStyle name="Heading 2 2 2 4" xfId="6592" xr:uid="{00000000-0005-0000-0000-000024160000}"/>
    <cellStyle name="Heading 2 2 2 5" xfId="6593" xr:uid="{00000000-0005-0000-0000-000025160000}"/>
    <cellStyle name="Heading 2 2 2 6" xfId="6594" xr:uid="{00000000-0005-0000-0000-000026160000}"/>
    <cellStyle name="Heading 2 2 2 7" xfId="6595" xr:uid="{00000000-0005-0000-0000-000027160000}"/>
    <cellStyle name="Heading 2 2 2 8" xfId="6596" xr:uid="{00000000-0005-0000-0000-000028160000}"/>
    <cellStyle name="Heading 2 2 2 9" xfId="6597" xr:uid="{00000000-0005-0000-0000-000029160000}"/>
    <cellStyle name="Heading 2 2 3" xfId="6598" xr:uid="{00000000-0005-0000-0000-00002A160000}"/>
    <cellStyle name="Heading 2 2 4" xfId="6599" xr:uid="{00000000-0005-0000-0000-00002B160000}"/>
    <cellStyle name="Heading 2 2 5" xfId="6600" xr:uid="{00000000-0005-0000-0000-00002C160000}"/>
    <cellStyle name="Heading 2 2 6" xfId="6601" xr:uid="{00000000-0005-0000-0000-00002D160000}"/>
    <cellStyle name="Heading 2 2 7" xfId="6602" xr:uid="{00000000-0005-0000-0000-00002E160000}"/>
    <cellStyle name="Heading 2 2 8" xfId="6603" xr:uid="{00000000-0005-0000-0000-00002F160000}"/>
    <cellStyle name="Heading 2 2 9" xfId="6604" xr:uid="{00000000-0005-0000-0000-000030160000}"/>
    <cellStyle name="Heading 2 3" xfId="6605" xr:uid="{00000000-0005-0000-0000-000031160000}"/>
    <cellStyle name="Heading 2 4" xfId="6606" xr:uid="{00000000-0005-0000-0000-000032160000}"/>
    <cellStyle name="Heading 2 5" xfId="6607" xr:uid="{00000000-0005-0000-0000-000033160000}"/>
    <cellStyle name="Heading 3 2" xfId="145" xr:uid="{00000000-0005-0000-0000-000052020000}"/>
    <cellStyle name="Heading 3 2 10" xfId="6609" xr:uid="{00000000-0005-0000-0000-000035160000}"/>
    <cellStyle name="Heading 3 2 11" xfId="6610" xr:uid="{00000000-0005-0000-0000-000036160000}"/>
    <cellStyle name="Heading 3 2 12" xfId="6611" xr:uid="{00000000-0005-0000-0000-000037160000}"/>
    <cellStyle name="Heading 3 2 13" xfId="6612" xr:uid="{00000000-0005-0000-0000-000038160000}"/>
    <cellStyle name="Heading 3 2 14" xfId="6613" xr:uid="{00000000-0005-0000-0000-000039160000}"/>
    <cellStyle name="Heading 3 2 15" xfId="6614" xr:uid="{00000000-0005-0000-0000-00003A160000}"/>
    <cellStyle name="Heading 3 2 16" xfId="6615" xr:uid="{00000000-0005-0000-0000-00003B160000}"/>
    <cellStyle name="Heading 3 2 17" xfId="6616" xr:uid="{00000000-0005-0000-0000-00003C160000}"/>
    <cellStyle name="Heading 3 2 18" xfId="6617" xr:uid="{00000000-0005-0000-0000-00003D160000}"/>
    <cellStyle name="Heading 3 2 19" xfId="6608" xr:uid="{00000000-0005-0000-0000-00003E160000}"/>
    <cellStyle name="Heading 3 2 2" xfId="6618" xr:uid="{00000000-0005-0000-0000-00003F160000}"/>
    <cellStyle name="Heading 3 2 2 2" xfId="6619" xr:uid="{00000000-0005-0000-0000-000040160000}"/>
    <cellStyle name="Heading 3 2 3" xfId="6620" xr:uid="{00000000-0005-0000-0000-000041160000}"/>
    <cellStyle name="Heading 3 2 4" xfId="6621" xr:uid="{00000000-0005-0000-0000-000042160000}"/>
    <cellStyle name="Heading 3 2 5" xfId="6622" xr:uid="{00000000-0005-0000-0000-000043160000}"/>
    <cellStyle name="Heading 3 2 6" xfId="6623" xr:uid="{00000000-0005-0000-0000-000044160000}"/>
    <cellStyle name="Heading 3 2 7" xfId="6624" xr:uid="{00000000-0005-0000-0000-000045160000}"/>
    <cellStyle name="Heading 3 2 8" xfId="6625" xr:uid="{00000000-0005-0000-0000-000046160000}"/>
    <cellStyle name="Heading 3 2 9" xfId="6626" xr:uid="{00000000-0005-0000-0000-000047160000}"/>
    <cellStyle name="Heading 3 3" xfId="6627" xr:uid="{00000000-0005-0000-0000-000048160000}"/>
    <cellStyle name="Heading 3 4" xfId="6628" xr:uid="{00000000-0005-0000-0000-000049160000}"/>
    <cellStyle name="Heading 3 5" xfId="6629" xr:uid="{00000000-0005-0000-0000-00004A160000}"/>
    <cellStyle name="Heading 4 2" xfId="146" xr:uid="{00000000-0005-0000-0000-000053020000}"/>
    <cellStyle name="Heading 4 2 10" xfId="6630" xr:uid="{00000000-0005-0000-0000-00004C160000}"/>
    <cellStyle name="Heading 4 2 11" xfId="6631" xr:uid="{00000000-0005-0000-0000-00004D160000}"/>
    <cellStyle name="Heading 4 2 12" xfId="6632" xr:uid="{00000000-0005-0000-0000-00004E160000}"/>
    <cellStyle name="Heading 4 2 13" xfId="6633" xr:uid="{00000000-0005-0000-0000-00004F160000}"/>
    <cellStyle name="Heading 4 2 14" xfId="6634" xr:uid="{00000000-0005-0000-0000-000050160000}"/>
    <cellStyle name="Heading 4 2 15" xfId="6635" xr:uid="{00000000-0005-0000-0000-000051160000}"/>
    <cellStyle name="Heading 4 2 16" xfId="6636" xr:uid="{00000000-0005-0000-0000-000052160000}"/>
    <cellStyle name="Heading 4 2 2" xfId="6637" xr:uid="{00000000-0005-0000-0000-000053160000}"/>
    <cellStyle name="Heading 4 2 2 10" xfId="6638" xr:uid="{00000000-0005-0000-0000-000054160000}"/>
    <cellStyle name="Heading 4 2 2 11" xfId="6639" xr:uid="{00000000-0005-0000-0000-000055160000}"/>
    <cellStyle name="Heading 4 2 2 12" xfId="6640" xr:uid="{00000000-0005-0000-0000-000056160000}"/>
    <cellStyle name="Heading 4 2 2 13" xfId="6641" xr:uid="{00000000-0005-0000-0000-000057160000}"/>
    <cellStyle name="Heading 4 2 2 14" xfId="6642" xr:uid="{00000000-0005-0000-0000-000058160000}"/>
    <cellStyle name="Heading 4 2 2 2" xfId="6643" xr:uid="{00000000-0005-0000-0000-000059160000}"/>
    <cellStyle name="Heading 4 2 2 3" xfId="6644" xr:uid="{00000000-0005-0000-0000-00005A160000}"/>
    <cellStyle name="Heading 4 2 2 4" xfId="6645" xr:uid="{00000000-0005-0000-0000-00005B160000}"/>
    <cellStyle name="Heading 4 2 2 5" xfId="6646" xr:uid="{00000000-0005-0000-0000-00005C160000}"/>
    <cellStyle name="Heading 4 2 2 6" xfId="6647" xr:uid="{00000000-0005-0000-0000-00005D160000}"/>
    <cellStyle name="Heading 4 2 2 7" xfId="6648" xr:uid="{00000000-0005-0000-0000-00005E160000}"/>
    <cellStyle name="Heading 4 2 2 8" xfId="6649" xr:uid="{00000000-0005-0000-0000-00005F160000}"/>
    <cellStyle name="Heading 4 2 2 9" xfId="6650" xr:uid="{00000000-0005-0000-0000-000060160000}"/>
    <cellStyle name="Heading 4 2 3" xfId="6651" xr:uid="{00000000-0005-0000-0000-000061160000}"/>
    <cellStyle name="Heading 4 2 4" xfId="6652" xr:uid="{00000000-0005-0000-0000-000062160000}"/>
    <cellStyle name="Heading 4 2 5" xfId="6653" xr:uid="{00000000-0005-0000-0000-000063160000}"/>
    <cellStyle name="Heading 4 2 6" xfId="6654" xr:uid="{00000000-0005-0000-0000-000064160000}"/>
    <cellStyle name="Heading 4 2 7" xfId="6655" xr:uid="{00000000-0005-0000-0000-000065160000}"/>
    <cellStyle name="Heading 4 2 8" xfId="6656" xr:uid="{00000000-0005-0000-0000-000066160000}"/>
    <cellStyle name="Heading 4 2 9" xfId="6657" xr:uid="{00000000-0005-0000-0000-000067160000}"/>
    <cellStyle name="Heading 4 3" xfId="6658" xr:uid="{00000000-0005-0000-0000-000068160000}"/>
    <cellStyle name="Heading 4 4" xfId="6659" xr:uid="{00000000-0005-0000-0000-000069160000}"/>
    <cellStyle name="Heading 4 5" xfId="6660" xr:uid="{00000000-0005-0000-0000-00006A160000}"/>
    <cellStyle name="Heading1" xfId="6661" xr:uid="{00000000-0005-0000-0000-00006B160000}"/>
    <cellStyle name="Heading1 1" xfId="6662" xr:uid="{00000000-0005-0000-0000-00006C160000}"/>
    <cellStyle name="Heading1 1 2" xfId="6663" xr:uid="{00000000-0005-0000-0000-00006D160000}"/>
    <cellStyle name="Heading1 1 3" xfId="6664" xr:uid="{00000000-0005-0000-0000-00006E160000}"/>
    <cellStyle name="Heading1 1 4" xfId="6665" xr:uid="{00000000-0005-0000-0000-00006F160000}"/>
    <cellStyle name="Heading1 1 5" xfId="6666" xr:uid="{00000000-0005-0000-0000-000070160000}"/>
    <cellStyle name="Heading1 1 6" xfId="6667" xr:uid="{00000000-0005-0000-0000-000071160000}"/>
    <cellStyle name="Heading1 1 7" xfId="6668" xr:uid="{00000000-0005-0000-0000-000072160000}"/>
    <cellStyle name="Heading1 1 8" xfId="6669" xr:uid="{00000000-0005-0000-0000-000073160000}"/>
    <cellStyle name="Heading1 2" xfId="6670" xr:uid="{00000000-0005-0000-0000-000074160000}"/>
    <cellStyle name="Heading1 3" xfId="6671" xr:uid="{00000000-0005-0000-0000-000075160000}"/>
    <cellStyle name="Heading1 4" xfId="6672" xr:uid="{00000000-0005-0000-0000-000076160000}"/>
    <cellStyle name="Heading1 5" xfId="6673" xr:uid="{00000000-0005-0000-0000-000077160000}"/>
    <cellStyle name="Heading1 6" xfId="6674" xr:uid="{00000000-0005-0000-0000-000078160000}"/>
    <cellStyle name="Heading1 7" xfId="6675" xr:uid="{00000000-0005-0000-0000-000079160000}"/>
    <cellStyle name="Heading1 8" xfId="6676" xr:uid="{00000000-0005-0000-0000-00007A160000}"/>
    <cellStyle name="Heading1_DRAFT-APPENDIX-1-29-04-09" xfId="6677" xr:uid="{00000000-0005-0000-0000-00007B160000}"/>
    <cellStyle name="Heading2" xfId="6678" xr:uid="{00000000-0005-0000-0000-00007C160000}"/>
    <cellStyle name="Heading2 2" xfId="6679" xr:uid="{00000000-0005-0000-0000-00007D160000}"/>
    <cellStyle name="Heading2 3" xfId="6680" xr:uid="{00000000-0005-0000-0000-00007E160000}"/>
    <cellStyle name="Heading2 4" xfId="6681" xr:uid="{00000000-0005-0000-0000-00007F160000}"/>
    <cellStyle name="Heading2 5" xfId="6682" xr:uid="{00000000-0005-0000-0000-000080160000}"/>
    <cellStyle name="Heading2 6" xfId="6683" xr:uid="{00000000-0005-0000-0000-000081160000}"/>
    <cellStyle name="Heading2 7" xfId="6684" xr:uid="{00000000-0005-0000-0000-000082160000}"/>
    <cellStyle name="Heading2 8" xfId="6685" xr:uid="{00000000-0005-0000-0000-000083160000}"/>
    <cellStyle name="Hyperlink 2" xfId="6686" xr:uid="{00000000-0005-0000-0000-000084160000}"/>
    <cellStyle name="Hyperlink 2 2" xfId="6687" xr:uid="{00000000-0005-0000-0000-000085160000}"/>
    <cellStyle name="Hyperlink 2 3" xfId="6688" xr:uid="{00000000-0005-0000-0000-000086160000}"/>
    <cellStyle name="Hyperlink 2 4" xfId="6689" xr:uid="{00000000-0005-0000-0000-000087160000}"/>
    <cellStyle name="Hypertextový odkaz" xfId="6690" xr:uid="{00000000-0005-0000-0000-000088160000}"/>
    <cellStyle name="INCHES" xfId="6691" xr:uid="{00000000-0005-0000-0000-000089160000}"/>
    <cellStyle name="INCHES 2" xfId="6692" xr:uid="{00000000-0005-0000-0000-00008A160000}"/>
    <cellStyle name="INCHES 3" xfId="6693" xr:uid="{00000000-0005-0000-0000-00008B160000}"/>
    <cellStyle name="INCHES 4" xfId="6694" xr:uid="{00000000-0005-0000-0000-00008C160000}"/>
    <cellStyle name="INCHES 5" xfId="6695" xr:uid="{00000000-0005-0000-0000-00008D160000}"/>
    <cellStyle name="INCHES 6" xfId="6696" xr:uid="{00000000-0005-0000-0000-00008E160000}"/>
    <cellStyle name="INCHES 7" xfId="6697" xr:uid="{00000000-0005-0000-0000-00008F160000}"/>
    <cellStyle name="INCHES 8" xfId="6698" xr:uid="{00000000-0005-0000-0000-000090160000}"/>
    <cellStyle name="Input [yellow]" xfId="6699" xr:uid="{00000000-0005-0000-0000-000091160000}"/>
    <cellStyle name="Input [yellow] 10" xfId="6700" xr:uid="{00000000-0005-0000-0000-000092160000}"/>
    <cellStyle name="Input [yellow] 10 10" xfId="6701" xr:uid="{00000000-0005-0000-0000-000093160000}"/>
    <cellStyle name="Input [yellow] 10 11" xfId="6702" xr:uid="{00000000-0005-0000-0000-000094160000}"/>
    <cellStyle name="Input [yellow] 10 12" xfId="6703" xr:uid="{00000000-0005-0000-0000-000095160000}"/>
    <cellStyle name="Input [yellow] 10 13" xfId="6704" xr:uid="{00000000-0005-0000-0000-000096160000}"/>
    <cellStyle name="Input [yellow] 10 14" xfId="6705" xr:uid="{00000000-0005-0000-0000-000097160000}"/>
    <cellStyle name="Input [yellow] 10 15" xfId="6706" xr:uid="{00000000-0005-0000-0000-000098160000}"/>
    <cellStyle name="Input [yellow] 10 2" xfId="6707" xr:uid="{00000000-0005-0000-0000-000099160000}"/>
    <cellStyle name="Input [yellow] 10 2 10" xfId="6708" xr:uid="{00000000-0005-0000-0000-00009A160000}"/>
    <cellStyle name="Input [yellow] 10 2 11" xfId="6709" xr:uid="{00000000-0005-0000-0000-00009B160000}"/>
    <cellStyle name="Input [yellow] 10 2 12" xfId="6710" xr:uid="{00000000-0005-0000-0000-00009C160000}"/>
    <cellStyle name="Input [yellow] 10 2 13" xfId="6711" xr:uid="{00000000-0005-0000-0000-00009D160000}"/>
    <cellStyle name="Input [yellow] 10 2 14" xfId="6712" xr:uid="{00000000-0005-0000-0000-00009E160000}"/>
    <cellStyle name="Input [yellow] 10 2 2" xfId="6713" xr:uid="{00000000-0005-0000-0000-00009F160000}"/>
    <cellStyle name="Input [yellow] 10 2 3" xfId="6714" xr:uid="{00000000-0005-0000-0000-0000A0160000}"/>
    <cellStyle name="Input [yellow] 10 2 4" xfId="6715" xr:uid="{00000000-0005-0000-0000-0000A1160000}"/>
    <cellStyle name="Input [yellow] 10 2 5" xfId="6716" xr:uid="{00000000-0005-0000-0000-0000A2160000}"/>
    <cellStyle name="Input [yellow] 10 2 6" xfId="6717" xr:uid="{00000000-0005-0000-0000-0000A3160000}"/>
    <cellStyle name="Input [yellow] 10 2 7" xfId="6718" xr:uid="{00000000-0005-0000-0000-0000A4160000}"/>
    <cellStyle name="Input [yellow] 10 2 8" xfId="6719" xr:uid="{00000000-0005-0000-0000-0000A5160000}"/>
    <cellStyle name="Input [yellow] 10 2 9" xfId="6720" xr:uid="{00000000-0005-0000-0000-0000A6160000}"/>
    <cellStyle name="Input [yellow] 10 3" xfId="6721" xr:uid="{00000000-0005-0000-0000-0000A7160000}"/>
    <cellStyle name="Input [yellow] 10 4" xfId="6722" xr:uid="{00000000-0005-0000-0000-0000A8160000}"/>
    <cellStyle name="Input [yellow] 10 5" xfId="6723" xr:uid="{00000000-0005-0000-0000-0000A9160000}"/>
    <cellStyle name="Input [yellow] 10 6" xfId="6724" xr:uid="{00000000-0005-0000-0000-0000AA160000}"/>
    <cellStyle name="Input [yellow] 10 7" xfId="6725" xr:uid="{00000000-0005-0000-0000-0000AB160000}"/>
    <cellStyle name="Input [yellow] 10 8" xfId="6726" xr:uid="{00000000-0005-0000-0000-0000AC160000}"/>
    <cellStyle name="Input [yellow] 10 9" xfId="6727" xr:uid="{00000000-0005-0000-0000-0000AD160000}"/>
    <cellStyle name="Input [yellow] 11" xfId="6728" xr:uid="{00000000-0005-0000-0000-0000AE160000}"/>
    <cellStyle name="Input [yellow] 11 10" xfId="6729" xr:uid="{00000000-0005-0000-0000-0000AF160000}"/>
    <cellStyle name="Input [yellow] 11 11" xfId="6730" xr:uid="{00000000-0005-0000-0000-0000B0160000}"/>
    <cellStyle name="Input [yellow] 11 12" xfId="6731" xr:uid="{00000000-0005-0000-0000-0000B1160000}"/>
    <cellStyle name="Input [yellow] 11 13" xfId="6732" xr:uid="{00000000-0005-0000-0000-0000B2160000}"/>
    <cellStyle name="Input [yellow] 11 14" xfId="6733" xr:uid="{00000000-0005-0000-0000-0000B3160000}"/>
    <cellStyle name="Input [yellow] 11 2" xfId="6734" xr:uid="{00000000-0005-0000-0000-0000B4160000}"/>
    <cellStyle name="Input [yellow] 11 3" xfId="6735" xr:uid="{00000000-0005-0000-0000-0000B5160000}"/>
    <cellStyle name="Input [yellow] 11 4" xfId="6736" xr:uid="{00000000-0005-0000-0000-0000B6160000}"/>
    <cellStyle name="Input [yellow] 11 5" xfId="6737" xr:uid="{00000000-0005-0000-0000-0000B7160000}"/>
    <cellStyle name="Input [yellow] 11 6" xfId="6738" xr:uid="{00000000-0005-0000-0000-0000B8160000}"/>
    <cellStyle name="Input [yellow] 11 7" xfId="6739" xr:uid="{00000000-0005-0000-0000-0000B9160000}"/>
    <cellStyle name="Input [yellow] 11 8" xfId="6740" xr:uid="{00000000-0005-0000-0000-0000BA160000}"/>
    <cellStyle name="Input [yellow] 11 9" xfId="6741" xr:uid="{00000000-0005-0000-0000-0000BB160000}"/>
    <cellStyle name="Input [yellow] 12" xfId="6742" xr:uid="{00000000-0005-0000-0000-0000BC160000}"/>
    <cellStyle name="Input [yellow] 13" xfId="6743" xr:uid="{00000000-0005-0000-0000-0000BD160000}"/>
    <cellStyle name="Input [yellow] 14" xfId="6744" xr:uid="{00000000-0005-0000-0000-0000BE160000}"/>
    <cellStyle name="Input [yellow] 15" xfId="6745" xr:uid="{00000000-0005-0000-0000-0000BF160000}"/>
    <cellStyle name="Input [yellow] 16" xfId="6746" xr:uid="{00000000-0005-0000-0000-0000C0160000}"/>
    <cellStyle name="Input [yellow] 17" xfId="6747" xr:uid="{00000000-0005-0000-0000-0000C1160000}"/>
    <cellStyle name="Input [yellow] 18" xfId="6748" xr:uid="{00000000-0005-0000-0000-0000C2160000}"/>
    <cellStyle name="Input [yellow] 19" xfId="6749" xr:uid="{00000000-0005-0000-0000-0000C3160000}"/>
    <cellStyle name="Input [yellow] 2" xfId="6750" xr:uid="{00000000-0005-0000-0000-0000C4160000}"/>
    <cellStyle name="Input [yellow] 2 10" xfId="6751" xr:uid="{00000000-0005-0000-0000-0000C5160000}"/>
    <cellStyle name="Input [yellow] 2 11" xfId="6752" xr:uid="{00000000-0005-0000-0000-0000C6160000}"/>
    <cellStyle name="Input [yellow] 2 12" xfId="6753" xr:uid="{00000000-0005-0000-0000-0000C7160000}"/>
    <cellStyle name="Input [yellow] 2 13" xfId="6754" xr:uid="{00000000-0005-0000-0000-0000C8160000}"/>
    <cellStyle name="Input [yellow] 2 14" xfId="6755" xr:uid="{00000000-0005-0000-0000-0000C9160000}"/>
    <cellStyle name="Input [yellow] 2 15" xfId="6756" xr:uid="{00000000-0005-0000-0000-0000CA160000}"/>
    <cellStyle name="Input [yellow] 2 2" xfId="6757" xr:uid="{00000000-0005-0000-0000-0000CB160000}"/>
    <cellStyle name="Input [yellow] 2 2 10" xfId="6758" xr:uid="{00000000-0005-0000-0000-0000CC160000}"/>
    <cellStyle name="Input [yellow] 2 2 11" xfId="6759" xr:uid="{00000000-0005-0000-0000-0000CD160000}"/>
    <cellStyle name="Input [yellow] 2 2 12" xfId="6760" xr:uid="{00000000-0005-0000-0000-0000CE160000}"/>
    <cellStyle name="Input [yellow] 2 2 13" xfId="6761" xr:uid="{00000000-0005-0000-0000-0000CF160000}"/>
    <cellStyle name="Input [yellow] 2 2 14" xfId="6762" xr:uid="{00000000-0005-0000-0000-0000D0160000}"/>
    <cellStyle name="Input [yellow] 2 2 2" xfId="6763" xr:uid="{00000000-0005-0000-0000-0000D1160000}"/>
    <cellStyle name="Input [yellow] 2 2 3" xfId="6764" xr:uid="{00000000-0005-0000-0000-0000D2160000}"/>
    <cellStyle name="Input [yellow] 2 2 4" xfId="6765" xr:uid="{00000000-0005-0000-0000-0000D3160000}"/>
    <cellStyle name="Input [yellow] 2 2 5" xfId="6766" xr:uid="{00000000-0005-0000-0000-0000D4160000}"/>
    <cellStyle name="Input [yellow] 2 2 6" xfId="6767" xr:uid="{00000000-0005-0000-0000-0000D5160000}"/>
    <cellStyle name="Input [yellow] 2 2 7" xfId="6768" xr:uid="{00000000-0005-0000-0000-0000D6160000}"/>
    <cellStyle name="Input [yellow] 2 2 8" xfId="6769" xr:uid="{00000000-0005-0000-0000-0000D7160000}"/>
    <cellStyle name="Input [yellow] 2 2 9" xfId="6770" xr:uid="{00000000-0005-0000-0000-0000D8160000}"/>
    <cellStyle name="Input [yellow] 2 3" xfId="6771" xr:uid="{00000000-0005-0000-0000-0000D9160000}"/>
    <cellStyle name="Input [yellow] 2 4" xfId="6772" xr:uid="{00000000-0005-0000-0000-0000DA160000}"/>
    <cellStyle name="Input [yellow] 2 5" xfId="6773" xr:uid="{00000000-0005-0000-0000-0000DB160000}"/>
    <cellStyle name="Input [yellow] 2 6" xfId="6774" xr:uid="{00000000-0005-0000-0000-0000DC160000}"/>
    <cellStyle name="Input [yellow] 2 7" xfId="6775" xr:uid="{00000000-0005-0000-0000-0000DD160000}"/>
    <cellStyle name="Input [yellow] 2 8" xfId="6776" xr:uid="{00000000-0005-0000-0000-0000DE160000}"/>
    <cellStyle name="Input [yellow] 2 9" xfId="6777" xr:uid="{00000000-0005-0000-0000-0000DF160000}"/>
    <cellStyle name="Input [yellow] 20" xfId="6778" xr:uid="{00000000-0005-0000-0000-0000E0160000}"/>
    <cellStyle name="Input [yellow] 21" xfId="6779" xr:uid="{00000000-0005-0000-0000-0000E1160000}"/>
    <cellStyle name="Input [yellow] 22" xfId="6780" xr:uid="{00000000-0005-0000-0000-0000E2160000}"/>
    <cellStyle name="Input [yellow] 23" xfId="6781" xr:uid="{00000000-0005-0000-0000-0000E3160000}"/>
    <cellStyle name="Input [yellow] 24" xfId="6782" xr:uid="{00000000-0005-0000-0000-0000E4160000}"/>
    <cellStyle name="Input [yellow] 3" xfId="6783" xr:uid="{00000000-0005-0000-0000-0000E5160000}"/>
    <cellStyle name="Input [yellow] 3 10" xfId="6784" xr:uid="{00000000-0005-0000-0000-0000E6160000}"/>
    <cellStyle name="Input [yellow] 3 11" xfId="6785" xr:uid="{00000000-0005-0000-0000-0000E7160000}"/>
    <cellStyle name="Input [yellow] 3 12" xfId="6786" xr:uid="{00000000-0005-0000-0000-0000E8160000}"/>
    <cellStyle name="Input [yellow] 3 13" xfId="6787" xr:uid="{00000000-0005-0000-0000-0000E9160000}"/>
    <cellStyle name="Input [yellow] 3 14" xfId="6788" xr:uid="{00000000-0005-0000-0000-0000EA160000}"/>
    <cellStyle name="Input [yellow] 3 15" xfId="6789" xr:uid="{00000000-0005-0000-0000-0000EB160000}"/>
    <cellStyle name="Input [yellow] 3 2" xfId="6790" xr:uid="{00000000-0005-0000-0000-0000EC160000}"/>
    <cellStyle name="Input [yellow] 3 2 10" xfId="6791" xr:uid="{00000000-0005-0000-0000-0000ED160000}"/>
    <cellStyle name="Input [yellow] 3 2 11" xfId="6792" xr:uid="{00000000-0005-0000-0000-0000EE160000}"/>
    <cellStyle name="Input [yellow] 3 2 12" xfId="6793" xr:uid="{00000000-0005-0000-0000-0000EF160000}"/>
    <cellStyle name="Input [yellow] 3 2 13" xfId="6794" xr:uid="{00000000-0005-0000-0000-0000F0160000}"/>
    <cellStyle name="Input [yellow] 3 2 14" xfId="6795" xr:uid="{00000000-0005-0000-0000-0000F1160000}"/>
    <cellStyle name="Input [yellow] 3 2 2" xfId="6796" xr:uid="{00000000-0005-0000-0000-0000F2160000}"/>
    <cellStyle name="Input [yellow] 3 2 3" xfId="6797" xr:uid="{00000000-0005-0000-0000-0000F3160000}"/>
    <cellStyle name="Input [yellow] 3 2 4" xfId="6798" xr:uid="{00000000-0005-0000-0000-0000F4160000}"/>
    <cellStyle name="Input [yellow] 3 2 5" xfId="6799" xr:uid="{00000000-0005-0000-0000-0000F5160000}"/>
    <cellStyle name="Input [yellow] 3 2 6" xfId="6800" xr:uid="{00000000-0005-0000-0000-0000F6160000}"/>
    <cellStyle name="Input [yellow] 3 2 7" xfId="6801" xr:uid="{00000000-0005-0000-0000-0000F7160000}"/>
    <cellStyle name="Input [yellow] 3 2 8" xfId="6802" xr:uid="{00000000-0005-0000-0000-0000F8160000}"/>
    <cellStyle name="Input [yellow] 3 2 9" xfId="6803" xr:uid="{00000000-0005-0000-0000-0000F9160000}"/>
    <cellStyle name="Input [yellow] 3 3" xfId="6804" xr:uid="{00000000-0005-0000-0000-0000FA160000}"/>
    <cellStyle name="Input [yellow] 3 4" xfId="6805" xr:uid="{00000000-0005-0000-0000-0000FB160000}"/>
    <cellStyle name="Input [yellow] 3 5" xfId="6806" xr:uid="{00000000-0005-0000-0000-0000FC160000}"/>
    <cellStyle name="Input [yellow] 3 6" xfId="6807" xr:uid="{00000000-0005-0000-0000-0000FD160000}"/>
    <cellStyle name="Input [yellow] 3 7" xfId="6808" xr:uid="{00000000-0005-0000-0000-0000FE160000}"/>
    <cellStyle name="Input [yellow] 3 8" xfId="6809" xr:uid="{00000000-0005-0000-0000-0000FF160000}"/>
    <cellStyle name="Input [yellow] 3 9" xfId="6810" xr:uid="{00000000-0005-0000-0000-000000170000}"/>
    <cellStyle name="Input [yellow] 4" xfId="6811" xr:uid="{00000000-0005-0000-0000-000001170000}"/>
    <cellStyle name="Input [yellow] 4 10" xfId="6812" xr:uid="{00000000-0005-0000-0000-000002170000}"/>
    <cellStyle name="Input [yellow] 4 11" xfId="6813" xr:uid="{00000000-0005-0000-0000-000003170000}"/>
    <cellStyle name="Input [yellow] 4 12" xfId="6814" xr:uid="{00000000-0005-0000-0000-000004170000}"/>
    <cellStyle name="Input [yellow] 4 13" xfId="6815" xr:uid="{00000000-0005-0000-0000-000005170000}"/>
    <cellStyle name="Input [yellow] 4 14" xfId="6816" xr:uid="{00000000-0005-0000-0000-000006170000}"/>
    <cellStyle name="Input [yellow] 4 15" xfId="6817" xr:uid="{00000000-0005-0000-0000-000007170000}"/>
    <cellStyle name="Input [yellow] 4 2" xfId="6818" xr:uid="{00000000-0005-0000-0000-000008170000}"/>
    <cellStyle name="Input [yellow] 4 2 10" xfId="6819" xr:uid="{00000000-0005-0000-0000-000009170000}"/>
    <cellStyle name="Input [yellow] 4 2 11" xfId="6820" xr:uid="{00000000-0005-0000-0000-00000A170000}"/>
    <cellStyle name="Input [yellow] 4 2 12" xfId="6821" xr:uid="{00000000-0005-0000-0000-00000B170000}"/>
    <cellStyle name="Input [yellow] 4 2 13" xfId="6822" xr:uid="{00000000-0005-0000-0000-00000C170000}"/>
    <cellStyle name="Input [yellow] 4 2 14" xfId="6823" xr:uid="{00000000-0005-0000-0000-00000D170000}"/>
    <cellStyle name="Input [yellow] 4 2 2" xfId="6824" xr:uid="{00000000-0005-0000-0000-00000E170000}"/>
    <cellStyle name="Input [yellow] 4 2 3" xfId="6825" xr:uid="{00000000-0005-0000-0000-00000F170000}"/>
    <cellStyle name="Input [yellow] 4 2 4" xfId="6826" xr:uid="{00000000-0005-0000-0000-000010170000}"/>
    <cellStyle name="Input [yellow] 4 2 5" xfId="6827" xr:uid="{00000000-0005-0000-0000-000011170000}"/>
    <cellStyle name="Input [yellow] 4 2 6" xfId="6828" xr:uid="{00000000-0005-0000-0000-000012170000}"/>
    <cellStyle name="Input [yellow] 4 2 7" xfId="6829" xr:uid="{00000000-0005-0000-0000-000013170000}"/>
    <cellStyle name="Input [yellow] 4 2 8" xfId="6830" xr:uid="{00000000-0005-0000-0000-000014170000}"/>
    <cellStyle name="Input [yellow] 4 2 9" xfId="6831" xr:uid="{00000000-0005-0000-0000-000015170000}"/>
    <cellStyle name="Input [yellow] 4 3" xfId="6832" xr:uid="{00000000-0005-0000-0000-000016170000}"/>
    <cellStyle name="Input [yellow] 4 4" xfId="6833" xr:uid="{00000000-0005-0000-0000-000017170000}"/>
    <cellStyle name="Input [yellow] 4 5" xfId="6834" xr:uid="{00000000-0005-0000-0000-000018170000}"/>
    <cellStyle name="Input [yellow] 4 6" xfId="6835" xr:uid="{00000000-0005-0000-0000-000019170000}"/>
    <cellStyle name="Input [yellow] 4 7" xfId="6836" xr:uid="{00000000-0005-0000-0000-00001A170000}"/>
    <cellStyle name="Input [yellow] 4 8" xfId="6837" xr:uid="{00000000-0005-0000-0000-00001B170000}"/>
    <cellStyle name="Input [yellow] 4 9" xfId="6838" xr:uid="{00000000-0005-0000-0000-00001C170000}"/>
    <cellStyle name="Input [yellow] 5" xfId="6839" xr:uid="{00000000-0005-0000-0000-00001D170000}"/>
    <cellStyle name="Input [yellow] 5 10" xfId="6840" xr:uid="{00000000-0005-0000-0000-00001E170000}"/>
    <cellStyle name="Input [yellow] 5 11" xfId="6841" xr:uid="{00000000-0005-0000-0000-00001F170000}"/>
    <cellStyle name="Input [yellow] 5 12" xfId="6842" xr:uid="{00000000-0005-0000-0000-000020170000}"/>
    <cellStyle name="Input [yellow] 5 13" xfId="6843" xr:uid="{00000000-0005-0000-0000-000021170000}"/>
    <cellStyle name="Input [yellow] 5 14" xfId="6844" xr:uid="{00000000-0005-0000-0000-000022170000}"/>
    <cellStyle name="Input [yellow] 5 15" xfId="6845" xr:uid="{00000000-0005-0000-0000-000023170000}"/>
    <cellStyle name="Input [yellow] 5 2" xfId="6846" xr:uid="{00000000-0005-0000-0000-000024170000}"/>
    <cellStyle name="Input [yellow] 5 2 10" xfId="6847" xr:uid="{00000000-0005-0000-0000-000025170000}"/>
    <cellStyle name="Input [yellow] 5 2 11" xfId="6848" xr:uid="{00000000-0005-0000-0000-000026170000}"/>
    <cellStyle name="Input [yellow] 5 2 12" xfId="6849" xr:uid="{00000000-0005-0000-0000-000027170000}"/>
    <cellStyle name="Input [yellow] 5 2 13" xfId="6850" xr:uid="{00000000-0005-0000-0000-000028170000}"/>
    <cellStyle name="Input [yellow] 5 2 14" xfId="6851" xr:uid="{00000000-0005-0000-0000-000029170000}"/>
    <cellStyle name="Input [yellow] 5 2 2" xfId="6852" xr:uid="{00000000-0005-0000-0000-00002A170000}"/>
    <cellStyle name="Input [yellow] 5 2 3" xfId="6853" xr:uid="{00000000-0005-0000-0000-00002B170000}"/>
    <cellStyle name="Input [yellow] 5 2 4" xfId="6854" xr:uid="{00000000-0005-0000-0000-00002C170000}"/>
    <cellStyle name="Input [yellow] 5 2 5" xfId="6855" xr:uid="{00000000-0005-0000-0000-00002D170000}"/>
    <cellStyle name="Input [yellow] 5 2 6" xfId="6856" xr:uid="{00000000-0005-0000-0000-00002E170000}"/>
    <cellStyle name="Input [yellow] 5 2 7" xfId="6857" xr:uid="{00000000-0005-0000-0000-00002F170000}"/>
    <cellStyle name="Input [yellow] 5 2 8" xfId="6858" xr:uid="{00000000-0005-0000-0000-000030170000}"/>
    <cellStyle name="Input [yellow] 5 2 9" xfId="6859" xr:uid="{00000000-0005-0000-0000-000031170000}"/>
    <cellStyle name="Input [yellow] 5 3" xfId="6860" xr:uid="{00000000-0005-0000-0000-000032170000}"/>
    <cellStyle name="Input [yellow] 5 4" xfId="6861" xr:uid="{00000000-0005-0000-0000-000033170000}"/>
    <cellStyle name="Input [yellow] 5 5" xfId="6862" xr:uid="{00000000-0005-0000-0000-000034170000}"/>
    <cellStyle name="Input [yellow] 5 6" xfId="6863" xr:uid="{00000000-0005-0000-0000-000035170000}"/>
    <cellStyle name="Input [yellow] 5 7" xfId="6864" xr:uid="{00000000-0005-0000-0000-000036170000}"/>
    <cellStyle name="Input [yellow] 5 8" xfId="6865" xr:uid="{00000000-0005-0000-0000-000037170000}"/>
    <cellStyle name="Input [yellow] 5 9" xfId="6866" xr:uid="{00000000-0005-0000-0000-000038170000}"/>
    <cellStyle name="Input [yellow] 6" xfId="6867" xr:uid="{00000000-0005-0000-0000-000039170000}"/>
    <cellStyle name="Input [yellow] 6 10" xfId="6868" xr:uid="{00000000-0005-0000-0000-00003A170000}"/>
    <cellStyle name="Input [yellow] 6 11" xfId="6869" xr:uid="{00000000-0005-0000-0000-00003B170000}"/>
    <cellStyle name="Input [yellow] 6 12" xfId="6870" xr:uid="{00000000-0005-0000-0000-00003C170000}"/>
    <cellStyle name="Input [yellow] 6 13" xfId="6871" xr:uid="{00000000-0005-0000-0000-00003D170000}"/>
    <cellStyle name="Input [yellow] 6 14" xfId="6872" xr:uid="{00000000-0005-0000-0000-00003E170000}"/>
    <cellStyle name="Input [yellow] 6 15" xfId="6873" xr:uid="{00000000-0005-0000-0000-00003F170000}"/>
    <cellStyle name="Input [yellow] 6 2" xfId="6874" xr:uid="{00000000-0005-0000-0000-000040170000}"/>
    <cellStyle name="Input [yellow] 6 2 10" xfId="6875" xr:uid="{00000000-0005-0000-0000-000041170000}"/>
    <cellStyle name="Input [yellow] 6 2 11" xfId="6876" xr:uid="{00000000-0005-0000-0000-000042170000}"/>
    <cellStyle name="Input [yellow] 6 2 12" xfId="6877" xr:uid="{00000000-0005-0000-0000-000043170000}"/>
    <cellStyle name="Input [yellow] 6 2 13" xfId="6878" xr:uid="{00000000-0005-0000-0000-000044170000}"/>
    <cellStyle name="Input [yellow] 6 2 14" xfId="6879" xr:uid="{00000000-0005-0000-0000-000045170000}"/>
    <cellStyle name="Input [yellow] 6 2 2" xfId="6880" xr:uid="{00000000-0005-0000-0000-000046170000}"/>
    <cellStyle name="Input [yellow] 6 2 3" xfId="6881" xr:uid="{00000000-0005-0000-0000-000047170000}"/>
    <cellStyle name="Input [yellow] 6 2 4" xfId="6882" xr:uid="{00000000-0005-0000-0000-000048170000}"/>
    <cellStyle name="Input [yellow] 6 2 5" xfId="6883" xr:uid="{00000000-0005-0000-0000-000049170000}"/>
    <cellStyle name="Input [yellow] 6 2 6" xfId="6884" xr:uid="{00000000-0005-0000-0000-00004A170000}"/>
    <cellStyle name="Input [yellow] 6 2 7" xfId="6885" xr:uid="{00000000-0005-0000-0000-00004B170000}"/>
    <cellStyle name="Input [yellow] 6 2 8" xfId="6886" xr:uid="{00000000-0005-0000-0000-00004C170000}"/>
    <cellStyle name="Input [yellow] 6 2 9" xfId="6887" xr:uid="{00000000-0005-0000-0000-00004D170000}"/>
    <cellStyle name="Input [yellow] 6 3" xfId="6888" xr:uid="{00000000-0005-0000-0000-00004E170000}"/>
    <cellStyle name="Input [yellow] 6 4" xfId="6889" xr:uid="{00000000-0005-0000-0000-00004F170000}"/>
    <cellStyle name="Input [yellow] 6 5" xfId="6890" xr:uid="{00000000-0005-0000-0000-000050170000}"/>
    <cellStyle name="Input [yellow] 6 6" xfId="6891" xr:uid="{00000000-0005-0000-0000-000051170000}"/>
    <cellStyle name="Input [yellow] 6 7" xfId="6892" xr:uid="{00000000-0005-0000-0000-000052170000}"/>
    <cellStyle name="Input [yellow] 6 8" xfId="6893" xr:uid="{00000000-0005-0000-0000-000053170000}"/>
    <cellStyle name="Input [yellow] 6 9" xfId="6894" xr:uid="{00000000-0005-0000-0000-000054170000}"/>
    <cellStyle name="Input [yellow] 7" xfId="6895" xr:uid="{00000000-0005-0000-0000-000055170000}"/>
    <cellStyle name="Input [yellow] 7 10" xfId="6896" xr:uid="{00000000-0005-0000-0000-000056170000}"/>
    <cellStyle name="Input [yellow] 7 11" xfId="6897" xr:uid="{00000000-0005-0000-0000-000057170000}"/>
    <cellStyle name="Input [yellow] 7 12" xfId="6898" xr:uid="{00000000-0005-0000-0000-000058170000}"/>
    <cellStyle name="Input [yellow] 7 13" xfId="6899" xr:uid="{00000000-0005-0000-0000-000059170000}"/>
    <cellStyle name="Input [yellow] 7 14" xfId="6900" xr:uid="{00000000-0005-0000-0000-00005A170000}"/>
    <cellStyle name="Input [yellow] 7 15" xfId="6901" xr:uid="{00000000-0005-0000-0000-00005B170000}"/>
    <cellStyle name="Input [yellow] 7 2" xfId="6902" xr:uid="{00000000-0005-0000-0000-00005C170000}"/>
    <cellStyle name="Input [yellow] 7 2 10" xfId="6903" xr:uid="{00000000-0005-0000-0000-00005D170000}"/>
    <cellStyle name="Input [yellow] 7 2 11" xfId="6904" xr:uid="{00000000-0005-0000-0000-00005E170000}"/>
    <cellStyle name="Input [yellow] 7 2 12" xfId="6905" xr:uid="{00000000-0005-0000-0000-00005F170000}"/>
    <cellStyle name="Input [yellow] 7 2 13" xfId="6906" xr:uid="{00000000-0005-0000-0000-000060170000}"/>
    <cellStyle name="Input [yellow] 7 2 14" xfId="6907" xr:uid="{00000000-0005-0000-0000-000061170000}"/>
    <cellStyle name="Input [yellow] 7 2 2" xfId="6908" xr:uid="{00000000-0005-0000-0000-000062170000}"/>
    <cellStyle name="Input [yellow] 7 2 3" xfId="6909" xr:uid="{00000000-0005-0000-0000-000063170000}"/>
    <cellStyle name="Input [yellow] 7 2 4" xfId="6910" xr:uid="{00000000-0005-0000-0000-000064170000}"/>
    <cellStyle name="Input [yellow] 7 2 5" xfId="6911" xr:uid="{00000000-0005-0000-0000-000065170000}"/>
    <cellStyle name="Input [yellow] 7 2 6" xfId="6912" xr:uid="{00000000-0005-0000-0000-000066170000}"/>
    <cellStyle name="Input [yellow] 7 2 7" xfId="6913" xr:uid="{00000000-0005-0000-0000-000067170000}"/>
    <cellStyle name="Input [yellow] 7 2 8" xfId="6914" xr:uid="{00000000-0005-0000-0000-000068170000}"/>
    <cellStyle name="Input [yellow] 7 2 9" xfId="6915" xr:uid="{00000000-0005-0000-0000-000069170000}"/>
    <cellStyle name="Input [yellow] 7 3" xfId="6916" xr:uid="{00000000-0005-0000-0000-00006A170000}"/>
    <cellStyle name="Input [yellow] 7 4" xfId="6917" xr:uid="{00000000-0005-0000-0000-00006B170000}"/>
    <cellStyle name="Input [yellow] 7 5" xfId="6918" xr:uid="{00000000-0005-0000-0000-00006C170000}"/>
    <cellStyle name="Input [yellow] 7 6" xfId="6919" xr:uid="{00000000-0005-0000-0000-00006D170000}"/>
    <cellStyle name="Input [yellow] 7 7" xfId="6920" xr:uid="{00000000-0005-0000-0000-00006E170000}"/>
    <cellStyle name="Input [yellow] 7 8" xfId="6921" xr:uid="{00000000-0005-0000-0000-00006F170000}"/>
    <cellStyle name="Input [yellow] 7 9" xfId="6922" xr:uid="{00000000-0005-0000-0000-000070170000}"/>
    <cellStyle name="Input [yellow] 8" xfId="6923" xr:uid="{00000000-0005-0000-0000-000071170000}"/>
    <cellStyle name="Input [yellow] 8 10" xfId="6924" xr:uid="{00000000-0005-0000-0000-000072170000}"/>
    <cellStyle name="Input [yellow] 8 11" xfId="6925" xr:uid="{00000000-0005-0000-0000-000073170000}"/>
    <cellStyle name="Input [yellow] 8 12" xfId="6926" xr:uid="{00000000-0005-0000-0000-000074170000}"/>
    <cellStyle name="Input [yellow] 8 13" xfId="6927" xr:uid="{00000000-0005-0000-0000-000075170000}"/>
    <cellStyle name="Input [yellow] 8 14" xfId="6928" xr:uid="{00000000-0005-0000-0000-000076170000}"/>
    <cellStyle name="Input [yellow] 8 15" xfId="6929" xr:uid="{00000000-0005-0000-0000-000077170000}"/>
    <cellStyle name="Input [yellow] 8 2" xfId="6930" xr:uid="{00000000-0005-0000-0000-000078170000}"/>
    <cellStyle name="Input [yellow] 8 2 10" xfId="6931" xr:uid="{00000000-0005-0000-0000-000079170000}"/>
    <cellStyle name="Input [yellow] 8 2 11" xfId="6932" xr:uid="{00000000-0005-0000-0000-00007A170000}"/>
    <cellStyle name="Input [yellow] 8 2 12" xfId="6933" xr:uid="{00000000-0005-0000-0000-00007B170000}"/>
    <cellStyle name="Input [yellow] 8 2 13" xfId="6934" xr:uid="{00000000-0005-0000-0000-00007C170000}"/>
    <cellStyle name="Input [yellow] 8 2 14" xfId="6935" xr:uid="{00000000-0005-0000-0000-00007D170000}"/>
    <cellStyle name="Input [yellow] 8 2 2" xfId="6936" xr:uid="{00000000-0005-0000-0000-00007E170000}"/>
    <cellStyle name="Input [yellow] 8 2 3" xfId="6937" xr:uid="{00000000-0005-0000-0000-00007F170000}"/>
    <cellStyle name="Input [yellow] 8 2 4" xfId="6938" xr:uid="{00000000-0005-0000-0000-000080170000}"/>
    <cellStyle name="Input [yellow] 8 2 5" xfId="6939" xr:uid="{00000000-0005-0000-0000-000081170000}"/>
    <cellStyle name="Input [yellow] 8 2 6" xfId="6940" xr:uid="{00000000-0005-0000-0000-000082170000}"/>
    <cellStyle name="Input [yellow] 8 2 7" xfId="6941" xr:uid="{00000000-0005-0000-0000-000083170000}"/>
    <cellStyle name="Input [yellow] 8 2 8" xfId="6942" xr:uid="{00000000-0005-0000-0000-000084170000}"/>
    <cellStyle name="Input [yellow] 8 2 9" xfId="6943" xr:uid="{00000000-0005-0000-0000-000085170000}"/>
    <cellStyle name="Input [yellow] 8 3" xfId="6944" xr:uid="{00000000-0005-0000-0000-000086170000}"/>
    <cellStyle name="Input [yellow] 8 4" xfId="6945" xr:uid="{00000000-0005-0000-0000-000087170000}"/>
    <cellStyle name="Input [yellow] 8 5" xfId="6946" xr:uid="{00000000-0005-0000-0000-000088170000}"/>
    <cellStyle name="Input [yellow] 8 6" xfId="6947" xr:uid="{00000000-0005-0000-0000-000089170000}"/>
    <cellStyle name="Input [yellow] 8 7" xfId="6948" xr:uid="{00000000-0005-0000-0000-00008A170000}"/>
    <cellStyle name="Input [yellow] 8 8" xfId="6949" xr:uid="{00000000-0005-0000-0000-00008B170000}"/>
    <cellStyle name="Input [yellow] 8 9" xfId="6950" xr:uid="{00000000-0005-0000-0000-00008C170000}"/>
    <cellStyle name="Input [yellow] 9" xfId="6951" xr:uid="{00000000-0005-0000-0000-00008D170000}"/>
    <cellStyle name="Input [yellow] 9 10" xfId="6952" xr:uid="{00000000-0005-0000-0000-00008E170000}"/>
    <cellStyle name="Input [yellow] 9 11" xfId="6953" xr:uid="{00000000-0005-0000-0000-00008F170000}"/>
    <cellStyle name="Input [yellow] 9 12" xfId="6954" xr:uid="{00000000-0005-0000-0000-000090170000}"/>
    <cellStyle name="Input [yellow] 9 13" xfId="6955" xr:uid="{00000000-0005-0000-0000-000091170000}"/>
    <cellStyle name="Input [yellow] 9 14" xfId="6956" xr:uid="{00000000-0005-0000-0000-000092170000}"/>
    <cellStyle name="Input [yellow] 9 15" xfId="6957" xr:uid="{00000000-0005-0000-0000-000093170000}"/>
    <cellStyle name="Input [yellow] 9 2" xfId="6958" xr:uid="{00000000-0005-0000-0000-000094170000}"/>
    <cellStyle name="Input [yellow] 9 2 10" xfId="6959" xr:uid="{00000000-0005-0000-0000-000095170000}"/>
    <cellStyle name="Input [yellow] 9 2 11" xfId="6960" xr:uid="{00000000-0005-0000-0000-000096170000}"/>
    <cellStyle name="Input [yellow] 9 2 12" xfId="6961" xr:uid="{00000000-0005-0000-0000-000097170000}"/>
    <cellStyle name="Input [yellow] 9 2 13" xfId="6962" xr:uid="{00000000-0005-0000-0000-000098170000}"/>
    <cellStyle name="Input [yellow] 9 2 14" xfId="6963" xr:uid="{00000000-0005-0000-0000-000099170000}"/>
    <cellStyle name="Input [yellow] 9 2 2" xfId="6964" xr:uid="{00000000-0005-0000-0000-00009A170000}"/>
    <cellStyle name="Input [yellow] 9 2 3" xfId="6965" xr:uid="{00000000-0005-0000-0000-00009B170000}"/>
    <cellStyle name="Input [yellow] 9 2 4" xfId="6966" xr:uid="{00000000-0005-0000-0000-00009C170000}"/>
    <cellStyle name="Input [yellow] 9 2 5" xfId="6967" xr:uid="{00000000-0005-0000-0000-00009D170000}"/>
    <cellStyle name="Input [yellow] 9 2 6" xfId="6968" xr:uid="{00000000-0005-0000-0000-00009E170000}"/>
    <cellStyle name="Input [yellow] 9 2 7" xfId="6969" xr:uid="{00000000-0005-0000-0000-00009F170000}"/>
    <cellStyle name="Input [yellow] 9 2 8" xfId="6970" xr:uid="{00000000-0005-0000-0000-0000A0170000}"/>
    <cellStyle name="Input [yellow] 9 2 9" xfId="6971" xr:uid="{00000000-0005-0000-0000-0000A1170000}"/>
    <cellStyle name="Input [yellow] 9 3" xfId="6972" xr:uid="{00000000-0005-0000-0000-0000A2170000}"/>
    <cellStyle name="Input [yellow] 9 4" xfId="6973" xr:uid="{00000000-0005-0000-0000-0000A3170000}"/>
    <cellStyle name="Input [yellow] 9 5" xfId="6974" xr:uid="{00000000-0005-0000-0000-0000A4170000}"/>
    <cellStyle name="Input [yellow] 9 6" xfId="6975" xr:uid="{00000000-0005-0000-0000-0000A5170000}"/>
    <cellStyle name="Input [yellow] 9 7" xfId="6976" xr:uid="{00000000-0005-0000-0000-0000A6170000}"/>
    <cellStyle name="Input [yellow] 9 8" xfId="6977" xr:uid="{00000000-0005-0000-0000-0000A7170000}"/>
    <cellStyle name="Input [yellow] 9 9" xfId="6978" xr:uid="{00000000-0005-0000-0000-0000A8170000}"/>
    <cellStyle name="Input 2" xfId="147" xr:uid="{00000000-0005-0000-0000-000054020000}"/>
    <cellStyle name="Input 2 10" xfId="6980" xr:uid="{00000000-0005-0000-0000-0000AA170000}"/>
    <cellStyle name="Input 2 10 2" xfId="6981" xr:uid="{00000000-0005-0000-0000-0000AB170000}"/>
    <cellStyle name="Input 2 11" xfId="6982" xr:uid="{00000000-0005-0000-0000-0000AC170000}"/>
    <cellStyle name="Input 2 12" xfId="6983" xr:uid="{00000000-0005-0000-0000-0000AD170000}"/>
    <cellStyle name="Input 2 13" xfId="6984" xr:uid="{00000000-0005-0000-0000-0000AE170000}"/>
    <cellStyle name="Input 2 14" xfId="6985" xr:uid="{00000000-0005-0000-0000-0000AF170000}"/>
    <cellStyle name="Input 2 15" xfId="6986" xr:uid="{00000000-0005-0000-0000-0000B0170000}"/>
    <cellStyle name="Input 2 16" xfId="6987" xr:uid="{00000000-0005-0000-0000-0000B1170000}"/>
    <cellStyle name="Input 2 17" xfId="6988" xr:uid="{00000000-0005-0000-0000-0000B2170000}"/>
    <cellStyle name="Input 2 18" xfId="6989" xr:uid="{00000000-0005-0000-0000-0000B3170000}"/>
    <cellStyle name="Input 2 19" xfId="6990" xr:uid="{00000000-0005-0000-0000-0000B4170000}"/>
    <cellStyle name="Input 2 2" xfId="6991" xr:uid="{00000000-0005-0000-0000-0000B5170000}"/>
    <cellStyle name="Input 2 2 2" xfId="6992" xr:uid="{00000000-0005-0000-0000-0000B6170000}"/>
    <cellStyle name="Input 2 20" xfId="6993" xr:uid="{00000000-0005-0000-0000-0000B7170000}"/>
    <cellStyle name="Input 2 21" xfId="6994" xr:uid="{00000000-0005-0000-0000-0000B8170000}"/>
    <cellStyle name="Input 2 22" xfId="6995" xr:uid="{00000000-0005-0000-0000-0000B9170000}"/>
    <cellStyle name="Input 2 23" xfId="6996" xr:uid="{00000000-0005-0000-0000-0000BA170000}"/>
    <cellStyle name="Input 2 24" xfId="6997" xr:uid="{00000000-0005-0000-0000-0000BB170000}"/>
    <cellStyle name="Input 2 25" xfId="6998" xr:uid="{00000000-0005-0000-0000-0000BC170000}"/>
    <cellStyle name="Input 2 26" xfId="6999" xr:uid="{00000000-0005-0000-0000-0000BD170000}"/>
    <cellStyle name="Input 2 27" xfId="7000" xr:uid="{00000000-0005-0000-0000-0000BE170000}"/>
    <cellStyle name="Input 2 28" xfId="6979" xr:uid="{00000000-0005-0000-0000-0000BF170000}"/>
    <cellStyle name="Input 2 29" xfId="37260" xr:uid="{00000000-0005-0000-0000-0000C0170000}"/>
    <cellStyle name="Input 2 3" xfId="7001" xr:uid="{00000000-0005-0000-0000-0000C1170000}"/>
    <cellStyle name="Input 2 3 2" xfId="7002" xr:uid="{00000000-0005-0000-0000-0000C2170000}"/>
    <cellStyle name="Input 2 4" xfId="7003" xr:uid="{00000000-0005-0000-0000-0000C3170000}"/>
    <cellStyle name="Input 2 4 2" xfId="7004" xr:uid="{00000000-0005-0000-0000-0000C4170000}"/>
    <cellStyle name="Input 2 5" xfId="7005" xr:uid="{00000000-0005-0000-0000-0000C5170000}"/>
    <cellStyle name="Input 2 5 2" xfId="7006" xr:uid="{00000000-0005-0000-0000-0000C6170000}"/>
    <cellStyle name="Input 2 6" xfId="7007" xr:uid="{00000000-0005-0000-0000-0000C7170000}"/>
    <cellStyle name="Input 2 6 2" xfId="7008" xr:uid="{00000000-0005-0000-0000-0000C8170000}"/>
    <cellStyle name="Input 2 7" xfId="7009" xr:uid="{00000000-0005-0000-0000-0000C9170000}"/>
    <cellStyle name="Input 2 7 2" xfId="7010" xr:uid="{00000000-0005-0000-0000-0000CA170000}"/>
    <cellStyle name="Input 2 8" xfId="7011" xr:uid="{00000000-0005-0000-0000-0000CB170000}"/>
    <cellStyle name="Input 2 8 2" xfId="7012" xr:uid="{00000000-0005-0000-0000-0000CC170000}"/>
    <cellStyle name="Input 2 9" xfId="7013" xr:uid="{00000000-0005-0000-0000-0000CD170000}"/>
    <cellStyle name="Input 2 9 2" xfId="7014" xr:uid="{00000000-0005-0000-0000-0000CE170000}"/>
    <cellStyle name="Input 3" xfId="7015" xr:uid="{00000000-0005-0000-0000-0000CF170000}"/>
    <cellStyle name="Input 4" xfId="7016" xr:uid="{00000000-0005-0000-0000-0000D0170000}"/>
    <cellStyle name="Input 5" xfId="7017" xr:uid="{00000000-0005-0000-0000-0000D1170000}"/>
    <cellStyle name="k" xfId="7018" xr:uid="{00000000-0005-0000-0000-0000D2170000}"/>
    <cellStyle name="L" xfId="7019" xr:uid="{00000000-0005-0000-0000-0000D3170000}"/>
    <cellStyle name="Labels - Style3" xfId="7020" xr:uid="{00000000-0005-0000-0000-0000D4170000}"/>
    <cellStyle name="Labels - Style3 10" xfId="7021" xr:uid="{00000000-0005-0000-0000-0000D5170000}"/>
    <cellStyle name="Labels - Style3 10 2" xfId="7022" xr:uid="{00000000-0005-0000-0000-0000D6170000}"/>
    <cellStyle name="Labels - Style3 11" xfId="7023" xr:uid="{00000000-0005-0000-0000-0000D7170000}"/>
    <cellStyle name="Labels - Style3 11 2" xfId="7024" xr:uid="{00000000-0005-0000-0000-0000D8170000}"/>
    <cellStyle name="Labels - Style3 12" xfId="7025" xr:uid="{00000000-0005-0000-0000-0000D9170000}"/>
    <cellStyle name="Labels - Style3 12 2" xfId="7026" xr:uid="{00000000-0005-0000-0000-0000DA170000}"/>
    <cellStyle name="Labels - Style3 13" xfId="7027" xr:uid="{00000000-0005-0000-0000-0000DB170000}"/>
    <cellStyle name="Labels - Style3 13 2" xfId="7028" xr:uid="{00000000-0005-0000-0000-0000DC170000}"/>
    <cellStyle name="Labels - Style3 14" xfId="7029" xr:uid="{00000000-0005-0000-0000-0000DD170000}"/>
    <cellStyle name="Labels - Style3 14 2" xfId="7030" xr:uid="{00000000-0005-0000-0000-0000DE170000}"/>
    <cellStyle name="Labels - Style3 15" xfId="7031" xr:uid="{00000000-0005-0000-0000-0000DF170000}"/>
    <cellStyle name="Labels - Style3 15 2" xfId="7032" xr:uid="{00000000-0005-0000-0000-0000E0170000}"/>
    <cellStyle name="Labels - Style3 16" xfId="7033" xr:uid="{00000000-0005-0000-0000-0000E1170000}"/>
    <cellStyle name="Labels - Style3 16 2" xfId="7034" xr:uid="{00000000-0005-0000-0000-0000E2170000}"/>
    <cellStyle name="Labels - Style3 17" xfId="7035" xr:uid="{00000000-0005-0000-0000-0000E3170000}"/>
    <cellStyle name="Labels - Style3 2" xfId="7036" xr:uid="{00000000-0005-0000-0000-0000E4170000}"/>
    <cellStyle name="Labels - Style3 2 10" xfId="7037" xr:uid="{00000000-0005-0000-0000-0000E5170000}"/>
    <cellStyle name="Labels - Style3 2 10 2" xfId="7038" xr:uid="{00000000-0005-0000-0000-0000E6170000}"/>
    <cellStyle name="Labels - Style3 2 11" xfId="7039" xr:uid="{00000000-0005-0000-0000-0000E7170000}"/>
    <cellStyle name="Labels - Style3 2 2" xfId="7040" xr:uid="{00000000-0005-0000-0000-0000E8170000}"/>
    <cellStyle name="Labels - Style3 2 2 2" xfId="7041" xr:uid="{00000000-0005-0000-0000-0000E9170000}"/>
    <cellStyle name="Labels - Style3 2 3" xfId="7042" xr:uid="{00000000-0005-0000-0000-0000EA170000}"/>
    <cellStyle name="Labels - Style3 2 3 2" xfId="7043" xr:uid="{00000000-0005-0000-0000-0000EB170000}"/>
    <cellStyle name="Labels - Style3 2 4" xfId="7044" xr:uid="{00000000-0005-0000-0000-0000EC170000}"/>
    <cellStyle name="Labels - Style3 2 4 2" xfId="7045" xr:uid="{00000000-0005-0000-0000-0000ED170000}"/>
    <cellStyle name="Labels - Style3 2 5" xfId="7046" xr:uid="{00000000-0005-0000-0000-0000EE170000}"/>
    <cellStyle name="Labels - Style3 2 5 2" xfId="7047" xr:uid="{00000000-0005-0000-0000-0000EF170000}"/>
    <cellStyle name="Labels - Style3 2 6" xfId="7048" xr:uid="{00000000-0005-0000-0000-0000F0170000}"/>
    <cellStyle name="Labels - Style3 2 6 2" xfId="7049" xr:uid="{00000000-0005-0000-0000-0000F1170000}"/>
    <cellStyle name="Labels - Style3 2 7" xfId="7050" xr:uid="{00000000-0005-0000-0000-0000F2170000}"/>
    <cellStyle name="Labels - Style3 2 7 2" xfId="7051" xr:uid="{00000000-0005-0000-0000-0000F3170000}"/>
    <cellStyle name="Labels - Style3 2 8" xfId="7052" xr:uid="{00000000-0005-0000-0000-0000F4170000}"/>
    <cellStyle name="Labels - Style3 2 8 2" xfId="7053" xr:uid="{00000000-0005-0000-0000-0000F5170000}"/>
    <cellStyle name="Labels - Style3 2 9" xfId="7054" xr:uid="{00000000-0005-0000-0000-0000F6170000}"/>
    <cellStyle name="Labels - Style3 2 9 2" xfId="7055" xr:uid="{00000000-0005-0000-0000-0000F7170000}"/>
    <cellStyle name="Labels - Style3 3" xfId="7056" xr:uid="{00000000-0005-0000-0000-0000F8170000}"/>
    <cellStyle name="Labels - Style3 3 10" xfId="7057" xr:uid="{00000000-0005-0000-0000-0000F9170000}"/>
    <cellStyle name="Labels - Style3 3 10 2" xfId="7058" xr:uid="{00000000-0005-0000-0000-0000FA170000}"/>
    <cellStyle name="Labels - Style3 3 11" xfId="7059" xr:uid="{00000000-0005-0000-0000-0000FB170000}"/>
    <cellStyle name="Labels - Style3 3 2" xfId="7060" xr:uid="{00000000-0005-0000-0000-0000FC170000}"/>
    <cellStyle name="Labels - Style3 3 2 2" xfId="7061" xr:uid="{00000000-0005-0000-0000-0000FD170000}"/>
    <cellStyle name="Labels - Style3 3 3" xfId="7062" xr:uid="{00000000-0005-0000-0000-0000FE170000}"/>
    <cellStyle name="Labels - Style3 3 3 2" xfId="7063" xr:uid="{00000000-0005-0000-0000-0000FF170000}"/>
    <cellStyle name="Labels - Style3 3 4" xfId="7064" xr:uid="{00000000-0005-0000-0000-000000180000}"/>
    <cellStyle name="Labels - Style3 3 4 2" xfId="7065" xr:uid="{00000000-0005-0000-0000-000001180000}"/>
    <cellStyle name="Labels - Style3 3 5" xfId="7066" xr:uid="{00000000-0005-0000-0000-000002180000}"/>
    <cellStyle name="Labels - Style3 3 5 2" xfId="7067" xr:uid="{00000000-0005-0000-0000-000003180000}"/>
    <cellStyle name="Labels - Style3 3 6" xfId="7068" xr:uid="{00000000-0005-0000-0000-000004180000}"/>
    <cellStyle name="Labels - Style3 3 6 2" xfId="7069" xr:uid="{00000000-0005-0000-0000-000005180000}"/>
    <cellStyle name="Labels - Style3 3 7" xfId="7070" xr:uid="{00000000-0005-0000-0000-000006180000}"/>
    <cellStyle name="Labels - Style3 3 7 2" xfId="7071" xr:uid="{00000000-0005-0000-0000-000007180000}"/>
    <cellStyle name="Labels - Style3 3 8" xfId="7072" xr:uid="{00000000-0005-0000-0000-000008180000}"/>
    <cellStyle name="Labels - Style3 3 8 2" xfId="7073" xr:uid="{00000000-0005-0000-0000-000009180000}"/>
    <cellStyle name="Labels - Style3 3 9" xfId="7074" xr:uid="{00000000-0005-0000-0000-00000A180000}"/>
    <cellStyle name="Labels - Style3 3 9 2" xfId="7075" xr:uid="{00000000-0005-0000-0000-00000B180000}"/>
    <cellStyle name="Labels - Style3 4" xfId="7076" xr:uid="{00000000-0005-0000-0000-00000C180000}"/>
    <cellStyle name="Labels - Style3 4 10" xfId="7077" xr:uid="{00000000-0005-0000-0000-00000D180000}"/>
    <cellStyle name="Labels - Style3 4 10 2" xfId="7078" xr:uid="{00000000-0005-0000-0000-00000E180000}"/>
    <cellStyle name="Labels - Style3 4 11" xfId="7079" xr:uid="{00000000-0005-0000-0000-00000F180000}"/>
    <cellStyle name="Labels - Style3 4 2" xfId="7080" xr:uid="{00000000-0005-0000-0000-000010180000}"/>
    <cellStyle name="Labels - Style3 4 2 2" xfId="7081" xr:uid="{00000000-0005-0000-0000-000011180000}"/>
    <cellStyle name="Labels - Style3 4 3" xfId="7082" xr:uid="{00000000-0005-0000-0000-000012180000}"/>
    <cellStyle name="Labels - Style3 4 3 2" xfId="7083" xr:uid="{00000000-0005-0000-0000-000013180000}"/>
    <cellStyle name="Labels - Style3 4 4" xfId="7084" xr:uid="{00000000-0005-0000-0000-000014180000}"/>
    <cellStyle name="Labels - Style3 4 4 2" xfId="7085" xr:uid="{00000000-0005-0000-0000-000015180000}"/>
    <cellStyle name="Labels - Style3 4 5" xfId="7086" xr:uid="{00000000-0005-0000-0000-000016180000}"/>
    <cellStyle name="Labels - Style3 4 5 2" xfId="7087" xr:uid="{00000000-0005-0000-0000-000017180000}"/>
    <cellStyle name="Labels - Style3 4 6" xfId="7088" xr:uid="{00000000-0005-0000-0000-000018180000}"/>
    <cellStyle name="Labels - Style3 4 6 2" xfId="7089" xr:uid="{00000000-0005-0000-0000-000019180000}"/>
    <cellStyle name="Labels - Style3 4 7" xfId="7090" xr:uid="{00000000-0005-0000-0000-00001A180000}"/>
    <cellStyle name="Labels - Style3 4 7 2" xfId="7091" xr:uid="{00000000-0005-0000-0000-00001B180000}"/>
    <cellStyle name="Labels - Style3 4 8" xfId="7092" xr:uid="{00000000-0005-0000-0000-00001C180000}"/>
    <cellStyle name="Labels - Style3 4 8 2" xfId="7093" xr:uid="{00000000-0005-0000-0000-00001D180000}"/>
    <cellStyle name="Labels - Style3 4 9" xfId="7094" xr:uid="{00000000-0005-0000-0000-00001E180000}"/>
    <cellStyle name="Labels - Style3 4 9 2" xfId="7095" xr:uid="{00000000-0005-0000-0000-00001F180000}"/>
    <cellStyle name="Labels - Style3 5" xfId="7096" xr:uid="{00000000-0005-0000-0000-000020180000}"/>
    <cellStyle name="Labels - Style3 5 10" xfId="7097" xr:uid="{00000000-0005-0000-0000-000021180000}"/>
    <cellStyle name="Labels - Style3 5 10 2" xfId="7098" xr:uid="{00000000-0005-0000-0000-000022180000}"/>
    <cellStyle name="Labels - Style3 5 11" xfId="7099" xr:uid="{00000000-0005-0000-0000-000023180000}"/>
    <cellStyle name="Labels - Style3 5 2" xfId="7100" xr:uid="{00000000-0005-0000-0000-000024180000}"/>
    <cellStyle name="Labels - Style3 5 2 2" xfId="7101" xr:uid="{00000000-0005-0000-0000-000025180000}"/>
    <cellStyle name="Labels - Style3 5 3" xfId="7102" xr:uid="{00000000-0005-0000-0000-000026180000}"/>
    <cellStyle name="Labels - Style3 5 3 2" xfId="7103" xr:uid="{00000000-0005-0000-0000-000027180000}"/>
    <cellStyle name="Labels - Style3 5 4" xfId="7104" xr:uid="{00000000-0005-0000-0000-000028180000}"/>
    <cellStyle name="Labels - Style3 5 4 2" xfId="7105" xr:uid="{00000000-0005-0000-0000-000029180000}"/>
    <cellStyle name="Labels - Style3 5 5" xfId="7106" xr:uid="{00000000-0005-0000-0000-00002A180000}"/>
    <cellStyle name="Labels - Style3 5 5 2" xfId="7107" xr:uid="{00000000-0005-0000-0000-00002B180000}"/>
    <cellStyle name="Labels - Style3 5 6" xfId="7108" xr:uid="{00000000-0005-0000-0000-00002C180000}"/>
    <cellStyle name="Labels - Style3 5 6 2" xfId="7109" xr:uid="{00000000-0005-0000-0000-00002D180000}"/>
    <cellStyle name="Labels - Style3 5 7" xfId="7110" xr:uid="{00000000-0005-0000-0000-00002E180000}"/>
    <cellStyle name="Labels - Style3 5 7 2" xfId="7111" xr:uid="{00000000-0005-0000-0000-00002F180000}"/>
    <cellStyle name="Labels - Style3 5 8" xfId="7112" xr:uid="{00000000-0005-0000-0000-000030180000}"/>
    <cellStyle name="Labels - Style3 5 8 2" xfId="7113" xr:uid="{00000000-0005-0000-0000-000031180000}"/>
    <cellStyle name="Labels - Style3 5 9" xfId="7114" xr:uid="{00000000-0005-0000-0000-000032180000}"/>
    <cellStyle name="Labels - Style3 5 9 2" xfId="7115" xr:uid="{00000000-0005-0000-0000-000033180000}"/>
    <cellStyle name="Labels - Style3 6" xfId="7116" xr:uid="{00000000-0005-0000-0000-000034180000}"/>
    <cellStyle name="Labels - Style3 6 10" xfId="7117" xr:uid="{00000000-0005-0000-0000-000035180000}"/>
    <cellStyle name="Labels - Style3 6 10 2" xfId="7118" xr:uid="{00000000-0005-0000-0000-000036180000}"/>
    <cellStyle name="Labels - Style3 6 11" xfId="7119" xr:uid="{00000000-0005-0000-0000-000037180000}"/>
    <cellStyle name="Labels - Style3 6 2" xfId="7120" xr:uid="{00000000-0005-0000-0000-000038180000}"/>
    <cellStyle name="Labels - Style3 6 2 2" xfId="7121" xr:uid="{00000000-0005-0000-0000-000039180000}"/>
    <cellStyle name="Labels - Style3 6 3" xfId="7122" xr:uid="{00000000-0005-0000-0000-00003A180000}"/>
    <cellStyle name="Labels - Style3 6 3 2" xfId="7123" xr:uid="{00000000-0005-0000-0000-00003B180000}"/>
    <cellStyle name="Labels - Style3 6 4" xfId="7124" xr:uid="{00000000-0005-0000-0000-00003C180000}"/>
    <cellStyle name="Labels - Style3 6 4 2" xfId="7125" xr:uid="{00000000-0005-0000-0000-00003D180000}"/>
    <cellStyle name="Labels - Style3 6 5" xfId="7126" xr:uid="{00000000-0005-0000-0000-00003E180000}"/>
    <cellStyle name="Labels - Style3 6 5 2" xfId="7127" xr:uid="{00000000-0005-0000-0000-00003F180000}"/>
    <cellStyle name="Labels - Style3 6 6" xfId="7128" xr:uid="{00000000-0005-0000-0000-000040180000}"/>
    <cellStyle name="Labels - Style3 6 6 2" xfId="7129" xr:uid="{00000000-0005-0000-0000-000041180000}"/>
    <cellStyle name="Labels - Style3 6 7" xfId="7130" xr:uid="{00000000-0005-0000-0000-000042180000}"/>
    <cellStyle name="Labels - Style3 6 7 2" xfId="7131" xr:uid="{00000000-0005-0000-0000-000043180000}"/>
    <cellStyle name="Labels - Style3 6 8" xfId="7132" xr:uid="{00000000-0005-0000-0000-000044180000}"/>
    <cellStyle name="Labels - Style3 6 8 2" xfId="7133" xr:uid="{00000000-0005-0000-0000-000045180000}"/>
    <cellStyle name="Labels - Style3 6 9" xfId="7134" xr:uid="{00000000-0005-0000-0000-000046180000}"/>
    <cellStyle name="Labels - Style3 6 9 2" xfId="7135" xr:uid="{00000000-0005-0000-0000-000047180000}"/>
    <cellStyle name="Labels - Style3 7" xfId="7136" xr:uid="{00000000-0005-0000-0000-000048180000}"/>
    <cellStyle name="Labels - Style3 7 10" xfId="7137" xr:uid="{00000000-0005-0000-0000-000049180000}"/>
    <cellStyle name="Labels - Style3 7 10 2" xfId="7138" xr:uid="{00000000-0005-0000-0000-00004A180000}"/>
    <cellStyle name="Labels - Style3 7 11" xfId="7139" xr:uid="{00000000-0005-0000-0000-00004B180000}"/>
    <cellStyle name="Labels - Style3 7 2" xfId="7140" xr:uid="{00000000-0005-0000-0000-00004C180000}"/>
    <cellStyle name="Labels - Style3 7 2 2" xfId="7141" xr:uid="{00000000-0005-0000-0000-00004D180000}"/>
    <cellStyle name="Labels - Style3 7 3" xfId="7142" xr:uid="{00000000-0005-0000-0000-00004E180000}"/>
    <cellStyle name="Labels - Style3 7 3 2" xfId="7143" xr:uid="{00000000-0005-0000-0000-00004F180000}"/>
    <cellStyle name="Labels - Style3 7 4" xfId="7144" xr:uid="{00000000-0005-0000-0000-000050180000}"/>
    <cellStyle name="Labels - Style3 7 4 2" xfId="7145" xr:uid="{00000000-0005-0000-0000-000051180000}"/>
    <cellStyle name="Labels - Style3 7 5" xfId="7146" xr:uid="{00000000-0005-0000-0000-000052180000}"/>
    <cellStyle name="Labels - Style3 7 5 2" xfId="7147" xr:uid="{00000000-0005-0000-0000-000053180000}"/>
    <cellStyle name="Labels - Style3 7 6" xfId="7148" xr:uid="{00000000-0005-0000-0000-000054180000}"/>
    <cellStyle name="Labels - Style3 7 6 2" xfId="7149" xr:uid="{00000000-0005-0000-0000-000055180000}"/>
    <cellStyle name="Labels - Style3 7 7" xfId="7150" xr:uid="{00000000-0005-0000-0000-000056180000}"/>
    <cellStyle name="Labels - Style3 7 7 2" xfId="7151" xr:uid="{00000000-0005-0000-0000-000057180000}"/>
    <cellStyle name="Labels - Style3 7 8" xfId="7152" xr:uid="{00000000-0005-0000-0000-000058180000}"/>
    <cellStyle name="Labels - Style3 7 8 2" xfId="7153" xr:uid="{00000000-0005-0000-0000-000059180000}"/>
    <cellStyle name="Labels - Style3 7 9" xfId="7154" xr:uid="{00000000-0005-0000-0000-00005A180000}"/>
    <cellStyle name="Labels - Style3 7 9 2" xfId="7155" xr:uid="{00000000-0005-0000-0000-00005B180000}"/>
    <cellStyle name="Labels - Style3 8" xfId="7156" xr:uid="{00000000-0005-0000-0000-00005C180000}"/>
    <cellStyle name="Labels - Style3 8 2" xfId="7157" xr:uid="{00000000-0005-0000-0000-00005D180000}"/>
    <cellStyle name="Labels - Style3 9" xfId="7158" xr:uid="{00000000-0005-0000-0000-00005E180000}"/>
    <cellStyle name="Labels - Style3 9 2" xfId="7159" xr:uid="{00000000-0005-0000-0000-00005F180000}"/>
    <cellStyle name="Length" xfId="7160" xr:uid="{00000000-0005-0000-0000-000060180000}"/>
    <cellStyle name="Line3" xfId="7161" xr:uid="{00000000-0005-0000-0000-000061180000}"/>
    <cellStyle name="Line3 10" xfId="7162" xr:uid="{00000000-0005-0000-0000-000062180000}"/>
    <cellStyle name="Line3 11" xfId="7163" xr:uid="{00000000-0005-0000-0000-000063180000}"/>
    <cellStyle name="Line3 12" xfId="7164" xr:uid="{00000000-0005-0000-0000-000064180000}"/>
    <cellStyle name="Line3 13" xfId="7165" xr:uid="{00000000-0005-0000-0000-000065180000}"/>
    <cellStyle name="Line3 14" xfId="7166" xr:uid="{00000000-0005-0000-0000-000066180000}"/>
    <cellStyle name="Line3 15" xfId="7167" xr:uid="{00000000-0005-0000-0000-000067180000}"/>
    <cellStyle name="Line3 16" xfId="7168" xr:uid="{00000000-0005-0000-0000-000068180000}"/>
    <cellStyle name="Line3 17" xfId="7169" xr:uid="{00000000-0005-0000-0000-000069180000}"/>
    <cellStyle name="Line3 2" xfId="7170" xr:uid="{00000000-0005-0000-0000-00006A180000}"/>
    <cellStyle name="Line3 2 10" xfId="7171" xr:uid="{00000000-0005-0000-0000-00006B180000}"/>
    <cellStyle name="Line3 2 11" xfId="7172" xr:uid="{00000000-0005-0000-0000-00006C180000}"/>
    <cellStyle name="Line3 2 12" xfId="7173" xr:uid="{00000000-0005-0000-0000-00006D180000}"/>
    <cellStyle name="Line3 2 13" xfId="7174" xr:uid="{00000000-0005-0000-0000-00006E180000}"/>
    <cellStyle name="Line3 2 2" xfId="7175" xr:uid="{00000000-0005-0000-0000-00006F180000}"/>
    <cellStyle name="Line3 2 3" xfId="7176" xr:uid="{00000000-0005-0000-0000-000070180000}"/>
    <cellStyle name="Line3 2 4" xfId="7177" xr:uid="{00000000-0005-0000-0000-000071180000}"/>
    <cellStyle name="Line3 2 5" xfId="7178" xr:uid="{00000000-0005-0000-0000-000072180000}"/>
    <cellStyle name="Line3 2 6" xfId="7179" xr:uid="{00000000-0005-0000-0000-000073180000}"/>
    <cellStyle name="Line3 2 7" xfId="7180" xr:uid="{00000000-0005-0000-0000-000074180000}"/>
    <cellStyle name="Line3 2 8" xfId="7181" xr:uid="{00000000-0005-0000-0000-000075180000}"/>
    <cellStyle name="Line3 2 9" xfId="7182" xr:uid="{00000000-0005-0000-0000-000076180000}"/>
    <cellStyle name="Line3 3" xfId="7183" xr:uid="{00000000-0005-0000-0000-000077180000}"/>
    <cellStyle name="Line3 3 10" xfId="7184" xr:uid="{00000000-0005-0000-0000-000078180000}"/>
    <cellStyle name="Line3 3 11" xfId="7185" xr:uid="{00000000-0005-0000-0000-000079180000}"/>
    <cellStyle name="Line3 3 12" xfId="7186" xr:uid="{00000000-0005-0000-0000-00007A180000}"/>
    <cellStyle name="Line3 3 13" xfId="7187" xr:uid="{00000000-0005-0000-0000-00007B180000}"/>
    <cellStyle name="Line3 3 2" xfId="7188" xr:uid="{00000000-0005-0000-0000-00007C180000}"/>
    <cellStyle name="Line3 3 3" xfId="7189" xr:uid="{00000000-0005-0000-0000-00007D180000}"/>
    <cellStyle name="Line3 3 4" xfId="7190" xr:uid="{00000000-0005-0000-0000-00007E180000}"/>
    <cellStyle name="Line3 3 5" xfId="7191" xr:uid="{00000000-0005-0000-0000-00007F180000}"/>
    <cellStyle name="Line3 3 6" xfId="7192" xr:uid="{00000000-0005-0000-0000-000080180000}"/>
    <cellStyle name="Line3 3 7" xfId="7193" xr:uid="{00000000-0005-0000-0000-000081180000}"/>
    <cellStyle name="Line3 3 8" xfId="7194" xr:uid="{00000000-0005-0000-0000-000082180000}"/>
    <cellStyle name="Line3 3 9" xfId="7195" xr:uid="{00000000-0005-0000-0000-000083180000}"/>
    <cellStyle name="Line3 4" xfId="7196" xr:uid="{00000000-0005-0000-0000-000084180000}"/>
    <cellStyle name="Line3 4 10" xfId="7197" xr:uid="{00000000-0005-0000-0000-000085180000}"/>
    <cellStyle name="Line3 4 11" xfId="7198" xr:uid="{00000000-0005-0000-0000-000086180000}"/>
    <cellStyle name="Line3 4 12" xfId="7199" xr:uid="{00000000-0005-0000-0000-000087180000}"/>
    <cellStyle name="Line3 4 13" xfId="7200" xr:uid="{00000000-0005-0000-0000-000088180000}"/>
    <cellStyle name="Line3 4 2" xfId="7201" xr:uid="{00000000-0005-0000-0000-000089180000}"/>
    <cellStyle name="Line3 4 3" xfId="7202" xr:uid="{00000000-0005-0000-0000-00008A180000}"/>
    <cellStyle name="Line3 4 4" xfId="7203" xr:uid="{00000000-0005-0000-0000-00008B180000}"/>
    <cellStyle name="Line3 4 5" xfId="7204" xr:uid="{00000000-0005-0000-0000-00008C180000}"/>
    <cellStyle name="Line3 4 6" xfId="7205" xr:uid="{00000000-0005-0000-0000-00008D180000}"/>
    <cellStyle name="Line3 4 7" xfId="7206" xr:uid="{00000000-0005-0000-0000-00008E180000}"/>
    <cellStyle name="Line3 4 8" xfId="7207" xr:uid="{00000000-0005-0000-0000-00008F180000}"/>
    <cellStyle name="Line3 4 9" xfId="7208" xr:uid="{00000000-0005-0000-0000-000090180000}"/>
    <cellStyle name="Line3 5" xfId="7209" xr:uid="{00000000-0005-0000-0000-000091180000}"/>
    <cellStyle name="Line3 6" xfId="7210" xr:uid="{00000000-0005-0000-0000-000092180000}"/>
    <cellStyle name="Line3 7" xfId="7211" xr:uid="{00000000-0005-0000-0000-000093180000}"/>
    <cellStyle name="Line3 8" xfId="7212" xr:uid="{00000000-0005-0000-0000-000094180000}"/>
    <cellStyle name="Line3 9" xfId="7213" xr:uid="{00000000-0005-0000-0000-000095180000}"/>
    <cellStyle name="Linked Cell 2" xfId="148" xr:uid="{00000000-0005-0000-0000-000055020000}"/>
    <cellStyle name="Linked Cell 2 10" xfId="7214" xr:uid="{00000000-0005-0000-0000-000097180000}"/>
    <cellStyle name="Linked Cell 2 11" xfId="7215" xr:uid="{00000000-0005-0000-0000-000098180000}"/>
    <cellStyle name="Linked Cell 2 12" xfId="7216" xr:uid="{00000000-0005-0000-0000-000099180000}"/>
    <cellStyle name="Linked Cell 2 13" xfId="7217" xr:uid="{00000000-0005-0000-0000-00009A180000}"/>
    <cellStyle name="Linked Cell 2 14" xfId="7218" xr:uid="{00000000-0005-0000-0000-00009B180000}"/>
    <cellStyle name="Linked Cell 2 15" xfId="7219" xr:uid="{00000000-0005-0000-0000-00009C180000}"/>
    <cellStyle name="Linked Cell 2 16" xfId="7220" xr:uid="{00000000-0005-0000-0000-00009D180000}"/>
    <cellStyle name="Linked Cell 2 2" xfId="7221" xr:uid="{00000000-0005-0000-0000-00009E180000}"/>
    <cellStyle name="Linked Cell 2 2 10" xfId="7222" xr:uid="{00000000-0005-0000-0000-00009F180000}"/>
    <cellStyle name="Linked Cell 2 2 11" xfId="7223" xr:uid="{00000000-0005-0000-0000-0000A0180000}"/>
    <cellStyle name="Linked Cell 2 2 12" xfId="7224" xr:uid="{00000000-0005-0000-0000-0000A1180000}"/>
    <cellStyle name="Linked Cell 2 2 13" xfId="7225" xr:uid="{00000000-0005-0000-0000-0000A2180000}"/>
    <cellStyle name="Linked Cell 2 2 14" xfId="7226" xr:uid="{00000000-0005-0000-0000-0000A3180000}"/>
    <cellStyle name="Linked Cell 2 2 2" xfId="7227" xr:uid="{00000000-0005-0000-0000-0000A4180000}"/>
    <cellStyle name="Linked Cell 2 2 3" xfId="7228" xr:uid="{00000000-0005-0000-0000-0000A5180000}"/>
    <cellStyle name="Linked Cell 2 2 4" xfId="7229" xr:uid="{00000000-0005-0000-0000-0000A6180000}"/>
    <cellStyle name="Linked Cell 2 2 5" xfId="7230" xr:uid="{00000000-0005-0000-0000-0000A7180000}"/>
    <cellStyle name="Linked Cell 2 2 6" xfId="7231" xr:uid="{00000000-0005-0000-0000-0000A8180000}"/>
    <cellStyle name="Linked Cell 2 2 7" xfId="7232" xr:uid="{00000000-0005-0000-0000-0000A9180000}"/>
    <cellStyle name="Linked Cell 2 2 8" xfId="7233" xr:uid="{00000000-0005-0000-0000-0000AA180000}"/>
    <cellStyle name="Linked Cell 2 2 9" xfId="7234" xr:uid="{00000000-0005-0000-0000-0000AB180000}"/>
    <cellStyle name="Linked Cell 2 3" xfId="7235" xr:uid="{00000000-0005-0000-0000-0000AC180000}"/>
    <cellStyle name="Linked Cell 2 4" xfId="7236" xr:uid="{00000000-0005-0000-0000-0000AD180000}"/>
    <cellStyle name="Linked Cell 2 5" xfId="7237" xr:uid="{00000000-0005-0000-0000-0000AE180000}"/>
    <cellStyle name="Linked Cell 2 6" xfId="7238" xr:uid="{00000000-0005-0000-0000-0000AF180000}"/>
    <cellStyle name="Linked Cell 2 7" xfId="7239" xr:uid="{00000000-0005-0000-0000-0000B0180000}"/>
    <cellStyle name="Linked Cell 2 8" xfId="7240" xr:uid="{00000000-0005-0000-0000-0000B1180000}"/>
    <cellStyle name="Linked Cell 2 9" xfId="7241" xr:uid="{00000000-0005-0000-0000-0000B2180000}"/>
    <cellStyle name="Linked Cell 3" xfId="7242" xr:uid="{00000000-0005-0000-0000-0000B3180000}"/>
    <cellStyle name="Linked Cell 4" xfId="7243" xr:uid="{00000000-0005-0000-0000-0000B4180000}"/>
    <cellStyle name="Linked Cell 5" xfId="7244" xr:uid="{00000000-0005-0000-0000-0000B5180000}"/>
    <cellStyle name="M" xfId="7245" xr:uid="{00000000-0005-0000-0000-0000B6180000}"/>
    <cellStyle name="M-0" xfId="7246" xr:uid="{00000000-0005-0000-0000-0000B7180000}"/>
    <cellStyle name="MainDescription" xfId="7247" xr:uid="{00000000-0005-0000-0000-0000B8180000}"/>
    <cellStyle name="Measure" xfId="7248" xr:uid="{00000000-0005-0000-0000-0000B9180000}"/>
    <cellStyle name="Migliaia (0)_laroux" xfId="7249" xr:uid="{00000000-0005-0000-0000-0000BA180000}"/>
    <cellStyle name="Migliaia_laroux" xfId="7250" xr:uid="{00000000-0005-0000-0000-0000BB180000}"/>
    <cellStyle name="Milliers [0]_laroux" xfId="7251" xr:uid="{00000000-0005-0000-0000-0000BC180000}"/>
    <cellStyle name="Milliers_laroux" xfId="7252" xr:uid="{00000000-0005-0000-0000-0000BD180000}"/>
    <cellStyle name="m-o" xfId="7253" xr:uid="{00000000-0005-0000-0000-0000BE180000}"/>
    <cellStyle name="Model" xfId="7254" xr:uid="{00000000-0005-0000-0000-0000BF180000}"/>
    <cellStyle name="Monétaire [0]_laroux" xfId="7255" xr:uid="{00000000-0005-0000-0000-0000C0180000}"/>
    <cellStyle name="Monétaire_laroux" xfId="7256" xr:uid="{00000000-0005-0000-0000-0000C1180000}"/>
    <cellStyle name="n" xfId="7257" xr:uid="{00000000-0005-0000-0000-0000C2180000}"/>
    <cellStyle name="Neutral 2" xfId="149" xr:uid="{00000000-0005-0000-0000-000056020000}"/>
    <cellStyle name="Neutral 2 10" xfId="7258" xr:uid="{00000000-0005-0000-0000-0000C4180000}"/>
    <cellStyle name="Neutral 2 11" xfId="7259" xr:uid="{00000000-0005-0000-0000-0000C5180000}"/>
    <cellStyle name="Neutral 2 12" xfId="7260" xr:uid="{00000000-0005-0000-0000-0000C6180000}"/>
    <cellStyle name="Neutral 2 13" xfId="7261" xr:uid="{00000000-0005-0000-0000-0000C7180000}"/>
    <cellStyle name="Neutral 2 14" xfId="7262" xr:uid="{00000000-0005-0000-0000-0000C8180000}"/>
    <cellStyle name="Neutral 2 15" xfId="7263" xr:uid="{00000000-0005-0000-0000-0000C9180000}"/>
    <cellStyle name="Neutral 2 16" xfId="7264" xr:uid="{00000000-0005-0000-0000-0000CA180000}"/>
    <cellStyle name="Neutral 2 2" xfId="7265" xr:uid="{00000000-0005-0000-0000-0000CB180000}"/>
    <cellStyle name="Neutral 2 2 10" xfId="7266" xr:uid="{00000000-0005-0000-0000-0000CC180000}"/>
    <cellStyle name="Neutral 2 2 11" xfId="7267" xr:uid="{00000000-0005-0000-0000-0000CD180000}"/>
    <cellStyle name="Neutral 2 2 12" xfId="7268" xr:uid="{00000000-0005-0000-0000-0000CE180000}"/>
    <cellStyle name="Neutral 2 2 13" xfId="7269" xr:uid="{00000000-0005-0000-0000-0000CF180000}"/>
    <cellStyle name="Neutral 2 2 14" xfId="7270" xr:uid="{00000000-0005-0000-0000-0000D0180000}"/>
    <cellStyle name="Neutral 2 2 2" xfId="7271" xr:uid="{00000000-0005-0000-0000-0000D1180000}"/>
    <cellStyle name="Neutral 2 2 3" xfId="7272" xr:uid="{00000000-0005-0000-0000-0000D2180000}"/>
    <cellStyle name="Neutral 2 2 4" xfId="7273" xr:uid="{00000000-0005-0000-0000-0000D3180000}"/>
    <cellStyle name="Neutral 2 2 5" xfId="7274" xr:uid="{00000000-0005-0000-0000-0000D4180000}"/>
    <cellStyle name="Neutral 2 2 6" xfId="7275" xr:uid="{00000000-0005-0000-0000-0000D5180000}"/>
    <cellStyle name="Neutral 2 2 7" xfId="7276" xr:uid="{00000000-0005-0000-0000-0000D6180000}"/>
    <cellStyle name="Neutral 2 2 8" xfId="7277" xr:uid="{00000000-0005-0000-0000-0000D7180000}"/>
    <cellStyle name="Neutral 2 2 9" xfId="7278" xr:uid="{00000000-0005-0000-0000-0000D8180000}"/>
    <cellStyle name="Neutral 2 3" xfId="7279" xr:uid="{00000000-0005-0000-0000-0000D9180000}"/>
    <cellStyle name="Neutral 2 4" xfId="7280" xr:uid="{00000000-0005-0000-0000-0000DA180000}"/>
    <cellStyle name="Neutral 2 5" xfId="7281" xr:uid="{00000000-0005-0000-0000-0000DB180000}"/>
    <cellStyle name="Neutral 2 6" xfId="7282" xr:uid="{00000000-0005-0000-0000-0000DC180000}"/>
    <cellStyle name="Neutral 2 7" xfId="7283" xr:uid="{00000000-0005-0000-0000-0000DD180000}"/>
    <cellStyle name="Neutral 2 8" xfId="7284" xr:uid="{00000000-0005-0000-0000-0000DE180000}"/>
    <cellStyle name="Neutral 2 9" xfId="7285" xr:uid="{00000000-0005-0000-0000-0000DF180000}"/>
    <cellStyle name="Neutral 3" xfId="7286" xr:uid="{00000000-0005-0000-0000-0000E0180000}"/>
    <cellStyle name="Neutral 4" xfId="7287" xr:uid="{00000000-0005-0000-0000-0000E1180000}"/>
    <cellStyle name="Neutral 5" xfId="7288" xr:uid="{00000000-0005-0000-0000-0000E2180000}"/>
    <cellStyle name="no dec" xfId="7289" xr:uid="{00000000-0005-0000-0000-0000E3180000}"/>
    <cellStyle name="Normal" xfId="0" builtinId="0"/>
    <cellStyle name="Normal - Style1" xfId="21" xr:uid="{00000000-0005-0000-0000-000016000000}"/>
    <cellStyle name="Normal - Style1 2" xfId="36" xr:uid="{00000000-0005-0000-0000-000017000000}"/>
    <cellStyle name="Normal - Style1 2 2" xfId="7290" xr:uid="{00000000-0005-0000-0000-0000E7180000}"/>
    <cellStyle name="Normal - Style1 3" xfId="953" xr:uid="{00000000-0005-0000-0000-000058020000}"/>
    <cellStyle name="Normal - Style1 3 2" xfId="7291" xr:uid="{00000000-0005-0000-0000-0000E8180000}"/>
    <cellStyle name="Normal - Style1 4" xfId="7292" xr:uid="{00000000-0005-0000-0000-0000E9180000}"/>
    <cellStyle name="Normal - Style1 5" xfId="7293" xr:uid="{00000000-0005-0000-0000-0000EA180000}"/>
    <cellStyle name="Normal 10" xfId="13" xr:uid="{00000000-0005-0000-0000-000018000000}"/>
    <cellStyle name="Normal 10 10" xfId="7294" xr:uid="{00000000-0005-0000-0000-0000EC180000}"/>
    <cellStyle name="Normal 10 11" xfId="66" xr:uid="{58DB75F5-D24D-4349-9411-AFF98724D3A4}"/>
    <cellStyle name="Normal 10 12" xfId="7295" xr:uid="{00000000-0005-0000-0000-0000EE180000}"/>
    <cellStyle name="Normal 10 13" xfId="7296" xr:uid="{00000000-0005-0000-0000-0000EF180000}"/>
    <cellStyle name="Normal 10 14" xfId="7297" xr:uid="{00000000-0005-0000-0000-0000F0180000}"/>
    <cellStyle name="Normal 10 15" xfId="961" xr:uid="{00000000-0005-0000-0000-00005A020000}"/>
    <cellStyle name="Normal 10 15 2" xfId="7298" xr:uid="{00000000-0005-0000-0000-0000F1180000}"/>
    <cellStyle name="Normal 10 16" xfId="7299" xr:uid="{00000000-0005-0000-0000-0000F2180000}"/>
    <cellStyle name="Normal 10 17" xfId="7300" xr:uid="{00000000-0005-0000-0000-0000F3180000}"/>
    <cellStyle name="Normal 10 2" xfId="26" xr:uid="{00000000-0005-0000-0000-000019000000}"/>
    <cellStyle name="Normal 10 2 10" xfId="7301" xr:uid="{00000000-0005-0000-0000-0000F5180000}"/>
    <cellStyle name="Normal 10 2 11" xfId="7302" xr:uid="{00000000-0005-0000-0000-0000F6180000}"/>
    <cellStyle name="Normal 10 2 2" xfId="981" xr:uid="{00000000-0005-0000-0000-0000F7180000}"/>
    <cellStyle name="Normal 10 2 2 2" xfId="7304" xr:uid="{00000000-0005-0000-0000-0000F8180000}"/>
    <cellStyle name="Normal 10 2 2 3" xfId="7305" xr:uid="{00000000-0005-0000-0000-0000F9180000}"/>
    <cellStyle name="Normal 10 2 2 4" xfId="7306" xr:uid="{00000000-0005-0000-0000-0000FA180000}"/>
    <cellStyle name="Normal 10 2 2 5" xfId="7307" xr:uid="{00000000-0005-0000-0000-0000FB180000}"/>
    <cellStyle name="Normal 10 2 2 6" xfId="7303" xr:uid="{00000000-0005-0000-0000-0000FC180000}"/>
    <cellStyle name="Normal 10 2 3" xfId="7308" xr:uid="{00000000-0005-0000-0000-0000FD180000}"/>
    <cellStyle name="Normal 10 2 3 2" xfId="7309" xr:uid="{00000000-0005-0000-0000-0000FE180000}"/>
    <cellStyle name="Normal 10 2 3 3" xfId="7310" xr:uid="{00000000-0005-0000-0000-0000FF180000}"/>
    <cellStyle name="Normal 10 2 3 4" xfId="7311" xr:uid="{00000000-0005-0000-0000-000000190000}"/>
    <cellStyle name="Normal 10 2 3 5" xfId="7312" xr:uid="{00000000-0005-0000-0000-000001190000}"/>
    <cellStyle name="Normal 10 2 4" xfId="7313" xr:uid="{00000000-0005-0000-0000-000002190000}"/>
    <cellStyle name="Normal 10 2 4 2" xfId="7314" xr:uid="{00000000-0005-0000-0000-000003190000}"/>
    <cellStyle name="Normal 10 2 4 3" xfId="7315" xr:uid="{00000000-0005-0000-0000-000004190000}"/>
    <cellStyle name="Normal 10 2 4 4" xfId="7316" xr:uid="{00000000-0005-0000-0000-000005190000}"/>
    <cellStyle name="Normal 10 2 4 5" xfId="7317" xr:uid="{00000000-0005-0000-0000-000006190000}"/>
    <cellStyle name="Normal 10 2 5" xfId="7318" xr:uid="{00000000-0005-0000-0000-000007190000}"/>
    <cellStyle name="Normal 10 2 6" xfId="7319" xr:uid="{00000000-0005-0000-0000-000008190000}"/>
    <cellStyle name="Normal 10 2 7" xfId="7320" xr:uid="{00000000-0005-0000-0000-000009190000}"/>
    <cellStyle name="Normal 10 2 8" xfId="7321" xr:uid="{00000000-0005-0000-0000-00000A190000}"/>
    <cellStyle name="Normal 10 2 9" xfId="7322" xr:uid="{00000000-0005-0000-0000-00000B190000}"/>
    <cellStyle name="Normal 10 3" xfId="104" xr:uid="{00000000-0005-0000-0000-000004000000}"/>
    <cellStyle name="Normal 10 3 2" xfId="7324" xr:uid="{00000000-0005-0000-0000-00000D190000}"/>
    <cellStyle name="Normal 10 3 3" xfId="7325" xr:uid="{00000000-0005-0000-0000-00000E190000}"/>
    <cellStyle name="Normal 10 3 4" xfId="7326" xr:uid="{00000000-0005-0000-0000-00000F190000}"/>
    <cellStyle name="Normal 10 3 5" xfId="7323" xr:uid="{00000000-0005-0000-0000-00000C190000}"/>
    <cellStyle name="Normal 10 4" xfId="7327" xr:uid="{00000000-0005-0000-0000-000010190000}"/>
    <cellStyle name="Normal 10 4 2" xfId="7328" xr:uid="{00000000-0005-0000-0000-000011190000}"/>
    <cellStyle name="Normal 10 4 3" xfId="7329" xr:uid="{00000000-0005-0000-0000-000012190000}"/>
    <cellStyle name="Normal 10 4 4" xfId="7330" xr:uid="{00000000-0005-0000-0000-000013190000}"/>
    <cellStyle name="Normal 10 4 5" xfId="7331" xr:uid="{00000000-0005-0000-0000-000014190000}"/>
    <cellStyle name="Normal 10 5" xfId="7332" xr:uid="{00000000-0005-0000-0000-000015190000}"/>
    <cellStyle name="Normal 10 5 2" xfId="7333" xr:uid="{00000000-0005-0000-0000-000016190000}"/>
    <cellStyle name="Normal 10 5 3" xfId="7334" xr:uid="{00000000-0005-0000-0000-000017190000}"/>
    <cellStyle name="Normal 10 5 4" xfId="7335" xr:uid="{00000000-0005-0000-0000-000018190000}"/>
    <cellStyle name="Normal 10 5 5" xfId="7336" xr:uid="{00000000-0005-0000-0000-000019190000}"/>
    <cellStyle name="Normal 10 6" xfId="7337" xr:uid="{00000000-0005-0000-0000-00001A190000}"/>
    <cellStyle name="Normal 10 6 2" xfId="7338" xr:uid="{00000000-0005-0000-0000-00001B190000}"/>
    <cellStyle name="Normal 10 6 3" xfId="7339" xr:uid="{00000000-0005-0000-0000-00001C190000}"/>
    <cellStyle name="Normal 10 6 4" xfId="7340" xr:uid="{00000000-0005-0000-0000-00001D190000}"/>
    <cellStyle name="Normal 10 6 5" xfId="7341" xr:uid="{00000000-0005-0000-0000-00001E190000}"/>
    <cellStyle name="Normal 10 7" xfId="7342" xr:uid="{00000000-0005-0000-0000-00001F190000}"/>
    <cellStyle name="Normal 10 8" xfId="7343" xr:uid="{00000000-0005-0000-0000-000020190000}"/>
    <cellStyle name="Normal 10 9" xfId="7344" xr:uid="{00000000-0005-0000-0000-000021190000}"/>
    <cellStyle name="Normal 105" xfId="982" xr:uid="{00000000-0005-0000-0000-000022190000}"/>
    <cellStyle name="Normal 11" xfId="150" xr:uid="{00000000-0005-0000-0000-00005C020000}"/>
    <cellStyle name="Normal 11 10" xfId="7345" xr:uid="{00000000-0005-0000-0000-000024190000}"/>
    <cellStyle name="Normal 11 11" xfId="7346" xr:uid="{00000000-0005-0000-0000-000025190000}"/>
    <cellStyle name="Normal 11 12" xfId="7347" xr:uid="{00000000-0005-0000-0000-000026190000}"/>
    <cellStyle name="Normal 11 13" xfId="7348" xr:uid="{00000000-0005-0000-0000-000027190000}"/>
    <cellStyle name="Normal 11 14" xfId="7349" xr:uid="{00000000-0005-0000-0000-000028190000}"/>
    <cellStyle name="Normal 11 15" xfId="7350" xr:uid="{00000000-0005-0000-0000-000029190000}"/>
    <cellStyle name="Normal 11 16" xfId="7351" xr:uid="{00000000-0005-0000-0000-00002A190000}"/>
    <cellStyle name="Normal 11 17" xfId="7352" xr:uid="{00000000-0005-0000-0000-00002B190000}"/>
    <cellStyle name="Normal 11 18" xfId="7353" xr:uid="{00000000-0005-0000-0000-00002C190000}"/>
    <cellStyle name="Normal 11 19" xfId="7354" xr:uid="{00000000-0005-0000-0000-00002D190000}"/>
    <cellStyle name="Normal 11 2" xfId="680" xr:uid="{00000000-0005-0000-0000-00005D020000}"/>
    <cellStyle name="Normal 11 2 10" xfId="7355" xr:uid="{00000000-0005-0000-0000-00002F190000}"/>
    <cellStyle name="Normal 11 2 11" xfId="7356" xr:uid="{00000000-0005-0000-0000-000030190000}"/>
    <cellStyle name="Normal 11 2 12" xfId="7357" xr:uid="{00000000-0005-0000-0000-000031190000}"/>
    <cellStyle name="Normal 11 2 13" xfId="7358" xr:uid="{00000000-0005-0000-0000-000032190000}"/>
    <cellStyle name="Normal 11 2 14" xfId="7359" xr:uid="{00000000-0005-0000-0000-000033190000}"/>
    <cellStyle name="Normal 11 2 15" xfId="7360" xr:uid="{00000000-0005-0000-0000-000034190000}"/>
    <cellStyle name="Normal 11 2 16" xfId="7361" xr:uid="{00000000-0005-0000-0000-000035190000}"/>
    <cellStyle name="Normal 11 2 17" xfId="7362" xr:uid="{00000000-0005-0000-0000-000036190000}"/>
    <cellStyle name="Normal 11 2 18" xfId="7363" xr:uid="{00000000-0005-0000-0000-000037190000}"/>
    <cellStyle name="Normal 11 2 2" xfId="7364" xr:uid="{00000000-0005-0000-0000-000038190000}"/>
    <cellStyle name="Normal 11 2 2 2" xfId="7365" xr:uid="{00000000-0005-0000-0000-000039190000}"/>
    <cellStyle name="Normal 11 2 3" xfId="7366" xr:uid="{00000000-0005-0000-0000-00003A190000}"/>
    <cellStyle name="Normal 11 2 4" xfId="7367" xr:uid="{00000000-0005-0000-0000-00003B190000}"/>
    <cellStyle name="Normal 11 2 5" xfId="7368" xr:uid="{00000000-0005-0000-0000-00003C190000}"/>
    <cellStyle name="Normal 11 2 6" xfId="7369" xr:uid="{00000000-0005-0000-0000-00003D190000}"/>
    <cellStyle name="Normal 11 2 7" xfId="7370" xr:uid="{00000000-0005-0000-0000-00003E190000}"/>
    <cellStyle name="Normal 11 2 8" xfId="7371" xr:uid="{00000000-0005-0000-0000-00003F190000}"/>
    <cellStyle name="Normal 11 2 9" xfId="7372" xr:uid="{00000000-0005-0000-0000-000040190000}"/>
    <cellStyle name="Normal 11 20" xfId="7373" xr:uid="{00000000-0005-0000-0000-000041190000}"/>
    <cellStyle name="Normal 11 21" xfId="7374" xr:uid="{00000000-0005-0000-0000-000042190000}"/>
    <cellStyle name="Normal 11 22" xfId="7375" xr:uid="{00000000-0005-0000-0000-000043190000}"/>
    <cellStyle name="Normal 11 23" xfId="7376" xr:uid="{00000000-0005-0000-0000-000044190000}"/>
    <cellStyle name="Normal 11 24" xfId="7377" xr:uid="{00000000-0005-0000-0000-000045190000}"/>
    <cellStyle name="Normal 11 3" xfId="681" xr:uid="{00000000-0005-0000-0000-00005E020000}"/>
    <cellStyle name="Normal 11 3 2" xfId="7379" xr:uid="{00000000-0005-0000-0000-000047190000}"/>
    <cellStyle name="Normal 11 3 3" xfId="7380" xr:uid="{00000000-0005-0000-0000-000048190000}"/>
    <cellStyle name="Normal 11 3 4" xfId="7381" xr:uid="{00000000-0005-0000-0000-000049190000}"/>
    <cellStyle name="Normal 11 3 5" xfId="7382" xr:uid="{00000000-0005-0000-0000-00004A190000}"/>
    <cellStyle name="Normal 11 3 6" xfId="7378" xr:uid="{00000000-0005-0000-0000-000046190000}"/>
    <cellStyle name="Normal 11 4" xfId="682" xr:uid="{00000000-0005-0000-0000-00005F020000}"/>
    <cellStyle name="Normal 11 4 2" xfId="7384" xr:uid="{00000000-0005-0000-0000-00004C190000}"/>
    <cellStyle name="Normal 11 4 3" xfId="7385" xr:uid="{00000000-0005-0000-0000-00004D190000}"/>
    <cellStyle name="Normal 11 4 4" xfId="7386" xr:uid="{00000000-0005-0000-0000-00004E190000}"/>
    <cellStyle name="Normal 11 4 5" xfId="7387" xr:uid="{00000000-0005-0000-0000-00004F190000}"/>
    <cellStyle name="Normal 11 4 6" xfId="7383" xr:uid="{00000000-0005-0000-0000-00004B190000}"/>
    <cellStyle name="Normal 11 5" xfId="683" xr:uid="{00000000-0005-0000-0000-000060020000}"/>
    <cellStyle name="Normal 11 6" xfId="684" xr:uid="{00000000-0005-0000-0000-000061020000}"/>
    <cellStyle name="Normal 11 7" xfId="7388" xr:uid="{00000000-0005-0000-0000-000052190000}"/>
    <cellStyle name="Normal 11 8" xfId="7389" xr:uid="{00000000-0005-0000-0000-000053190000}"/>
    <cellStyle name="Normal 11 9" xfId="7390" xr:uid="{00000000-0005-0000-0000-000054190000}"/>
    <cellStyle name="Normal 12" xfId="49" xr:uid="{00000000-0005-0000-0000-00001A000000}"/>
    <cellStyle name="Normal 12 10" xfId="7392" xr:uid="{00000000-0005-0000-0000-000056190000}"/>
    <cellStyle name="Normal 12 11" xfId="7393" xr:uid="{00000000-0005-0000-0000-000057190000}"/>
    <cellStyle name="Normal 12 12" xfId="7394" xr:uid="{00000000-0005-0000-0000-000058190000}"/>
    <cellStyle name="Normal 12 13" xfId="7395" xr:uid="{00000000-0005-0000-0000-000059190000}"/>
    <cellStyle name="Normal 12 14" xfId="7396" xr:uid="{00000000-0005-0000-0000-00005A190000}"/>
    <cellStyle name="Normal 12 15" xfId="7397" xr:uid="{00000000-0005-0000-0000-00005B190000}"/>
    <cellStyle name="Normal 12 16" xfId="7398" xr:uid="{00000000-0005-0000-0000-00005C190000}"/>
    <cellStyle name="Normal 12 17" xfId="7399" xr:uid="{00000000-0005-0000-0000-00005D190000}"/>
    <cellStyle name="Normal 12 18" xfId="7400" xr:uid="{00000000-0005-0000-0000-00005E190000}"/>
    <cellStyle name="Normal 12 19" xfId="7401" xr:uid="{00000000-0005-0000-0000-00005F190000}"/>
    <cellStyle name="Normal 12 2" xfId="152" xr:uid="{00000000-0005-0000-0000-000063020000}"/>
    <cellStyle name="Normal 12 2 10" xfId="7402" xr:uid="{00000000-0005-0000-0000-000061190000}"/>
    <cellStyle name="Normal 12 2 11" xfId="7403" xr:uid="{00000000-0005-0000-0000-000062190000}"/>
    <cellStyle name="Normal 12 2 12" xfId="7404" xr:uid="{00000000-0005-0000-0000-000063190000}"/>
    <cellStyle name="Normal 12 2 13" xfId="7405" xr:uid="{00000000-0005-0000-0000-000064190000}"/>
    <cellStyle name="Normal 12 2 14" xfId="7406" xr:uid="{00000000-0005-0000-0000-000065190000}"/>
    <cellStyle name="Normal 12 2 15" xfId="7407" xr:uid="{00000000-0005-0000-0000-000066190000}"/>
    <cellStyle name="Normal 12 2 16" xfId="7408" xr:uid="{00000000-0005-0000-0000-000067190000}"/>
    <cellStyle name="Normal 12 2 17" xfId="7409" xr:uid="{00000000-0005-0000-0000-000068190000}"/>
    <cellStyle name="Normal 12 2 2" xfId="7410" xr:uid="{00000000-0005-0000-0000-000069190000}"/>
    <cellStyle name="Normal 12 2 3" xfId="7411" xr:uid="{00000000-0005-0000-0000-00006A190000}"/>
    <cellStyle name="Normal 12 2 4" xfId="7412" xr:uid="{00000000-0005-0000-0000-00006B190000}"/>
    <cellStyle name="Normal 12 2 5" xfId="7413" xr:uid="{00000000-0005-0000-0000-00006C190000}"/>
    <cellStyle name="Normal 12 2 6" xfId="7414" xr:uid="{00000000-0005-0000-0000-00006D190000}"/>
    <cellStyle name="Normal 12 2 7" xfId="7415" xr:uid="{00000000-0005-0000-0000-00006E190000}"/>
    <cellStyle name="Normal 12 2 8" xfId="7416" xr:uid="{00000000-0005-0000-0000-00006F190000}"/>
    <cellStyle name="Normal 12 2 9" xfId="7417" xr:uid="{00000000-0005-0000-0000-000070190000}"/>
    <cellStyle name="Normal 12 20" xfId="7418" xr:uid="{00000000-0005-0000-0000-000071190000}"/>
    <cellStyle name="Normal 12 21" xfId="7419" xr:uid="{00000000-0005-0000-0000-000072190000}"/>
    <cellStyle name="Normal 12 22" xfId="7420" xr:uid="{00000000-0005-0000-0000-000073190000}"/>
    <cellStyle name="Normal 12 23" xfId="7421" xr:uid="{00000000-0005-0000-0000-000074190000}"/>
    <cellStyle name="Normal 12 24" xfId="7422" xr:uid="{00000000-0005-0000-0000-000075190000}"/>
    <cellStyle name="Normal 12 25" xfId="7391" xr:uid="{00000000-0005-0000-0000-000076190000}"/>
    <cellStyle name="Normal 12 26" xfId="37251" xr:uid="{00000000-0005-0000-0000-000077190000}"/>
    <cellStyle name="Normal 12 3" xfId="151" xr:uid="{00000000-0005-0000-0000-000062020000}"/>
    <cellStyle name="Normal 12 3 2" xfId="7424" xr:uid="{00000000-0005-0000-0000-000079190000}"/>
    <cellStyle name="Normal 12 3 3" xfId="7425" xr:uid="{00000000-0005-0000-0000-00007A190000}"/>
    <cellStyle name="Normal 12 3 4" xfId="7426" xr:uid="{00000000-0005-0000-0000-00007B190000}"/>
    <cellStyle name="Normal 12 3 5" xfId="7427" xr:uid="{00000000-0005-0000-0000-00007C190000}"/>
    <cellStyle name="Normal 12 3 6" xfId="7423" xr:uid="{00000000-0005-0000-0000-000078190000}"/>
    <cellStyle name="Normal 12 4" xfId="7428" xr:uid="{00000000-0005-0000-0000-00007D190000}"/>
    <cellStyle name="Normal 12 4 2" xfId="7429" xr:uid="{00000000-0005-0000-0000-00007E190000}"/>
    <cellStyle name="Normal 12 4 3" xfId="7430" xr:uid="{00000000-0005-0000-0000-00007F190000}"/>
    <cellStyle name="Normal 12 4 4" xfId="7431" xr:uid="{00000000-0005-0000-0000-000080190000}"/>
    <cellStyle name="Normal 12 4 5" xfId="7432" xr:uid="{00000000-0005-0000-0000-000081190000}"/>
    <cellStyle name="Normal 12 5" xfId="7433" xr:uid="{00000000-0005-0000-0000-000082190000}"/>
    <cellStyle name="Normal 12 6" xfId="7434" xr:uid="{00000000-0005-0000-0000-000083190000}"/>
    <cellStyle name="Normal 12 7" xfId="7435" xr:uid="{00000000-0005-0000-0000-000084190000}"/>
    <cellStyle name="Normal 12 8" xfId="7436" xr:uid="{00000000-0005-0000-0000-000085190000}"/>
    <cellStyle name="Normal 12 9" xfId="7437" xr:uid="{00000000-0005-0000-0000-000086190000}"/>
    <cellStyle name="Normal 13" xfId="153" xr:uid="{00000000-0005-0000-0000-000064020000}"/>
    <cellStyle name="Normal 13 10" xfId="7438" xr:uid="{00000000-0005-0000-0000-000088190000}"/>
    <cellStyle name="Normal 13 11" xfId="7439" xr:uid="{00000000-0005-0000-0000-000089190000}"/>
    <cellStyle name="Normal 13 12" xfId="7440" xr:uid="{00000000-0005-0000-0000-00008A190000}"/>
    <cellStyle name="Normal 13 13" xfId="7441" xr:uid="{00000000-0005-0000-0000-00008B190000}"/>
    <cellStyle name="Normal 13 14" xfId="7442" xr:uid="{00000000-0005-0000-0000-00008C190000}"/>
    <cellStyle name="Normal 13 15" xfId="7443" xr:uid="{00000000-0005-0000-0000-00008D190000}"/>
    <cellStyle name="Normal 13 16" xfId="7444" xr:uid="{00000000-0005-0000-0000-00008E190000}"/>
    <cellStyle name="Normal 13 17" xfId="7445" xr:uid="{00000000-0005-0000-0000-00008F190000}"/>
    <cellStyle name="Normal 13 18" xfId="7446" xr:uid="{00000000-0005-0000-0000-000090190000}"/>
    <cellStyle name="Normal 13 19" xfId="7447" xr:uid="{00000000-0005-0000-0000-000091190000}"/>
    <cellStyle name="Normal 13 2" xfId="154" xr:uid="{00000000-0005-0000-0000-000065020000}"/>
    <cellStyle name="Normal 13 2 10" xfId="7448" xr:uid="{00000000-0005-0000-0000-000093190000}"/>
    <cellStyle name="Normal 13 2 11" xfId="7449" xr:uid="{00000000-0005-0000-0000-000094190000}"/>
    <cellStyle name="Normal 13 2 12" xfId="7450" xr:uid="{00000000-0005-0000-0000-000095190000}"/>
    <cellStyle name="Normal 13 2 13" xfId="7451" xr:uid="{00000000-0005-0000-0000-000096190000}"/>
    <cellStyle name="Normal 13 2 14" xfId="7452" xr:uid="{00000000-0005-0000-0000-000097190000}"/>
    <cellStyle name="Normal 13 2 15" xfId="7453" xr:uid="{00000000-0005-0000-0000-000098190000}"/>
    <cellStyle name="Normal 13 2 16" xfId="7454" xr:uid="{00000000-0005-0000-0000-000099190000}"/>
    <cellStyle name="Normal 13 2 17" xfId="7455" xr:uid="{00000000-0005-0000-0000-00009A190000}"/>
    <cellStyle name="Normal 13 2 2" xfId="7456" xr:uid="{00000000-0005-0000-0000-00009B190000}"/>
    <cellStyle name="Normal 13 2 3" xfId="7457" xr:uid="{00000000-0005-0000-0000-00009C190000}"/>
    <cellStyle name="Normal 13 2 4" xfId="7458" xr:uid="{00000000-0005-0000-0000-00009D190000}"/>
    <cellStyle name="Normal 13 2 5" xfId="7459" xr:uid="{00000000-0005-0000-0000-00009E190000}"/>
    <cellStyle name="Normal 13 2 6" xfId="7460" xr:uid="{00000000-0005-0000-0000-00009F190000}"/>
    <cellStyle name="Normal 13 2 7" xfId="7461" xr:uid="{00000000-0005-0000-0000-0000A0190000}"/>
    <cellStyle name="Normal 13 2 8" xfId="7462" xr:uid="{00000000-0005-0000-0000-0000A1190000}"/>
    <cellStyle name="Normal 13 2 9" xfId="7463" xr:uid="{00000000-0005-0000-0000-0000A2190000}"/>
    <cellStyle name="Normal 13 20" xfId="7464" xr:uid="{00000000-0005-0000-0000-0000A3190000}"/>
    <cellStyle name="Normal 13 21" xfId="7465" xr:uid="{00000000-0005-0000-0000-0000A4190000}"/>
    <cellStyle name="Normal 13 22" xfId="7466" xr:uid="{00000000-0005-0000-0000-0000A5190000}"/>
    <cellStyle name="Normal 13 23" xfId="7467" xr:uid="{00000000-0005-0000-0000-0000A6190000}"/>
    <cellStyle name="Normal 13 24" xfId="7468" xr:uid="{00000000-0005-0000-0000-0000A7190000}"/>
    <cellStyle name="Normal 13 3" xfId="7469" xr:uid="{00000000-0005-0000-0000-0000A8190000}"/>
    <cellStyle name="Normal 13 3 2" xfId="7470" xr:uid="{00000000-0005-0000-0000-0000A9190000}"/>
    <cellStyle name="Normal 13 3 3" xfId="7471" xr:uid="{00000000-0005-0000-0000-0000AA190000}"/>
    <cellStyle name="Normal 13 3 4" xfId="7472" xr:uid="{00000000-0005-0000-0000-0000AB190000}"/>
    <cellStyle name="Normal 13 3 5" xfId="7473" xr:uid="{00000000-0005-0000-0000-0000AC190000}"/>
    <cellStyle name="Normal 13 4" xfId="7474" xr:uid="{00000000-0005-0000-0000-0000AD190000}"/>
    <cellStyle name="Normal 13 4 2" xfId="7475" xr:uid="{00000000-0005-0000-0000-0000AE190000}"/>
    <cellStyle name="Normal 13 4 3" xfId="7476" xr:uid="{00000000-0005-0000-0000-0000AF190000}"/>
    <cellStyle name="Normal 13 4 4" xfId="7477" xr:uid="{00000000-0005-0000-0000-0000B0190000}"/>
    <cellStyle name="Normal 13 4 5" xfId="7478" xr:uid="{00000000-0005-0000-0000-0000B1190000}"/>
    <cellStyle name="Normal 13 5" xfId="7479" xr:uid="{00000000-0005-0000-0000-0000B2190000}"/>
    <cellStyle name="Normal 13 6" xfId="7480" xr:uid="{00000000-0005-0000-0000-0000B3190000}"/>
    <cellStyle name="Normal 13 7" xfId="7481" xr:uid="{00000000-0005-0000-0000-0000B4190000}"/>
    <cellStyle name="Normal 13 8" xfId="7482" xr:uid="{00000000-0005-0000-0000-0000B5190000}"/>
    <cellStyle name="Normal 13 9" xfId="7483" xr:uid="{00000000-0005-0000-0000-0000B6190000}"/>
    <cellStyle name="Normal 14" xfId="155" xr:uid="{00000000-0005-0000-0000-000066020000}"/>
    <cellStyle name="Normal 14 10" xfId="7484" xr:uid="{00000000-0005-0000-0000-0000B8190000}"/>
    <cellStyle name="Normal 14 11" xfId="7485" xr:uid="{00000000-0005-0000-0000-0000B9190000}"/>
    <cellStyle name="Normal 14 12" xfId="7486" xr:uid="{00000000-0005-0000-0000-0000BA190000}"/>
    <cellStyle name="Normal 14 2" xfId="7487" xr:uid="{00000000-0005-0000-0000-0000BB190000}"/>
    <cellStyle name="Normal 14 2 2" xfId="7488" xr:uid="{00000000-0005-0000-0000-0000BC190000}"/>
    <cellStyle name="Normal 14 2 3" xfId="7489" xr:uid="{00000000-0005-0000-0000-0000BD190000}"/>
    <cellStyle name="Normal 14 2 4" xfId="7490" xr:uid="{00000000-0005-0000-0000-0000BE190000}"/>
    <cellStyle name="Normal 14 2 5" xfId="7491" xr:uid="{00000000-0005-0000-0000-0000BF190000}"/>
    <cellStyle name="Normal 14 2 6" xfId="7492" xr:uid="{00000000-0005-0000-0000-0000C0190000}"/>
    <cellStyle name="Normal 14 3" xfId="7493" xr:uid="{00000000-0005-0000-0000-0000C1190000}"/>
    <cellStyle name="Normal 14 3 2" xfId="7494" xr:uid="{00000000-0005-0000-0000-0000C2190000}"/>
    <cellStyle name="Normal 14 3 3" xfId="7495" xr:uid="{00000000-0005-0000-0000-0000C3190000}"/>
    <cellStyle name="Normal 14 3 4" xfId="7496" xr:uid="{00000000-0005-0000-0000-0000C4190000}"/>
    <cellStyle name="Normal 14 3 5" xfId="7497" xr:uid="{00000000-0005-0000-0000-0000C5190000}"/>
    <cellStyle name="Normal 14 4" xfId="7498" xr:uid="{00000000-0005-0000-0000-0000C6190000}"/>
    <cellStyle name="Normal 14 4 2" xfId="7499" xr:uid="{00000000-0005-0000-0000-0000C7190000}"/>
    <cellStyle name="Normal 14 4 3" xfId="7500" xr:uid="{00000000-0005-0000-0000-0000C8190000}"/>
    <cellStyle name="Normal 14 4 4" xfId="7501" xr:uid="{00000000-0005-0000-0000-0000C9190000}"/>
    <cellStyle name="Normal 14 4 5" xfId="7502" xr:uid="{00000000-0005-0000-0000-0000CA190000}"/>
    <cellStyle name="Normal 14 5" xfId="7503" xr:uid="{00000000-0005-0000-0000-0000CB190000}"/>
    <cellStyle name="Normal 14 6" xfId="7504" xr:uid="{00000000-0005-0000-0000-0000CC190000}"/>
    <cellStyle name="Normal 14 7" xfId="7505" xr:uid="{00000000-0005-0000-0000-0000CD190000}"/>
    <cellStyle name="Normal 14 8" xfId="7506" xr:uid="{00000000-0005-0000-0000-0000CE190000}"/>
    <cellStyle name="Normal 14 9" xfId="7507" xr:uid="{00000000-0005-0000-0000-0000CF190000}"/>
    <cellStyle name="Normal 15" xfId="685" xr:uid="{00000000-0005-0000-0000-000067020000}"/>
    <cellStyle name="Normal 15 10" xfId="7508" xr:uid="{00000000-0005-0000-0000-0000D1190000}"/>
    <cellStyle name="Normal 15 11" xfId="7509" xr:uid="{00000000-0005-0000-0000-0000D2190000}"/>
    <cellStyle name="Normal 15 12" xfId="7510" xr:uid="{00000000-0005-0000-0000-0000D3190000}"/>
    <cellStyle name="Normal 15 13" xfId="7511" xr:uid="{00000000-0005-0000-0000-0000D4190000}"/>
    <cellStyle name="Normal 15 14" xfId="7512" xr:uid="{00000000-0005-0000-0000-0000D5190000}"/>
    <cellStyle name="Normal 15 15" xfId="7513" xr:uid="{00000000-0005-0000-0000-0000D6190000}"/>
    <cellStyle name="Normal 15 16" xfId="7514" xr:uid="{00000000-0005-0000-0000-0000D7190000}"/>
    <cellStyle name="Normal 15 17" xfId="7515" xr:uid="{00000000-0005-0000-0000-0000D8190000}"/>
    <cellStyle name="Normal 15 18" xfId="7516" xr:uid="{00000000-0005-0000-0000-0000D9190000}"/>
    <cellStyle name="Normal 15 19" xfId="7517" xr:uid="{00000000-0005-0000-0000-0000DA190000}"/>
    <cellStyle name="Normal 15 2" xfId="17" xr:uid="{00000000-0005-0000-0000-00001B000000}"/>
    <cellStyle name="Normal 15 2 10" xfId="90" xr:uid="{D7410301-0327-4687-9B0B-BD58BD889562}"/>
    <cellStyle name="Normal 15 2 10 2" xfId="107" xr:uid="{00000000-0005-0000-0000-000009000000}"/>
    <cellStyle name="Normal 15 2 11" xfId="966" xr:uid="{00000000-0005-0000-0000-00006A020000}"/>
    <cellStyle name="Normal 15 2 2" xfId="34" xr:uid="{00000000-0005-0000-0000-00001C000000}"/>
    <cellStyle name="Normal 15 2 2 2" xfId="917" xr:uid="{00000000-0005-0000-0000-00006C020000}"/>
    <cellStyle name="Normal 15 2 2 2 2" xfId="918" xr:uid="{00000000-0005-0000-0000-00006D020000}"/>
    <cellStyle name="Normal 15 2 2 2 3" xfId="912" xr:uid="{00000000-0005-0000-0000-00006E020000}"/>
    <cellStyle name="Normal 15 2 2 3" xfId="924" xr:uid="{00000000-0005-0000-0000-00006F020000}"/>
    <cellStyle name="Normal 15 2 2 4" xfId="913" xr:uid="{00000000-0005-0000-0000-000070020000}"/>
    <cellStyle name="Normal 15 2 2 5" xfId="686" xr:uid="{00000000-0005-0000-0000-00006B020000}"/>
    <cellStyle name="Normal 15 2 3" xfId="105" xr:uid="{00000000-0005-0000-0000-000007000000}"/>
    <cellStyle name="Normal 15 2 3 2" xfId="850" xr:uid="{00000000-0005-0000-0000-000071020000}"/>
    <cellStyle name="Normal 15 2 4" xfId="834" xr:uid="{00000000-0005-0000-0000-000072020000}"/>
    <cellStyle name="Normal 15 2 5" xfId="854" xr:uid="{00000000-0005-0000-0000-000073020000}"/>
    <cellStyle name="Normal 15 2 6" xfId="837" xr:uid="{00000000-0005-0000-0000-000074020000}"/>
    <cellStyle name="Normal 15 2 7" xfId="858" xr:uid="{00000000-0005-0000-0000-000075020000}"/>
    <cellStyle name="Normal 15 2 8" xfId="916" xr:uid="{00000000-0005-0000-0000-000076020000}"/>
    <cellStyle name="Normal 15 2 8 2" xfId="923" xr:uid="{00000000-0005-0000-0000-000077020000}"/>
    <cellStyle name="Normal 15 2 8 3" xfId="926" xr:uid="{00000000-0005-0000-0000-000078020000}"/>
    <cellStyle name="Normal 15 2 9" xfId="914" xr:uid="{00000000-0005-0000-0000-000079020000}"/>
    <cellStyle name="Normal 15 20" xfId="60" xr:uid="{3DFB44D5-601C-41DB-8318-2C8D0C37B560}"/>
    <cellStyle name="Normal 15 3" xfId="849" xr:uid="{00000000-0005-0000-0000-00007A020000}"/>
    <cellStyle name="Normal 15 3 2" xfId="851" xr:uid="{00000000-0005-0000-0000-00007B020000}"/>
    <cellStyle name="Normal 15 3 3" xfId="833" xr:uid="{00000000-0005-0000-0000-00007C020000}"/>
    <cellStyle name="Normal 15 3 4" xfId="855" xr:uid="{00000000-0005-0000-0000-00007D020000}"/>
    <cellStyle name="Normal 15 3 5" xfId="876" xr:uid="{00000000-0005-0000-0000-00007E020000}"/>
    <cellStyle name="Normal 15 3 6" xfId="860" xr:uid="{00000000-0005-0000-0000-00007F020000}"/>
    <cellStyle name="Normal 15 3 7" xfId="934" xr:uid="{00000000-0005-0000-0000-000080020000}"/>
    <cellStyle name="Normal 15 4" xfId="835" xr:uid="{00000000-0005-0000-0000-000081020000}"/>
    <cellStyle name="Normal 15 4 2" xfId="7518" xr:uid="{00000000-0005-0000-0000-0000DD190000}"/>
    <cellStyle name="Normal 15 5" xfId="853" xr:uid="{00000000-0005-0000-0000-000082020000}"/>
    <cellStyle name="Normal 15 5 2" xfId="7519" xr:uid="{00000000-0005-0000-0000-0000DE190000}"/>
    <cellStyle name="Normal 15 6" xfId="838" xr:uid="{00000000-0005-0000-0000-000083020000}"/>
    <cellStyle name="Normal 15 6 2" xfId="7520" xr:uid="{00000000-0005-0000-0000-0000DF190000}"/>
    <cellStyle name="Normal 15 7" xfId="857" xr:uid="{00000000-0005-0000-0000-000084020000}"/>
    <cellStyle name="Normal 15 7 2" xfId="7521" xr:uid="{00000000-0005-0000-0000-0000E0190000}"/>
    <cellStyle name="Normal 15 8" xfId="922" xr:uid="{00000000-0005-0000-0000-000085020000}"/>
    <cellStyle name="Normal 15 9" xfId="933" xr:uid="{00000000-0005-0000-0000-000086020000}"/>
    <cellStyle name="Normal 15 9 2" xfId="7522" xr:uid="{00000000-0005-0000-0000-0000E2190000}"/>
    <cellStyle name="Normal 16" xfId="687" xr:uid="{00000000-0005-0000-0000-000087020000}"/>
    <cellStyle name="Normal 16 10" xfId="7524" xr:uid="{00000000-0005-0000-0000-0000E4190000}"/>
    <cellStyle name="Normal 16 11" xfId="7525" xr:uid="{00000000-0005-0000-0000-0000E5190000}"/>
    <cellStyle name="Normal 16 12" xfId="7526" xr:uid="{00000000-0005-0000-0000-0000E6190000}"/>
    <cellStyle name="Normal 16 13" xfId="7527" xr:uid="{00000000-0005-0000-0000-0000E7190000}"/>
    <cellStyle name="Normal 16 14" xfId="7528" xr:uid="{00000000-0005-0000-0000-0000E8190000}"/>
    <cellStyle name="Normal 16 15" xfId="7529" xr:uid="{00000000-0005-0000-0000-0000E9190000}"/>
    <cellStyle name="Normal 16 16" xfId="7530" xr:uid="{00000000-0005-0000-0000-0000EA190000}"/>
    <cellStyle name="Normal 16 17" xfId="7531" xr:uid="{00000000-0005-0000-0000-0000EB190000}"/>
    <cellStyle name="Normal 16 18" xfId="7523" xr:uid="{00000000-0005-0000-0000-0000E3190000}"/>
    <cellStyle name="Normal 16 2" xfId="7532" xr:uid="{00000000-0005-0000-0000-0000EC190000}"/>
    <cellStyle name="Normal 16 2 10" xfId="7533" xr:uid="{00000000-0005-0000-0000-0000ED190000}"/>
    <cellStyle name="Normal 16 2 11" xfId="7534" xr:uid="{00000000-0005-0000-0000-0000EE190000}"/>
    <cellStyle name="Normal 16 2 12" xfId="7535" xr:uid="{00000000-0005-0000-0000-0000EF190000}"/>
    <cellStyle name="Normal 16 2 13" xfId="7536" xr:uid="{00000000-0005-0000-0000-0000F0190000}"/>
    <cellStyle name="Normal 16 2 2" xfId="7537" xr:uid="{00000000-0005-0000-0000-0000F1190000}"/>
    <cellStyle name="Normal 16 2 2 2" xfId="7538" xr:uid="{00000000-0005-0000-0000-0000F2190000}"/>
    <cellStyle name="Normal 16 2 2 3" xfId="7539" xr:uid="{00000000-0005-0000-0000-0000F3190000}"/>
    <cellStyle name="Normal 16 2 2 4" xfId="7540" xr:uid="{00000000-0005-0000-0000-0000F4190000}"/>
    <cellStyle name="Normal 16 2 2 5" xfId="7541" xr:uid="{00000000-0005-0000-0000-0000F5190000}"/>
    <cellStyle name="Normal 16 2 2 6" xfId="7542" xr:uid="{00000000-0005-0000-0000-0000F6190000}"/>
    <cellStyle name="Normal 16 2 2 7" xfId="7543" xr:uid="{00000000-0005-0000-0000-0000F7190000}"/>
    <cellStyle name="Normal 16 2 2 8" xfId="7544" xr:uid="{00000000-0005-0000-0000-0000F8190000}"/>
    <cellStyle name="Normal 16 2 3" xfId="7545" xr:uid="{00000000-0005-0000-0000-0000F9190000}"/>
    <cellStyle name="Normal 16 2 3 2" xfId="7546" xr:uid="{00000000-0005-0000-0000-0000FA190000}"/>
    <cellStyle name="Normal 16 2 3 3" xfId="7547" xr:uid="{00000000-0005-0000-0000-0000FB190000}"/>
    <cellStyle name="Normal 16 2 3 4" xfId="7548" xr:uid="{00000000-0005-0000-0000-0000FC190000}"/>
    <cellStyle name="Normal 16 2 3 5" xfId="7549" xr:uid="{00000000-0005-0000-0000-0000FD190000}"/>
    <cellStyle name="Normal 16 2 3 6" xfId="7550" xr:uid="{00000000-0005-0000-0000-0000FE190000}"/>
    <cellStyle name="Normal 16 2 3 7" xfId="7551" xr:uid="{00000000-0005-0000-0000-0000FF190000}"/>
    <cellStyle name="Normal 16 2 3 8" xfId="7552" xr:uid="{00000000-0005-0000-0000-0000001A0000}"/>
    <cellStyle name="Normal 16 2 4" xfId="7553" xr:uid="{00000000-0005-0000-0000-0000011A0000}"/>
    <cellStyle name="Normal 16 2 5" xfId="7554" xr:uid="{00000000-0005-0000-0000-0000021A0000}"/>
    <cellStyle name="Normal 16 2 6" xfId="7555" xr:uid="{00000000-0005-0000-0000-0000031A0000}"/>
    <cellStyle name="Normal 16 2 7" xfId="7556" xr:uid="{00000000-0005-0000-0000-0000041A0000}"/>
    <cellStyle name="Normal 16 2 8" xfId="7557" xr:uid="{00000000-0005-0000-0000-0000051A0000}"/>
    <cellStyle name="Normal 16 2 9" xfId="7558" xr:uid="{00000000-0005-0000-0000-0000061A0000}"/>
    <cellStyle name="Normal 16 3" xfId="7559" xr:uid="{00000000-0005-0000-0000-0000071A0000}"/>
    <cellStyle name="Normal 16 3 2" xfId="7560" xr:uid="{00000000-0005-0000-0000-0000081A0000}"/>
    <cellStyle name="Normal 16 3 2 2" xfId="7561" xr:uid="{00000000-0005-0000-0000-0000091A0000}"/>
    <cellStyle name="Normal 16 3 2 2 2" xfId="7562" xr:uid="{00000000-0005-0000-0000-00000A1A0000}"/>
    <cellStyle name="Normal 16 3 2 2 2 2" xfId="7563" xr:uid="{00000000-0005-0000-0000-00000B1A0000}"/>
    <cellStyle name="Normal 16 3 2 2 2 3" xfId="7564" xr:uid="{00000000-0005-0000-0000-00000C1A0000}"/>
    <cellStyle name="Normal 16 3 2 2 2 4" xfId="7565" xr:uid="{00000000-0005-0000-0000-00000D1A0000}"/>
    <cellStyle name="Normal 16 3 2 2 3" xfId="7566" xr:uid="{00000000-0005-0000-0000-00000E1A0000}"/>
    <cellStyle name="Normal 16 3 2 2 4" xfId="7567" xr:uid="{00000000-0005-0000-0000-00000F1A0000}"/>
    <cellStyle name="Normal 16 3 2 2 5" xfId="7568" xr:uid="{00000000-0005-0000-0000-0000101A0000}"/>
    <cellStyle name="Normal 16 3 2 2_CORRECTED COPY OF rA 5" xfId="7569" xr:uid="{00000000-0005-0000-0000-0000111A0000}"/>
    <cellStyle name="Normal 16 3 2 3" xfId="7570" xr:uid="{00000000-0005-0000-0000-0000121A0000}"/>
    <cellStyle name="Normal 16 3 2 3 2" xfId="7571" xr:uid="{00000000-0005-0000-0000-0000131A0000}"/>
    <cellStyle name="Normal 16 3 2 3 2 2" xfId="7572" xr:uid="{00000000-0005-0000-0000-0000141A0000}"/>
    <cellStyle name="Normal 16 3 2 3 2 2 2" xfId="7573" xr:uid="{00000000-0005-0000-0000-0000151A0000}"/>
    <cellStyle name="Normal 16 3 2 3 2 2 3" xfId="7574" xr:uid="{00000000-0005-0000-0000-0000161A0000}"/>
    <cellStyle name="Normal 16 3 2 3 2 2 4" xfId="7575" xr:uid="{00000000-0005-0000-0000-0000171A0000}"/>
    <cellStyle name="Normal 16 3 2 3 2 3" xfId="7576" xr:uid="{00000000-0005-0000-0000-0000181A0000}"/>
    <cellStyle name="Normal 16 3 2 3 2 4" xfId="7577" xr:uid="{00000000-0005-0000-0000-0000191A0000}"/>
    <cellStyle name="Normal 16 3 2 3 2 5" xfId="7578" xr:uid="{00000000-0005-0000-0000-00001A1A0000}"/>
    <cellStyle name="Normal 16 3 2 3 2_CORRECTED COPY OF rA 5" xfId="7579" xr:uid="{00000000-0005-0000-0000-00001B1A0000}"/>
    <cellStyle name="Normal 16 3 2 3 3" xfId="7580" xr:uid="{00000000-0005-0000-0000-00001C1A0000}"/>
    <cellStyle name="Normal 16 3 2 3 4" xfId="7581" xr:uid="{00000000-0005-0000-0000-00001D1A0000}"/>
    <cellStyle name="Normal 16 3 2 3 5" xfId="7582" xr:uid="{00000000-0005-0000-0000-00001E1A0000}"/>
    <cellStyle name="Normal 16 3 2 3_CORRECTED COPY OF rA 5" xfId="7583" xr:uid="{00000000-0005-0000-0000-00001F1A0000}"/>
    <cellStyle name="Normal 16 3 2 4" xfId="7584" xr:uid="{00000000-0005-0000-0000-0000201A0000}"/>
    <cellStyle name="Normal 16 3 2 5" xfId="7585" xr:uid="{00000000-0005-0000-0000-0000211A0000}"/>
    <cellStyle name="Normal 16 3 2 6" xfId="7586" xr:uid="{00000000-0005-0000-0000-0000221A0000}"/>
    <cellStyle name="Normal 16 3 2_CORRECTED COPY OF rA 5" xfId="7587" xr:uid="{00000000-0005-0000-0000-0000231A0000}"/>
    <cellStyle name="Normal 16 3 3" xfId="7588" xr:uid="{00000000-0005-0000-0000-0000241A0000}"/>
    <cellStyle name="Normal 16 3 3 2" xfId="7589" xr:uid="{00000000-0005-0000-0000-0000251A0000}"/>
    <cellStyle name="Normal 16 3 3 3" xfId="7590" xr:uid="{00000000-0005-0000-0000-0000261A0000}"/>
    <cellStyle name="Normal 16 3 3 4" xfId="7591" xr:uid="{00000000-0005-0000-0000-0000271A0000}"/>
    <cellStyle name="Normal 16 3 4" xfId="7592" xr:uid="{00000000-0005-0000-0000-0000281A0000}"/>
    <cellStyle name="Normal 16 3 4 2" xfId="7593" xr:uid="{00000000-0005-0000-0000-0000291A0000}"/>
    <cellStyle name="Normal 16 3 4 2 2" xfId="7594" xr:uid="{00000000-0005-0000-0000-00002A1A0000}"/>
    <cellStyle name="Normal 16 3 4 2 2 2" xfId="7595" xr:uid="{00000000-0005-0000-0000-00002B1A0000}"/>
    <cellStyle name="Normal 16 3 4 2 2 3" xfId="7596" xr:uid="{00000000-0005-0000-0000-00002C1A0000}"/>
    <cellStyle name="Normal 16 3 4 2 2 4" xfId="7597" xr:uid="{00000000-0005-0000-0000-00002D1A0000}"/>
    <cellStyle name="Normal 16 3 4 2 3" xfId="7598" xr:uid="{00000000-0005-0000-0000-00002E1A0000}"/>
    <cellStyle name="Normal 16 3 4 2 4" xfId="7599" xr:uid="{00000000-0005-0000-0000-00002F1A0000}"/>
    <cellStyle name="Normal 16 3 4 2 5" xfId="7600" xr:uid="{00000000-0005-0000-0000-0000301A0000}"/>
    <cellStyle name="Normal 16 3 4 2_CORRECTED COPY OF rA 5" xfId="7601" xr:uid="{00000000-0005-0000-0000-0000311A0000}"/>
    <cellStyle name="Normal 16 3 4 3" xfId="7602" xr:uid="{00000000-0005-0000-0000-0000321A0000}"/>
    <cellStyle name="Normal 16 3 4 4" xfId="7603" xr:uid="{00000000-0005-0000-0000-0000331A0000}"/>
    <cellStyle name="Normal 16 3 4 5" xfId="7604" xr:uid="{00000000-0005-0000-0000-0000341A0000}"/>
    <cellStyle name="Normal 16 3 4_CORRECTED COPY OF rA 5" xfId="7605" xr:uid="{00000000-0005-0000-0000-0000351A0000}"/>
    <cellStyle name="Normal 16 3 5" xfId="7606" xr:uid="{00000000-0005-0000-0000-0000361A0000}"/>
    <cellStyle name="Normal 16 3 5 2" xfId="7607" xr:uid="{00000000-0005-0000-0000-0000371A0000}"/>
    <cellStyle name="Normal 16 3 5 3" xfId="7608" xr:uid="{00000000-0005-0000-0000-0000381A0000}"/>
    <cellStyle name="Normal 16 3 5 4" xfId="7609" xr:uid="{00000000-0005-0000-0000-0000391A0000}"/>
    <cellStyle name="Normal 16 3 6" xfId="7610" xr:uid="{00000000-0005-0000-0000-00003A1A0000}"/>
    <cellStyle name="Normal 16 3 6 2" xfId="7611" xr:uid="{00000000-0005-0000-0000-00003B1A0000}"/>
    <cellStyle name="Normal 16 3 6 3" xfId="7612" xr:uid="{00000000-0005-0000-0000-00003C1A0000}"/>
    <cellStyle name="Normal 16 3 6 4" xfId="7613" xr:uid="{00000000-0005-0000-0000-00003D1A0000}"/>
    <cellStyle name="Normal 16 3 7" xfId="7614" xr:uid="{00000000-0005-0000-0000-00003E1A0000}"/>
    <cellStyle name="Normal 16 3 8" xfId="7615" xr:uid="{00000000-0005-0000-0000-00003F1A0000}"/>
    <cellStyle name="Normal 16 3 9" xfId="7616" xr:uid="{00000000-0005-0000-0000-0000401A0000}"/>
    <cellStyle name="Normal 16 3_CORRECTED COPY OF rA 5" xfId="7617" xr:uid="{00000000-0005-0000-0000-0000411A0000}"/>
    <cellStyle name="Normal 16 4" xfId="7618" xr:uid="{00000000-0005-0000-0000-0000421A0000}"/>
    <cellStyle name="Normal 16 4 2" xfId="7619" xr:uid="{00000000-0005-0000-0000-0000431A0000}"/>
    <cellStyle name="Normal 16 4 2 2" xfId="7620" xr:uid="{00000000-0005-0000-0000-0000441A0000}"/>
    <cellStyle name="Normal 16 4 2 3" xfId="7621" xr:uid="{00000000-0005-0000-0000-0000451A0000}"/>
    <cellStyle name="Normal 16 4 2 4" xfId="7622" xr:uid="{00000000-0005-0000-0000-0000461A0000}"/>
    <cellStyle name="Normal 16 4 2 5" xfId="7623" xr:uid="{00000000-0005-0000-0000-0000471A0000}"/>
    <cellStyle name="Normal 16 4 2 6" xfId="7624" xr:uid="{00000000-0005-0000-0000-0000481A0000}"/>
    <cellStyle name="Normal 16 4 2 7" xfId="7625" xr:uid="{00000000-0005-0000-0000-0000491A0000}"/>
    <cellStyle name="Normal 16 4 2 8" xfId="7626" xr:uid="{00000000-0005-0000-0000-00004A1A0000}"/>
    <cellStyle name="Normal 16 4 3" xfId="7627" xr:uid="{00000000-0005-0000-0000-00004B1A0000}"/>
    <cellStyle name="Normal 16 4 4" xfId="7628" xr:uid="{00000000-0005-0000-0000-00004C1A0000}"/>
    <cellStyle name="Normal 16 4 5" xfId="7629" xr:uid="{00000000-0005-0000-0000-00004D1A0000}"/>
    <cellStyle name="Normal 16 4 6" xfId="7630" xr:uid="{00000000-0005-0000-0000-00004E1A0000}"/>
    <cellStyle name="Normal 16 4 7" xfId="7631" xr:uid="{00000000-0005-0000-0000-00004F1A0000}"/>
    <cellStyle name="Normal 16 4 8" xfId="7632" xr:uid="{00000000-0005-0000-0000-0000501A0000}"/>
    <cellStyle name="Normal 16 4 9" xfId="7633" xr:uid="{00000000-0005-0000-0000-0000511A0000}"/>
    <cellStyle name="Normal 16 5" xfId="7634" xr:uid="{00000000-0005-0000-0000-0000521A0000}"/>
    <cellStyle name="Normal 16 5 2" xfId="7635" xr:uid="{00000000-0005-0000-0000-0000531A0000}"/>
    <cellStyle name="Normal 16 5 2 2" xfId="7636" xr:uid="{00000000-0005-0000-0000-0000541A0000}"/>
    <cellStyle name="Normal 16 5 2 2 2" xfId="7637" xr:uid="{00000000-0005-0000-0000-0000551A0000}"/>
    <cellStyle name="Normal 16 5 2 2 3" xfId="7638" xr:uid="{00000000-0005-0000-0000-0000561A0000}"/>
    <cellStyle name="Normal 16 5 2 2 4" xfId="7639" xr:uid="{00000000-0005-0000-0000-0000571A0000}"/>
    <cellStyle name="Normal 16 5 2 3" xfId="7640" xr:uid="{00000000-0005-0000-0000-0000581A0000}"/>
    <cellStyle name="Normal 16 5 2 4" xfId="7641" xr:uid="{00000000-0005-0000-0000-0000591A0000}"/>
    <cellStyle name="Normal 16 5 2 5" xfId="7642" xr:uid="{00000000-0005-0000-0000-00005A1A0000}"/>
    <cellStyle name="Normal 16 5 2_CORRECTED COPY OF rA 5" xfId="7643" xr:uid="{00000000-0005-0000-0000-00005B1A0000}"/>
    <cellStyle name="Normal 16 5 3" xfId="7644" xr:uid="{00000000-0005-0000-0000-00005C1A0000}"/>
    <cellStyle name="Normal 16 5 3 2" xfId="7645" xr:uid="{00000000-0005-0000-0000-00005D1A0000}"/>
    <cellStyle name="Normal 16 5 3 3" xfId="7646" xr:uid="{00000000-0005-0000-0000-00005E1A0000}"/>
    <cellStyle name="Normal 16 5 3 4" xfId="7647" xr:uid="{00000000-0005-0000-0000-00005F1A0000}"/>
    <cellStyle name="Normal 16 5 4" xfId="7648" xr:uid="{00000000-0005-0000-0000-0000601A0000}"/>
    <cellStyle name="Normal 16 5 5" xfId="7649" xr:uid="{00000000-0005-0000-0000-0000611A0000}"/>
    <cellStyle name="Normal 16 5 6" xfId="7650" xr:uid="{00000000-0005-0000-0000-0000621A0000}"/>
    <cellStyle name="Normal 16 5_CORRECTED COPY OF rA 5" xfId="7651" xr:uid="{00000000-0005-0000-0000-0000631A0000}"/>
    <cellStyle name="Normal 16 6" xfId="7652" xr:uid="{00000000-0005-0000-0000-0000641A0000}"/>
    <cellStyle name="Normal 16 6 2" xfId="7653" xr:uid="{00000000-0005-0000-0000-0000651A0000}"/>
    <cellStyle name="Normal 16 6 3" xfId="7654" xr:uid="{00000000-0005-0000-0000-0000661A0000}"/>
    <cellStyle name="Normal 16 6 4" xfId="7655" xr:uid="{00000000-0005-0000-0000-0000671A0000}"/>
    <cellStyle name="Normal 16 7" xfId="7656" xr:uid="{00000000-0005-0000-0000-0000681A0000}"/>
    <cellStyle name="Normal 16 7 2" xfId="7657" xr:uid="{00000000-0005-0000-0000-0000691A0000}"/>
    <cellStyle name="Normal 16 7 3" xfId="7658" xr:uid="{00000000-0005-0000-0000-00006A1A0000}"/>
    <cellStyle name="Normal 16 7 4" xfId="7659" xr:uid="{00000000-0005-0000-0000-00006B1A0000}"/>
    <cellStyle name="Normal 16 8" xfId="7660" xr:uid="{00000000-0005-0000-0000-00006C1A0000}"/>
    <cellStyle name="Normal 16 8 2" xfId="7661" xr:uid="{00000000-0005-0000-0000-00006D1A0000}"/>
    <cellStyle name="Normal 16 8 2 2" xfId="7662" xr:uid="{00000000-0005-0000-0000-00006E1A0000}"/>
    <cellStyle name="Normal 16 8 2 3" xfId="7663" xr:uid="{00000000-0005-0000-0000-00006F1A0000}"/>
    <cellStyle name="Normal 16 8 2 4" xfId="7664" xr:uid="{00000000-0005-0000-0000-0000701A0000}"/>
    <cellStyle name="Normal 16 8 3" xfId="7665" xr:uid="{00000000-0005-0000-0000-0000711A0000}"/>
    <cellStyle name="Normal 16 8 4" xfId="7666" xr:uid="{00000000-0005-0000-0000-0000721A0000}"/>
    <cellStyle name="Normal 16 8 5" xfId="7667" xr:uid="{00000000-0005-0000-0000-0000731A0000}"/>
    <cellStyle name="Normal 16 8_CORRECTED COPY OF rA 5" xfId="7668" xr:uid="{00000000-0005-0000-0000-0000741A0000}"/>
    <cellStyle name="Normal 16 9" xfId="7669" xr:uid="{00000000-0005-0000-0000-0000751A0000}"/>
    <cellStyle name="Normal 16_CORRECTED COPY OF rA 5" xfId="7670" xr:uid="{00000000-0005-0000-0000-0000761A0000}"/>
    <cellStyle name="Normal 17" xfId="40" xr:uid="{00000000-0005-0000-0000-00001D000000}"/>
    <cellStyle name="Normal 17 10" xfId="7672" xr:uid="{00000000-0005-0000-0000-0000781A0000}"/>
    <cellStyle name="Normal 17 11" xfId="7673" xr:uid="{00000000-0005-0000-0000-0000791A0000}"/>
    <cellStyle name="Normal 17 12" xfId="7674" xr:uid="{00000000-0005-0000-0000-00007A1A0000}"/>
    <cellStyle name="Normal 17 13" xfId="7671" xr:uid="{00000000-0005-0000-0000-00007B1A0000}"/>
    <cellStyle name="Normal 17 2" xfId="7675" xr:uid="{00000000-0005-0000-0000-00007C1A0000}"/>
    <cellStyle name="Normal 17 2 2" xfId="7676" xr:uid="{00000000-0005-0000-0000-00007D1A0000}"/>
    <cellStyle name="Normal 17 2 3" xfId="7677" xr:uid="{00000000-0005-0000-0000-00007E1A0000}"/>
    <cellStyle name="Normal 17 2 4" xfId="7678" xr:uid="{00000000-0005-0000-0000-00007F1A0000}"/>
    <cellStyle name="Normal 17 2 5" xfId="7679" xr:uid="{00000000-0005-0000-0000-0000801A0000}"/>
    <cellStyle name="Normal 17 2 6" xfId="7680" xr:uid="{00000000-0005-0000-0000-0000811A0000}"/>
    <cellStyle name="Normal 17 2 7" xfId="7681" xr:uid="{00000000-0005-0000-0000-0000821A0000}"/>
    <cellStyle name="Normal 17 3" xfId="7682" xr:uid="{00000000-0005-0000-0000-0000831A0000}"/>
    <cellStyle name="Normal 17 3 2" xfId="7683" xr:uid="{00000000-0005-0000-0000-0000841A0000}"/>
    <cellStyle name="Normal 17 3 3" xfId="7684" xr:uid="{00000000-0005-0000-0000-0000851A0000}"/>
    <cellStyle name="Normal 17 3 4" xfId="7685" xr:uid="{00000000-0005-0000-0000-0000861A0000}"/>
    <cellStyle name="Normal 17 3 5" xfId="7686" xr:uid="{00000000-0005-0000-0000-0000871A0000}"/>
    <cellStyle name="Normal 17 3 6" xfId="7687" xr:uid="{00000000-0005-0000-0000-0000881A0000}"/>
    <cellStyle name="Normal 17 3 7" xfId="7688" xr:uid="{00000000-0005-0000-0000-0000891A0000}"/>
    <cellStyle name="Normal 17 3 8" xfId="7689" xr:uid="{00000000-0005-0000-0000-00008A1A0000}"/>
    <cellStyle name="Normal 17 4" xfId="7690" xr:uid="{00000000-0005-0000-0000-00008B1A0000}"/>
    <cellStyle name="Normal 17 5" xfId="7691" xr:uid="{00000000-0005-0000-0000-00008C1A0000}"/>
    <cellStyle name="Normal 17 6" xfId="7692" xr:uid="{00000000-0005-0000-0000-00008D1A0000}"/>
    <cellStyle name="Normal 17 7" xfId="7693" xr:uid="{00000000-0005-0000-0000-00008E1A0000}"/>
    <cellStyle name="Normal 17 8" xfId="7694" xr:uid="{00000000-0005-0000-0000-00008F1A0000}"/>
    <cellStyle name="Normal 17 9" xfId="7695" xr:uid="{00000000-0005-0000-0000-0000901A0000}"/>
    <cellStyle name="Normal 17_CORRECTED COPY OF rA 5" xfId="7696" xr:uid="{00000000-0005-0000-0000-0000911A0000}"/>
    <cellStyle name="Normal 18" xfId="688" xr:uid="{00000000-0005-0000-0000-000089020000}"/>
    <cellStyle name="Normal 18 10" xfId="7698" xr:uid="{00000000-0005-0000-0000-0000931A0000}"/>
    <cellStyle name="Normal 18 11" xfId="7697" xr:uid="{00000000-0005-0000-0000-0000921A0000}"/>
    <cellStyle name="Normal 18 2" xfId="7699" xr:uid="{00000000-0005-0000-0000-0000941A0000}"/>
    <cellStyle name="Normal 18 2 2" xfId="7700" xr:uid="{00000000-0005-0000-0000-0000951A0000}"/>
    <cellStyle name="Normal 18 2 2 10" xfId="7701" xr:uid="{00000000-0005-0000-0000-0000961A0000}"/>
    <cellStyle name="Normal 18 2 2 2" xfId="7702" xr:uid="{00000000-0005-0000-0000-0000971A0000}"/>
    <cellStyle name="Normal 18 2 2 2 2" xfId="7703" xr:uid="{00000000-0005-0000-0000-0000981A0000}"/>
    <cellStyle name="Normal 18 2 2 2 2 2" xfId="7704" xr:uid="{00000000-0005-0000-0000-0000991A0000}"/>
    <cellStyle name="Normal 18 2 2 2 2 3" xfId="7705" xr:uid="{00000000-0005-0000-0000-00009A1A0000}"/>
    <cellStyle name="Normal 18 2 2 2 2 4" xfId="7706" xr:uid="{00000000-0005-0000-0000-00009B1A0000}"/>
    <cellStyle name="Normal 18 2 2 2 3" xfId="7707" xr:uid="{00000000-0005-0000-0000-00009C1A0000}"/>
    <cellStyle name="Normal 18 2 2 2 3 2" xfId="7708" xr:uid="{00000000-0005-0000-0000-00009D1A0000}"/>
    <cellStyle name="Normal 18 2 2 2 3 2 2" xfId="7709" xr:uid="{00000000-0005-0000-0000-00009E1A0000}"/>
    <cellStyle name="Normal 18 2 2 2 3 2 3" xfId="7710" xr:uid="{00000000-0005-0000-0000-00009F1A0000}"/>
    <cellStyle name="Normal 18 2 2 2 3 2 4" xfId="7711" xr:uid="{00000000-0005-0000-0000-0000A01A0000}"/>
    <cellStyle name="Normal 18 2 2 2 3 3" xfId="7712" xr:uid="{00000000-0005-0000-0000-0000A11A0000}"/>
    <cellStyle name="Normal 18 2 2 2 3 4" xfId="7713" xr:uid="{00000000-0005-0000-0000-0000A21A0000}"/>
    <cellStyle name="Normal 18 2 2 2 3 5" xfId="7714" xr:uid="{00000000-0005-0000-0000-0000A31A0000}"/>
    <cellStyle name="Normal 18 2 2 2 3_CORRECTED COPY OF rA 5" xfId="7715" xr:uid="{00000000-0005-0000-0000-0000A41A0000}"/>
    <cellStyle name="Normal 18 2 2 2 4" xfId="7716" xr:uid="{00000000-0005-0000-0000-0000A51A0000}"/>
    <cellStyle name="Normal 18 2 2 2 5" xfId="7717" xr:uid="{00000000-0005-0000-0000-0000A61A0000}"/>
    <cellStyle name="Normal 18 2 2 2 6" xfId="7718" xr:uid="{00000000-0005-0000-0000-0000A71A0000}"/>
    <cellStyle name="Normal 18 2 2 2_CORRECTED COPY OF rA 5" xfId="7719" xr:uid="{00000000-0005-0000-0000-0000A81A0000}"/>
    <cellStyle name="Normal 18 2 2 3" xfId="7720" xr:uid="{00000000-0005-0000-0000-0000A91A0000}"/>
    <cellStyle name="Normal 18 2 2 3 2" xfId="7721" xr:uid="{00000000-0005-0000-0000-0000AA1A0000}"/>
    <cellStyle name="Normal 18 2 2 3 3" xfId="7722" xr:uid="{00000000-0005-0000-0000-0000AB1A0000}"/>
    <cellStyle name="Normal 18 2 2 3 4" xfId="7723" xr:uid="{00000000-0005-0000-0000-0000AC1A0000}"/>
    <cellStyle name="Normal 18 2 2 4" xfId="7724" xr:uid="{00000000-0005-0000-0000-0000AD1A0000}"/>
    <cellStyle name="Normal 18 2 2 4 2" xfId="7725" xr:uid="{00000000-0005-0000-0000-0000AE1A0000}"/>
    <cellStyle name="Normal 18 2 2 4 3" xfId="7726" xr:uid="{00000000-0005-0000-0000-0000AF1A0000}"/>
    <cellStyle name="Normal 18 2 2 4 4" xfId="7727" xr:uid="{00000000-0005-0000-0000-0000B01A0000}"/>
    <cellStyle name="Normal 18 2 2 5" xfId="7728" xr:uid="{00000000-0005-0000-0000-0000B11A0000}"/>
    <cellStyle name="Normal 18 2 2 5 2" xfId="7729" xr:uid="{00000000-0005-0000-0000-0000B21A0000}"/>
    <cellStyle name="Normal 18 2 2 5 3" xfId="7730" xr:uid="{00000000-0005-0000-0000-0000B31A0000}"/>
    <cellStyle name="Normal 18 2 2 5 4" xfId="7731" xr:uid="{00000000-0005-0000-0000-0000B41A0000}"/>
    <cellStyle name="Normal 18 2 2 6" xfId="7732" xr:uid="{00000000-0005-0000-0000-0000B51A0000}"/>
    <cellStyle name="Normal 18 2 2 6 2" xfId="7733" xr:uid="{00000000-0005-0000-0000-0000B61A0000}"/>
    <cellStyle name="Normal 18 2 2 6 3" xfId="7734" xr:uid="{00000000-0005-0000-0000-0000B71A0000}"/>
    <cellStyle name="Normal 18 2 2 6 4" xfId="7735" xr:uid="{00000000-0005-0000-0000-0000B81A0000}"/>
    <cellStyle name="Normal 18 2 2 7" xfId="7736" xr:uid="{00000000-0005-0000-0000-0000B91A0000}"/>
    <cellStyle name="Normal 18 2 2 7 2" xfId="7737" xr:uid="{00000000-0005-0000-0000-0000BA1A0000}"/>
    <cellStyle name="Normal 18 2 2 7 3" xfId="7738" xr:uid="{00000000-0005-0000-0000-0000BB1A0000}"/>
    <cellStyle name="Normal 18 2 2 7 4" xfId="7739" xr:uid="{00000000-0005-0000-0000-0000BC1A0000}"/>
    <cellStyle name="Normal 18 2 2 8" xfId="7740" xr:uid="{00000000-0005-0000-0000-0000BD1A0000}"/>
    <cellStyle name="Normal 18 2 2 9" xfId="7741" xr:uid="{00000000-0005-0000-0000-0000BE1A0000}"/>
    <cellStyle name="Normal 18 2 2_CORRECTED COPY OF rA 5" xfId="7742" xr:uid="{00000000-0005-0000-0000-0000BF1A0000}"/>
    <cellStyle name="Normal 18 2 3" xfId="7743" xr:uid="{00000000-0005-0000-0000-0000C01A0000}"/>
    <cellStyle name="Normal 18 2 3 2" xfId="7744" xr:uid="{00000000-0005-0000-0000-0000C11A0000}"/>
    <cellStyle name="Normal 18 2 3 2 2" xfId="7745" xr:uid="{00000000-0005-0000-0000-0000C21A0000}"/>
    <cellStyle name="Normal 18 2 3 2 3" xfId="7746" xr:uid="{00000000-0005-0000-0000-0000C31A0000}"/>
    <cellStyle name="Normal 18 2 3 2 4" xfId="7747" xr:uid="{00000000-0005-0000-0000-0000C41A0000}"/>
    <cellStyle name="Normal 18 2 3 3" xfId="7748" xr:uid="{00000000-0005-0000-0000-0000C51A0000}"/>
    <cellStyle name="Normal 18 2 3 3 2" xfId="7749" xr:uid="{00000000-0005-0000-0000-0000C61A0000}"/>
    <cellStyle name="Normal 18 2 3 3 3" xfId="7750" xr:uid="{00000000-0005-0000-0000-0000C71A0000}"/>
    <cellStyle name="Normal 18 2 3 3 4" xfId="7751" xr:uid="{00000000-0005-0000-0000-0000C81A0000}"/>
    <cellStyle name="Normal 18 2 3 4" xfId="7752" xr:uid="{00000000-0005-0000-0000-0000C91A0000}"/>
    <cellStyle name="Normal 18 2 3 4 2" xfId="7753" xr:uid="{00000000-0005-0000-0000-0000CA1A0000}"/>
    <cellStyle name="Normal 18 2 3 4 3" xfId="7754" xr:uid="{00000000-0005-0000-0000-0000CB1A0000}"/>
    <cellStyle name="Normal 18 2 3 4 4" xfId="7755" xr:uid="{00000000-0005-0000-0000-0000CC1A0000}"/>
    <cellStyle name="Normal 18 2 3 5" xfId="7756" xr:uid="{00000000-0005-0000-0000-0000CD1A0000}"/>
    <cellStyle name="Normal 18 2 3 6" xfId="7757" xr:uid="{00000000-0005-0000-0000-0000CE1A0000}"/>
    <cellStyle name="Normal 18 2 3 7" xfId="7758" xr:uid="{00000000-0005-0000-0000-0000CF1A0000}"/>
    <cellStyle name="Normal 18 2 3_CORRECTED COPY OF rA 5" xfId="7759" xr:uid="{00000000-0005-0000-0000-0000D01A0000}"/>
    <cellStyle name="Normal 18 2 4" xfId="7760" xr:uid="{00000000-0005-0000-0000-0000D11A0000}"/>
    <cellStyle name="Normal 18 2 4 2" xfId="7761" xr:uid="{00000000-0005-0000-0000-0000D21A0000}"/>
    <cellStyle name="Normal 18 2 4 3" xfId="7762" xr:uid="{00000000-0005-0000-0000-0000D31A0000}"/>
    <cellStyle name="Normal 18 2 4 4" xfId="7763" xr:uid="{00000000-0005-0000-0000-0000D41A0000}"/>
    <cellStyle name="Normal 18 2 5" xfId="7764" xr:uid="{00000000-0005-0000-0000-0000D51A0000}"/>
    <cellStyle name="Normal 18 2 5 2" xfId="7765" xr:uid="{00000000-0005-0000-0000-0000D61A0000}"/>
    <cellStyle name="Normal 18 2 5 3" xfId="7766" xr:uid="{00000000-0005-0000-0000-0000D71A0000}"/>
    <cellStyle name="Normal 18 2 5 4" xfId="7767" xr:uid="{00000000-0005-0000-0000-0000D81A0000}"/>
    <cellStyle name="Normal 18 2 6" xfId="7768" xr:uid="{00000000-0005-0000-0000-0000D91A0000}"/>
    <cellStyle name="Normal 18 2 6 2" xfId="7769" xr:uid="{00000000-0005-0000-0000-0000DA1A0000}"/>
    <cellStyle name="Normal 18 2 6 3" xfId="7770" xr:uid="{00000000-0005-0000-0000-0000DB1A0000}"/>
    <cellStyle name="Normal 18 2 6 4" xfId="7771" xr:uid="{00000000-0005-0000-0000-0000DC1A0000}"/>
    <cellStyle name="Normal 18 2 7" xfId="7772" xr:uid="{00000000-0005-0000-0000-0000DD1A0000}"/>
    <cellStyle name="Normal 18 2 8" xfId="7773" xr:uid="{00000000-0005-0000-0000-0000DE1A0000}"/>
    <cellStyle name="Normal 18 2 9" xfId="7774" xr:uid="{00000000-0005-0000-0000-0000DF1A0000}"/>
    <cellStyle name="Normal 18 2_CORRECTED COPY OF rA 5" xfId="7775" xr:uid="{00000000-0005-0000-0000-0000E01A0000}"/>
    <cellStyle name="Normal 18 3" xfId="7776" xr:uid="{00000000-0005-0000-0000-0000E11A0000}"/>
    <cellStyle name="Normal 18 3 2" xfId="7777" xr:uid="{00000000-0005-0000-0000-0000E21A0000}"/>
    <cellStyle name="Normal 18 3 3" xfId="7778" xr:uid="{00000000-0005-0000-0000-0000E31A0000}"/>
    <cellStyle name="Normal 18 3 4" xfId="7779" xr:uid="{00000000-0005-0000-0000-0000E41A0000}"/>
    <cellStyle name="Normal 18 4" xfId="7780" xr:uid="{00000000-0005-0000-0000-0000E51A0000}"/>
    <cellStyle name="Normal 18 4 2" xfId="7781" xr:uid="{00000000-0005-0000-0000-0000E61A0000}"/>
    <cellStyle name="Normal 18 4 3" xfId="7782" xr:uid="{00000000-0005-0000-0000-0000E71A0000}"/>
    <cellStyle name="Normal 18 4 4" xfId="7783" xr:uid="{00000000-0005-0000-0000-0000E81A0000}"/>
    <cellStyle name="Normal 18 4 5" xfId="7784" xr:uid="{00000000-0005-0000-0000-0000E91A0000}"/>
    <cellStyle name="Normal 18 4 6" xfId="7785" xr:uid="{00000000-0005-0000-0000-0000EA1A0000}"/>
    <cellStyle name="Normal 18 4 7" xfId="7786" xr:uid="{00000000-0005-0000-0000-0000EB1A0000}"/>
    <cellStyle name="Normal 18 4 8" xfId="7787" xr:uid="{00000000-0005-0000-0000-0000EC1A0000}"/>
    <cellStyle name="Normal 18 5" xfId="7788" xr:uid="{00000000-0005-0000-0000-0000ED1A0000}"/>
    <cellStyle name="Normal 18 6" xfId="7789" xr:uid="{00000000-0005-0000-0000-0000EE1A0000}"/>
    <cellStyle name="Normal 18 7" xfId="7790" xr:uid="{00000000-0005-0000-0000-0000EF1A0000}"/>
    <cellStyle name="Normal 18 8" xfId="7791" xr:uid="{00000000-0005-0000-0000-0000F01A0000}"/>
    <cellStyle name="Normal 18 9" xfId="7792" xr:uid="{00000000-0005-0000-0000-0000F11A0000}"/>
    <cellStyle name="Normal 18_CORRECTED COPY OF rA 5" xfId="7793" xr:uid="{00000000-0005-0000-0000-0000F21A0000}"/>
    <cellStyle name="Normal 19" xfId="63" xr:uid="{0FC734EF-70B5-419A-81CD-26BCC731DB76}"/>
    <cellStyle name="Normal 19 2" xfId="7794" xr:uid="{00000000-0005-0000-0000-0000F41A0000}"/>
    <cellStyle name="Normal 19 2 2" xfId="7795" xr:uid="{00000000-0005-0000-0000-0000F51A0000}"/>
    <cellStyle name="Normal 19 2 2 2" xfId="7796" xr:uid="{00000000-0005-0000-0000-0000F61A0000}"/>
    <cellStyle name="Normal 19 2 2 2 2" xfId="7797" xr:uid="{00000000-0005-0000-0000-0000F71A0000}"/>
    <cellStyle name="Normal 19 2 2 2 3" xfId="7798" xr:uid="{00000000-0005-0000-0000-0000F81A0000}"/>
    <cellStyle name="Normal 19 2 2 2 4" xfId="7799" xr:uid="{00000000-0005-0000-0000-0000F91A0000}"/>
    <cellStyle name="Normal 19 2 2 3" xfId="7800" xr:uid="{00000000-0005-0000-0000-0000FA1A0000}"/>
    <cellStyle name="Normal 19 2 2 4" xfId="7801" xr:uid="{00000000-0005-0000-0000-0000FB1A0000}"/>
    <cellStyle name="Normal 19 2 2 5" xfId="7802" xr:uid="{00000000-0005-0000-0000-0000FC1A0000}"/>
    <cellStyle name="Normal 19 2 2_CORRECTED COPY OF rA 5" xfId="7803" xr:uid="{00000000-0005-0000-0000-0000FD1A0000}"/>
    <cellStyle name="Normal 19 2 3" xfId="7804" xr:uid="{00000000-0005-0000-0000-0000FE1A0000}"/>
    <cellStyle name="Normal 19 2 3 2" xfId="7805" xr:uid="{00000000-0005-0000-0000-0000FF1A0000}"/>
    <cellStyle name="Normal 19 2 3 3" xfId="7806" xr:uid="{00000000-0005-0000-0000-0000001B0000}"/>
    <cellStyle name="Normal 19 2 3 4" xfId="7807" xr:uid="{00000000-0005-0000-0000-0000011B0000}"/>
    <cellStyle name="Normal 19 2 4" xfId="7808" xr:uid="{00000000-0005-0000-0000-0000021B0000}"/>
    <cellStyle name="Normal 19 2 5" xfId="7809" xr:uid="{00000000-0005-0000-0000-0000031B0000}"/>
    <cellStyle name="Normal 19 2 6" xfId="7810" xr:uid="{00000000-0005-0000-0000-0000041B0000}"/>
    <cellStyle name="Normal 19 2_CORRECTED COPY OF rA 5" xfId="7811" xr:uid="{00000000-0005-0000-0000-0000051B0000}"/>
    <cellStyle name="Normal 19 3" xfId="7812" xr:uid="{00000000-0005-0000-0000-0000061B0000}"/>
    <cellStyle name="Normal 19 3 2" xfId="7813" xr:uid="{00000000-0005-0000-0000-0000071B0000}"/>
    <cellStyle name="Normal 19 3 3" xfId="7814" xr:uid="{00000000-0005-0000-0000-0000081B0000}"/>
    <cellStyle name="Normal 19 3 4" xfId="7815" xr:uid="{00000000-0005-0000-0000-0000091B0000}"/>
    <cellStyle name="Normal 19 4" xfId="7816" xr:uid="{00000000-0005-0000-0000-00000A1B0000}"/>
    <cellStyle name="Normal 19 4 2" xfId="7817" xr:uid="{00000000-0005-0000-0000-00000B1B0000}"/>
    <cellStyle name="Normal 19 4 3" xfId="7818" xr:uid="{00000000-0005-0000-0000-00000C1B0000}"/>
    <cellStyle name="Normal 19 4 4" xfId="7819" xr:uid="{00000000-0005-0000-0000-00000D1B0000}"/>
    <cellStyle name="Normal 19 4 5" xfId="7820" xr:uid="{00000000-0005-0000-0000-00000E1B0000}"/>
    <cellStyle name="Normal 19 4 6" xfId="7821" xr:uid="{00000000-0005-0000-0000-00000F1B0000}"/>
    <cellStyle name="Normal 19 4 7" xfId="7822" xr:uid="{00000000-0005-0000-0000-0000101B0000}"/>
    <cellStyle name="Normal 19 4 8" xfId="7823" xr:uid="{00000000-0005-0000-0000-0000111B0000}"/>
    <cellStyle name="Normal 19 5" xfId="7824" xr:uid="{00000000-0005-0000-0000-0000121B0000}"/>
    <cellStyle name="Normal 19 6" xfId="7825" xr:uid="{00000000-0005-0000-0000-0000131B0000}"/>
    <cellStyle name="Normal 19 7" xfId="7826" xr:uid="{00000000-0005-0000-0000-0000141B0000}"/>
    <cellStyle name="Normal 19_CORRECTED COPY OF rA 5" xfId="7827" xr:uid="{00000000-0005-0000-0000-0000151B0000}"/>
    <cellStyle name="Normal 2" xfId="4" xr:uid="{00000000-0005-0000-0000-00001E000000}"/>
    <cellStyle name="Normal 2 1" xfId="57" xr:uid="{E485A7D4-771E-4DCB-BC28-B19E45AB2F3B}"/>
    <cellStyle name="Normal 2 10" xfId="25" xr:uid="{00000000-0005-0000-0000-00001F000000}"/>
    <cellStyle name="Normal 2 10 2" xfId="109" xr:uid="{00000000-0005-0000-0000-00000B000000}"/>
    <cellStyle name="Normal 2 10 2 10" xfId="47" xr:uid="{00000000-0005-0000-0000-000020000000}"/>
    <cellStyle name="Normal 2 10 2 2" xfId="56" xr:uid="{00000000-0005-0000-0000-000021000000}"/>
    <cellStyle name="Normal 2 10 3" xfId="7828" xr:uid="{00000000-0005-0000-0000-0000191B0000}"/>
    <cellStyle name="Normal 2 10 4" xfId="7829" xr:uid="{00000000-0005-0000-0000-00001A1B0000}"/>
    <cellStyle name="Normal 2 10 5" xfId="7830" xr:uid="{00000000-0005-0000-0000-00001B1B0000}"/>
    <cellStyle name="Normal 2 10 6" xfId="7831" xr:uid="{00000000-0005-0000-0000-00001C1B0000}"/>
    <cellStyle name="Normal 2 10 7" xfId="7832" xr:uid="{00000000-0005-0000-0000-00001D1B0000}"/>
    <cellStyle name="Normal 2 10 8" xfId="7833" xr:uid="{00000000-0005-0000-0000-00001E1B0000}"/>
    <cellStyle name="Normal 2 100" xfId="689" xr:uid="{00000000-0005-0000-0000-00008D020000}"/>
    <cellStyle name="Normal 2 101" xfId="690" xr:uid="{00000000-0005-0000-0000-00008E020000}"/>
    <cellStyle name="Normal 2 102" xfId="691" xr:uid="{00000000-0005-0000-0000-00008F020000}"/>
    <cellStyle name="Normal 2 103" xfId="692" xr:uid="{00000000-0005-0000-0000-000090020000}"/>
    <cellStyle name="Normal 2 104" xfId="693" xr:uid="{00000000-0005-0000-0000-000091020000}"/>
    <cellStyle name="Normal 2 105" xfId="694" xr:uid="{00000000-0005-0000-0000-000092020000}"/>
    <cellStyle name="Normal 2 106" xfId="695" xr:uid="{00000000-0005-0000-0000-000093020000}"/>
    <cellStyle name="Normal 2 107" xfId="696" xr:uid="{00000000-0005-0000-0000-000094020000}"/>
    <cellStyle name="Normal 2 108" xfId="697" xr:uid="{00000000-0005-0000-0000-000095020000}"/>
    <cellStyle name="Normal 2 109" xfId="698" xr:uid="{00000000-0005-0000-0000-000096020000}"/>
    <cellStyle name="Normal 2 11" xfId="211" xr:uid="{00000000-0005-0000-0000-000097020000}"/>
    <cellStyle name="Normal 2 11 2" xfId="7834" xr:uid="{00000000-0005-0000-0000-0000201B0000}"/>
    <cellStyle name="Normal 2 11 3" xfId="7835" xr:uid="{00000000-0005-0000-0000-0000211B0000}"/>
    <cellStyle name="Normal 2 11 4" xfId="7836" xr:uid="{00000000-0005-0000-0000-0000221B0000}"/>
    <cellStyle name="Normal 2 11 5" xfId="7837" xr:uid="{00000000-0005-0000-0000-0000231B0000}"/>
    <cellStyle name="Normal 2 11 6" xfId="7838" xr:uid="{00000000-0005-0000-0000-0000241B0000}"/>
    <cellStyle name="Normal 2 11 7" xfId="7839" xr:uid="{00000000-0005-0000-0000-0000251B0000}"/>
    <cellStyle name="Normal 2 11 8" xfId="7840" xr:uid="{00000000-0005-0000-0000-0000261B0000}"/>
    <cellStyle name="Normal 2 110" xfId="699" xr:uid="{00000000-0005-0000-0000-000098020000}"/>
    <cellStyle name="Normal 2 111" xfId="700" xr:uid="{00000000-0005-0000-0000-000099020000}"/>
    <cellStyle name="Normal 2 112" xfId="701" xr:uid="{00000000-0005-0000-0000-00009A020000}"/>
    <cellStyle name="Normal 2 113" xfId="702" xr:uid="{00000000-0005-0000-0000-00009B020000}"/>
    <cellStyle name="Normal 2 114" xfId="703" xr:uid="{00000000-0005-0000-0000-00009C020000}"/>
    <cellStyle name="Normal 2 115" xfId="704" xr:uid="{00000000-0005-0000-0000-00009D020000}"/>
    <cellStyle name="Normal 2 116" xfId="705" xr:uid="{00000000-0005-0000-0000-00009E020000}"/>
    <cellStyle name="Normal 2 117" xfId="706" xr:uid="{00000000-0005-0000-0000-00009F020000}"/>
    <cellStyle name="Normal 2 118" xfId="707" xr:uid="{00000000-0005-0000-0000-0000A0020000}"/>
    <cellStyle name="Normal 2 119" xfId="708" xr:uid="{00000000-0005-0000-0000-0000A1020000}"/>
    <cellStyle name="Normal 2 12" xfId="215" xr:uid="{00000000-0005-0000-0000-0000A2020000}"/>
    <cellStyle name="Normal 2 12 2" xfId="7841" xr:uid="{00000000-0005-0000-0000-0000281B0000}"/>
    <cellStyle name="Normal 2 12 3" xfId="7842" xr:uid="{00000000-0005-0000-0000-0000291B0000}"/>
    <cellStyle name="Normal 2 12 4" xfId="7843" xr:uid="{00000000-0005-0000-0000-00002A1B0000}"/>
    <cellStyle name="Normal 2 12 5" xfId="7844" xr:uid="{00000000-0005-0000-0000-00002B1B0000}"/>
    <cellStyle name="Normal 2 12 6" xfId="7845" xr:uid="{00000000-0005-0000-0000-00002C1B0000}"/>
    <cellStyle name="Normal 2 12 7" xfId="7846" xr:uid="{00000000-0005-0000-0000-00002D1B0000}"/>
    <cellStyle name="Normal 2 12 8" xfId="7847" xr:uid="{00000000-0005-0000-0000-00002E1B0000}"/>
    <cellStyle name="Normal 2 120" xfId="709" xr:uid="{00000000-0005-0000-0000-0000A3020000}"/>
    <cellStyle name="Normal 2 121" xfId="710" xr:uid="{00000000-0005-0000-0000-0000A4020000}"/>
    <cellStyle name="Normal 2 122" xfId="711" xr:uid="{00000000-0005-0000-0000-0000A5020000}"/>
    <cellStyle name="Normal 2 123" xfId="712" xr:uid="{00000000-0005-0000-0000-0000A6020000}"/>
    <cellStyle name="Normal 2 124" xfId="713" xr:uid="{00000000-0005-0000-0000-0000A7020000}"/>
    <cellStyle name="Normal 2 125" xfId="714" xr:uid="{00000000-0005-0000-0000-0000A8020000}"/>
    <cellStyle name="Normal 2 126" xfId="715" xr:uid="{00000000-0005-0000-0000-0000A9020000}"/>
    <cellStyle name="Normal 2 127" xfId="716" xr:uid="{00000000-0005-0000-0000-0000AA020000}"/>
    <cellStyle name="Normal 2 128" xfId="717" xr:uid="{00000000-0005-0000-0000-0000AB020000}"/>
    <cellStyle name="Normal 2 129" xfId="718" xr:uid="{00000000-0005-0000-0000-0000AC020000}"/>
    <cellStyle name="Normal 2 13" xfId="719" xr:uid="{00000000-0005-0000-0000-0000AD020000}"/>
    <cellStyle name="Normal 2 13 2" xfId="7848" xr:uid="{00000000-0005-0000-0000-0000301B0000}"/>
    <cellStyle name="Normal 2 13 3" xfId="7849" xr:uid="{00000000-0005-0000-0000-0000311B0000}"/>
    <cellStyle name="Normal 2 13 4" xfId="7850" xr:uid="{00000000-0005-0000-0000-0000321B0000}"/>
    <cellStyle name="Normal 2 13 5" xfId="7851" xr:uid="{00000000-0005-0000-0000-0000331B0000}"/>
    <cellStyle name="Normal 2 13 6" xfId="7852" xr:uid="{00000000-0005-0000-0000-0000341B0000}"/>
    <cellStyle name="Normal 2 13 7" xfId="7853" xr:uid="{00000000-0005-0000-0000-0000351B0000}"/>
    <cellStyle name="Normal 2 13 8" xfId="7854" xr:uid="{00000000-0005-0000-0000-0000361B0000}"/>
    <cellStyle name="Normal 2 130" xfId="852" xr:uid="{00000000-0005-0000-0000-0000AE020000}"/>
    <cellStyle name="Normal 2 131" xfId="832" xr:uid="{00000000-0005-0000-0000-0000AF020000}"/>
    <cellStyle name="Normal 2 132" xfId="859" xr:uid="{00000000-0005-0000-0000-0000B0020000}"/>
    <cellStyle name="Normal 2 133" xfId="836" xr:uid="{00000000-0005-0000-0000-0000B1020000}"/>
    <cellStyle name="Normal 2 134" xfId="861" xr:uid="{00000000-0005-0000-0000-0000B2020000}"/>
    <cellStyle name="Normal 2 135" xfId="901" xr:uid="{00000000-0005-0000-0000-0000B3020000}"/>
    <cellStyle name="Normal 2 136" xfId="904" xr:uid="{00000000-0005-0000-0000-0000B4020000}"/>
    <cellStyle name="Normal 2 137" xfId="930" xr:uid="{00000000-0005-0000-0000-0000B5020000}"/>
    <cellStyle name="Normal 2 138" xfId="940" xr:uid="{00000000-0005-0000-0000-0000B6020000}"/>
    <cellStyle name="Normal 2 139" xfId="971" xr:uid="{00000000-0005-0000-0000-0000B7020000}"/>
    <cellStyle name="Normal 2 14" xfId="88" xr:uid="{FC60B06F-E2EE-40FB-BA14-FE05E8716F33}"/>
    <cellStyle name="Normal 2 14 2" xfId="7855" xr:uid="{00000000-0005-0000-0000-0000381B0000}"/>
    <cellStyle name="Normal 2 14 3" xfId="7856" xr:uid="{00000000-0005-0000-0000-0000391B0000}"/>
    <cellStyle name="Normal 2 14 4" xfId="7857" xr:uid="{00000000-0005-0000-0000-00003A1B0000}"/>
    <cellStyle name="Normal 2 14 5" xfId="7858" xr:uid="{00000000-0005-0000-0000-00003B1B0000}"/>
    <cellStyle name="Normal 2 14 6" xfId="7859" xr:uid="{00000000-0005-0000-0000-00003C1B0000}"/>
    <cellStyle name="Normal 2 14 7" xfId="7860" xr:uid="{00000000-0005-0000-0000-00003D1B0000}"/>
    <cellStyle name="Normal 2 14 8" xfId="7861" xr:uid="{00000000-0005-0000-0000-00003E1B0000}"/>
    <cellStyle name="Normal 2 15" xfId="720" xr:uid="{00000000-0005-0000-0000-0000B9020000}"/>
    <cellStyle name="Normal 2 15 2" xfId="7862" xr:uid="{00000000-0005-0000-0000-00003F1B0000}"/>
    <cellStyle name="Normal 2 16" xfId="721" xr:uid="{00000000-0005-0000-0000-0000BA020000}"/>
    <cellStyle name="Normal 2 17" xfId="722" xr:uid="{00000000-0005-0000-0000-0000BB020000}"/>
    <cellStyle name="Normal 2 172" xfId="943" xr:uid="{00000000-0005-0000-0000-0000BC020000}"/>
    <cellStyle name="Normal 2 173" xfId="944" xr:uid="{00000000-0005-0000-0000-0000BD020000}"/>
    <cellStyle name="Normal 2 18" xfId="723" xr:uid="{00000000-0005-0000-0000-0000BE020000}"/>
    <cellStyle name="Normal 2 18 2" xfId="7863" xr:uid="{00000000-0005-0000-0000-0000421B0000}"/>
    <cellStyle name="Normal 2 19" xfId="724" xr:uid="{00000000-0005-0000-0000-0000BF020000}"/>
    <cellStyle name="Normal 2 19 2" xfId="7864" xr:uid="{00000000-0005-0000-0000-0000431B0000}"/>
    <cellStyle name="Normal 2 2" xfId="20" xr:uid="{00000000-0005-0000-0000-000022000000}"/>
    <cellStyle name="Normal 2 2 10" xfId="983" xr:uid="{00000000-0005-0000-0000-0000451B0000}"/>
    <cellStyle name="Normal 2 2 11" xfId="980" xr:uid="{00000000-0005-0000-0000-0000461B0000}"/>
    <cellStyle name="Normal 2 2 11 2" xfId="7865" xr:uid="{00000000-0005-0000-0000-0000471B0000}"/>
    <cellStyle name="Normal 2 2 12" xfId="7866" xr:uid="{00000000-0005-0000-0000-0000481B0000}"/>
    <cellStyle name="Normal 2 2 13" xfId="7867" xr:uid="{00000000-0005-0000-0000-0000491B0000}"/>
    <cellStyle name="Normal 2 2 14" xfId="7868" xr:uid="{00000000-0005-0000-0000-00004A1B0000}"/>
    <cellStyle name="Normal 2 2 15" xfId="7869" xr:uid="{00000000-0005-0000-0000-00004B1B0000}"/>
    <cellStyle name="Normal 2 2 16" xfId="7870" xr:uid="{00000000-0005-0000-0000-00004C1B0000}"/>
    <cellStyle name="Normal 2 2 17" xfId="7871" xr:uid="{00000000-0005-0000-0000-00004D1B0000}"/>
    <cellStyle name="Normal 2 2 18" xfId="7872" xr:uid="{00000000-0005-0000-0000-00004E1B0000}"/>
    <cellStyle name="Normal 2 2 19" xfId="7873" xr:uid="{00000000-0005-0000-0000-00004F1B0000}"/>
    <cellStyle name="Normal 2 2 2" xfId="99" xr:uid="{00000000-0005-0000-0000-000009000000}"/>
    <cellStyle name="Normal 2 2 2 10" xfId="7874" xr:uid="{00000000-0005-0000-0000-0000511B0000}"/>
    <cellStyle name="Normal 2 2 2 11" xfId="7875" xr:uid="{00000000-0005-0000-0000-0000521B0000}"/>
    <cellStyle name="Normal 2 2 2 12" xfId="38" xr:uid="{00000000-0005-0000-0000-000023000000}"/>
    <cellStyle name="Normal 2 2 2 13" xfId="7876" xr:uid="{00000000-0005-0000-0000-0000541B0000}"/>
    <cellStyle name="Normal 2 2 2 14" xfId="7877" xr:uid="{00000000-0005-0000-0000-0000551B0000}"/>
    <cellStyle name="Normal 2 2 2 15" xfId="7878" xr:uid="{00000000-0005-0000-0000-0000561B0000}"/>
    <cellStyle name="Normal 2 2 2 16 2" xfId="973" xr:uid="{CE3E9F9E-A7A1-42E1-938A-0126CDE29F47}"/>
    <cellStyle name="Normal 2 2 2 2" xfId="108" xr:uid="{00000000-0005-0000-0000-00000A000000}"/>
    <cellStyle name="Normal 2 2 2 2 2" xfId="856" xr:uid="{00000000-0005-0000-0000-0000C2020000}"/>
    <cellStyle name="Normal 2 2 2 2 3" xfId="7879" xr:uid="{00000000-0005-0000-0000-0000571B0000}"/>
    <cellStyle name="Normal 2 2 2 3" xfId="24" xr:uid="{00000000-0005-0000-0000-000024000000}"/>
    <cellStyle name="Normal 2 2 2 4" xfId="7880" xr:uid="{00000000-0005-0000-0000-0000591B0000}"/>
    <cellStyle name="Normal 2 2 2 5" xfId="7881" xr:uid="{00000000-0005-0000-0000-00005A1B0000}"/>
    <cellStyle name="Normal 2 2 2 6" xfId="7882" xr:uid="{00000000-0005-0000-0000-00005B1B0000}"/>
    <cellStyle name="Normal 2 2 2 7" xfId="7883" xr:uid="{00000000-0005-0000-0000-00005C1B0000}"/>
    <cellStyle name="Normal 2 2 2 8" xfId="7884" xr:uid="{00000000-0005-0000-0000-00005D1B0000}"/>
    <cellStyle name="Normal 2 2 2 9" xfId="7885" xr:uid="{00000000-0005-0000-0000-00005E1B0000}"/>
    <cellStyle name="Normal 2 2 20" xfId="7886" xr:uid="{00000000-0005-0000-0000-00005F1B0000}"/>
    <cellStyle name="Normal 2 2 21" xfId="7887" xr:uid="{00000000-0005-0000-0000-0000601B0000}"/>
    <cellStyle name="Normal 2 2 22" xfId="7888" xr:uid="{00000000-0005-0000-0000-0000611B0000}"/>
    <cellStyle name="Normal 2 2 23" xfId="7889" xr:uid="{00000000-0005-0000-0000-0000621B0000}"/>
    <cellStyle name="Normal 2 2 24" xfId="7890" xr:uid="{00000000-0005-0000-0000-0000631B0000}"/>
    <cellStyle name="Normal 2 2 25" xfId="7891" xr:uid="{00000000-0005-0000-0000-0000641B0000}"/>
    <cellStyle name="Normal 2 2 26" xfId="7892" xr:uid="{00000000-0005-0000-0000-0000651B0000}"/>
    <cellStyle name="Normal 2 2 27" xfId="7893" xr:uid="{00000000-0005-0000-0000-0000661B0000}"/>
    <cellStyle name="Normal 2 2 3" xfId="7894" xr:uid="{00000000-0005-0000-0000-0000671B0000}"/>
    <cellStyle name="Normal 2 2 3 10" xfId="7895" xr:uid="{00000000-0005-0000-0000-0000681B0000}"/>
    <cellStyle name="Normal 2 2 3 11" xfId="7896" xr:uid="{00000000-0005-0000-0000-0000691B0000}"/>
    <cellStyle name="Normal 2 2 3 12" xfId="7897" xr:uid="{00000000-0005-0000-0000-00006A1B0000}"/>
    <cellStyle name="Normal 2 2 3 13" xfId="7898" xr:uid="{00000000-0005-0000-0000-00006B1B0000}"/>
    <cellStyle name="Normal 2 2 3 14" xfId="7899" xr:uid="{00000000-0005-0000-0000-00006C1B0000}"/>
    <cellStyle name="Normal 2 2 3 15" xfId="7900" xr:uid="{00000000-0005-0000-0000-00006D1B0000}"/>
    <cellStyle name="Normal 2 2 3 16" xfId="7901" xr:uid="{00000000-0005-0000-0000-00006E1B0000}"/>
    <cellStyle name="Normal 2 2 3 2" xfId="7902" xr:uid="{00000000-0005-0000-0000-00006F1B0000}"/>
    <cellStyle name="Normal 2 2 3 2 10" xfId="7903" xr:uid="{00000000-0005-0000-0000-0000701B0000}"/>
    <cellStyle name="Normal 2 2 3 2 11" xfId="7904" xr:uid="{00000000-0005-0000-0000-0000711B0000}"/>
    <cellStyle name="Normal 2 2 3 2 12" xfId="7905" xr:uid="{00000000-0005-0000-0000-0000721B0000}"/>
    <cellStyle name="Normal 2 2 3 2 13" xfId="7906" xr:uid="{00000000-0005-0000-0000-0000731B0000}"/>
    <cellStyle name="Normal 2 2 3 2 14" xfId="7907" xr:uid="{00000000-0005-0000-0000-0000741B0000}"/>
    <cellStyle name="Normal 2 2 3 2 15" xfId="7908" xr:uid="{00000000-0005-0000-0000-0000751B0000}"/>
    <cellStyle name="Normal 2 2 3 2 16" xfId="7909" xr:uid="{00000000-0005-0000-0000-0000761B0000}"/>
    <cellStyle name="Normal 2 2 3 2 17" xfId="7910" xr:uid="{00000000-0005-0000-0000-0000771B0000}"/>
    <cellStyle name="Normal 2 2 3 2 2" xfId="7911" xr:uid="{00000000-0005-0000-0000-0000781B0000}"/>
    <cellStyle name="Normal 2 2 3 2 3" xfId="7912" xr:uid="{00000000-0005-0000-0000-0000791B0000}"/>
    <cellStyle name="Normal 2 2 3 2 4" xfId="7913" xr:uid="{00000000-0005-0000-0000-00007A1B0000}"/>
    <cellStyle name="Normal 2 2 3 2 5" xfId="7914" xr:uid="{00000000-0005-0000-0000-00007B1B0000}"/>
    <cellStyle name="Normal 2 2 3 2 6" xfId="7915" xr:uid="{00000000-0005-0000-0000-00007C1B0000}"/>
    <cellStyle name="Normal 2 2 3 2 7" xfId="7916" xr:uid="{00000000-0005-0000-0000-00007D1B0000}"/>
    <cellStyle name="Normal 2 2 3 2 8" xfId="7917" xr:uid="{00000000-0005-0000-0000-00007E1B0000}"/>
    <cellStyle name="Normal 2 2 3 2 9" xfId="7918" xr:uid="{00000000-0005-0000-0000-00007F1B0000}"/>
    <cellStyle name="Normal 2 2 3 3" xfId="7919" xr:uid="{00000000-0005-0000-0000-0000801B0000}"/>
    <cellStyle name="Normal 2 2 3 3 2" xfId="7920" xr:uid="{00000000-0005-0000-0000-0000811B0000}"/>
    <cellStyle name="Normal 2 2 3 3 3" xfId="7921" xr:uid="{00000000-0005-0000-0000-0000821B0000}"/>
    <cellStyle name="Normal 2 2 3 3 4" xfId="7922" xr:uid="{00000000-0005-0000-0000-0000831B0000}"/>
    <cellStyle name="Normal 2 2 3 3 5" xfId="7923" xr:uid="{00000000-0005-0000-0000-0000841B0000}"/>
    <cellStyle name="Normal 2 2 3 4" xfId="7924" xr:uid="{00000000-0005-0000-0000-0000851B0000}"/>
    <cellStyle name="Normal 2 2 3 4 2" xfId="7925" xr:uid="{00000000-0005-0000-0000-0000861B0000}"/>
    <cellStyle name="Normal 2 2 3 4 3" xfId="7926" xr:uid="{00000000-0005-0000-0000-0000871B0000}"/>
    <cellStyle name="Normal 2 2 3 4 4" xfId="7927" xr:uid="{00000000-0005-0000-0000-0000881B0000}"/>
    <cellStyle name="Normal 2 2 3 4 5" xfId="7928" xr:uid="{00000000-0005-0000-0000-0000891B0000}"/>
    <cellStyle name="Normal 2 2 3 5" xfId="7929" xr:uid="{00000000-0005-0000-0000-00008A1B0000}"/>
    <cellStyle name="Normal 2 2 3 6" xfId="7930" xr:uid="{00000000-0005-0000-0000-00008B1B0000}"/>
    <cellStyle name="Normal 2 2 3 7" xfId="7931" xr:uid="{00000000-0005-0000-0000-00008C1B0000}"/>
    <cellStyle name="Normal 2 2 3 8" xfId="7932" xr:uid="{00000000-0005-0000-0000-00008D1B0000}"/>
    <cellStyle name="Normal 2 2 3 9" xfId="7933" xr:uid="{00000000-0005-0000-0000-00008E1B0000}"/>
    <cellStyle name="Normal 2 2 4" xfId="7934" xr:uid="{00000000-0005-0000-0000-00008F1B0000}"/>
    <cellStyle name="Normal 2 2 5" xfId="7935" xr:uid="{00000000-0005-0000-0000-0000901B0000}"/>
    <cellStyle name="Normal 2 2 6" xfId="7936" xr:uid="{00000000-0005-0000-0000-0000911B0000}"/>
    <cellStyle name="Normal 2 2 7" xfId="7937" xr:uid="{00000000-0005-0000-0000-0000921B0000}"/>
    <cellStyle name="Normal 2 2 8" xfId="7938" xr:uid="{00000000-0005-0000-0000-0000931B0000}"/>
    <cellStyle name="Normal 2 2 9" xfId="7939" xr:uid="{00000000-0005-0000-0000-0000941B0000}"/>
    <cellStyle name="Normal 2 2_Water Proofing" xfId="7940" xr:uid="{00000000-0005-0000-0000-0000951B0000}"/>
    <cellStyle name="Normal 2 20" xfId="725" xr:uid="{00000000-0005-0000-0000-0000C3020000}"/>
    <cellStyle name="Normal 2 20 2" xfId="37246" xr:uid="{00000000-0005-0000-0000-0000961B0000}"/>
    <cellStyle name="Normal 2 21" xfId="726" xr:uid="{00000000-0005-0000-0000-0000C4020000}"/>
    <cellStyle name="Normal 2 21 2" xfId="37252" xr:uid="{00000000-0005-0000-0000-0000971B0000}"/>
    <cellStyle name="Normal 2 22" xfId="727" xr:uid="{00000000-0005-0000-0000-0000C5020000}"/>
    <cellStyle name="Normal 2 23" xfId="728" xr:uid="{00000000-0005-0000-0000-0000C6020000}"/>
    <cellStyle name="Normal 2 24" xfId="729" xr:uid="{00000000-0005-0000-0000-0000C7020000}"/>
    <cellStyle name="Normal 2 25" xfId="730" xr:uid="{00000000-0005-0000-0000-0000C8020000}"/>
    <cellStyle name="Normal 2 26" xfId="731" xr:uid="{00000000-0005-0000-0000-0000C9020000}"/>
    <cellStyle name="Normal 2 27" xfId="732" xr:uid="{00000000-0005-0000-0000-0000CA020000}"/>
    <cellStyle name="Normal 2 28" xfId="733" xr:uid="{00000000-0005-0000-0000-0000CB020000}"/>
    <cellStyle name="Normal 2 29" xfId="734" xr:uid="{00000000-0005-0000-0000-0000CC020000}"/>
    <cellStyle name="Normal 2 3" xfId="156" xr:uid="{00000000-0005-0000-0000-0000CD020000}"/>
    <cellStyle name="Normal 2 3 10" xfId="7942" xr:uid="{00000000-0005-0000-0000-0000991B0000}"/>
    <cellStyle name="Normal 2 3 11" xfId="7943" xr:uid="{00000000-0005-0000-0000-00009A1B0000}"/>
    <cellStyle name="Normal 2 3 12" xfId="7944" xr:uid="{00000000-0005-0000-0000-00009B1B0000}"/>
    <cellStyle name="Normal 2 3 13" xfId="7945" xr:uid="{00000000-0005-0000-0000-00009C1B0000}"/>
    <cellStyle name="Normal 2 3 14" xfId="7946" xr:uid="{00000000-0005-0000-0000-00009D1B0000}"/>
    <cellStyle name="Normal 2 3 15" xfId="7947" xr:uid="{00000000-0005-0000-0000-00009E1B0000}"/>
    <cellStyle name="Normal 2 3 16" xfId="7948" xr:uid="{00000000-0005-0000-0000-00009F1B0000}"/>
    <cellStyle name="Normal 2 3 17" xfId="7949" xr:uid="{00000000-0005-0000-0000-0000A01B0000}"/>
    <cellStyle name="Normal 2 3 18" xfId="7950" xr:uid="{00000000-0005-0000-0000-0000A11B0000}"/>
    <cellStyle name="Normal 2 3 19" xfId="7951" xr:uid="{00000000-0005-0000-0000-0000A21B0000}"/>
    <cellStyle name="Normal 2 3 2" xfId="862" xr:uid="{00000000-0005-0000-0000-0000CE020000}"/>
    <cellStyle name="Normal 2 3 2 2" xfId="863" xr:uid="{00000000-0005-0000-0000-0000CF020000}"/>
    <cellStyle name="Normal 2 3 2 2 2" xfId="7952" xr:uid="{00000000-0005-0000-0000-0000A41B0000}"/>
    <cellStyle name="Normal 2 3 2 3" xfId="825" xr:uid="{00000000-0005-0000-0000-0000D0020000}"/>
    <cellStyle name="Normal 2 3 2 3 2" xfId="7953" xr:uid="{00000000-0005-0000-0000-0000A51B0000}"/>
    <cellStyle name="Normal 2 3 2 4" xfId="866" xr:uid="{00000000-0005-0000-0000-0000D1020000}"/>
    <cellStyle name="Normal 2 3 2 4 2" xfId="7954" xr:uid="{00000000-0005-0000-0000-0000A61B0000}"/>
    <cellStyle name="Normal 2 3 2 5" xfId="829" xr:uid="{00000000-0005-0000-0000-0000D2020000}"/>
    <cellStyle name="Normal 2 3 2 6" xfId="869" xr:uid="{00000000-0005-0000-0000-0000D3020000}"/>
    <cellStyle name="Normal 2 3 20" xfId="7955" xr:uid="{00000000-0005-0000-0000-0000A71B0000}"/>
    <cellStyle name="Normal 2 3 21" xfId="7956" xr:uid="{00000000-0005-0000-0000-0000A81B0000}"/>
    <cellStyle name="Normal 2 3 22" xfId="7957" xr:uid="{00000000-0005-0000-0000-0000A91B0000}"/>
    <cellStyle name="Normal 2 3 23" xfId="7958" xr:uid="{00000000-0005-0000-0000-0000AA1B0000}"/>
    <cellStyle name="Normal 2 3 24" xfId="7959" xr:uid="{00000000-0005-0000-0000-0000AB1B0000}"/>
    <cellStyle name="Normal 2 3 25" xfId="7941" xr:uid="{00000000-0005-0000-0000-0000AC1B0000}"/>
    <cellStyle name="Normal 2 3 3" xfId="826" xr:uid="{00000000-0005-0000-0000-0000D4020000}"/>
    <cellStyle name="Normal 2 3 3 2" xfId="7960" xr:uid="{00000000-0005-0000-0000-0000AD1B0000}"/>
    <cellStyle name="Normal 2 3 4" xfId="865" xr:uid="{00000000-0005-0000-0000-0000D5020000}"/>
    <cellStyle name="Normal 2 3 4 2" xfId="7961" xr:uid="{00000000-0005-0000-0000-0000AE1B0000}"/>
    <cellStyle name="Normal 2 3 5" xfId="830" xr:uid="{00000000-0005-0000-0000-0000D6020000}"/>
    <cellStyle name="Normal 2 3 5 2" xfId="7962" xr:uid="{00000000-0005-0000-0000-0000AF1B0000}"/>
    <cellStyle name="Normal 2 3 6" xfId="868" xr:uid="{00000000-0005-0000-0000-0000D7020000}"/>
    <cellStyle name="Normal 2 3 6 2" xfId="7963" xr:uid="{00000000-0005-0000-0000-0000B01B0000}"/>
    <cellStyle name="Normal 2 3 7" xfId="191" xr:uid="{00000000-0005-0000-0000-0000D8020000}"/>
    <cellStyle name="Normal 2 3 8" xfId="7964" xr:uid="{00000000-0005-0000-0000-0000B21B0000}"/>
    <cellStyle name="Normal 2 3 9" xfId="7965" xr:uid="{00000000-0005-0000-0000-0000B31B0000}"/>
    <cellStyle name="Normal 2 30" xfId="735" xr:uid="{00000000-0005-0000-0000-0000D9020000}"/>
    <cellStyle name="Normal 2 31" xfId="736" xr:uid="{00000000-0005-0000-0000-0000DA020000}"/>
    <cellStyle name="Normal 2 32" xfId="737" xr:uid="{00000000-0005-0000-0000-0000DB020000}"/>
    <cellStyle name="Normal 2 33" xfId="738" xr:uid="{00000000-0005-0000-0000-0000DC020000}"/>
    <cellStyle name="Normal 2 34" xfId="739" xr:uid="{00000000-0005-0000-0000-0000DD020000}"/>
    <cellStyle name="Normal 2 35" xfId="740" xr:uid="{00000000-0005-0000-0000-0000DE020000}"/>
    <cellStyle name="Normal 2 36" xfId="741" xr:uid="{00000000-0005-0000-0000-0000DF020000}"/>
    <cellStyle name="Normal 2 37" xfId="742" xr:uid="{00000000-0005-0000-0000-0000E0020000}"/>
    <cellStyle name="Normal 2 38" xfId="743" xr:uid="{00000000-0005-0000-0000-0000E1020000}"/>
    <cellStyle name="Normal 2 39" xfId="744" xr:uid="{00000000-0005-0000-0000-0000E2020000}"/>
    <cellStyle name="Normal 2 4" xfId="186" xr:uid="{00000000-0005-0000-0000-0000E3020000}"/>
    <cellStyle name="Normal 2 4 10" xfId="7966" xr:uid="{00000000-0005-0000-0000-0000B51B0000}"/>
    <cellStyle name="Normal 2 4 11" xfId="7967" xr:uid="{00000000-0005-0000-0000-0000B61B0000}"/>
    <cellStyle name="Normal 2 4 2" xfId="7968" xr:uid="{00000000-0005-0000-0000-0000B71B0000}"/>
    <cellStyle name="Normal 2 4 2 2" xfId="51" xr:uid="{00000000-0005-0000-0000-000025000000}"/>
    <cellStyle name="Normal 2 4 3" xfId="7969" xr:uid="{00000000-0005-0000-0000-0000B81B0000}"/>
    <cellStyle name="Normal 2 4 4" xfId="7970" xr:uid="{00000000-0005-0000-0000-0000B91B0000}"/>
    <cellStyle name="Normal 2 4 5" xfId="7971" xr:uid="{00000000-0005-0000-0000-0000BA1B0000}"/>
    <cellStyle name="Normal 2 4 6" xfId="7972" xr:uid="{00000000-0005-0000-0000-0000BB1B0000}"/>
    <cellStyle name="Normal 2 4 7" xfId="7973" xr:uid="{00000000-0005-0000-0000-0000BC1B0000}"/>
    <cellStyle name="Normal 2 4 8" xfId="7974" xr:uid="{00000000-0005-0000-0000-0000BD1B0000}"/>
    <cellStyle name="Normal 2 4 9" xfId="7975" xr:uid="{00000000-0005-0000-0000-0000BE1B0000}"/>
    <cellStyle name="Normal 2 40" xfId="745" xr:uid="{00000000-0005-0000-0000-0000E4020000}"/>
    <cellStyle name="Normal 2 41" xfId="746" xr:uid="{00000000-0005-0000-0000-0000E5020000}"/>
    <cellStyle name="Normal 2 42" xfId="747" xr:uid="{00000000-0005-0000-0000-0000E6020000}"/>
    <cellStyle name="Normal 2 43" xfId="748" xr:uid="{00000000-0005-0000-0000-0000E7020000}"/>
    <cellStyle name="Normal 2 44" xfId="749" xr:uid="{00000000-0005-0000-0000-0000E8020000}"/>
    <cellStyle name="Normal 2 45" xfId="750" xr:uid="{00000000-0005-0000-0000-0000E9020000}"/>
    <cellStyle name="Normal 2 46" xfId="751" xr:uid="{00000000-0005-0000-0000-0000EA020000}"/>
    <cellStyle name="Normal 2 47" xfId="752" xr:uid="{00000000-0005-0000-0000-0000EB020000}"/>
    <cellStyle name="Normal 2 48" xfId="753" xr:uid="{00000000-0005-0000-0000-0000EC020000}"/>
    <cellStyle name="Normal 2 49" xfId="754" xr:uid="{00000000-0005-0000-0000-0000ED020000}"/>
    <cellStyle name="Normal 2 5" xfId="192" xr:uid="{00000000-0005-0000-0000-0000EE020000}"/>
    <cellStyle name="Normal 2 5 10" xfId="7976" xr:uid="{00000000-0005-0000-0000-0000C01B0000}"/>
    <cellStyle name="Normal 2 5 11" xfId="7977" xr:uid="{00000000-0005-0000-0000-0000C11B0000}"/>
    <cellStyle name="Normal 2 5 12" xfId="7978" xr:uid="{00000000-0005-0000-0000-0000C21B0000}"/>
    <cellStyle name="Normal 2 5 2" xfId="7979" xr:uid="{00000000-0005-0000-0000-0000C31B0000}"/>
    <cellStyle name="Normal 2 5 2 2" xfId="7980" xr:uid="{00000000-0005-0000-0000-0000C41B0000}"/>
    <cellStyle name="Normal 2 5 3" xfId="7981" xr:uid="{00000000-0005-0000-0000-0000C51B0000}"/>
    <cellStyle name="Normal 2 5 4" xfId="7982" xr:uid="{00000000-0005-0000-0000-0000C61B0000}"/>
    <cellStyle name="Normal 2 5 5" xfId="7983" xr:uid="{00000000-0005-0000-0000-0000C71B0000}"/>
    <cellStyle name="Normal 2 5 6" xfId="7984" xr:uid="{00000000-0005-0000-0000-0000C81B0000}"/>
    <cellStyle name="Normal 2 5 7" xfId="7985" xr:uid="{00000000-0005-0000-0000-0000C91B0000}"/>
    <cellStyle name="Normal 2 5 8" xfId="7986" xr:uid="{00000000-0005-0000-0000-0000CA1B0000}"/>
    <cellStyle name="Normal 2 5 9" xfId="7987" xr:uid="{00000000-0005-0000-0000-0000CB1B0000}"/>
    <cellStyle name="Normal 2 50" xfId="755" xr:uid="{00000000-0005-0000-0000-0000EF020000}"/>
    <cellStyle name="Normal 2 51" xfId="756" xr:uid="{00000000-0005-0000-0000-0000F0020000}"/>
    <cellStyle name="Normal 2 52" xfId="757" xr:uid="{00000000-0005-0000-0000-0000F1020000}"/>
    <cellStyle name="Normal 2 53" xfId="758" xr:uid="{00000000-0005-0000-0000-0000F2020000}"/>
    <cellStyle name="Normal 2 54" xfId="759" xr:uid="{00000000-0005-0000-0000-0000F3020000}"/>
    <cellStyle name="Normal 2 55" xfId="760" xr:uid="{00000000-0005-0000-0000-0000F4020000}"/>
    <cellStyle name="Normal 2 56" xfId="761" xr:uid="{00000000-0005-0000-0000-0000F5020000}"/>
    <cellStyle name="Normal 2 57" xfId="762" xr:uid="{00000000-0005-0000-0000-0000F6020000}"/>
    <cellStyle name="Normal 2 58" xfId="763" xr:uid="{00000000-0005-0000-0000-0000F7020000}"/>
    <cellStyle name="Normal 2 59" xfId="764" xr:uid="{00000000-0005-0000-0000-0000F8020000}"/>
    <cellStyle name="Normal 2 6" xfId="202" xr:uid="{00000000-0005-0000-0000-0000F9020000}"/>
    <cellStyle name="Normal 2 6 2" xfId="984" xr:uid="{00000000-0005-0000-0000-0000CD1B0000}"/>
    <cellStyle name="Normal 2 6 3" xfId="7988" xr:uid="{00000000-0005-0000-0000-0000CE1B0000}"/>
    <cellStyle name="Normal 2 6 4" xfId="7989" xr:uid="{00000000-0005-0000-0000-0000CF1B0000}"/>
    <cellStyle name="Normal 2 6 5" xfId="7990" xr:uid="{00000000-0005-0000-0000-0000D01B0000}"/>
    <cellStyle name="Normal 2 6 6" xfId="7991" xr:uid="{00000000-0005-0000-0000-0000D11B0000}"/>
    <cellStyle name="Normal 2 6 7" xfId="7992" xr:uid="{00000000-0005-0000-0000-0000D21B0000}"/>
    <cellStyle name="Normal 2 6 8" xfId="7993" xr:uid="{00000000-0005-0000-0000-0000D31B0000}"/>
    <cellStyle name="Normal 2 60" xfId="765" xr:uid="{00000000-0005-0000-0000-0000FA020000}"/>
    <cellStyle name="Normal 2 61" xfId="766" xr:uid="{00000000-0005-0000-0000-0000FB020000}"/>
    <cellStyle name="Normal 2 62" xfId="767" xr:uid="{00000000-0005-0000-0000-0000FC020000}"/>
    <cellStyle name="Normal 2 63" xfId="768" xr:uid="{00000000-0005-0000-0000-0000FD020000}"/>
    <cellStyle name="Normal 2 64" xfId="769" xr:uid="{00000000-0005-0000-0000-0000FE020000}"/>
    <cellStyle name="Normal 2 65" xfId="770" xr:uid="{00000000-0005-0000-0000-0000FF020000}"/>
    <cellStyle name="Normal 2 66" xfId="771" xr:uid="{00000000-0005-0000-0000-000000030000}"/>
    <cellStyle name="Normal 2 67" xfId="772" xr:uid="{00000000-0005-0000-0000-000001030000}"/>
    <cellStyle name="Normal 2 68" xfId="773" xr:uid="{00000000-0005-0000-0000-000002030000}"/>
    <cellStyle name="Normal 2 69" xfId="774" xr:uid="{00000000-0005-0000-0000-000003030000}"/>
    <cellStyle name="Normal 2 7" xfId="181" xr:uid="{00000000-0005-0000-0000-000004030000}"/>
    <cellStyle name="Normal 2 7 2" xfId="7994" xr:uid="{00000000-0005-0000-0000-0000D51B0000}"/>
    <cellStyle name="Normal 2 7 3" xfId="7995" xr:uid="{00000000-0005-0000-0000-0000D61B0000}"/>
    <cellStyle name="Normal 2 7 4" xfId="7996" xr:uid="{00000000-0005-0000-0000-0000D71B0000}"/>
    <cellStyle name="Normal 2 7 5" xfId="7997" xr:uid="{00000000-0005-0000-0000-0000D81B0000}"/>
    <cellStyle name="Normal 2 7 6" xfId="7998" xr:uid="{00000000-0005-0000-0000-0000D91B0000}"/>
    <cellStyle name="Normal 2 7 7" xfId="7999" xr:uid="{00000000-0005-0000-0000-0000DA1B0000}"/>
    <cellStyle name="Normal 2 7 8" xfId="8000" xr:uid="{00000000-0005-0000-0000-0000DB1B0000}"/>
    <cellStyle name="Normal 2 70" xfId="775" xr:uid="{00000000-0005-0000-0000-000005030000}"/>
    <cellStyle name="Normal 2 71" xfId="776" xr:uid="{00000000-0005-0000-0000-000006030000}"/>
    <cellStyle name="Normal 2 72" xfId="777" xr:uid="{00000000-0005-0000-0000-000007030000}"/>
    <cellStyle name="Normal 2 73" xfId="778" xr:uid="{00000000-0005-0000-0000-000008030000}"/>
    <cellStyle name="Normal 2 74" xfId="779" xr:uid="{00000000-0005-0000-0000-000009030000}"/>
    <cellStyle name="Normal 2 75" xfId="780" xr:uid="{00000000-0005-0000-0000-00000A030000}"/>
    <cellStyle name="Normal 2 76" xfId="781" xr:uid="{00000000-0005-0000-0000-00000B030000}"/>
    <cellStyle name="Normal 2 77" xfId="782" xr:uid="{00000000-0005-0000-0000-00000C030000}"/>
    <cellStyle name="Normal 2 78" xfId="783" xr:uid="{00000000-0005-0000-0000-00000D030000}"/>
    <cellStyle name="Normal 2 79" xfId="784" xr:uid="{00000000-0005-0000-0000-00000E030000}"/>
    <cellStyle name="Normal 2 8" xfId="182" xr:uid="{00000000-0005-0000-0000-00000F030000}"/>
    <cellStyle name="Normal 2 8 2" xfId="8001" xr:uid="{00000000-0005-0000-0000-0000DD1B0000}"/>
    <cellStyle name="Normal 2 8 3" xfId="8002" xr:uid="{00000000-0005-0000-0000-0000DE1B0000}"/>
    <cellStyle name="Normal 2 8 4" xfId="8003" xr:uid="{00000000-0005-0000-0000-0000DF1B0000}"/>
    <cellStyle name="Normal 2 8 5" xfId="8004" xr:uid="{00000000-0005-0000-0000-0000E01B0000}"/>
    <cellStyle name="Normal 2 8 6" xfId="8005" xr:uid="{00000000-0005-0000-0000-0000E11B0000}"/>
    <cellStyle name="Normal 2 8 7" xfId="8006" xr:uid="{00000000-0005-0000-0000-0000E21B0000}"/>
    <cellStyle name="Normal 2 8 8" xfId="8007" xr:uid="{00000000-0005-0000-0000-0000E31B0000}"/>
    <cellStyle name="Normal 2 80" xfId="785" xr:uid="{00000000-0005-0000-0000-000010030000}"/>
    <cellStyle name="Normal 2 81" xfId="786" xr:uid="{00000000-0005-0000-0000-000011030000}"/>
    <cellStyle name="Normal 2 82" xfId="787" xr:uid="{00000000-0005-0000-0000-000012030000}"/>
    <cellStyle name="Normal 2 83" xfId="788" xr:uid="{00000000-0005-0000-0000-000013030000}"/>
    <cellStyle name="Normal 2 84" xfId="789" xr:uid="{00000000-0005-0000-0000-000014030000}"/>
    <cellStyle name="Normal 2 85" xfId="790" xr:uid="{00000000-0005-0000-0000-000015030000}"/>
    <cellStyle name="Normal 2 86" xfId="791" xr:uid="{00000000-0005-0000-0000-000016030000}"/>
    <cellStyle name="Normal 2 87" xfId="792" xr:uid="{00000000-0005-0000-0000-000017030000}"/>
    <cellStyle name="Normal 2 88" xfId="793" xr:uid="{00000000-0005-0000-0000-000018030000}"/>
    <cellStyle name="Normal 2 89" xfId="794" xr:uid="{00000000-0005-0000-0000-000019030000}"/>
    <cellStyle name="Normal 2 9" xfId="183" xr:uid="{00000000-0005-0000-0000-00001A030000}"/>
    <cellStyle name="Normal 2 9 2" xfId="8008" xr:uid="{00000000-0005-0000-0000-0000E51B0000}"/>
    <cellStyle name="Normal 2 9 3" xfId="8009" xr:uid="{00000000-0005-0000-0000-0000E61B0000}"/>
    <cellStyle name="Normal 2 9 4" xfId="8010" xr:uid="{00000000-0005-0000-0000-0000E71B0000}"/>
    <cellStyle name="Normal 2 9 5" xfId="8011" xr:uid="{00000000-0005-0000-0000-0000E81B0000}"/>
    <cellStyle name="Normal 2 9 6" xfId="8012" xr:uid="{00000000-0005-0000-0000-0000E91B0000}"/>
    <cellStyle name="Normal 2 9 7" xfId="8013" xr:uid="{00000000-0005-0000-0000-0000EA1B0000}"/>
    <cellStyle name="Normal 2 9 8" xfId="8014" xr:uid="{00000000-0005-0000-0000-0000EB1B0000}"/>
    <cellStyle name="Normal 2 90" xfId="795" xr:uid="{00000000-0005-0000-0000-00001B030000}"/>
    <cellStyle name="Normal 2 91" xfId="796" xr:uid="{00000000-0005-0000-0000-00001C030000}"/>
    <cellStyle name="Normal 2 92" xfId="797" xr:uid="{00000000-0005-0000-0000-00001D030000}"/>
    <cellStyle name="Normal 2 93" xfId="798" xr:uid="{00000000-0005-0000-0000-00001E030000}"/>
    <cellStyle name="Normal 2 94" xfId="799" xr:uid="{00000000-0005-0000-0000-00001F030000}"/>
    <cellStyle name="Normal 2 95" xfId="800" xr:uid="{00000000-0005-0000-0000-000020030000}"/>
    <cellStyle name="Normal 2 96" xfId="801" xr:uid="{00000000-0005-0000-0000-000021030000}"/>
    <cellStyle name="Normal 2 97" xfId="802" xr:uid="{00000000-0005-0000-0000-000022030000}"/>
    <cellStyle name="Normal 2 98" xfId="803" xr:uid="{00000000-0005-0000-0000-000023030000}"/>
    <cellStyle name="Normal 2 99" xfId="804" xr:uid="{00000000-0005-0000-0000-000024030000}"/>
    <cellStyle name="Normal 2_FIRE ALARM AND PA  ESTIMATE" xfId="37243" xr:uid="{00000000-0005-0000-0000-0000EC1B0000}"/>
    <cellStyle name="Normal 20" xfId="805" xr:uid="{00000000-0005-0000-0000-000025030000}"/>
    <cellStyle name="Normal 20 10" xfId="8015" xr:uid="{00000000-0005-0000-0000-0000ED1B0000}"/>
    <cellStyle name="Normal 20 2" xfId="8016" xr:uid="{00000000-0005-0000-0000-0000EE1B0000}"/>
    <cellStyle name="Normal 20 2 2" xfId="8017" xr:uid="{00000000-0005-0000-0000-0000EF1B0000}"/>
    <cellStyle name="Normal 20 2 2 2" xfId="8018" xr:uid="{00000000-0005-0000-0000-0000F01B0000}"/>
    <cellStyle name="Normal 20 2 2 2 2" xfId="8019" xr:uid="{00000000-0005-0000-0000-0000F11B0000}"/>
    <cellStyle name="Normal 20 2 2 2 3" xfId="8020" xr:uid="{00000000-0005-0000-0000-0000F21B0000}"/>
    <cellStyle name="Normal 20 2 2 2 4" xfId="8021" xr:uid="{00000000-0005-0000-0000-0000F31B0000}"/>
    <cellStyle name="Normal 20 2 2 3" xfId="8022" xr:uid="{00000000-0005-0000-0000-0000F41B0000}"/>
    <cellStyle name="Normal 20 2 2 4" xfId="8023" xr:uid="{00000000-0005-0000-0000-0000F51B0000}"/>
    <cellStyle name="Normal 20 2 2 5" xfId="8024" xr:uid="{00000000-0005-0000-0000-0000F61B0000}"/>
    <cellStyle name="Normal 20 2 2_CORRECTED COPY OF rA 5" xfId="8025" xr:uid="{00000000-0005-0000-0000-0000F71B0000}"/>
    <cellStyle name="Normal 20 2 3" xfId="8026" xr:uid="{00000000-0005-0000-0000-0000F81B0000}"/>
    <cellStyle name="Normal 20 2 3 2" xfId="8027" xr:uid="{00000000-0005-0000-0000-0000F91B0000}"/>
    <cellStyle name="Normal 20 2 3 3" xfId="8028" xr:uid="{00000000-0005-0000-0000-0000FA1B0000}"/>
    <cellStyle name="Normal 20 2 3 4" xfId="8029" xr:uid="{00000000-0005-0000-0000-0000FB1B0000}"/>
    <cellStyle name="Normal 20 2 4" xfId="8030" xr:uid="{00000000-0005-0000-0000-0000FC1B0000}"/>
    <cellStyle name="Normal 20 2 5" xfId="8031" xr:uid="{00000000-0005-0000-0000-0000FD1B0000}"/>
    <cellStyle name="Normal 20 2 6" xfId="8032" xr:uid="{00000000-0005-0000-0000-0000FE1B0000}"/>
    <cellStyle name="Normal 20 2_CORRECTED COPY OF rA 5" xfId="8033" xr:uid="{00000000-0005-0000-0000-0000FF1B0000}"/>
    <cellStyle name="Normal 20 3" xfId="8034" xr:uid="{00000000-0005-0000-0000-0000001C0000}"/>
    <cellStyle name="Normal 20 3 2" xfId="8035" xr:uid="{00000000-0005-0000-0000-0000011C0000}"/>
    <cellStyle name="Normal 20 3 3" xfId="8036" xr:uid="{00000000-0005-0000-0000-0000021C0000}"/>
    <cellStyle name="Normal 20 3 4" xfId="8037" xr:uid="{00000000-0005-0000-0000-0000031C0000}"/>
    <cellStyle name="Normal 20 4" xfId="8038" xr:uid="{00000000-0005-0000-0000-0000041C0000}"/>
    <cellStyle name="Normal 20 4 2" xfId="8039" xr:uid="{00000000-0005-0000-0000-0000051C0000}"/>
    <cellStyle name="Normal 20 4 2 2" xfId="8040" xr:uid="{00000000-0005-0000-0000-0000061C0000}"/>
    <cellStyle name="Normal 20 4 2 3" xfId="8041" xr:uid="{00000000-0005-0000-0000-0000071C0000}"/>
    <cellStyle name="Normal 20 4 3" xfId="8042" xr:uid="{00000000-0005-0000-0000-0000081C0000}"/>
    <cellStyle name="Normal 20 4 3 2" xfId="8043" xr:uid="{00000000-0005-0000-0000-0000091C0000}"/>
    <cellStyle name="Normal 20 4 3 3" xfId="8044" xr:uid="{00000000-0005-0000-0000-00000A1C0000}"/>
    <cellStyle name="Normal 20 4 4" xfId="8045" xr:uid="{00000000-0005-0000-0000-00000B1C0000}"/>
    <cellStyle name="Normal 20 4 4 2" xfId="8046" xr:uid="{00000000-0005-0000-0000-00000C1C0000}"/>
    <cellStyle name="Normal 20 4 4 3" xfId="8047" xr:uid="{00000000-0005-0000-0000-00000D1C0000}"/>
    <cellStyle name="Normal 20 4 5" xfId="8048" xr:uid="{00000000-0005-0000-0000-00000E1C0000}"/>
    <cellStyle name="Normal 20 4 6" xfId="8049" xr:uid="{00000000-0005-0000-0000-00000F1C0000}"/>
    <cellStyle name="Normal 20 5" xfId="8050" xr:uid="{00000000-0005-0000-0000-0000101C0000}"/>
    <cellStyle name="Normal 20 5 2" xfId="8051" xr:uid="{00000000-0005-0000-0000-0000111C0000}"/>
    <cellStyle name="Normal 20 5 2 2" xfId="8052" xr:uid="{00000000-0005-0000-0000-0000121C0000}"/>
    <cellStyle name="Normal 20 5 2 3" xfId="8053" xr:uid="{00000000-0005-0000-0000-0000131C0000}"/>
    <cellStyle name="Normal 20 5 3" xfId="8054" xr:uid="{00000000-0005-0000-0000-0000141C0000}"/>
    <cellStyle name="Normal 20 5 3 2" xfId="8055" xr:uid="{00000000-0005-0000-0000-0000151C0000}"/>
    <cellStyle name="Normal 20 5 3 3" xfId="8056" xr:uid="{00000000-0005-0000-0000-0000161C0000}"/>
    <cellStyle name="Normal 20 5 4" xfId="8057" xr:uid="{00000000-0005-0000-0000-0000171C0000}"/>
    <cellStyle name="Normal 20 5 4 2" xfId="8058" xr:uid="{00000000-0005-0000-0000-0000181C0000}"/>
    <cellStyle name="Normal 20 5 4 3" xfId="8059" xr:uid="{00000000-0005-0000-0000-0000191C0000}"/>
    <cellStyle name="Normal 20 5 5" xfId="8060" xr:uid="{00000000-0005-0000-0000-00001A1C0000}"/>
    <cellStyle name="Normal 20 5 6" xfId="8061" xr:uid="{00000000-0005-0000-0000-00001B1C0000}"/>
    <cellStyle name="Normal 20 6" xfId="8062" xr:uid="{00000000-0005-0000-0000-00001C1C0000}"/>
    <cellStyle name="Normal 20 6 2" xfId="8063" xr:uid="{00000000-0005-0000-0000-00001D1C0000}"/>
    <cellStyle name="Normal 20 6 2 2" xfId="8064" xr:uid="{00000000-0005-0000-0000-00001E1C0000}"/>
    <cellStyle name="Normal 20 6 2 3" xfId="8065" xr:uid="{00000000-0005-0000-0000-00001F1C0000}"/>
    <cellStyle name="Normal 20 6 3" xfId="8066" xr:uid="{00000000-0005-0000-0000-0000201C0000}"/>
    <cellStyle name="Normal 20 6 3 2" xfId="8067" xr:uid="{00000000-0005-0000-0000-0000211C0000}"/>
    <cellStyle name="Normal 20 6 3 3" xfId="8068" xr:uid="{00000000-0005-0000-0000-0000221C0000}"/>
    <cellStyle name="Normal 20 6 4" xfId="8069" xr:uid="{00000000-0005-0000-0000-0000231C0000}"/>
    <cellStyle name="Normal 20 6 4 2" xfId="8070" xr:uid="{00000000-0005-0000-0000-0000241C0000}"/>
    <cellStyle name="Normal 20 6 4 3" xfId="8071" xr:uid="{00000000-0005-0000-0000-0000251C0000}"/>
    <cellStyle name="Normal 20 6 5" xfId="8072" xr:uid="{00000000-0005-0000-0000-0000261C0000}"/>
    <cellStyle name="Normal 20 6 6" xfId="8073" xr:uid="{00000000-0005-0000-0000-0000271C0000}"/>
    <cellStyle name="Normal 20 7" xfId="8074" xr:uid="{00000000-0005-0000-0000-0000281C0000}"/>
    <cellStyle name="Normal 20 8" xfId="8075" xr:uid="{00000000-0005-0000-0000-0000291C0000}"/>
    <cellStyle name="Normal 20 9" xfId="8076" xr:uid="{00000000-0005-0000-0000-00002A1C0000}"/>
    <cellStyle name="Normal 20_CORRECTED COPY OF rA 5" xfId="8077" xr:uid="{00000000-0005-0000-0000-00002B1C0000}"/>
    <cellStyle name="Normal 21" xfId="806" xr:uid="{00000000-0005-0000-0000-000026030000}"/>
    <cellStyle name="Normal 21 2" xfId="8079" xr:uid="{00000000-0005-0000-0000-00002D1C0000}"/>
    <cellStyle name="Normal 21 2 2" xfId="8080" xr:uid="{00000000-0005-0000-0000-00002E1C0000}"/>
    <cellStyle name="Normal 21 2 2 2" xfId="8081" xr:uid="{00000000-0005-0000-0000-00002F1C0000}"/>
    <cellStyle name="Normal 21 2 2 2 2" xfId="8082" xr:uid="{00000000-0005-0000-0000-0000301C0000}"/>
    <cellStyle name="Normal 21 2 2 2 3" xfId="8083" xr:uid="{00000000-0005-0000-0000-0000311C0000}"/>
    <cellStyle name="Normal 21 2 2 2 4" xfId="8084" xr:uid="{00000000-0005-0000-0000-0000321C0000}"/>
    <cellStyle name="Normal 21 2 2 3" xfId="8085" xr:uid="{00000000-0005-0000-0000-0000331C0000}"/>
    <cellStyle name="Normal 21 2 2 4" xfId="8086" xr:uid="{00000000-0005-0000-0000-0000341C0000}"/>
    <cellStyle name="Normal 21 2 2 5" xfId="8087" xr:uid="{00000000-0005-0000-0000-0000351C0000}"/>
    <cellStyle name="Normal 21 2 2_CORRECTED COPY OF rA 5" xfId="8088" xr:uid="{00000000-0005-0000-0000-0000361C0000}"/>
    <cellStyle name="Normal 21 2 3" xfId="8089" xr:uid="{00000000-0005-0000-0000-0000371C0000}"/>
    <cellStyle name="Normal 21 2 4" xfId="8090" xr:uid="{00000000-0005-0000-0000-0000381C0000}"/>
    <cellStyle name="Normal 21 2 5" xfId="8091" xr:uid="{00000000-0005-0000-0000-0000391C0000}"/>
    <cellStyle name="Normal 21 2_CORRECTED COPY OF rA 5" xfId="8092" xr:uid="{00000000-0005-0000-0000-00003A1C0000}"/>
    <cellStyle name="Normal 21 3" xfId="8093" xr:uid="{00000000-0005-0000-0000-00003B1C0000}"/>
    <cellStyle name="Normal 21 3 2" xfId="8094" xr:uid="{00000000-0005-0000-0000-00003C1C0000}"/>
    <cellStyle name="Normal 21 3 2 2" xfId="8095" xr:uid="{00000000-0005-0000-0000-00003D1C0000}"/>
    <cellStyle name="Normal 21 3 2 3" xfId="8096" xr:uid="{00000000-0005-0000-0000-00003E1C0000}"/>
    <cellStyle name="Normal 21 3 2 4" xfId="8097" xr:uid="{00000000-0005-0000-0000-00003F1C0000}"/>
    <cellStyle name="Normal 21 3 3" xfId="8098" xr:uid="{00000000-0005-0000-0000-0000401C0000}"/>
    <cellStyle name="Normal 21 3 4" xfId="8099" xr:uid="{00000000-0005-0000-0000-0000411C0000}"/>
    <cellStyle name="Normal 21 3 5" xfId="8100" xr:uid="{00000000-0005-0000-0000-0000421C0000}"/>
    <cellStyle name="Normal 21 3_CORRECTED COPY OF rA 5" xfId="8101" xr:uid="{00000000-0005-0000-0000-0000431C0000}"/>
    <cellStyle name="Normal 21 4" xfId="8102" xr:uid="{00000000-0005-0000-0000-0000441C0000}"/>
    <cellStyle name="Normal 21 5" xfId="8103" xr:uid="{00000000-0005-0000-0000-0000451C0000}"/>
    <cellStyle name="Normal 21 6" xfId="8104" xr:uid="{00000000-0005-0000-0000-0000461C0000}"/>
    <cellStyle name="Normal 21 7" xfId="8078" xr:uid="{00000000-0005-0000-0000-00002C1C0000}"/>
    <cellStyle name="Normal 21_CORRECTED COPY OF rA 5" xfId="8105" xr:uid="{00000000-0005-0000-0000-0000471C0000}"/>
    <cellStyle name="Normal 22" xfId="218" xr:uid="{00000000-0005-0000-0000-000027030000}"/>
    <cellStyle name="Normal 22 2" xfId="807" xr:uid="{00000000-0005-0000-0000-000028030000}"/>
    <cellStyle name="Normal 22 2 2" xfId="8107" xr:uid="{00000000-0005-0000-0000-0000491C0000}"/>
    <cellStyle name="Normal 22 3" xfId="8108" xr:uid="{00000000-0005-0000-0000-00004A1C0000}"/>
    <cellStyle name="Normal 22 3 2" xfId="8109" xr:uid="{00000000-0005-0000-0000-00004B1C0000}"/>
    <cellStyle name="Normal 22 3 3" xfId="8110" xr:uid="{00000000-0005-0000-0000-00004C1C0000}"/>
    <cellStyle name="Normal 22 3 4" xfId="8111" xr:uid="{00000000-0005-0000-0000-00004D1C0000}"/>
    <cellStyle name="Normal 22 3 5" xfId="8112" xr:uid="{00000000-0005-0000-0000-00004E1C0000}"/>
    <cellStyle name="Normal 22 3 6" xfId="8113" xr:uid="{00000000-0005-0000-0000-00004F1C0000}"/>
    <cellStyle name="Normal 22 3 7" xfId="8114" xr:uid="{00000000-0005-0000-0000-0000501C0000}"/>
    <cellStyle name="Normal 22 3 8" xfId="8115" xr:uid="{00000000-0005-0000-0000-0000511C0000}"/>
    <cellStyle name="Normal 22 4" xfId="8116" xr:uid="{00000000-0005-0000-0000-0000521C0000}"/>
    <cellStyle name="Normal 22 5" xfId="8117" xr:uid="{00000000-0005-0000-0000-0000531C0000}"/>
    <cellStyle name="Normal 22 6" xfId="8118" xr:uid="{00000000-0005-0000-0000-0000541C0000}"/>
    <cellStyle name="Normal 22 7" xfId="8106" xr:uid="{00000000-0005-0000-0000-0000481C0000}"/>
    <cellStyle name="Normal 22_CORRECTED COPY OF rA 5" xfId="8119" xr:uid="{00000000-0005-0000-0000-0000551C0000}"/>
    <cellStyle name="Normal 23" xfId="808" xr:uid="{00000000-0005-0000-0000-000029030000}"/>
    <cellStyle name="Normal 23 2" xfId="8121" xr:uid="{00000000-0005-0000-0000-0000571C0000}"/>
    <cellStyle name="Normal 23 2 2" xfId="8122" xr:uid="{00000000-0005-0000-0000-0000581C0000}"/>
    <cellStyle name="Normal 23 2 3" xfId="8123" xr:uid="{00000000-0005-0000-0000-0000591C0000}"/>
    <cellStyle name="Normal 23 2 4" xfId="8124" xr:uid="{00000000-0005-0000-0000-00005A1C0000}"/>
    <cellStyle name="Normal 23 2 5" xfId="8125" xr:uid="{00000000-0005-0000-0000-00005B1C0000}"/>
    <cellStyle name="Normal 23 2 6" xfId="8126" xr:uid="{00000000-0005-0000-0000-00005C1C0000}"/>
    <cellStyle name="Normal 23 2 7" xfId="8127" xr:uid="{00000000-0005-0000-0000-00005D1C0000}"/>
    <cellStyle name="Normal 23 2 8" xfId="8128" xr:uid="{00000000-0005-0000-0000-00005E1C0000}"/>
    <cellStyle name="Normal 23 3" xfId="8129" xr:uid="{00000000-0005-0000-0000-00005F1C0000}"/>
    <cellStyle name="Normal 23 4" xfId="8130" xr:uid="{00000000-0005-0000-0000-0000601C0000}"/>
    <cellStyle name="Normal 23 5" xfId="8131" xr:uid="{00000000-0005-0000-0000-0000611C0000}"/>
    <cellStyle name="Normal 23 6" xfId="8120" xr:uid="{00000000-0005-0000-0000-0000561C0000}"/>
    <cellStyle name="Normal 23_CORRECTED COPY OF rA 5" xfId="8132" xr:uid="{00000000-0005-0000-0000-0000621C0000}"/>
    <cellStyle name="Normal 24" xfId="809" xr:uid="{00000000-0005-0000-0000-00002A030000}"/>
    <cellStyle name="Normal 24 2" xfId="8134" xr:uid="{00000000-0005-0000-0000-0000641C0000}"/>
    <cellStyle name="Normal 24 2 2" xfId="8135" xr:uid="{00000000-0005-0000-0000-0000651C0000}"/>
    <cellStyle name="Normal 24 2 3" xfId="8136" xr:uid="{00000000-0005-0000-0000-0000661C0000}"/>
    <cellStyle name="Normal 24 2 4" xfId="8137" xr:uid="{00000000-0005-0000-0000-0000671C0000}"/>
    <cellStyle name="Normal 24 2 5" xfId="8138" xr:uid="{00000000-0005-0000-0000-0000681C0000}"/>
    <cellStyle name="Normal 24 2 6" xfId="8139" xr:uid="{00000000-0005-0000-0000-0000691C0000}"/>
    <cellStyle name="Normal 24 2 7" xfId="8140" xr:uid="{00000000-0005-0000-0000-00006A1C0000}"/>
    <cellStyle name="Normal 24 2 8" xfId="8141" xr:uid="{00000000-0005-0000-0000-00006B1C0000}"/>
    <cellStyle name="Normal 24 3" xfId="8142" xr:uid="{00000000-0005-0000-0000-00006C1C0000}"/>
    <cellStyle name="Normal 24 4" xfId="8143" xr:uid="{00000000-0005-0000-0000-00006D1C0000}"/>
    <cellStyle name="Normal 24 5" xfId="8144" xr:uid="{00000000-0005-0000-0000-00006E1C0000}"/>
    <cellStyle name="Normal 24 6" xfId="8133" xr:uid="{00000000-0005-0000-0000-0000631C0000}"/>
    <cellStyle name="Normal 24_CORRECTED COPY OF rA 5" xfId="8145" xr:uid="{00000000-0005-0000-0000-00006F1C0000}"/>
    <cellStyle name="Normal 25" xfId="171" xr:uid="{00000000-0005-0000-0000-00002B030000}"/>
    <cellStyle name="Normal 25 2" xfId="816" xr:uid="{00000000-0005-0000-0000-00002C030000}"/>
    <cellStyle name="Normal 25 2 2" xfId="8146" xr:uid="{00000000-0005-0000-0000-0000721C0000}"/>
    <cellStyle name="Normal 25 2 3" xfId="8147" xr:uid="{00000000-0005-0000-0000-0000731C0000}"/>
    <cellStyle name="Normal 25 2 4" xfId="8148" xr:uid="{00000000-0005-0000-0000-0000741C0000}"/>
    <cellStyle name="Normal 25 2 5" xfId="8149" xr:uid="{00000000-0005-0000-0000-0000751C0000}"/>
    <cellStyle name="Normal 25 2 6" xfId="8150" xr:uid="{00000000-0005-0000-0000-0000761C0000}"/>
    <cellStyle name="Normal 25 2 7" xfId="8151" xr:uid="{00000000-0005-0000-0000-0000771C0000}"/>
    <cellStyle name="Normal 25 2 8" xfId="8152" xr:uid="{00000000-0005-0000-0000-0000781C0000}"/>
    <cellStyle name="Normal 25 3" xfId="877" xr:uid="{00000000-0005-0000-0000-00002D030000}"/>
    <cellStyle name="Normal 25 4" xfId="882" xr:uid="{00000000-0005-0000-0000-00002E030000}"/>
    <cellStyle name="Normal 25 5" xfId="890" xr:uid="{00000000-0005-0000-0000-00002F030000}"/>
    <cellStyle name="Normal 25 6" xfId="894" xr:uid="{00000000-0005-0000-0000-000030030000}"/>
    <cellStyle name="Normal 25 7" xfId="8153" xr:uid="{00000000-0005-0000-0000-00007D1C0000}"/>
    <cellStyle name="Normal 25 8" xfId="8154" xr:uid="{00000000-0005-0000-0000-00007E1C0000}"/>
    <cellStyle name="Normal 25 9" xfId="8155" xr:uid="{00000000-0005-0000-0000-00007F1C0000}"/>
    <cellStyle name="Normal 26" xfId="935" xr:uid="{00000000-0005-0000-0000-000031030000}"/>
    <cellStyle name="Normal 26 2" xfId="8156" xr:uid="{00000000-0005-0000-0000-0000811C0000}"/>
    <cellStyle name="Normal 26 2 2" xfId="8157" xr:uid="{00000000-0005-0000-0000-0000821C0000}"/>
    <cellStyle name="Normal 26 2 2 2" xfId="8158" xr:uid="{00000000-0005-0000-0000-0000831C0000}"/>
    <cellStyle name="Normal 26 2 2 3" xfId="8159" xr:uid="{00000000-0005-0000-0000-0000841C0000}"/>
    <cellStyle name="Normal 26 2 2 4" xfId="8160" xr:uid="{00000000-0005-0000-0000-0000851C0000}"/>
    <cellStyle name="Normal 26 2 3" xfId="8161" xr:uid="{00000000-0005-0000-0000-0000861C0000}"/>
    <cellStyle name="Normal 26 2 4" xfId="8162" xr:uid="{00000000-0005-0000-0000-0000871C0000}"/>
    <cellStyle name="Normal 26 2 5" xfId="8163" xr:uid="{00000000-0005-0000-0000-0000881C0000}"/>
    <cellStyle name="Normal 26 2_CORRECTED COPY OF rA 5" xfId="8164" xr:uid="{00000000-0005-0000-0000-0000891C0000}"/>
    <cellStyle name="Normal 26 3" xfId="8165" xr:uid="{00000000-0005-0000-0000-00008A1C0000}"/>
    <cellStyle name="Normal 26 4" xfId="8166" xr:uid="{00000000-0005-0000-0000-00008B1C0000}"/>
    <cellStyle name="Normal 26 5" xfId="8167" xr:uid="{00000000-0005-0000-0000-00008C1C0000}"/>
    <cellStyle name="Normal 26_CORRECTED COPY OF rA 5" xfId="8168" xr:uid="{00000000-0005-0000-0000-00008D1C0000}"/>
    <cellStyle name="Normal 27" xfId="52" xr:uid="{00000000-0005-0000-0000-000026000000}"/>
    <cellStyle name="Normal 27 2" xfId="8170" xr:uid="{00000000-0005-0000-0000-00008F1C0000}"/>
    <cellStyle name="Normal 27 3" xfId="8171" xr:uid="{00000000-0005-0000-0000-0000901C0000}"/>
    <cellStyle name="Normal 27 4" xfId="8172" xr:uid="{00000000-0005-0000-0000-0000911C0000}"/>
    <cellStyle name="Normal 27 5" xfId="8169" xr:uid="{00000000-0005-0000-0000-00008E1C0000}"/>
    <cellStyle name="Normal 28" xfId="54" xr:uid="{00000000-0005-0000-0000-000027000000}"/>
    <cellStyle name="Normal 28 2" xfId="8174" xr:uid="{00000000-0005-0000-0000-0000931C0000}"/>
    <cellStyle name="Normal 28 3" xfId="8175" xr:uid="{00000000-0005-0000-0000-0000941C0000}"/>
    <cellStyle name="Normal 28 4" xfId="8176" xr:uid="{00000000-0005-0000-0000-0000951C0000}"/>
    <cellStyle name="Normal 28 5" xfId="8173" xr:uid="{00000000-0005-0000-0000-0000921C0000}"/>
    <cellStyle name="Normal 29" xfId="945" xr:uid="{00000000-0005-0000-0000-000034030000}"/>
    <cellStyle name="Normal 29 2" xfId="8178" xr:uid="{00000000-0005-0000-0000-0000971C0000}"/>
    <cellStyle name="Normal 29 2 2" xfId="8179" xr:uid="{00000000-0005-0000-0000-0000981C0000}"/>
    <cellStyle name="Normal 29 2 3" xfId="8180" xr:uid="{00000000-0005-0000-0000-0000991C0000}"/>
    <cellStyle name="Normal 29 2 4" xfId="8181" xr:uid="{00000000-0005-0000-0000-00009A1C0000}"/>
    <cellStyle name="Normal 29 2 5" xfId="8182" xr:uid="{00000000-0005-0000-0000-00009B1C0000}"/>
    <cellStyle name="Normal 29 2 6" xfId="8183" xr:uid="{00000000-0005-0000-0000-00009C1C0000}"/>
    <cellStyle name="Normal 29 2 7" xfId="8184" xr:uid="{00000000-0005-0000-0000-00009D1C0000}"/>
    <cellStyle name="Normal 29 2 8" xfId="8185" xr:uid="{00000000-0005-0000-0000-00009E1C0000}"/>
    <cellStyle name="Normal 29 3" xfId="8186" xr:uid="{00000000-0005-0000-0000-00009F1C0000}"/>
    <cellStyle name="Normal 29 4" xfId="8187" xr:uid="{00000000-0005-0000-0000-0000A01C0000}"/>
    <cellStyle name="Normal 29 5" xfId="8188" xr:uid="{00000000-0005-0000-0000-0000A11C0000}"/>
    <cellStyle name="Normal 29 6" xfId="8177" xr:uid="{00000000-0005-0000-0000-0000961C0000}"/>
    <cellStyle name="Normal 29_CORRECTED COPY OF rA 5" xfId="8189" xr:uid="{00000000-0005-0000-0000-0000A21C0000}"/>
    <cellStyle name="Normal 3" xfId="39" xr:uid="{00000000-0005-0000-0000-000028000000}"/>
    <cellStyle name="Normal 3 10" xfId="8190" xr:uid="{00000000-0005-0000-0000-0000A41C0000}"/>
    <cellStyle name="Normal 3 10 2" xfId="8191" xr:uid="{00000000-0005-0000-0000-0000A51C0000}"/>
    <cellStyle name="Normal 3 10 3" xfId="8192" xr:uid="{00000000-0005-0000-0000-0000A61C0000}"/>
    <cellStyle name="Normal 3 10 4" xfId="8193" xr:uid="{00000000-0005-0000-0000-0000A71C0000}"/>
    <cellStyle name="Normal 3 11" xfId="8194" xr:uid="{00000000-0005-0000-0000-0000A81C0000}"/>
    <cellStyle name="Normal 3 11 2" xfId="8195" xr:uid="{00000000-0005-0000-0000-0000A91C0000}"/>
    <cellStyle name="Normal 3 11 3" xfId="8196" xr:uid="{00000000-0005-0000-0000-0000AA1C0000}"/>
    <cellStyle name="Normal 3 11 4" xfId="8197" xr:uid="{00000000-0005-0000-0000-0000AB1C0000}"/>
    <cellStyle name="Normal 3 12" xfId="45" xr:uid="{00000000-0005-0000-0000-000029000000}"/>
    <cellStyle name="Normal 3 12 10" xfId="8199" xr:uid="{00000000-0005-0000-0000-0000AD1C0000}"/>
    <cellStyle name="Normal 3 12 10 2" xfId="8200" xr:uid="{00000000-0005-0000-0000-0000AE1C0000}"/>
    <cellStyle name="Normal 3 12 10 3" xfId="8201" xr:uid="{00000000-0005-0000-0000-0000AF1C0000}"/>
    <cellStyle name="Normal 3 12 10 4" xfId="8202" xr:uid="{00000000-0005-0000-0000-0000B01C0000}"/>
    <cellStyle name="Normal 3 12 10 5" xfId="8203" xr:uid="{00000000-0005-0000-0000-0000B11C0000}"/>
    <cellStyle name="Normal 3 12 11" xfId="8204" xr:uid="{00000000-0005-0000-0000-0000B21C0000}"/>
    <cellStyle name="Normal 3 12 11 2" xfId="8205" xr:uid="{00000000-0005-0000-0000-0000B31C0000}"/>
    <cellStyle name="Normal 3 12 11 3" xfId="8206" xr:uid="{00000000-0005-0000-0000-0000B41C0000}"/>
    <cellStyle name="Normal 3 12 11 4" xfId="8207" xr:uid="{00000000-0005-0000-0000-0000B51C0000}"/>
    <cellStyle name="Normal 3 12 11 5" xfId="8208" xr:uid="{00000000-0005-0000-0000-0000B61C0000}"/>
    <cellStyle name="Normal 3 12 12" xfId="55" xr:uid="{00000000-0005-0000-0000-00002A000000}"/>
    <cellStyle name="Normal 3 12 12 2" xfId="8210" xr:uid="{00000000-0005-0000-0000-0000B81C0000}"/>
    <cellStyle name="Normal 3 12 12 3" xfId="8211" xr:uid="{00000000-0005-0000-0000-0000B91C0000}"/>
    <cellStyle name="Normal 3 12 12 4" xfId="8212" xr:uid="{00000000-0005-0000-0000-0000BA1C0000}"/>
    <cellStyle name="Normal 3 12 12 5" xfId="8213" xr:uid="{00000000-0005-0000-0000-0000BB1C0000}"/>
    <cellStyle name="Normal 3 12 12 6" xfId="8209" xr:uid="{00000000-0005-0000-0000-0000B71C0000}"/>
    <cellStyle name="Normal 3 12 13" xfId="8214" xr:uid="{00000000-0005-0000-0000-0000BC1C0000}"/>
    <cellStyle name="Normal 3 12 14" xfId="8215" xr:uid="{00000000-0005-0000-0000-0000BD1C0000}"/>
    <cellStyle name="Normal 3 12 15" xfId="8216" xr:uid="{00000000-0005-0000-0000-0000BE1C0000}"/>
    <cellStyle name="Normal 3 12 16" xfId="8217" xr:uid="{00000000-0005-0000-0000-0000BF1C0000}"/>
    <cellStyle name="Normal 3 12 17" xfId="8198" xr:uid="{00000000-0005-0000-0000-0000AC1C0000}"/>
    <cellStyle name="Normal 3 12 2" xfId="8218" xr:uid="{00000000-0005-0000-0000-0000C01C0000}"/>
    <cellStyle name="Normal 3 12 2 10" xfId="8219" xr:uid="{00000000-0005-0000-0000-0000C11C0000}"/>
    <cellStyle name="Normal 3 12 2 2" xfId="8220" xr:uid="{00000000-0005-0000-0000-0000C21C0000}"/>
    <cellStyle name="Normal 3 12 2 2 10" xfId="8221" xr:uid="{00000000-0005-0000-0000-0000C31C0000}"/>
    <cellStyle name="Normal 3 12 2 2 2" xfId="8222" xr:uid="{00000000-0005-0000-0000-0000C41C0000}"/>
    <cellStyle name="Normal 3 12 2 2 2 2" xfId="8223" xr:uid="{00000000-0005-0000-0000-0000C51C0000}"/>
    <cellStyle name="Normal 3 12 2 2 2 3" xfId="8224" xr:uid="{00000000-0005-0000-0000-0000C61C0000}"/>
    <cellStyle name="Normal 3 12 2 2 2 4" xfId="8225" xr:uid="{00000000-0005-0000-0000-0000C71C0000}"/>
    <cellStyle name="Normal 3 12 2 2 2 5" xfId="8226" xr:uid="{00000000-0005-0000-0000-0000C81C0000}"/>
    <cellStyle name="Normal 3 12 2 2 3" xfId="8227" xr:uid="{00000000-0005-0000-0000-0000C91C0000}"/>
    <cellStyle name="Normal 3 12 2 2 3 2" xfId="8228" xr:uid="{00000000-0005-0000-0000-0000CA1C0000}"/>
    <cellStyle name="Normal 3 12 2 2 3 3" xfId="8229" xr:uid="{00000000-0005-0000-0000-0000CB1C0000}"/>
    <cellStyle name="Normal 3 12 2 2 3 4" xfId="8230" xr:uid="{00000000-0005-0000-0000-0000CC1C0000}"/>
    <cellStyle name="Normal 3 12 2 2 3 5" xfId="8231" xr:uid="{00000000-0005-0000-0000-0000CD1C0000}"/>
    <cellStyle name="Normal 3 12 2 2 4" xfId="8232" xr:uid="{00000000-0005-0000-0000-0000CE1C0000}"/>
    <cellStyle name="Normal 3 12 2 2 4 2" xfId="8233" xr:uid="{00000000-0005-0000-0000-0000CF1C0000}"/>
    <cellStyle name="Normal 3 12 2 2 4 3" xfId="8234" xr:uid="{00000000-0005-0000-0000-0000D01C0000}"/>
    <cellStyle name="Normal 3 12 2 2 4 4" xfId="8235" xr:uid="{00000000-0005-0000-0000-0000D11C0000}"/>
    <cellStyle name="Normal 3 12 2 2 4 5" xfId="8236" xr:uid="{00000000-0005-0000-0000-0000D21C0000}"/>
    <cellStyle name="Normal 3 12 2 2 5" xfId="8237" xr:uid="{00000000-0005-0000-0000-0000D31C0000}"/>
    <cellStyle name="Normal 3 12 2 2 5 2" xfId="8238" xr:uid="{00000000-0005-0000-0000-0000D41C0000}"/>
    <cellStyle name="Normal 3 12 2 2 5 3" xfId="8239" xr:uid="{00000000-0005-0000-0000-0000D51C0000}"/>
    <cellStyle name="Normal 3 12 2 2 5 4" xfId="8240" xr:uid="{00000000-0005-0000-0000-0000D61C0000}"/>
    <cellStyle name="Normal 3 12 2 2 5 5" xfId="8241" xr:uid="{00000000-0005-0000-0000-0000D71C0000}"/>
    <cellStyle name="Normal 3 12 2 2 6" xfId="8242" xr:uid="{00000000-0005-0000-0000-0000D81C0000}"/>
    <cellStyle name="Normal 3 12 2 2 6 2" xfId="8243" xr:uid="{00000000-0005-0000-0000-0000D91C0000}"/>
    <cellStyle name="Normal 3 12 2 2 6 3" xfId="8244" xr:uid="{00000000-0005-0000-0000-0000DA1C0000}"/>
    <cellStyle name="Normal 3 12 2 2 6 4" xfId="8245" xr:uid="{00000000-0005-0000-0000-0000DB1C0000}"/>
    <cellStyle name="Normal 3 12 2 2 6 5" xfId="8246" xr:uid="{00000000-0005-0000-0000-0000DC1C0000}"/>
    <cellStyle name="Normal 3 12 2 2 7" xfId="8247" xr:uid="{00000000-0005-0000-0000-0000DD1C0000}"/>
    <cellStyle name="Normal 3 12 2 2 8" xfId="8248" xr:uid="{00000000-0005-0000-0000-0000DE1C0000}"/>
    <cellStyle name="Normal 3 12 2 2 9" xfId="8249" xr:uid="{00000000-0005-0000-0000-0000DF1C0000}"/>
    <cellStyle name="Normal 3 12 2 3" xfId="8250" xr:uid="{00000000-0005-0000-0000-0000E01C0000}"/>
    <cellStyle name="Normal 3 12 2 3 2" xfId="8251" xr:uid="{00000000-0005-0000-0000-0000E11C0000}"/>
    <cellStyle name="Normal 3 12 2 3 3" xfId="8252" xr:uid="{00000000-0005-0000-0000-0000E21C0000}"/>
    <cellStyle name="Normal 3 12 2 3 4" xfId="8253" xr:uid="{00000000-0005-0000-0000-0000E31C0000}"/>
    <cellStyle name="Normal 3 12 2 3 5" xfId="8254" xr:uid="{00000000-0005-0000-0000-0000E41C0000}"/>
    <cellStyle name="Normal 3 12 2 4" xfId="8255" xr:uid="{00000000-0005-0000-0000-0000E51C0000}"/>
    <cellStyle name="Normal 3 12 2 4 2" xfId="8256" xr:uid="{00000000-0005-0000-0000-0000E61C0000}"/>
    <cellStyle name="Normal 3 12 2 4 3" xfId="8257" xr:uid="{00000000-0005-0000-0000-0000E71C0000}"/>
    <cellStyle name="Normal 3 12 2 4 4" xfId="8258" xr:uid="{00000000-0005-0000-0000-0000E81C0000}"/>
    <cellStyle name="Normal 3 12 2 4 5" xfId="8259" xr:uid="{00000000-0005-0000-0000-0000E91C0000}"/>
    <cellStyle name="Normal 3 12 2 5" xfId="8260" xr:uid="{00000000-0005-0000-0000-0000EA1C0000}"/>
    <cellStyle name="Normal 3 12 2 5 2" xfId="8261" xr:uid="{00000000-0005-0000-0000-0000EB1C0000}"/>
    <cellStyle name="Normal 3 12 2 5 3" xfId="8262" xr:uid="{00000000-0005-0000-0000-0000EC1C0000}"/>
    <cellStyle name="Normal 3 12 2 5 4" xfId="8263" xr:uid="{00000000-0005-0000-0000-0000ED1C0000}"/>
    <cellStyle name="Normal 3 12 2 5 5" xfId="8264" xr:uid="{00000000-0005-0000-0000-0000EE1C0000}"/>
    <cellStyle name="Normal 3 12 2 6" xfId="8265" xr:uid="{00000000-0005-0000-0000-0000EF1C0000}"/>
    <cellStyle name="Normal 3 12 2 6 2" xfId="8266" xr:uid="{00000000-0005-0000-0000-0000F01C0000}"/>
    <cellStyle name="Normal 3 12 2 6 3" xfId="8267" xr:uid="{00000000-0005-0000-0000-0000F11C0000}"/>
    <cellStyle name="Normal 3 12 2 6 4" xfId="8268" xr:uid="{00000000-0005-0000-0000-0000F21C0000}"/>
    <cellStyle name="Normal 3 12 2 6 5" xfId="8269" xr:uid="{00000000-0005-0000-0000-0000F31C0000}"/>
    <cellStyle name="Normal 3 12 2 7" xfId="8270" xr:uid="{00000000-0005-0000-0000-0000F41C0000}"/>
    <cellStyle name="Normal 3 12 2 8" xfId="8271" xr:uid="{00000000-0005-0000-0000-0000F51C0000}"/>
    <cellStyle name="Normal 3 12 2 9" xfId="8272" xr:uid="{00000000-0005-0000-0000-0000F61C0000}"/>
    <cellStyle name="Normal 3 12 3" xfId="8273" xr:uid="{00000000-0005-0000-0000-0000F71C0000}"/>
    <cellStyle name="Normal 3 12 3 2" xfId="8274" xr:uid="{00000000-0005-0000-0000-0000F81C0000}"/>
    <cellStyle name="Normal 3 12 3 3" xfId="8275" xr:uid="{00000000-0005-0000-0000-0000F91C0000}"/>
    <cellStyle name="Normal 3 12 3 4" xfId="8276" xr:uid="{00000000-0005-0000-0000-0000FA1C0000}"/>
    <cellStyle name="Normal 3 12 3 5" xfId="8277" xr:uid="{00000000-0005-0000-0000-0000FB1C0000}"/>
    <cellStyle name="Normal 3 12 4" xfId="8278" xr:uid="{00000000-0005-0000-0000-0000FC1C0000}"/>
    <cellStyle name="Normal 3 12 4 2" xfId="8279" xr:uid="{00000000-0005-0000-0000-0000FD1C0000}"/>
    <cellStyle name="Normal 3 12 4 3" xfId="8280" xr:uid="{00000000-0005-0000-0000-0000FE1C0000}"/>
    <cellStyle name="Normal 3 12 4 4" xfId="8281" xr:uid="{00000000-0005-0000-0000-0000FF1C0000}"/>
    <cellStyle name="Normal 3 12 4 5" xfId="8282" xr:uid="{00000000-0005-0000-0000-0000001D0000}"/>
    <cellStyle name="Normal 3 12 5" xfId="8283" xr:uid="{00000000-0005-0000-0000-0000011D0000}"/>
    <cellStyle name="Normal 3 12 5 2" xfId="8284" xr:uid="{00000000-0005-0000-0000-0000021D0000}"/>
    <cellStyle name="Normal 3 12 5 3" xfId="8285" xr:uid="{00000000-0005-0000-0000-0000031D0000}"/>
    <cellStyle name="Normal 3 12 5 4" xfId="8286" xr:uid="{00000000-0005-0000-0000-0000041D0000}"/>
    <cellStyle name="Normal 3 12 5 5" xfId="8287" xr:uid="{00000000-0005-0000-0000-0000051D0000}"/>
    <cellStyle name="Normal 3 12 6" xfId="8288" xr:uid="{00000000-0005-0000-0000-0000061D0000}"/>
    <cellStyle name="Normal 3 12 6 2" xfId="8289" xr:uid="{00000000-0005-0000-0000-0000071D0000}"/>
    <cellStyle name="Normal 3 12 6 3" xfId="8290" xr:uid="{00000000-0005-0000-0000-0000081D0000}"/>
    <cellStyle name="Normal 3 12 6 4" xfId="8291" xr:uid="{00000000-0005-0000-0000-0000091D0000}"/>
    <cellStyle name="Normal 3 12 6 5" xfId="8292" xr:uid="{00000000-0005-0000-0000-00000A1D0000}"/>
    <cellStyle name="Normal 3 12 7" xfId="8293" xr:uid="{00000000-0005-0000-0000-00000B1D0000}"/>
    <cellStyle name="Normal 3 12 7 2" xfId="8294" xr:uid="{00000000-0005-0000-0000-00000C1D0000}"/>
    <cellStyle name="Normal 3 12 7 3" xfId="8295" xr:uid="{00000000-0005-0000-0000-00000D1D0000}"/>
    <cellStyle name="Normal 3 12 7 4" xfId="8296" xr:uid="{00000000-0005-0000-0000-00000E1D0000}"/>
    <cellStyle name="Normal 3 12 7 5" xfId="8297" xr:uid="{00000000-0005-0000-0000-00000F1D0000}"/>
    <cellStyle name="Normal 3 12 8" xfId="8298" xr:uid="{00000000-0005-0000-0000-0000101D0000}"/>
    <cellStyle name="Normal 3 12 8 2" xfId="8299" xr:uid="{00000000-0005-0000-0000-0000111D0000}"/>
    <cellStyle name="Normal 3 12 8 3" xfId="8300" xr:uid="{00000000-0005-0000-0000-0000121D0000}"/>
    <cellStyle name="Normal 3 12 8 4" xfId="8301" xr:uid="{00000000-0005-0000-0000-0000131D0000}"/>
    <cellStyle name="Normal 3 12 8 5" xfId="8302" xr:uid="{00000000-0005-0000-0000-0000141D0000}"/>
    <cellStyle name="Normal 3 12 9" xfId="8303" xr:uid="{00000000-0005-0000-0000-0000151D0000}"/>
    <cellStyle name="Normal 3 12 9 2" xfId="8304" xr:uid="{00000000-0005-0000-0000-0000161D0000}"/>
    <cellStyle name="Normal 3 12 9 3" xfId="8305" xr:uid="{00000000-0005-0000-0000-0000171D0000}"/>
    <cellStyle name="Normal 3 12 9 4" xfId="8306" xr:uid="{00000000-0005-0000-0000-0000181D0000}"/>
    <cellStyle name="Normal 3 12 9 5" xfId="8307" xr:uid="{00000000-0005-0000-0000-0000191D0000}"/>
    <cellStyle name="Normal 3 13" xfId="8308" xr:uid="{00000000-0005-0000-0000-00001A1D0000}"/>
    <cellStyle name="Normal 3 13 2" xfId="8309" xr:uid="{00000000-0005-0000-0000-00001B1D0000}"/>
    <cellStyle name="Normal 3 13 3" xfId="8310" xr:uid="{00000000-0005-0000-0000-00001C1D0000}"/>
    <cellStyle name="Normal 3 13 3 10" xfId="8311" xr:uid="{00000000-0005-0000-0000-00001D1D0000}"/>
    <cellStyle name="Normal 3 13 3 11" xfId="8312" xr:uid="{00000000-0005-0000-0000-00001E1D0000}"/>
    <cellStyle name="Normal 3 13 3 12" xfId="8313" xr:uid="{00000000-0005-0000-0000-00001F1D0000}"/>
    <cellStyle name="Normal 3 13 3 13" xfId="8314" xr:uid="{00000000-0005-0000-0000-0000201D0000}"/>
    <cellStyle name="Normal 3 13 3 14" xfId="8315" xr:uid="{00000000-0005-0000-0000-0000211D0000}"/>
    <cellStyle name="Normal 3 13 3 15" xfId="8316" xr:uid="{00000000-0005-0000-0000-0000221D0000}"/>
    <cellStyle name="Normal 3 13 3 2" xfId="8317" xr:uid="{00000000-0005-0000-0000-0000231D0000}"/>
    <cellStyle name="Normal 3 13 3 3" xfId="8318" xr:uid="{00000000-0005-0000-0000-0000241D0000}"/>
    <cellStyle name="Normal 3 13 3 4" xfId="8319" xr:uid="{00000000-0005-0000-0000-0000251D0000}"/>
    <cellStyle name="Normal 3 13 3 5" xfId="8320" xr:uid="{00000000-0005-0000-0000-0000261D0000}"/>
    <cellStyle name="Normal 3 13 3 6" xfId="8321" xr:uid="{00000000-0005-0000-0000-0000271D0000}"/>
    <cellStyle name="Normal 3 13 3 7" xfId="8322" xr:uid="{00000000-0005-0000-0000-0000281D0000}"/>
    <cellStyle name="Normal 3 13 3 8" xfId="8323" xr:uid="{00000000-0005-0000-0000-0000291D0000}"/>
    <cellStyle name="Normal 3 13 3 9" xfId="8324" xr:uid="{00000000-0005-0000-0000-00002A1D0000}"/>
    <cellStyle name="Normal 3 13 4" xfId="8325" xr:uid="{00000000-0005-0000-0000-00002B1D0000}"/>
    <cellStyle name="Normal 3 13 4 10" xfId="8326" xr:uid="{00000000-0005-0000-0000-00002C1D0000}"/>
    <cellStyle name="Normal 3 13 4 11" xfId="8327" xr:uid="{00000000-0005-0000-0000-00002D1D0000}"/>
    <cellStyle name="Normal 3 13 4 12" xfId="8328" xr:uid="{00000000-0005-0000-0000-00002E1D0000}"/>
    <cellStyle name="Normal 3 13 4 13" xfId="8329" xr:uid="{00000000-0005-0000-0000-00002F1D0000}"/>
    <cellStyle name="Normal 3 13 4 14" xfId="8330" xr:uid="{00000000-0005-0000-0000-0000301D0000}"/>
    <cellStyle name="Normal 3 13 4 15" xfId="8331" xr:uid="{00000000-0005-0000-0000-0000311D0000}"/>
    <cellStyle name="Normal 3 13 4 2" xfId="8332" xr:uid="{00000000-0005-0000-0000-0000321D0000}"/>
    <cellStyle name="Normal 3 13 4 3" xfId="8333" xr:uid="{00000000-0005-0000-0000-0000331D0000}"/>
    <cellStyle name="Normal 3 13 4 4" xfId="8334" xr:uid="{00000000-0005-0000-0000-0000341D0000}"/>
    <cellStyle name="Normal 3 13 4 5" xfId="8335" xr:uid="{00000000-0005-0000-0000-0000351D0000}"/>
    <cellStyle name="Normal 3 13 4 6" xfId="8336" xr:uid="{00000000-0005-0000-0000-0000361D0000}"/>
    <cellStyle name="Normal 3 13 4 7" xfId="8337" xr:uid="{00000000-0005-0000-0000-0000371D0000}"/>
    <cellStyle name="Normal 3 13 4 8" xfId="8338" xr:uid="{00000000-0005-0000-0000-0000381D0000}"/>
    <cellStyle name="Normal 3 13 4 9" xfId="8339" xr:uid="{00000000-0005-0000-0000-0000391D0000}"/>
    <cellStyle name="Normal 3 13 5" xfId="8340" xr:uid="{00000000-0005-0000-0000-00003A1D0000}"/>
    <cellStyle name="Normal 3 13 5 10" xfId="8341" xr:uid="{00000000-0005-0000-0000-00003B1D0000}"/>
    <cellStyle name="Normal 3 13 5 11" xfId="8342" xr:uid="{00000000-0005-0000-0000-00003C1D0000}"/>
    <cellStyle name="Normal 3 13 5 12" xfId="8343" xr:uid="{00000000-0005-0000-0000-00003D1D0000}"/>
    <cellStyle name="Normal 3 13 5 13" xfId="8344" xr:uid="{00000000-0005-0000-0000-00003E1D0000}"/>
    <cellStyle name="Normal 3 13 5 14" xfId="8345" xr:uid="{00000000-0005-0000-0000-00003F1D0000}"/>
    <cellStyle name="Normal 3 13 5 15" xfId="8346" xr:uid="{00000000-0005-0000-0000-0000401D0000}"/>
    <cellStyle name="Normal 3 13 5 2" xfId="8347" xr:uid="{00000000-0005-0000-0000-0000411D0000}"/>
    <cellStyle name="Normal 3 13 5 3" xfId="8348" xr:uid="{00000000-0005-0000-0000-0000421D0000}"/>
    <cellStyle name="Normal 3 13 5 4" xfId="8349" xr:uid="{00000000-0005-0000-0000-0000431D0000}"/>
    <cellStyle name="Normal 3 13 5 5" xfId="8350" xr:uid="{00000000-0005-0000-0000-0000441D0000}"/>
    <cellStyle name="Normal 3 13 5 6" xfId="8351" xr:uid="{00000000-0005-0000-0000-0000451D0000}"/>
    <cellStyle name="Normal 3 13 5 7" xfId="8352" xr:uid="{00000000-0005-0000-0000-0000461D0000}"/>
    <cellStyle name="Normal 3 13 5 8" xfId="8353" xr:uid="{00000000-0005-0000-0000-0000471D0000}"/>
    <cellStyle name="Normal 3 13 5 9" xfId="8354" xr:uid="{00000000-0005-0000-0000-0000481D0000}"/>
    <cellStyle name="Normal 3 14" xfId="8355" xr:uid="{00000000-0005-0000-0000-0000491D0000}"/>
    <cellStyle name="Normal 3 14 10" xfId="8356" xr:uid="{00000000-0005-0000-0000-00004A1D0000}"/>
    <cellStyle name="Normal 3 14 11" xfId="8357" xr:uid="{00000000-0005-0000-0000-00004B1D0000}"/>
    <cellStyle name="Normal 3 14 12" xfId="8358" xr:uid="{00000000-0005-0000-0000-00004C1D0000}"/>
    <cellStyle name="Normal 3 14 13" xfId="8359" xr:uid="{00000000-0005-0000-0000-00004D1D0000}"/>
    <cellStyle name="Normal 3 14 14" xfId="8360" xr:uid="{00000000-0005-0000-0000-00004E1D0000}"/>
    <cellStyle name="Normal 3 14 15" xfId="8361" xr:uid="{00000000-0005-0000-0000-00004F1D0000}"/>
    <cellStyle name="Normal 3 14 16" xfId="8362" xr:uid="{00000000-0005-0000-0000-0000501D0000}"/>
    <cellStyle name="Normal 3 14 17" xfId="8363" xr:uid="{00000000-0005-0000-0000-0000511D0000}"/>
    <cellStyle name="Normal 3 14 18" xfId="8364" xr:uid="{00000000-0005-0000-0000-0000521D0000}"/>
    <cellStyle name="Normal 3 14 19" xfId="8365" xr:uid="{00000000-0005-0000-0000-0000531D0000}"/>
    <cellStyle name="Normal 3 14 2" xfId="8366" xr:uid="{00000000-0005-0000-0000-0000541D0000}"/>
    <cellStyle name="Normal 3 14 2 10" xfId="8367" xr:uid="{00000000-0005-0000-0000-0000551D0000}"/>
    <cellStyle name="Normal 3 14 2 11" xfId="8368" xr:uid="{00000000-0005-0000-0000-0000561D0000}"/>
    <cellStyle name="Normal 3 14 2 12" xfId="8369" xr:uid="{00000000-0005-0000-0000-0000571D0000}"/>
    <cellStyle name="Normal 3 14 2 13" xfId="8370" xr:uid="{00000000-0005-0000-0000-0000581D0000}"/>
    <cellStyle name="Normal 3 14 2 14" xfId="8371" xr:uid="{00000000-0005-0000-0000-0000591D0000}"/>
    <cellStyle name="Normal 3 14 2 15" xfId="8372" xr:uid="{00000000-0005-0000-0000-00005A1D0000}"/>
    <cellStyle name="Normal 3 14 2 2" xfId="8373" xr:uid="{00000000-0005-0000-0000-00005B1D0000}"/>
    <cellStyle name="Normal 3 14 2 3" xfId="8374" xr:uid="{00000000-0005-0000-0000-00005C1D0000}"/>
    <cellStyle name="Normal 3 14 2 4" xfId="8375" xr:uid="{00000000-0005-0000-0000-00005D1D0000}"/>
    <cellStyle name="Normal 3 14 2 5" xfId="8376" xr:uid="{00000000-0005-0000-0000-00005E1D0000}"/>
    <cellStyle name="Normal 3 14 2 6" xfId="8377" xr:uid="{00000000-0005-0000-0000-00005F1D0000}"/>
    <cellStyle name="Normal 3 14 2 7" xfId="8378" xr:uid="{00000000-0005-0000-0000-0000601D0000}"/>
    <cellStyle name="Normal 3 14 2 8" xfId="8379" xr:uid="{00000000-0005-0000-0000-0000611D0000}"/>
    <cellStyle name="Normal 3 14 2 9" xfId="8380" xr:uid="{00000000-0005-0000-0000-0000621D0000}"/>
    <cellStyle name="Normal 3 14 3" xfId="8381" xr:uid="{00000000-0005-0000-0000-0000631D0000}"/>
    <cellStyle name="Normal 3 14 3 10" xfId="8382" xr:uid="{00000000-0005-0000-0000-0000641D0000}"/>
    <cellStyle name="Normal 3 14 3 11" xfId="8383" xr:uid="{00000000-0005-0000-0000-0000651D0000}"/>
    <cellStyle name="Normal 3 14 3 12" xfId="8384" xr:uid="{00000000-0005-0000-0000-0000661D0000}"/>
    <cellStyle name="Normal 3 14 3 13" xfId="8385" xr:uid="{00000000-0005-0000-0000-0000671D0000}"/>
    <cellStyle name="Normal 3 14 3 14" xfId="8386" xr:uid="{00000000-0005-0000-0000-0000681D0000}"/>
    <cellStyle name="Normal 3 14 3 15" xfId="8387" xr:uid="{00000000-0005-0000-0000-0000691D0000}"/>
    <cellStyle name="Normal 3 14 3 2" xfId="8388" xr:uid="{00000000-0005-0000-0000-00006A1D0000}"/>
    <cellStyle name="Normal 3 14 3 3" xfId="8389" xr:uid="{00000000-0005-0000-0000-00006B1D0000}"/>
    <cellStyle name="Normal 3 14 3 4" xfId="8390" xr:uid="{00000000-0005-0000-0000-00006C1D0000}"/>
    <cellStyle name="Normal 3 14 3 5" xfId="8391" xr:uid="{00000000-0005-0000-0000-00006D1D0000}"/>
    <cellStyle name="Normal 3 14 3 6" xfId="8392" xr:uid="{00000000-0005-0000-0000-00006E1D0000}"/>
    <cellStyle name="Normal 3 14 3 7" xfId="8393" xr:uid="{00000000-0005-0000-0000-00006F1D0000}"/>
    <cellStyle name="Normal 3 14 3 8" xfId="8394" xr:uid="{00000000-0005-0000-0000-0000701D0000}"/>
    <cellStyle name="Normal 3 14 3 9" xfId="8395" xr:uid="{00000000-0005-0000-0000-0000711D0000}"/>
    <cellStyle name="Normal 3 14 4" xfId="8396" xr:uid="{00000000-0005-0000-0000-0000721D0000}"/>
    <cellStyle name="Normal 3 14 4 10" xfId="8397" xr:uid="{00000000-0005-0000-0000-0000731D0000}"/>
    <cellStyle name="Normal 3 14 4 11" xfId="8398" xr:uid="{00000000-0005-0000-0000-0000741D0000}"/>
    <cellStyle name="Normal 3 14 4 12" xfId="8399" xr:uid="{00000000-0005-0000-0000-0000751D0000}"/>
    <cellStyle name="Normal 3 14 4 13" xfId="8400" xr:uid="{00000000-0005-0000-0000-0000761D0000}"/>
    <cellStyle name="Normal 3 14 4 14" xfId="8401" xr:uid="{00000000-0005-0000-0000-0000771D0000}"/>
    <cellStyle name="Normal 3 14 4 15" xfId="8402" xr:uid="{00000000-0005-0000-0000-0000781D0000}"/>
    <cellStyle name="Normal 3 14 4 2" xfId="8403" xr:uid="{00000000-0005-0000-0000-0000791D0000}"/>
    <cellStyle name="Normal 3 14 4 3" xfId="8404" xr:uid="{00000000-0005-0000-0000-00007A1D0000}"/>
    <cellStyle name="Normal 3 14 4 4" xfId="8405" xr:uid="{00000000-0005-0000-0000-00007B1D0000}"/>
    <cellStyle name="Normal 3 14 4 5" xfId="8406" xr:uid="{00000000-0005-0000-0000-00007C1D0000}"/>
    <cellStyle name="Normal 3 14 4 6" xfId="8407" xr:uid="{00000000-0005-0000-0000-00007D1D0000}"/>
    <cellStyle name="Normal 3 14 4 7" xfId="8408" xr:uid="{00000000-0005-0000-0000-00007E1D0000}"/>
    <cellStyle name="Normal 3 14 4 8" xfId="8409" xr:uid="{00000000-0005-0000-0000-00007F1D0000}"/>
    <cellStyle name="Normal 3 14 4 9" xfId="8410" xr:uid="{00000000-0005-0000-0000-0000801D0000}"/>
    <cellStyle name="Normal 3 14 5" xfId="8411" xr:uid="{00000000-0005-0000-0000-0000811D0000}"/>
    <cellStyle name="Normal 3 14 5 10" xfId="8412" xr:uid="{00000000-0005-0000-0000-0000821D0000}"/>
    <cellStyle name="Normal 3 14 5 11" xfId="8413" xr:uid="{00000000-0005-0000-0000-0000831D0000}"/>
    <cellStyle name="Normal 3 14 5 12" xfId="8414" xr:uid="{00000000-0005-0000-0000-0000841D0000}"/>
    <cellStyle name="Normal 3 14 5 13" xfId="8415" xr:uid="{00000000-0005-0000-0000-0000851D0000}"/>
    <cellStyle name="Normal 3 14 5 14" xfId="8416" xr:uid="{00000000-0005-0000-0000-0000861D0000}"/>
    <cellStyle name="Normal 3 14 5 15" xfId="8417" xr:uid="{00000000-0005-0000-0000-0000871D0000}"/>
    <cellStyle name="Normal 3 14 5 2" xfId="8418" xr:uid="{00000000-0005-0000-0000-0000881D0000}"/>
    <cellStyle name="Normal 3 14 5 3" xfId="8419" xr:uid="{00000000-0005-0000-0000-0000891D0000}"/>
    <cellStyle name="Normal 3 14 5 4" xfId="8420" xr:uid="{00000000-0005-0000-0000-00008A1D0000}"/>
    <cellStyle name="Normal 3 14 5 5" xfId="8421" xr:uid="{00000000-0005-0000-0000-00008B1D0000}"/>
    <cellStyle name="Normal 3 14 5 6" xfId="8422" xr:uid="{00000000-0005-0000-0000-00008C1D0000}"/>
    <cellStyle name="Normal 3 14 5 7" xfId="8423" xr:uid="{00000000-0005-0000-0000-00008D1D0000}"/>
    <cellStyle name="Normal 3 14 5 8" xfId="8424" xr:uid="{00000000-0005-0000-0000-00008E1D0000}"/>
    <cellStyle name="Normal 3 14 5 9" xfId="8425" xr:uid="{00000000-0005-0000-0000-00008F1D0000}"/>
    <cellStyle name="Normal 3 14 6" xfId="8426" xr:uid="{00000000-0005-0000-0000-0000901D0000}"/>
    <cellStyle name="Normal 3 14 7" xfId="8427" xr:uid="{00000000-0005-0000-0000-0000911D0000}"/>
    <cellStyle name="Normal 3 14 8" xfId="8428" xr:uid="{00000000-0005-0000-0000-0000921D0000}"/>
    <cellStyle name="Normal 3 14 9" xfId="8429" xr:uid="{00000000-0005-0000-0000-0000931D0000}"/>
    <cellStyle name="Normal 3 15" xfId="8430" xr:uid="{00000000-0005-0000-0000-0000941D0000}"/>
    <cellStyle name="Normal 3 15 10" xfId="8431" xr:uid="{00000000-0005-0000-0000-0000951D0000}"/>
    <cellStyle name="Normal 3 15 10 10" xfId="8432" xr:uid="{00000000-0005-0000-0000-0000961D0000}"/>
    <cellStyle name="Normal 3 15 10 11" xfId="8433" xr:uid="{00000000-0005-0000-0000-0000971D0000}"/>
    <cellStyle name="Normal 3 15 10 12" xfId="8434" xr:uid="{00000000-0005-0000-0000-0000981D0000}"/>
    <cellStyle name="Normal 3 15 10 13" xfId="8435" xr:uid="{00000000-0005-0000-0000-0000991D0000}"/>
    <cellStyle name="Normal 3 15 10 14" xfId="8436" xr:uid="{00000000-0005-0000-0000-00009A1D0000}"/>
    <cellStyle name="Normal 3 15 10 15" xfId="8437" xr:uid="{00000000-0005-0000-0000-00009B1D0000}"/>
    <cellStyle name="Normal 3 15 10 2" xfId="8438" xr:uid="{00000000-0005-0000-0000-00009C1D0000}"/>
    <cellStyle name="Normal 3 15 10 3" xfId="8439" xr:uid="{00000000-0005-0000-0000-00009D1D0000}"/>
    <cellStyle name="Normal 3 15 10 4" xfId="8440" xr:uid="{00000000-0005-0000-0000-00009E1D0000}"/>
    <cellStyle name="Normal 3 15 10 5" xfId="8441" xr:uid="{00000000-0005-0000-0000-00009F1D0000}"/>
    <cellStyle name="Normal 3 15 10 6" xfId="8442" xr:uid="{00000000-0005-0000-0000-0000A01D0000}"/>
    <cellStyle name="Normal 3 15 10 7" xfId="8443" xr:uid="{00000000-0005-0000-0000-0000A11D0000}"/>
    <cellStyle name="Normal 3 15 10 8" xfId="8444" xr:uid="{00000000-0005-0000-0000-0000A21D0000}"/>
    <cellStyle name="Normal 3 15 10 9" xfId="8445" xr:uid="{00000000-0005-0000-0000-0000A31D0000}"/>
    <cellStyle name="Normal 3 15 11" xfId="8446" xr:uid="{00000000-0005-0000-0000-0000A41D0000}"/>
    <cellStyle name="Normal 3 15 12" xfId="8447" xr:uid="{00000000-0005-0000-0000-0000A51D0000}"/>
    <cellStyle name="Normal 3 15 13" xfId="8448" xr:uid="{00000000-0005-0000-0000-0000A61D0000}"/>
    <cellStyle name="Normal 3 15 14" xfId="8449" xr:uid="{00000000-0005-0000-0000-0000A71D0000}"/>
    <cellStyle name="Normal 3 15 15" xfId="8450" xr:uid="{00000000-0005-0000-0000-0000A81D0000}"/>
    <cellStyle name="Normal 3 15 16" xfId="8451" xr:uid="{00000000-0005-0000-0000-0000A91D0000}"/>
    <cellStyle name="Normal 3 15 17" xfId="8452" xr:uid="{00000000-0005-0000-0000-0000AA1D0000}"/>
    <cellStyle name="Normal 3 15 18" xfId="8453" xr:uid="{00000000-0005-0000-0000-0000AB1D0000}"/>
    <cellStyle name="Normal 3 15 19" xfId="8454" xr:uid="{00000000-0005-0000-0000-0000AC1D0000}"/>
    <cellStyle name="Normal 3 15 2" xfId="8455" xr:uid="{00000000-0005-0000-0000-0000AD1D0000}"/>
    <cellStyle name="Normal 3 15 2 10" xfId="8456" xr:uid="{00000000-0005-0000-0000-0000AE1D0000}"/>
    <cellStyle name="Normal 3 15 2 11" xfId="8457" xr:uid="{00000000-0005-0000-0000-0000AF1D0000}"/>
    <cellStyle name="Normal 3 15 2 12" xfId="8458" xr:uid="{00000000-0005-0000-0000-0000B01D0000}"/>
    <cellStyle name="Normal 3 15 2 13" xfId="8459" xr:uid="{00000000-0005-0000-0000-0000B11D0000}"/>
    <cellStyle name="Normal 3 15 2 14" xfId="8460" xr:uid="{00000000-0005-0000-0000-0000B21D0000}"/>
    <cellStyle name="Normal 3 15 2 15" xfId="8461" xr:uid="{00000000-0005-0000-0000-0000B31D0000}"/>
    <cellStyle name="Normal 3 15 2 16" xfId="8462" xr:uid="{00000000-0005-0000-0000-0000B41D0000}"/>
    <cellStyle name="Normal 3 15 2 17" xfId="8463" xr:uid="{00000000-0005-0000-0000-0000B51D0000}"/>
    <cellStyle name="Normal 3 15 2 18" xfId="8464" xr:uid="{00000000-0005-0000-0000-0000B61D0000}"/>
    <cellStyle name="Normal 3 15 2 19" xfId="8465" xr:uid="{00000000-0005-0000-0000-0000B71D0000}"/>
    <cellStyle name="Normal 3 15 2 2" xfId="8466" xr:uid="{00000000-0005-0000-0000-0000B81D0000}"/>
    <cellStyle name="Normal 3 15 2 2 10" xfId="8467" xr:uid="{00000000-0005-0000-0000-0000B91D0000}"/>
    <cellStyle name="Normal 3 15 2 2 11" xfId="8468" xr:uid="{00000000-0005-0000-0000-0000BA1D0000}"/>
    <cellStyle name="Normal 3 15 2 2 12" xfId="8469" xr:uid="{00000000-0005-0000-0000-0000BB1D0000}"/>
    <cellStyle name="Normal 3 15 2 2 13" xfId="8470" xr:uid="{00000000-0005-0000-0000-0000BC1D0000}"/>
    <cellStyle name="Normal 3 15 2 2 14" xfId="8471" xr:uid="{00000000-0005-0000-0000-0000BD1D0000}"/>
    <cellStyle name="Normal 3 15 2 2 15" xfId="8472" xr:uid="{00000000-0005-0000-0000-0000BE1D0000}"/>
    <cellStyle name="Normal 3 15 2 2 16" xfId="8473" xr:uid="{00000000-0005-0000-0000-0000BF1D0000}"/>
    <cellStyle name="Normal 3 15 2 2 17" xfId="8474" xr:uid="{00000000-0005-0000-0000-0000C01D0000}"/>
    <cellStyle name="Normal 3 15 2 2 18" xfId="8475" xr:uid="{00000000-0005-0000-0000-0000C11D0000}"/>
    <cellStyle name="Normal 3 15 2 2 19" xfId="8476" xr:uid="{00000000-0005-0000-0000-0000C21D0000}"/>
    <cellStyle name="Normal 3 15 2 2 2" xfId="8477" xr:uid="{00000000-0005-0000-0000-0000C31D0000}"/>
    <cellStyle name="Normal 3 15 2 2 2 10" xfId="8478" xr:uid="{00000000-0005-0000-0000-0000C41D0000}"/>
    <cellStyle name="Normal 3 15 2 2 2 11" xfId="8479" xr:uid="{00000000-0005-0000-0000-0000C51D0000}"/>
    <cellStyle name="Normal 3 15 2 2 2 12" xfId="8480" xr:uid="{00000000-0005-0000-0000-0000C61D0000}"/>
    <cellStyle name="Normal 3 15 2 2 2 13" xfId="8481" xr:uid="{00000000-0005-0000-0000-0000C71D0000}"/>
    <cellStyle name="Normal 3 15 2 2 2 14" xfId="8482" xr:uid="{00000000-0005-0000-0000-0000C81D0000}"/>
    <cellStyle name="Normal 3 15 2 2 2 15" xfId="8483" xr:uid="{00000000-0005-0000-0000-0000C91D0000}"/>
    <cellStyle name="Normal 3 15 2 2 2 2" xfId="8484" xr:uid="{00000000-0005-0000-0000-0000CA1D0000}"/>
    <cellStyle name="Normal 3 15 2 2 2 3" xfId="8485" xr:uid="{00000000-0005-0000-0000-0000CB1D0000}"/>
    <cellStyle name="Normal 3 15 2 2 2 4" xfId="8486" xr:uid="{00000000-0005-0000-0000-0000CC1D0000}"/>
    <cellStyle name="Normal 3 15 2 2 2 5" xfId="8487" xr:uid="{00000000-0005-0000-0000-0000CD1D0000}"/>
    <cellStyle name="Normal 3 15 2 2 2 6" xfId="8488" xr:uid="{00000000-0005-0000-0000-0000CE1D0000}"/>
    <cellStyle name="Normal 3 15 2 2 2 7" xfId="8489" xr:uid="{00000000-0005-0000-0000-0000CF1D0000}"/>
    <cellStyle name="Normal 3 15 2 2 2 8" xfId="8490" xr:uid="{00000000-0005-0000-0000-0000D01D0000}"/>
    <cellStyle name="Normal 3 15 2 2 2 9" xfId="8491" xr:uid="{00000000-0005-0000-0000-0000D11D0000}"/>
    <cellStyle name="Normal 3 15 2 2 3" xfId="8492" xr:uid="{00000000-0005-0000-0000-0000D21D0000}"/>
    <cellStyle name="Normal 3 15 2 2 3 10" xfId="8493" xr:uid="{00000000-0005-0000-0000-0000D31D0000}"/>
    <cellStyle name="Normal 3 15 2 2 3 11" xfId="8494" xr:uid="{00000000-0005-0000-0000-0000D41D0000}"/>
    <cellStyle name="Normal 3 15 2 2 3 12" xfId="8495" xr:uid="{00000000-0005-0000-0000-0000D51D0000}"/>
    <cellStyle name="Normal 3 15 2 2 3 13" xfId="8496" xr:uid="{00000000-0005-0000-0000-0000D61D0000}"/>
    <cellStyle name="Normal 3 15 2 2 3 14" xfId="8497" xr:uid="{00000000-0005-0000-0000-0000D71D0000}"/>
    <cellStyle name="Normal 3 15 2 2 3 15" xfId="8498" xr:uid="{00000000-0005-0000-0000-0000D81D0000}"/>
    <cellStyle name="Normal 3 15 2 2 3 2" xfId="8499" xr:uid="{00000000-0005-0000-0000-0000D91D0000}"/>
    <cellStyle name="Normal 3 15 2 2 3 3" xfId="8500" xr:uid="{00000000-0005-0000-0000-0000DA1D0000}"/>
    <cellStyle name="Normal 3 15 2 2 3 4" xfId="8501" xr:uid="{00000000-0005-0000-0000-0000DB1D0000}"/>
    <cellStyle name="Normal 3 15 2 2 3 5" xfId="8502" xr:uid="{00000000-0005-0000-0000-0000DC1D0000}"/>
    <cellStyle name="Normal 3 15 2 2 3 6" xfId="8503" xr:uid="{00000000-0005-0000-0000-0000DD1D0000}"/>
    <cellStyle name="Normal 3 15 2 2 3 7" xfId="8504" xr:uid="{00000000-0005-0000-0000-0000DE1D0000}"/>
    <cellStyle name="Normal 3 15 2 2 3 8" xfId="8505" xr:uid="{00000000-0005-0000-0000-0000DF1D0000}"/>
    <cellStyle name="Normal 3 15 2 2 3 9" xfId="8506" xr:uid="{00000000-0005-0000-0000-0000E01D0000}"/>
    <cellStyle name="Normal 3 15 2 2 4" xfId="8507" xr:uid="{00000000-0005-0000-0000-0000E11D0000}"/>
    <cellStyle name="Normal 3 15 2 2 4 10" xfId="8508" xr:uid="{00000000-0005-0000-0000-0000E21D0000}"/>
    <cellStyle name="Normal 3 15 2 2 4 11" xfId="8509" xr:uid="{00000000-0005-0000-0000-0000E31D0000}"/>
    <cellStyle name="Normal 3 15 2 2 4 12" xfId="8510" xr:uid="{00000000-0005-0000-0000-0000E41D0000}"/>
    <cellStyle name="Normal 3 15 2 2 4 13" xfId="8511" xr:uid="{00000000-0005-0000-0000-0000E51D0000}"/>
    <cellStyle name="Normal 3 15 2 2 4 14" xfId="8512" xr:uid="{00000000-0005-0000-0000-0000E61D0000}"/>
    <cellStyle name="Normal 3 15 2 2 4 15" xfId="8513" xr:uid="{00000000-0005-0000-0000-0000E71D0000}"/>
    <cellStyle name="Normal 3 15 2 2 4 2" xfId="8514" xr:uid="{00000000-0005-0000-0000-0000E81D0000}"/>
    <cellStyle name="Normal 3 15 2 2 4 3" xfId="8515" xr:uid="{00000000-0005-0000-0000-0000E91D0000}"/>
    <cellStyle name="Normal 3 15 2 2 4 4" xfId="8516" xr:uid="{00000000-0005-0000-0000-0000EA1D0000}"/>
    <cellStyle name="Normal 3 15 2 2 4 5" xfId="8517" xr:uid="{00000000-0005-0000-0000-0000EB1D0000}"/>
    <cellStyle name="Normal 3 15 2 2 4 6" xfId="8518" xr:uid="{00000000-0005-0000-0000-0000EC1D0000}"/>
    <cellStyle name="Normal 3 15 2 2 4 7" xfId="8519" xr:uid="{00000000-0005-0000-0000-0000ED1D0000}"/>
    <cellStyle name="Normal 3 15 2 2 4 8" xfId="8520" xr:uid="{00000000-0005-0000-0000-0000EE1D0000}"/>
    <cellStyle name="Normal 3 15 2 2 4 9" xfId="8521" xr:uid="{00000000-0005-0000-0000-0000EF1D0000}"/>
    <cellStyle name="Normal 3 15 2 2 5" xfId="8522" xr:uid="{00000000-0005-0000-0000-0000F01D0000}"/>
    <cellStyle name="Normal 3 15 2 2 5 10" xfId="8523" xr:uid="{00000000-0005-0000-0000-0000F11D0000}"/>
    <cellStyle name="Normal 3 15 2 2 5 11" xfId="8524" xr:uid="{00000000-0005-0000-0000-0000F21D0000}"/>
    <cellStyle name="Normal 3 15 2 2 5 12" xfId="8525" xr:uid="{00000000-0005-0000-0000-0000F31D0000}"/>
    <cellStyle name="Normal 3 15 2 2 5 13" xfId="8526" xr:uid="{00000000-0005-0000-0000-0000F41D0000}"/>
    <cellStyle name="Normal 3 15 2 2 5 14" xfId="8527" xr:uid="{00000000-0005-0000-0000-0000F51D0000}"/>
    <cellStyle name="Normal 3 15 2 2 5 15" xfId="8528" xr:uid="{00000000-0005-0000-0000-0000F61D0000}"/>
    <cellStyle name="Normal 3 15 2 2 5 2" xfId="8529" xr:uid="{00000000-0005-0000-0000-0000F71D0000}"/>
    <cellStyle name="Normal 3 15 2 2 5 3" xfId="8530" xr:uid="{00000000-0005-0000-0000-0000F81D0000}"/>
    <cellStyle name="Normal 3 15 2 2 5 4" xfId="8531" xr:uid="{00000000-0005-0000-0000-0000F91D0000}"/>
    <cellStyle name="Normal 3 15 2 2 5 5" xfId="8532" xr:uid="{00000000-0005-0000-0000-0000FA1D0000}"/>
    <cellStyle name="Normal 3 15 2 2 5 6" xfId="8533" xr:uid="{00000000-0005-0000-0000-0000FB1D0000}"/>
    <cellStyle name="Normal 3 15 2 2 5 7" xfId="8534" xr:uid="{00000000-0005-0000-0000-0000FC1D0000}"/>
    <cellStyle name="Normal 3 15 2 2 5 8" xfId="8535" xr:uid="{00000000-0005-0000-0000-0000FD1D0000}"/>
    <cellStyle name="Normal 3 15 2 2 5 9" xfId="8536" xr:uid="{00000000-0005-0000-0000-0000FE1D0000}"/>
    <cellStyle name="Normal 3 15 2 2 6" xfId="8537" xr:uid="{00000000-0005-0000-0000-0000FF1D0000}"/>
    <cellStyle name="Normal 3 15 2 2 7" xfId="8538" xr:uid="{00000000-0005-0000-0000-0000001E0000}"/>
    <cellStyle name="Normal 3 15 2 2 8" xfId="8539" xr:uid="{00000000-0005-0000-0000-0000011E0000}"/>
    <cellStyle name="Normal 3 15 2 2 9" xfId="8540" xr:uid="{00000000-0005-0000-0000-0000021E0000}"/>
    <cellStyle name="Normal 3 15 2 20" xfId="8541" xr:uid="{00000000-0005-0000-0000-0000031E0000}"/>
    <cellStyle name="Normal 3 15 2 3" xfId="8542" xr:uid="{00000000-0005-0000-0000-0000041E0000}"/>
    <cellStyle name="Normal 3 15 2 3 10" xfId="8543" xr:uid="{00000000-0005-0000-0000-0000051E0000}"/>
    <cellStyle name="Normal 3 15 2 3 11" xfId="8544" xr:uid="{00000000-0005-0000-0000-0000061E0000}"/>
    <cellStyle name="Normal 3 15 2 3 12" xfId="8545" xr:uid="{00000000-0005-0000-0000-0000071E0000}"/>
    <cellStyle name="Normal 3 15 2 3 13" xfId="8546" xr:uid="{00000000-0005-0000-0000-0000081E0000}"/>
    <cellStyle name="Normal 3 15 2 3 14" xfId="8547" xr:uid="{00000000-0005-0000-0000-0000091E0000}"/>
    <cellStyle name="Normal 3 15 2 3 15" xfId="8548" xr:uid="{00000000-0005-0000-0000-00000A1E0000}"/>
    <cellStyle name="Normal 3 15 2 3 16" xfId="8549" xr:uid="{00000000-0005-0000-0000-00000B1E0000}"/>
    <cellStyle name="Normal 3 15 2 3 17" xfId="8550" xr:uid="{00000000-0005-0000-0000-00000C1E0000}"/>
    <cellStyle name="Normal 3 15 2 3 18" xfId="8551" xr:uid="{00000000-0005-0000-0000-00000D1E0000}"/>
    <cellStyle name="Normal 3 15 2 3 19" xfId="8552" xr:uid="{00000000-0005-0000-0000-00000E1E0000}"/>
    <cellStyle name="Normal 3 15 2 3 2" xfId="8553" xr:uid="{00000000-0005-0000-0000-00000F1E0000}"/>
    <cellStyle name="Normal 3 15 2 3 2 10" xfId="8554" xr:uid="{00000000-0005-0000-0000-0000101E0000}"/>
    <cellStyle name="Normal 3 15 2 3 2 11" xfId="8555" xr:uid="{00000000-0005-0000-0000-0000111E0000}"/>
    <cellStyle name="Normal 3 15 2 3 2 12" xfId="8556" xr:uid="{00000000-0005-0000-0000-0000121E0000}"/>
    <cellStyle name="Normal 3 15 2 3 2 13" xfId="8557" xr:uid="{00000000-0005-0000-0000-0000131E0000}"/>
    <cellStyle name="Normal 3 15 2 3 2 14" xfId="8558" xr:uid="{00000000-0005-0000-0000-0000141E0000}"/>
    <cellStyle name="Normal 3 15 2 3 2 15" xfId="8559" xr:uid="{00000000-0005-0000-0000-0000151E0000}"/>
    <cellStyle name="Normal 3 15 2 3 2 2" xfId="8560" xr:uid="{00000000-0005-0000-0000-0000161E0000}"/>
    <cellStyle name="Normal 3 15 2 3 2 3" xfId="8561" xr:uid="{00000000-0005-0000-0000-0000171E0000}"/>
    <cellStyle name="Normal 3 15 2 3 2 4" xfId="8562" xr:uid="{00000000-0005-0000-0000-0000181E0000}"/>
    <cellStyle name="Normal 3 15 2 3 2 5" xfId="8563" xr:uid="{00000000-0005-0000-0000-0000191E0000}"/>
    <cellStyle name="Normal 3 15 2 3 2 6" xfId="8564" xr:uid="{00000000-0005-0000-0000-00001A1E0000}"/>
    <cellStyle name="Normal 3 15 2 3 2 7" xfId="8565" xr:uid="{00000000-0005-0000-0000-00001B1E0000}"/>
    <cellStyle name="Normal 3 15 2 3 2 8" xfId="8566" xr:uid="{00000000-0005-0000-0000-00001C1E0000}"/>
    <cellStyle name="Normal 3 15 2 3 2 9" xfId="8567" xr:uid="{00000000-0005-0000-0000-00001D1E0000}"/>
    <cellStyle name="Normal 3 15 2 3 3" xfId="8568" xr:uid="{00000000-0005-0000-0000-00001E1E0000}"/>
    <cellStyle name="Normal 3 15 2 3 3 10" xfId="8569" xr:uid="{00000000-0005-0000-0000-00001F1E0000}"/>
    <cellStyle name="Normal 3 15 2 3 3 11" xfId="8570" xr:uid="{00000000-0005-0000-0000-0000201E0000}"/>
    <cellStyle name="Normal 3 15 2 3 3 12" xfId="8571" xr:uid="{00000000-0005-0000-0000-0000211E0000}"/>
    <cellStyle name="Normal 3 15 2 3 3 13" xfId="8572" xr:uid="{00000000-0005-0000-0000-0000221E0000}"/>
    <cellStyle name="Normal 3 15 2 3 3 14" xfId="8573" xr:uid="{00000000-0005-0000-0000-0000231E0000}"/>
    <cellStyle name="Normal 3 15 2 3 3 15" xfId="8574" xr:uid="{00000000-0005-0000-0000-0000241E0000}"/>
    <cellStyle name="Normal 3 15 2 3 3 2" xfId="8575" xr:uid="{00000000-0005-0000-0000-0000251E0000}"/>
    <cellStyle name="Normal 3 15 2 3 3 3" xfId="8576" xr:uid="{00000000-0005-0000-0000-0000261E0000}"/>
    <cellStyle name="Normal 3 15 2 3 3 4" xfId="8577" xr:uid="{00000000-0005-0000-0000-0000271E0000}"/>
    <cellStyle name="Normal 3 15 2 3 3 5" xfId="8578" xr:uid="{00000000-0005-0000-0000-0000281E0000}"/>
    <cellStyle name="Normal 3 15 2 3 3 6" xfId="8579" xr:uid="{00000000-0005-0000-0000-0000291E0000}"/>
    <cellStyle name="Normal 3 15 2 3 3 7" xfId="8580" xr:uid="{00000000-0005-0000-0000-00002A1E0000}"/>
    <cellStyle name="Normal 3 15 2 3 3 8" xfId="8581" xr:uid="{00000000-0005-0000-0000-00002B1E0000}"/>
    <cellStyle name="Normal 3 15 2 3 3 9" xfId="8582" xr:uid="{00000000-0005-0000-0000-00002C1E0000}"/>
    <cellStyle name="Normal 3 15 2 3 4" xfId="8583" xr:uid="{00000000-0005-0000-0000-00002D1E0000}"/>
    <cellStyle name="Normal 3 15 2 3 4 10" xfId="8584" xr:uid="{00000000-0005-0000-0000-00002E1E0000}"/>
    <cellStyle name="Normal 3 15 2 3 4 11" xfId="8585" xr:uid="{00000000-0005-0000-0000-00002F1E0000}"/>
    <cellStyle name="Normal 3 15 2 3 4 12" xfId="8586" xr:uid="{00000000-0005-0000-0000-0000301E0000}"/>
    <cellStyle name="Normal 3 15 2 3 4 13" xfId="8587" xr:uid="{00000000-0005-0000-0000-0000311E0000}"/>
    <cellStyle name="Normal 3 15 2 3 4 14" xfId="8588" xr:uid="{00000000-0005-0000-0000-0000321E0000}"/>
    <cellStyle name="Normal 3 15 2 3 4 15" xfId="8589" xr:uid="{00000000-0005-0000-0000-0000331E0000}"/>
    <cellStyle name="Normal 3 15 2 3 4 2" xfId="8590" xr:uid="{00000000-0005-0000-0000-0000341E0000}"/>
    <cellStyle name="Normal 3 15 2 3 4 3" xfId="8591" xr:uid="{00000000-0005-0000-0000-0000351E0000}"/>
    <cellStyle name="Normal 3 15 2 3 4 4" xfId="8592" xr:uid="{00000000-0005-0000-0000-0000361E0000}"/>
    <cellStyle name="Normal 3 15 2 3 4 5" xfId="8593" xr:uid="{00000000-0005-0000-0000-0000371E0000}"/>
    <cellStyle name="Normal 3 15 2 3 4 6" xfId="8594" xr:uid="{00000000-0005-0000-0000-0000381E0000}"/>
    <cellStyle name="Normal 3 15 2 3 4 7" xfId="8595" xr:uid="{00000000-0005-0000-0000-0000391E0000}"/>
    <cellStyle name="Normal 3 15 2 3 4 8" xfId="8596" xr:uid="{00000000-0005-0000-0000-00003A1E0000}"/>
    <cellStyle name="Normal 3 15 2 3 4 9" xfId="8597" xr:uid="{00000000-0005-0000-0000-00003B1E0000}"/>
    <cellStyle name="Normal 3 15 2 3 5" xfId="8598" xr:uid="{00000000-0005-0000-0000-00003C1E0000}"/>
    <cellStyle name="Normal 3 15 2 3 5 10" xfId="8599" xr:uid="{00000000-0005-0000-0000-00003D1E0000}"/>
    <cellStyle name="Normal 3 15 2 3 5 11" xfId="8600" xr:uid="{00000000-0005-0000-0000-00003E1E0000}"/>
    <cellStyle name="Normal 3 15 2 3 5 12" xfId="8601" xr:uid="{00000000-0005-0000-0000-00003F1E0000}"/>
    <cellStyle name="Normal 3 15 2 3 5 13" xfId="8602" xr:uid="{00000000-0005-0000-0000-0000401E0000}"/>
    <cellStyle name="Normal 3 15 2 3 5 14" xfId="8603" xr:uid="{00000000-0005-0000-0000-0000411E0000}"/>
    <cellStyle name="Normal 3 15 2 3 5 15" xfId="8604" xr:uid="{00000000-0005-0000-0000-0000421E0000}"/>
    <cellStyle name="Normal 3 15 2 3 5 2" xfId="8605" xr:uid="{00000000-0005-0000-0000-0000431E0000}"/>
    <cellStyle name="Normal 3 15 2 3 5 3" xfId="8606" xr:uid="{00000000-0005-0000-0000-0000441E0000}"/>
    <cellStyle name="Normal 3 15 2 3 5 4" xfId="8607" xr:uid="{00000000-0005-0000-0000-0000451E0000}"/>
    <cellStyle name="Normal 3 15 2 3 5 5" xfId="8608" xr:uid="{00000000-0005-0000-0000-0000461E0000}"/>
    <cellStyle name="Normal 3 15 2 3 5 6" xfId="8609" xr:uid="{00000000-0005-0000-0000-0000471E0000}"/>
    <cellStyle name="Normal 3 15 2 3 5 7" xfId="8610" xr:uid="{00000000-0005-0000-0000-0000481E0000}"/>
    <cellStyle name="Normal 3 15 2 3 5 8" xfId="8611" xr:uid="{00000000-0005-0000-0000-0000491E0000}"/>
    <cellStyle name="Normal 3 15 2 3 5 9" xfId="8612" xr:uid="{00000000-0005-0000-0000-00004A1E0000}"/>
    <cellStyle name="Normal 3 15 2 3 6" xfId="8613" xr:uid="{00000000-0005-0000-0000-00004B1E0000}"/>
    <cellStyle name="Normal 3 15 2 3 7" xfId="8614" xr:uid="{00000000-0005-0000-0000-00004C1E0000}"/>
    <cellStyle name="Normal 3 15 2 3 8" xfId="8615" xr:uid="{00000000-0005-0000-0000-00004D1E0000}"/>
    <cellStyle name="Normal 3 15 2 3 9" xfId="8616" xr:uid="{00000000-0005-0000-0000-00004E1E0000}"/>
    <cellStyle name="Normal 3 15 2 4" xfId="8617" xr:uid="{00000000-0005-0000-0000-00004F1E0000}"/>
    <cellStyle name="Normal 3 15 2 4 10" xfId="8618" xr:uid="{00000000-0005-0000-0000-0000501E0000}"/>
    <cellStyle name="Normal 3 15 2 4 11" xfId="8619" xr:uid="{00000000-0005-0000-0000-0000511E0000}"/>
    <cellStyle name="Normal 3 15 2 4 12" xfId="8620" xr:uid="{00000000-0005-0000-0000-0000521E0000}"/>
    <cellStyle name="Normal 3 15 2 4 13" xfId="8621" xr:uid="{00000000-0005-0000-0000-0000531E0000}"/>
    <cellStyle name="Normal 3 15 2 4 14" xfId="8622" xr:uid="{00000000-0005-0000-0000-0000541E0000}"/>
    <cellStyle name="Normal 3 15 2 4 15" xfId="8623" xr:uid="{00000000-0005-0000-0000-0000551E0000}"/>
    <cellStyle name="Normal 3 15 2 4 16" xfId="8624" xr:uid="{00000000-0005-0000-0000-0000561E0000}"/>
    <cellStyle name="Normal 3 15 2 4 17" xfId="8625" xr:uid="{00000000-0005-0000-0000-0000571E0000}"/>
    <cellStyle name="Normal 3 15 2 4 18" xfId="8626" xr:uid="{00000000-0005-0000-0000-0000581E0000}"/>
    <cellStyle name="Normal 3 15 2 4 19" xfId="8627" xr:uid="{00000000-0005-0000-0000-0000591E0000}"/>
    <cellStyle name="Normal 3 15 2 4 2" xfId="8628" xr:uid="{00000000-0005-0000-0000-00005A1E0000}"/>
    <cellStyle name="Normal 3 15 2 4 2 10" xfId="8629" xr:uid="{00000000-0005-0000-0000-00005B1E0000}"/>
    <cellStyle name="Normal 3 15 2 4 2 11" xfId="8630" xr:uid="{00000000-0005-0000-0000-00005C1E0000}"/>
    <cellStyle name="Normal 3 15 2 4 2 12" xfId="8631" xr:uid="{00000000-0005-0000-0000-00005D1E0000}"/>
    <cellStyle name="Normal 3 15 2 4 2 13" xfId="8632" xr:uid="{00000000-0005-0000-0000-00005E1E0000}"/>
    <cellStyle name="Normal 3 15 2 4 2 14" xfId="8633" xr:uid="{00000000-0005-0000-0000-00005F1E0000}"/>
    <cellStyle name="Normal 3 15 2 4 2 15" xfId="8634" xr:uid="{00000000-0005-0000-0000-0000601E0000}"/>
    <cellStyle name="Normal 3 15 2 4 2 2" xfId="8635" xr:uid="{00000000-0005-0000-0000-0000611E0000}"/>
    <cellStyle name="Normal 3 15 2 4 2 3" xfId="8636" xr:uid="{00000000-0005-0000-0000-0000621E0000}"/>
    <cellStyle name="Normal 3 15 2 4 2 4" xfId="8637" xr:uid="{00000000-0005-0000-0000-0000631E0000}"/>
    <cellStyle name="Normal 3 15 2 4 2 5" xfId="8638" xr:uid="{00000000-0005-0000-0000-0000641E0000}"/>
    <cellStyle name="Normal 3 15 2 4 2 6" xfId="8639" xr:uid="{00000000-0005-0000-0000-0000651E0000}"/>
    <cellStyle name="Normal 3 15 2 4 2 7" xfId="8640" xr:uid="{00000000-0005-0000-0000-0000661E0000}"/>
    <cellStyle name="Normal 3 15 2 4 2 8" xfId="8641" xr:uid="{00000000-0005-0000-0000-0000671E0000}"/>
    <cellStyle name="Normal 3 15 2 4 2 9" xfId="8642" xr:uid="{00000000-0005-0000-0000-0000681E0000}"/>
    <cellStyle name="Normal 3 15 2 4 3" xfId="8643" xr:uid="{00000000-0005-0000-0000-0000691E0000}"/>
    <cellStyle name="Normal 3 15 2 4 3 10" xfId="8644" xr:uid="{00000000-0005-0000-0000-00006A1E0000}"/>
    <cellStyle name="Normal 3 15 2 4 3 11" xfId="8645" xr:uid="{00000000-0005-0000-0000-00006B1E0000}"/>
    <cellStyle name="Normal 3 15 2 4 3 12" xfId="8646" xr:uid="{00000000-0005-0000-0000-00006C1E0000}"/>
    <cellStyle name="Normal 3 15 2 4 3 13" xfId="8647" xr:uid="{00000000-0005-0000-0000-00006D1E0000}"/>
    <cellStyle name="Normal 3 15 2 4 3 14" xfId="8648" xr:uid="{00000000-0005-0000-0000-00006E1E0000}"/>
    <cellStyle name="Normal 3 15 2 4 3 15" xfId="8649" xr:uid="{00000000-0005-0000-0000-00006F1E0000}"/>
    <cellStyle name="Normal 3 15 2 4 3 2" xfId="8650" xr:uid="{00000000-0005-0000-0000-0000701E0000}"/>
    <cellStyle name="Normal 3 15 2 4 3 3" xfId="8651" xr:uid="{00000000-0005-0000-0000-0000711E0000}"/>
    <cellStyle name="Normal 3 15 2 4 3 4" xfId="8652" xr:uid="{00000000-0005-0000-0000-0000721E0000}"/>
    <cellStyle name="Normal 3 15 2 4 3 5" xfId="8653" xr:uid="{00000000-0005-0000-0000-0000731E0000}"/>
    <cellStyle name="Normal 3 15 2 4 3 6" xfId="8654" xr:uid="{00000000-0005-0000-0000-0000741E0000}"/>
    <cellStyle name="Normal 3 15 2 4 3 7" xfId="8655" xr:uid="{00000000-0005-0000-0000-0000751E0000}"/>
    <cellStyle name="Normal 3 15 2 4 3 8" xfId="8656" xr:uid="{00000000-0005-0000-0000-0000761E0000}"/>
    <cellStyle name="Normal 3 15 2 4 3 9" xfId="8657" xr:uid="{00000000-0005-0000-0000-0000771E0000}"/>
    <cellStyle name="Normal 3 15 2 4 4" xfId="8658" xr:uid="{00000000-0005-0000-0000-0000781E0000}"/>
    <cellStyle name="Normal 3 15 2 4 4 10" xfId="8659" xr:uid="{00000000-0005-0000-0000-0000791E0000}"/>
    <cellStyle name="Normal 3 15 2 4 4 11" xfId="8660" xr:uid="{00000000-0005-0000-0000-00007A1E0000}"/>
    <cellStyle name="Normal 3 15 2 4 4 12" xfId="8661" xr:uid="{00000000-0005-0000-0000-00007B1E0000}"/>
    <cellStyle name="Normal 3 15 2 4 4 13" xfId="8662" xr:uid="{00000000-0005-0000-0000-00007C1E0000}"/>
    <cellStyle name="Normal 3 15 2 4 4 14" xfId="8663" xr:uid="{00000000-0005-0000-0000-00007D1E0000}"/>
    <cellStyle name="Normal 3 15 2 4 4 15" xfId="8664" xr:uid="{00000000-0005-0000-0000-00007E1E0000}"/>
    <cellStyle name="Normal 3 15 2 4 4 2" xfId="8665" xr:uid="{00000000-0005-0000-0000-00007F1E0000}"/>
    <cellStyle name="Normal 3 15 2 4 4 3" xfId="8666" xr:uid="{00000000-0005-0000-0000-0000801E0000}"/>
    <cellStyle name="Normal 3 15 2 4 4 4" xfId="8667" xr:uid="{00000000-0005-0000-0000-0000811E0000}"/>
    <cellStyle name="Normal 3 15 2 4 4 5" xfId="8668" xr:uid="{00000000-0005-0000-0000-0000821E0000}"/>
    <cellStyle name="Normal 3 15 2 4 4 6" xfId="8669" xr:uid="{00000000-0005-0000-0000-0000831E0000}"/>
    <cellStyle name="Normal 3 15 2 4 4 7" xfId="8670" xr:uid="{00000000-0005-0000-0000-0000841E0000}"/>
    <cellStyle name="Normal 3 15 2 4 4 8" xfId="8671" xr:uid="{00000000-0005-0000-0000-0000851E0000}"/>
    <cellStyle name="Normal 3 15 2 4 4 9" xfId="8672" xr:uid="{00000000-0005-0000-0000-0000861E0000}"/>
    <cellStyle name="Normal 3 15 2 4 5" xfId="8673" xr:uid="{00000000-0005-0000-0000-0000871E0000}"/>
    <cellStyle name="Normal 3 15 2 4 5 10" xfId="8674" xr:uid="{00000000-0005-0000-0000-0000881E0000}"/>
    <cellStyle name="Normal 3 15 2 4 5 11" xfId="8675" xr:uid="{00000000-0005-0000-0000-0000891E0000}"/>
    <cellStyle name="Normal 3 15 2 4 5 12" xfId="8676" xr:uid="{00000000-0005-0000-0000-00008A1E0000}"/>
    <cellStyle name="Normal 3 15 2 4 5 13" xfId="8677" xr:uid="{00000000-0005-0000-0000-00008B1E0000}"/>
    <cellStyle name="Normal 3 15 2 4 5 14" xfId="8678" xr:uid="{00000000-0005-0000-0000-00008C1E0000}"/>
    <cellStyle name="Normal 3 15 2 4 5 15" xfId="8679" xr:uid="{00000000-0005-0000-0000-00008D1E0000}"/>
    <cellStyle name="Normal 3 15 2 4 5 2" xfId="8680" xr:uid="{00000000-0005-0000-0000-00008E1E0000}"/>
    <cellStyle name="Normal 3 15 2 4 5 3" xfId="8681" xr:uid="{00000000-0005-0000-0000-00008F1E0000}"/>
    <cellStyle name="Normal 3 15 2 4 5 4" xfId="8682" xr:uid="{00000000-0005-0000-0000-0000901E0000}"/>
    <cellStyle name="Normal 3 15 2 4 5 5" xfId="8683" xr:uid="{00000000-0005-0000-0000-0000911E0000}"/>
    <cellStyle name="Normal 3 15 2 4 5 6" xfId="8684" xr:uid="{00000000-0005-0000-0000-0000921E0000}"/>
    <cellStyle name="Normal 3 15 2 4 5 7" xfId="8685" xr:uid="{00000000-0005-0000-0000-0000931E0000}"/>
    <cellStyle name="Normal 3 15 2 4 5 8" xfId="8686" xr:uid="{00000000-0005-0000-0000-0000941E0000}"/>
    <cellStyle name="Normal 3 15 2 4 5 9" xfId="8687" xr:uid="{00000000-0005-0000-0000-0000951E0000}"/>
    <cellStyle name="Normal 3 15 2 4 6" xfId="8688" xr:uid="{00000000-0005-0000-0000-0000961E0000}"/>
    <cellStyle name="Normal 3 15 2 4 7" xfId="8689" xr:uid="{00000000-0005-0000-0000-0000971E0000}"/>
    <cellStyle name="Normal 3 15 2 4 8" xfId="8690" xr:uid="{00000000-0005-0000-0000-0000981E0000}"/>
    <cellStyle name="Normal 3 15 2 4 9" xfId="8691" xr:uid="{00000000-0005-0000-0000-0000991E0000}"/>
    <cellStyle name="Normal 3 15 2 5" xfId="8692" xr:uid="{00000000-0005-0000-0000-00009A1E0000}"/>
    <cellStyle name="Normal 3 15 2 5 10" xfId="8693" xr:uid="{00000000-0005-0000-0000-00009B1E0000}"/>
    <cellStyle name="Normal 3 15 2 5 11" xfId="8694" xr:uid="{00000000-0005-0000-0000-00009C1E0000}"/>
    <cellStyle name="Normal 3 15 2 5 12" xfId="8695" xr:uid="{00000000-0005-0000-0000-00009D1E0000}"/>
    <cellStyle name="Normal 3 15 2 5 13" xfId="8696" xr:uid="{00000000-0005-0000-0000-00009E1E0000}"/>
    <cellStyle name="Normal 3 15 2 5 14" xfId="8697" xr:uid="{00000000-0005-0000-0000-00009F1E0000}"/>
    <cellStyle name="Normal 3 15 2 5 15" xfId="8698" xr:uid="{00000000-0005-0000-0000-0000A01E0000}"/>
    <cellStyle name="Normal 3 15 2 5 16" xfId="8699" xr:uid="{00000000-0005-0000-0000-0000A11E0000}"/>
    <cellStyle name="Normal 3 15 2 5 17" xfId="8700" xr:uid="{00000000-0005-0000-0000-0000A21E0000}"/>
    <cellStyle name="Normal 3 15 2 5 18" xfId="8701" xr:uid="{00000000-0005-0000-0000-0000A31E0000}"/>
    <cellStyle name="Normal 3 15 2 5 19" xfId="8702" xr:uid="{00000000-0005-0000-0000-0000A41E0000}"/>
    <cellStyle name="Normal 3 15 2 5 2" xfId="8703" xr:uid="{00000000-0005-0000-0000-0000A51E0000}"/>
    <cellStyle name="Normal 3 15 2 5 2 10" xfId="8704" xr:uid="{00000000-0005-0000-0000-0000A61E0000}"/>
    <cellStyle name="Normal 3 15 2 5 2 11" xfId="8705" xr:uid="{00000000-0005-0000-0000-0000A71E0000}"/>
    <cellStyle name="Normal 3 15 2 5 2 12" xfId="8706" xr:uid="{00000000-0005-0000-0000-0000A81E0000}"/>
    <cellStyle name="Normal 3 15 2 5 2 13" xfId="8707" xr:uid="{00000000-0005-0000-0000-0000A91E0000}"/>
    <cellStyle name="Normal 3 15 2 5 2 14" xfId="8708" xr:uid="{00000000-0005-0000-0000-0000AA1E0000}"/>
    <cellStyle name="Normal 3 15 2 5 2 15" xfId="8709" xr:uid="{00000000-0005-0000-0000-0000AB1E0000}"/>
    <cellStyle name="Normal 3 15 2 5 2 2" xfId="8710" xr:uid="{00000000-0005-0000-0000-0000AC1E0000}"/>
    <cellStyle name="Normal 3 15 2 5 2 3" xfId="8711" xr:uid="{00000000-0005-0000-0000-0000AD1E0000}"/>
    <cellStyle name="Normal 3 15 2 5 2 4" xfId="8712" xr:uid="{00000000-0005-0000-0000-0000AE1E0000}"/>
    <cellStyle name="Normal 3 15 2 5 2 5" xfId="8713" xr:uid="{00000000-0005-0000-0000-0000AF1E0000}"/>
    <cellStyle name="Normal 3 15 2 5 2 6" xfId="8714" xr:uid="{00000000-0005-0000-0000-0000B01E0000}"/>
    <cellStyle name="Normal 3 15 2 5 2 7" xfId="8715" xr:uid="{00000000-0005-0000-0000-0000B11E0000}"/>
    <cellStyle name="Normal 3 15 2 5 2 8" xfId="8716" xr:uid="{00000000-0005-0000-0000-0000B21E0000}"/>
    <cellStyle name="Normal 3 15 2 5 2 9" xfId="8717" xr:uid="{00000000-0005-0000-0000-0000B31E0000}"/>
    <cellStyle name="Normal 3 15 2 5 3" xfId="8718" xr:uid="{00000000-0005-0000-0000-0000B41E0000}"/>
    <cellStyle name="Normal 3 15 2 5 3 10" xfId="8719" xr:uid="{00000000-0005-0000-0000-0000B51E0000}"/>
    <cellStyle name="Normal 3 15 2 5 3 11" xfId="8720" xr:uid="{00000000-0005-0000-0000-0000B61E0000}"/>
    <cellStyle name="Normal 3 15 2 5 3 12" xfId="8721" xr:uid="{00000000-0005-0000-0000-0000B71E0000}"/>
    <cellStyle name="Normal 3 15 2 5 3 13" xfId="8722" xr:uid="{00000000-0005-0000-0000-0000B81E0000}"/>
    <cellStyle name="Normal 3 15 2 5 3 14" xfId="8723" xr:uid="{00000000-0005-0000-0000-0000B91E0000}"/>
    <cellStyle name="Normal 3 15 2 5 3 15" xfId="8724" xr:uid="{00000000-0005-0000-0000-0000BA1E0000}"/>
    <cellStyle name="Normal 3 15 2 5 3 2" xfId="8725" xr:uid="{00000000-0005-0000-0000-0000BB1E0000}"/>
    <cellStyle name="Normal 3 15 2 5 3 3" xfId="8726" xr:uid="{00000000-0005-0000-0000-0000BC1E0000}"/>
    <cellStyle name="Normal 3 15 2 5 3 4" xfId="8727" xr:uid="{00000000-0005-0000-0000-0000BD1E0000}"/>
    <cellStyle name="Normal 3 15 2 5 3 5" xfId="8728" xr:uid="{00000000-0005-0000-0000-0000BE1E0000}"/>
    <cellStyle name="Normal 3 15 2 5 3 6" xfId="8729" xr:uid="{00000000-0005-0000-0000-0000BF1E0000}"/>
    <cellStyle name="Normal 3 15 2 5 3 7" xfId="8730" xr:uid="{00000000-0005-0000-0000-0000C01E0000}"/>
    <cellStyle name="Normal 3 15 2 5 3 8" xfId="8731" xr:uid="{00000000-0005-0000-0000-0000C11E0000}"/>
    <cellStyle name="Normal 3 15 2 5 3 9" xfId="8732" xr:uid="{00000000-0005-0000-0000-0000C21E0000}"/>
    <cellStyle name="Normal 3 15 2 5 4" xfId="8733" xr:uid="{00000000-0005-0000-0000-0000C31E0000}"/>
    <cellStyle name="Normal 3 15 2 5 4 10" xfId="8734" xr:uid="{00000000-0005-0000-0000-0000C41E0000}"/>
    <cellStyle name="Normal 3 15 2 5 4 11" xfId="8735" xr:uid="{00000000-0005-0000-0000-0000C51E0000}"/>
    <cellStyle name="Normal 3 15 2 5 4 12" xfId="8736" xr:uid="{00000000-0005-0000-0000-0000C61E0000}"/>
    <cellStyle name="Normal 3 15 2 5 4 13" xfId="8737" xr:uid="{00000000-0005-0000-0000-0000C71E0000}"/>
    <cellStyle name="Normal 3 15 2 5 4 14" xfId="8738" xr:uid="{00000000-0005-0000-0000-0000C81E0000}"/>
    <cellStyle name="Normal 3 15 2 5 4 15" xfId="8739" xr:uid="{00000000-0005-0000-0000-0000C91E0000}"/>
    <cellStyle name="Normal 3 15 2 5 4 2" xfId="8740" xr:uid="{00000000-0005-0000-0000-0000CA1E0000}"/>
    <cellStyle name="Normal 3 15 2 5 4 3" xfId="8741" xr:uid="{00000000-0005-0000-0000-0000CB1E0000}"/>
    <cellStyle name="Normal 3 15 2 5 4 4" xfId="8742" xr:uid="{00000000-0005-0000-0000-0000CC1E0000}"/>
    <cellStyle name="Normal 3 15 2 5 4 5" xfId="8743" xr:uid="{00000000-0005-0000-0000-0000CD1E0000}"/>
    <cellStyle name="Normal 3 15 2 5 4 6" xfId="8744" xr:uid="{00000000-0005-0000-0000-0000CE1E0000}"/>
    <cellStyle name="Normal 3 15 2 5 4 7" xfId="8745" xr:uid="{00000000-0005-0000-0000-0000CF1E0000}"/>
    <cellStyle name="Normal 3 15 2 5 4 8" xfId="8746" xr:uid="{00000000-0005-0000-0000-0000D01E0000}"/>
    <cellStyle name="Normal 3 15 2 5 4 9" xfId="8747" xr:uid="{00000000-0005-0000-0000-0000D11E0000}"/>
    <cellStyle name="Normal 3 15 2 5 5" xfId="8748" xr:uid="{00000000-0005-0000-0000-0000D21E0000}"/>
    <cellStyle name="Normal 3 15 2 5 5 10" xfId="8749" xr:uid="{00000000-0005-0000-0000-0000D31E0000}"/>
    <cellStyle name="Normal 3 15 2 5 5 11" xfId="8750" xr:uid="{00000000-0005-0000-0000-0000D41E0000}"/>
    <cellStyle name="Normal 3 15 2 5 5 12" xfId="8751" xr:uid="{00000000-0005-0000-0000-0000D51E0000}"/>
    <cellStyle name="Normal 3 15 2 5 5 13" xfId="8752" xr:uid="{00000000-0005-0000-0000-0000D61E0000}"/>
    <cellStyle name="Normal 3 15 2 5 5 14" xfId="8753" xr:uid="{00000000-0005-0000-0000-0000D71E0000}"/>
    <cellStyle name="Normal 3 15 2 5 5 15" xfId="8754" xr:uid="{00000000-0005-0000-0000-0000D81E0000}"/>
    <cellStyle name="Normal 3 15 2 5 5 2" xfId="8755" xr:uid="{00000000-0005-0000-0000-0000D91E0000}"/>
    <cellStyle name="Normal 3 15 2 5 5 3" xfId="8756" xr:uid="{00000000-0005-0000-0000-0000DA1E0000}"/>
    <cellStyle name="Normal 3 15 2 5 5 4" xfId="8757" xr:uid="{00000000-0005-0000-0000-0000DB1E0000}"/>
    <cellStyle name="Normal 3 15 2 5 5 5" xfId="8758" xr:uid="{00000000-0005-0000-0000-0000DC1E0000}"/>
    <cellStyle name="Normal 3 15 2 5 5 6" xfId="8759" xr:uid="{00000000-0005-0000-0000-0000DD1E0000}"/>
    <cellStyle name="Normal 3 15 2 5 5 7" xfId="8760" xr:uid="{00000000-0005-0000-0000-0000DE1E0000}"/>
    <cellStyle name="Normal 3 15 2 5 5 8" xfId="8761" xr:uid="{00000000-0005-0000-0000-0000DF1E0000}"/>
    <cellStyle name="Normal 3 15 2 5 5 9" xfId="8762" xr:uid="{00000000-0005-0000-0000-0000E01E0000}"/>
    <cellStyle name="Normal 3 15 2 5 6" xfId="8763" xr:uid="{00000000-0005-0000-0000-0000E11E0000}"/>
    <cellStyle name="Normal 3 15 2 5 7" xfId="8764" xr:uid="{00000000-0005-0000-0000-0000E21E0000}"/>
    <cellStyle name="Normal 3 15 2 5 8" xfId="8765" xr:uid="{00000000-0005-0000-0000-0000E31E0000}"/>
    <cellStyle name="Normal 3 15 2 5 9" xfId="8766" xr:uid="{00000000-0005-0000-0000-0000E41E0000}"/>
    <cellStyle name="Normal 3 15 2 6" xfId="8767" xr:uid="{00000000-0005-0000-0000-0000E51E0000}"/>
    <cellStyle name="Normal 3 15 2 6 10" xfId="8768" xr:uid="{00000000-0005-0000-0000-0000E61E0000}"/>
    <cellStyle name="Normal 3 15 2 6 11" xfId="8769" xr:uid="{00000000-0005-0000-0000-0000E71E0000}"/>
    <cellStyle name="Normal 3 15 2 6 12" xfId="8770" xr:uid="{00000000-0005-0000-0000-0000E81E0000}"/>
    <cellStyle name="Normal 3 15 2 6 13" xfId="8771" xr:uid="{00000000-0005-0000-0000-0000E91E0000}"/>
    <cellStyle name="Normal 3 15 2 6 14" xfId="8772" xr:uid="{00000000-0005-0000-0000-0000EA1E0000}"/>
    <cellStyle name="Normal 3 15 2 6 15" xfId="8773" xr:uid="{00000000-0005-0000-0000-0000EB1E0000}"/>
    <cellStyle name="Normal 3 15 2 6 16" xfId="8774" xr:uid="{00000000-0005-0000-0000-0000EC1E0000}"/>
    <cellStyle name="Normal 3 15 2 6 17" xfId="8775" xr:uid="{00000000-0005-0000-0000-0000ED1E0000}"/>
    <cellStyle name="Normal 3 15 2 6 18" xfId="8776" xr:uid="{00000000-0005-0000-0000-0000EE1E0000}"/>
    <cellStyle name="Normal 3 15 2 6 19" xfId="8777" xr:uid="{00000000-0005-0000-0000-0000EF1E0000}"/>
    <cellStyle name="Normal 3 15 2 6 2" xfId="8778" xr:uid="{00000000-0005-0000-0000-0000F01E0000}"/>
    <cellStyle name="Normal 3 15 2 6 2 10" xfId="8779" xr:uid="{00000000-0005-0000-0000-0000F11E0000}"/>
    <cellStyle name="Normal 3 15 2 6 2 11" xfId="8780" xr:uid="{00000000-0005-0000-0000-0000F21E0000}"/>
    <cellStyle name="Normal 3 15 2 6 2 12" xfId="8781" xr:uid="{00000000-0005-0000-0000-0000F31E0000}"/>
    <cellStyle name="Normal 3 15 2 6 2 13" xfId="8782" xr:uid="{00000000-0005-0000-0000-0000F41E0000}"/>
    <cellStyle name="Normal 3 15 2 6 2 14" xfId="8783" xr:uid="{00000000-0005-0000-0000-0000F51E0000}"/>
    <cellStyle name="Normal 3 15 2 6 2 15" xfId="8784" xr:uid="{00000000-0005-0000-0000-0000F61E0000}"/>
    <cellStyle name="Normal 3 15 2 6 2 2" xfId="8785" xr:uid="{00000000-0005-0000-0000-0000F71E0000}"/>
    <cellStyle name="Normal 3 15 2 6 2 3" xfId="8786" xr:uid="{00000000-0005-0000-0000-0000F81E0000}"/>
    <cellStyle name="Normal 3 15 2 6 2 4" xfId="8787" xr:uid="{00000000-0005-0000-0000-0000F91E0000}"/>
    <cellStyle name="Normal 3 15 2 6 2 5" xfId="8788" xr:uid="{00000000-0005-0000-0000-0000FA1E0000}"/>
    <cellStyle name="Normal 3 15 2 6 2 6" xfId="8789" xr:uid="{00000000-0005-0000-0000-0000FB1E0000}"/>
    <cellStyle name="Normal 3 15 2 6 2 7" xfId="8790" xr:uid="{00000000-0005-0000-0000-0000FC1E0000}"/>
    <cellStyle name="Normal 3 15 2 6 2 8" xfId="8791" xr:uid="{00000000-0005-0000-0000-0000FD1E0000}"/>
    <cellStyle name="Normal 3 15 2 6 2 9" xfId="8792" xr:uid="{00000000-0005-0000-0000-0000FE1E0000}"/>
    <cellStyle name="Normal 3 15 2 6 3" xfId="8793" xr:uid="{00000000-0005-0000-0000-0000FF1E0000}"/>
    <cellStyle name="Normal 3 15 2 6 3 10" xfId="8794" xr:uid="{00000000-0005-0000-0000-0000001F0000}"/>
    <cellStyle name="Normal 3 15 2 6 3 11" xfId="8795" xr:uid="{00000000-0005-0000-0000-0000011F0000}"/>
    <cellStyle name="Normal 3 15 2 6 3 12" xfId="8796" xr:uid="{00000000-0005-0000-0000-0000021F0000}"/>
    <cellStyle name="Normal 3 15 2 6 3 13" xfId="8797" xr:uid="{00000000-0005-0000-0000-0000031F0000}"/>
    <cellStyle name="Normal 3 15 2 6 3 14" xfId="8798" xr:uid="{00000000-0005-0000-0000-0000041F0000}"/>
    <cellStyle name="Normal 3 15 2 6 3 15" xfId="8799" xr:uid="{00000000-0005-0000-0000-0000051F0000}"/>
    <cellStyle name="Normal 3 15 2 6 3 2" xfId="8800" xr:uid="{00000000-0005-0000-0000-0000061F0000}"/>
    <cellStyle name="Normal 3 15 2 6 3 3" xfId="8801" xr:uid="{00000000-0005-0000-0000-0000071F0000}"/>
    <cellStyle name="Normal 3 15 2 6 3 4" xfId="8802" xr:uid="{00000000-0005-0000-0000-0000081F0000}"/>
    <cellStyle name="Normal 3 15 2 6 3 5" xfId="8803" xr:uid="{00000000-0005-0000-0000-0000091F0000}"/>
    <cellStyle name="Normal 3 15 2 6 3 6" xfId="8804" xr:uid="{00000000-0005-0000-0000-00000A1F0000}"/>
    <cellStyle name="Normal 3 15 2 6 3 7" xfId="8805" xr:uid="{00000000-0005-0000-0000-00000B1F0000}"/>
    <cellStyle name="Normal 3 15 2 6 3 8" xfId="8806" xr:uid="{00000000-0005-0000-0000-00000C1F0000}"/>
    <cellStyle name="Normal 3 15 2 6 3 9" xfId="8807" xr:uid="{00000000-0005-0000-0000-00000D1F0000}"/>
    <cellStyle name="Normal 3 15 2 6 4" xfId="8808" xr:uid="{00000000-0005-0000-0000-00000E1F0000}"/>
    <cellStyle name="Normal 3 15 2 6 4 10" xfId="8809" xr:uid="{00000000-0005-0000-0000-00000F1F0000}"/>
    <cellStyle name="Normal 3 15 2 6 4 11" xfId="8810" xr:uid="{00000000-0005-0000-0000-0000101F0000}"/>
    <cellStyle name="Normal 3 15 2 6 4 12" xfId="8811" xr:uid="{00000000-0005-0000-0000-0000111F0000}"/>
    <cellStyle name="Normal 3 15 2 6 4 13" xfId="8812" xr:uid="{00000000-0005-0000-0000-0000121F0000}"/>
    <cellStyle name="Normal 3 15 2 6 4 14" xfId="8813" xr:uid="{00000000-0005-0000-0000-0000131F0000}"/>
    <cellStyle name="Normal 3 15 2 6 4 15" xfId="8814" xr:uid="{00000000-0005-0000-0000-0000141F0000}"/>
    <cellStyle name="Normal 3 15 2 6 4 2" xfId="8815" xr:uid="{00000000-0005-0000-0000-0000151F0000}"/>
    <cellStyle name="Normal 3 15 2 6 4 3" xfId="8816" xr:uid="{00000000-0005-0000-0000-0000161F0000}"/>
    <cellStyle name="Normal 3 15 2 6 4 4" xfId="8817" xr:uid="{00000000-0005-0000-0000-0000171F0000}"/>
    <cellStyle name="Normal 3 15 2 6 4 5" xfId="8818" xr:uid="{00000000-0005-0000-0000-0000181F0000}"/>
    <cellStyle name="Normal 3 15 2 6 4 6" xfId="8819" xr:uid="{00000000-0005-0000-0000-0000191F0000}"/>
    <cellStyle name="Normal 3 15 2 6 4 7" xfId="8820" xr:uid="{00000000-0005-0000-0000-00001A1F0000}"/>
    <cellStyle name="Normal 3 15 2 6 4 8" xfId="8821" xr:uid="{00000000-0005-0000-0000-00001B1F0000}"/>
    <cellStyle name="Normal 3 15 2 6 4 9" xfId="8822" xr:uid="{00000000-0005-0000-0000-00001C1F0000}"/>
    <cellStyle name="Normal 3 15 2 6 5" xfId="8823" xr:uid="{00000000-0005-0000-0000-00001D1F0000}"/>
    <cellStyle name="Normal 3 15 2 6 5 10" xfId="8824" xr:uid="{00000000-0005-0000-0000-00001E1F0000}"/>
    <cellStyle name="Normal 3 15 2 6 5 11" xfId="8825" xr:uid="{00000000-0005-0000-0000-00001F1F0000}"/>
    <cellStyle name="Normal 3 15 2 6 5 12" xfId="8826" xr:uid="{00000000-0005-0000-0000-0000201F0000}"/>
    <cellStyle name="Normal 3 15 2 6 5 13" xfId="8827" xr:uid="{00000000-0005-0000-0000-0000211F0000}"/>
    <cellStyle name="Normal 3 15 2 6 5 14" xfId="8828" xr:uid="{00000000-0005-0000-0000-0000221F0000}"/>
    <cellStyle name="Normal 3 15 2 6 5 15" xfId="8829" xr:uid="{00000000-0005-0000-0000-0000231F0000}"/>
    <cellStyle name="Normal 3 15 2 6 5 2" xfId="8830" xr:uid="{00000000-0005-0000-0000-0000241F0000}"/>
    <cellStyle name="Normal 3 15 2 6 5 3" xfId="8831" xr:uid="{00000000-0005-0000-0000-0000251F0000}"/>
    <cellStyle name="Normal 3 15 2 6 5 4" xfId="8832" xr:uid="{00000000-0005-0000-0000-0000261F0000}"/>
    <cellStyle name="Normal 3 15 2 6 5 5" xfId="8833" xr:uid="{00000000-0005-0000-0000-0000271F0000}"/>
    <cellStyle name="Normal 3 15 2 6 5 6" xfId="8834" xr:uid="{00000000-0005-0000-0000-0000281F0000}"/>
    <cellStyle name="Normal 3 15 2 6 5 7" xfId="8835" xr:uid="{00000000-0005-0000-0000-0000291F0000}"/>
    <cellStyle name="Normal 3 15 2 6 5 8" xfId="8836" xr:uid="{00000000-0005-0000-0000-00002A1F0000}"/>
    <cellStyle name="Normal 3 15 2 6 5 9" xfId="8837" xr:uid="{00000000-0005-0000-0000-00002B1F0000}"/>
    <cellStyle name="Normal 3 15 2 6 6" xfId="8838" xr:uid="{00000000-0005-0000-0000-00002C1F0000}"/>
    <cellStyle name="Normal 3 15 2 6 7" xfId="8839" xr:uid="{00000000-0005-0000-0000-00002D1F0000}"/>
    <cellStyle name="Normal 3 15 2 6 8" xfId="8840" xr:uid="{00000000-0005-0000-0000-00002E1F0000}"/>
    <cellStyle name="Normal 3 15 2 6 9" xfId="8841" xr:uid="{00000000-0005-0000-0000-00002F1F0000}"/>
    <cellStyle name="Normal 3 15 2 7" xfId="8842" xr:uid="{00000000-0005-0000-0000-0000301F0000}"/>
    <cellStyle name="Normal 3 15 2 8" xfId="8843" xr:uid="{00000000-0005-0000-0000-0000311F0000}"/>
    <cellStyle name="Normal 3 15 2 9" xfId="8844" xr:uid="{00000000-0005-0000-0000-0000321F0000}"/>
    <cellStyle name="Normal 3 15 20" xfId="8845" xr:uid="{00000000-0005-0000-0000-0000331F0000}"/>
    <cellStyle name="Normal 3 15 21" xfId="8846" xr:uid="{00000000-0005-0000-0000-0000341F0000}"/>
    <cellStyle name="Normal 3 15 22" xfId="8847" xr:uid="{00000000-0005-0000-0000-0000351F0000}"/>
    <cellStyle name="Normal 3 15 23" xfId="8848" xr:uid="{00000000-0005-0000-0000-0000361F0000}"/>
    <cellStyle name="Normal 3 15 24" xfId="8849" xr:uid="{00000000-0005-0000-0000-0000371F0000}"/>
    <cellStyle name="Normal 3 15 3" xfId="8850" xr:uid="{00000000-0005-0000-0000-0000381F0000}"/>
    <cellStyle name="Normal 3 15 3 10" xfId="8851" xr:uid="{00000000-0005-0000-0000-0000391F0000}"/>
    <cellStyle name="Normal 3 15 3 11" xfId="8852" xr:uid="{00000000-0005-0000-0000-00003A1F0000}"/>
    <cellStyle name="Normal 3 15 3 12" xfId="8853" xr:uid="{00000000-0005-0000-0000-00003B1F0000}"/>
    <cellStyle name="Normal 3 15 3 13" xfId="8854" xr:uid="{00000000-0005-0000-0000-00003C1F0000}"/>
    <cellStyle name="Normal 3 15 3 14" xfId="8855" xr:uid="{00000000-0005-0000-0000-00003D1F0000}"/>
    <cellStyle name="Normal 3 15 3 15" xfId="8856" xr:uid="{00000000-0005-0000-0000-00003E1F0000}"/>
    <cellStyle name="Normal 3 15 3 2" xfId="8857" xr:uid="{00000000-0005-0000-0000-00003F1F0000}"/>
    <cellStyle name="Normal 3 15 3 3" xfId="8858" xr:uid="{00000000-0005-0000-0000-0000401F0000}"/>
    <cellStyle name="Normal 3 15 3 4" xfId="8859" xr:uid="{00000000-0005-0000-0000-0000411F0000}"/>
    <cellStyle name="Normal 3 15 3 5" xfId="8860" xr:uid="{00000000-0005-0000-0000-0000421F0000}"/>
    <cellStyle name="Normal 3 15 3 6" xfId="8861" xr:uid="{00000000-0005-0000-0000-0000431F0000}"/>
    <cellStyle name="Normal 3 15 3 7" xfId="8862" xr:uid="{00000000-0005-0000-0000-0000441F0000}"/>
    <cellStyle name="Normal 3 15 3 8" xfId="8863" xr:uid="{00000000-0005-0000-0000-0000451F0000}"/>
    <cellStyle name="Normal 3 15 3 9" xfId="8864" xr:uid="{00000000-0005-0000-0000-0000461F0000}"/>
    <cellStyle name="Normal 3 15 4" xfId="8865" xr:uid="{00000000-0005-0000-0000-0000471F0000}"/>
    <cellStyle name="Normal 3 15 4 10" xfId="8866" xr:uid="{00000000-0005-0000-0000-0000481F0000}"/>
    <cellStyle name="Normal 3 15 4 11" xfId="8867" xr:uid="{00000000-0005-0000-0000-0000491F0000}"/>
    <cellStyle name="Normal 3 15 4 12" xfId="8868" xr:uid="{00000000-0005-0000-0000-00004A1F0000}"/>
    <cellStyle name="Normal 3 15 4 13" xfId="8869" xr:uid="{00000000-0005-0000-0000-00004B1F0000}"/>
    <cellStyle name="Normal 3 15 4 14" xfId="8870" xr:uid="{00000000-0005-0000-0000-00004C1F0000}"/>
    <cellStyle name="Normal 3 15 4 15" xfId="8871" xr:uid="{00000000-0005-0000-0000-00004D1F0000}"/>
    <cellStyle name="Normal 3 15 4 2" xfId="8872" xr:uid="{00000000-0005-0000-0000-00004E1F0000}"/>
    <cellStyle name="Normal 3 15 4 3" xfId="8873" xr:uid="{00000000-0005-0000-0000-00004F1F0000}"/>
    <cellStyle name="Normal 3 15 4 4" xfId="8874" xr:uid="{00000000-0005-0000-0000-0000501F0000}"/>
    <cellStyle name="Normal 3 15 4 5" xfId="8875" xr:uid="{00000000-0005-0000-0000-0000511F0000}"/>
    <cellStyle name="Normal 3 15 4 6" xfId="8876" xr:uid="{00000000-0005-0000-0000-0000521F0000}"/>
    <cellStyle name="Normal 3 15 4 7" xfId="8877" xr:uid="{00000000-0005-0000-0000-0000531F0000}"/>
    <cellStyle name="Normal 3 15 4 8" xfId="8878" xr:uid="{00000000-0005-0000-0000-0000541F0000}"/>
    <cellStyle name="Normal 3 15 4 9" xfId="8879" xr:uid="{00000000-0005-0000-0000-0000551F0000}"/>
    <cellStyle name="Normal 3 15 5" xfId="8880" xr:uid="{00000000-0005-0000-0000-0000561F0000}"/>
    <cellStyle name="Normal 3 15 5 10" xfId="8881" xr:uid="{00000000-0005-0000-0000-0000571F0000}"/>
    <cellStyle name="Normal 3 15 5 11" xfId="8882" xr:uid="{00000000-0005-0000-0000-0000581F0000}"/>
    <cellStyle name="Normal 3 15 5 12" xfId="8883" xr:uid="{00000000-0005-0000-0000-0000591F0000}"/>
    <cellStyle name="Normal 3 15 5 13" xfId="8884" xr:uid="{00000000-0005-0000-0000-00005A1F0000}"/>
    <cellStyle name="Normal 3 15 5 14" xfId="8885" xr:uid="{00000000-0005-0000-0000-00005B1F0000}"/>
    <cellStyle name="Normal 3 15 5 15" xfId="8886" xr:uid="{00000000-0005-0000-0000-00005C1F0000}"/>
    <cellStyle name="Normal 3 15 5 2" xfId="8887" xr:uid="{00000000-0005-0000-0000-00005D1F0000}"/>
    <cellStyle name="Normal 3 15 5 3" xfId="8888" xr:uid="{00000000-0005-0000-0000-00005E1F0000}"/>
    <cellStyle name="Normal 3 15 5 4" xfId="8889" xr:uid="{00000000-0005-0000-0000-00005F1F0000}"/>
    <cellStyle name="Normal 3 15 5 5" xfId="8890" xr:uid="{00000000-0005-0000-0000-0000601F0000}"/>
    <cellStyle name="Normal 3 15 5 6" xfId="8891" xr:uid="{00000000-0005-0000-0000-0000611F0000}"/>
    <cellStyle name="Normal 3 15 5 7" xfId="8892" xr:uid="{00000000-0005-0000-0000-0000621F0000}"/>
    <cellStyle name="Normal 3 15 5 8" xfId="8893" xr:uid="{00000000-0005-0000-0000-0000631F0000}"/>
    <cellStyle name="Normal 3 15 5 9" xfId="8894" xr:uid="{00000000-0005-0000-0000-0000641F0000}"/>
    <cellStyle name="Normal 3 15 6" xfId="8895" xr:uid="{00000000-0005-0000-0000-0000651F0000}"/>
    <cellStyle name="Normal 3 15 6 10" xfId="8896" xr:uid="{00000000-0005-0000-0000-0000661F0000}"/>
    <cellStyle name="Normal 3 15 6 11" xfId="8897" xr:uid="{00000000-0005-0000-0000-0000671F0000}"/>
    <cellStyle name="Normal 3 15 6 12" xfId="8898" xr:uid="{00000000-0005-0000-0000-0000681F0000}"/>
    <cellStyle name="Normal 3 15 6 13" xfId="8899" xr:uid="{00000000-0005-0000-0000-0000691F0000}"/>
    <cellStyle name="Normal 3 15 6 14" xfId="8900" xr:uid="{00000000-0005-0000-0000-00006A1F0000}"/>
    <cellStyle name="Normal 3 15 6 15" xfId="8901" xr:uid="{00000000-0005-0000-0000-00006B1F0000}"/>
    <cellStyle name="Normal 3 15 6 2" xfId="8902" xr:uid="{00000000-0005-0000-0000-00006C1F0000}"/>
    <cellStyle name="Normal 3 15 6 3" xfId="8903" xr:uid="{00000000-0005-0000-0000-00006D1F0000}"/>
    <cellStyle name="Normal 3 15 6 4" xfId="8904" xr:uid="{00000000-0005-0000-0000-00006E1F0000}"/>
    <cellStyle name="Normal 3 15 6 5" xfId="8905" xr:uid="{00000000-0005-0000-0000-00006F1F0000}"/>
    <cellStyle name="Normal 3 15 6 6" xfId="8906" xr:uid="{00000000-0005-0000-0000-0000701F0000}"/>
    <cellStyle name="Normal 3 15 6 7" xfId="8907" xr:uid="{00000000-0005-0000-0000-0000711F0000}"/>
    <cellStyle name="Normal 3 15 6 8" xfId="8908" xr:uid="{00000000-0005-0000-0000-0000721F0000}"/>
    <cellStyle name="Normal 3 15 6 9" xfId="8909" xr:uid="{00000000-0005-0000-0000-0000731F0000}"/>
    <cellStyle name="Normal 3 15 7" xfId="8910" xr:uid="{00000000-0005-0000-0000-0000741F0000}"/>
    <cellStyle name="Normal 3 15 7 10" xfId="8911" xr:uid="{00000000-0005-0000-0000-0000751F0000}"/>
    <cellStyle name="Normal 3 15 7 11" xfId="8912" xr:uid="{00000000-0005-0000-0000-0000761F0000}"/>
    <cellStyle name="Normal 3 15 7 12" xfId="8913" xr:uid="{00000000-0005-0000-0000-0000771F0000}"/>
    <cellStyle name="Normal 3 15 7 13" xfId="8914" xr:uid="{00000000-0005-0000-0000-0000781F0000}"/>
    <cellStyle name="Normal 3 15 7 14" xfId="8915" xr:uid="{00000000-0005-0000-0000-0000791F0000}"/>
    <cellStyle name="Normal 3 15 7 15" xfId="8916" xr:uid="{00000000-0005-0000-0000-00007A1F0000}"/>
    <cellStyle name="Normal 3 15 7 2" xfId="8917" xr:uid="{00000000-0005-0000-0000-00007B1F0000}"/>
    <cellStyle name="Normal 3 15 7 3" xfId="8918" xr:uid="{00000000-0005-0000-0000-00007C1F0000}"/>
    <cellStyle name="Normal 3 15 7 4" xfId="8919" xr:uid="{00000000-0005-0000-0000-00007D1F0000}"/>
    <cellStyle name="Normal 3 15 7 5" xfId="8920" xr:uid="{00000000-0005-0000-0000-00007E1F0000}"/>
    <cellStyle name="Normal 3 15 7 6" xfId="8921" xr:uid="{00000000-0005-0000-0000-00007F1F0000}"/>
    <cellStyle name="Normal 3 15 7 7" xfId="8922" xr:uid="{00000000-0005-0000-0000-0000801F0000}"/>
    <cellStyle name="Normal 3 15 7 8" xfId="8923" xr:uid="{00000000-0005-0000-0000-0000811F0000}"/>
    <cellStyle name="Normal 3 15 7 9" xfId="8924" xr:uid="{00000000-0005-0000-0000-0000821F0000}"/>
    <cellStyle name="Normal 3 15 8" xfId="8925" xr:uid="{00000000-0005-0000-0000-0000831F0000}"/>
    <cellStyle name="Normal 3 15 8 10" xfId="8926" xr:uid="{00000000-0005-0000-0000-0000841F0000}"/>
    <cellStyle name="Normal 3 15 8 11" xfId="8927" xr:uid="{00000000-0005-0000-0000-0000851F0000}"/>
    <cellStyle name="Normal 3 15 8 12" xfId="8928" xr:uid="{00000000-0005-0000-0000-0000861F0000}"/>
    <cellStyle name="Normal 3 15 8 13" xfId="8929" xr:uid="{00000000-0005-0000-0000-0000871F0000}"/>
    <cellStyle name="Normal 3 15 8 14" xfId="8930" xr:uid="{00000000-0005-0000-0000-0000881F0000}"/>
    <cellStyle name="Normal 3 15 8 15" xfId="8931" xr:uid="{00000000-0005-0000-0000-0000891F0000}"/>
    <cellStyle name="Normal 3 15 8 2" xfId="8932" xr:uid="{00000000-0005-0000-0000-00008A1F0000}"/>
    <cellStyle name="Normal 3 15 8 3" xfId="8933" xr:uid="{00000000-0005-0000-0000-00008B1F0000}"/>
    <cellStyle name="Normal 3 15 8 4" xfId="8934" xr:uid="{00000000-0005-0000-0000-00008C1F0000}"/>
    <cellStyle name="Normal 3 15 8 5" xfId="8935" xr:uid="{00000000-0005-0000-0000-00008D1F0000}"/>
    <cellStyle name="Normal 3 15 8 6" xfId="8936" xr:uid="{00000000-0005-0000-0000-00008E1F0000}"/>
    <cellStyle name="Normal 3 15 8 7" xfId="8937" xr:uid="{00000000-0005-0000-0000-00008F1F0000}"/>
    <cellStyle name="Normal 3 15 8 8" xfId="8938" xr:uid="{00000000-0005-0000-0000-0000901F0000}"/>
    <cellStyle name="Normal 3 15 8 9" xfId="8939" xr:uid="{00000000-0005-0000-0000-0000911F0000}"/>
    <cellStyle name="Normal 3 15 9" xfId="8940" xr:uid="{00000000-0005-0000-0000-0000921F0000}"/>
    <cellStyle name="Normal 3 15 9 10" xfId="8941" xr:uid="{00000000-0005-0000-0000-0000931F0000}"/>
    <cellStyle name="Normal 3 15 9 11" xfId="8942" xr:uid="{00000000-0005-0000-0000-0000941F0000}"/>
    <cellStyle name="Normal 3 15 9 12" xfId="8943" xr:uid="{00000000-0005-0000-0000-0000951F0000}"/>
    <cellStyle name="Normal 3 15 9 13" xfId="8944" xr:uid="{00000000-0005-0000-0000-0000961F0000}"/>
    <cellStyle name="Normal 3 15 9 14" xfId="8945" xr:uid="{00000000-0005-0000-0000-0000971F0000}"/>
    <cellStyle name="Normal 3 15 9 15" xfId="8946" xr:uid="{00000000-0005-0000-0000-0000981F0000}"/>
    <cellStyle name="Normal 3 15 9 2" xfId="8947" xr:uid="{00000000-0005-0000-0000-0000991F0000}"/>
    <cellStyle name="Normal 3 15 9 3" xfId="8948" xr:uid="{00000000-0005-0000-0000-00009A1F0000}"/>
    <cellStyle name="Normal 3 15 9 4" xfId="8949" xr:uid="{00000000-0005-0000-0000-00009B1F0000}"/>
    <cellStyle name="Normal 3 15 9 5" xfId="8950" xr:uid="{00000000-0005-0000-0000-00009C1F0000}"/>
    <cellStyle name="Normal 3 15 9 6" xfId="8951" xr:uid="{00000000-0005-0000-0000-00009D1F0000}"/>
    <cellStyle name="Normal 3 15 9 7" xfId="8952" xr:uid="{00000000-0005-0000-0000-00009E1F0000}"/>
    <cellStyle name="Normal 3 15 9 8" xfId="8953" xr:uid="{00000000-0005-0000-0000-00009F1F0000}"/>
    <cellStyle name="Normal 3 15 9 9" xfId="8954" xr:uid="{00000000-0005-0000-0000-0000A01F0000}"/>
    <cellStyle name="Normal 3 16" xfId="8955" xr:uid="{00000000-0005-0000-0000-0000A11F0000}"/>
    <cellStyle name="Normal 3 16 10" xfId="8956" xr:uid="{00000000-0005-0000-0000-0000A21F0000}"/>
    <cellStyle name="Normal 3 16 11" xfId="8957" xr:uid="{00000000-0005-0000-0000-0000A31F0000}"/>
    <cellStyle name="Normal 3 16 12" xfId="8958" xr:uid="{00000000-0005-0000-0000-0000A41F0000}"/>
    <cellStyle name="Normal 3 16 13" xfId="8959" xr:uid="{00000000-0005-0000-0000-0000A51F0000}"/>
    <cellStyle name="Normal 3 16 14" xfId="8960" xr:uid="{00000000-0005-0000-0000-0000A61F0000}"/>
    <cellStyle name="Normal 3 16 15" xfId="8961" xr:uid="{00000000-0005-0000-0000-0000A71F0000}"/>
    <cellStyle name="Normal 3 16 16" xfId="8962" xr:uid="{00000000-0005-0000-0000-0000A81F0000}"/>
    <cellStyle name="Normal 3 16 17" xfId="8963" xr:uid="{00000000-0005-0000-0000-0000A91F0000}"/>
    <cellStyle name="Normal 3 16 18" xfId="8964" xr:uid="{00000000-0005-0000-0000-0000AA1F0000}"/>
    <cellStyle name="Normal 3 16 19" xfId="8965" xr:uid="{00000000-0005-0000-0000-0000AB1F0000}"/>
    <cellStyle name="Normal 3 16 2" xfId="8966" xr:uid="{00000000-0005-0000-0000-0000AC1F0000}"/>
    <cellStyle name="Normal 3 16 2 10" xfId="8967" xr:uid="{00000000-0005-0000-0000-0000AD1F0000}"/>
    <cellStyle name="Normal 3 16 2 11" xfId="8968" xr:uid="{00000000-0005-0000-0000-0000AE1F0000}"/>
    <cellStyle name="Normal 3 16 2 12" xfId="8969" xr:uid="{00000000-0005-0000-0000-0000AF1F0000}"/>
    <cellStyle name="Normal 3 16 2 13" xfId="8970" xr:uid="{00000000-0005-0000-0000-0000B01F0000}"/>
    <cellStyle name="Normal 3 16 2 14" xfId="8971" xr:uid="{00000000-0005-0000-0000-0000B11F0000}"/>
    <cellStyle name="Normal 3 16 2 15" xfId="8972" xr:uid="{00000000-0005-0000-0000-0000B21F0000}"/>
    <cellStyle name="Normal 3 16 2 2" xfId="8973" xr:uid="{00000000-0005-0000-0000-0000B31F0000}"/>
    <cellStyle name="Normal 3 16 2 3" xfId="8974" xr:uid="{00000000-0005-0000-0000-0000B41F0000}"/>
    <cellStyle name="Normal 3 16 2 4" xfId="8975" xr:uid="{00000000-0005-0000-0000-0000B51F0000}"/>
    <cellStyle name="Normal 3 16 2 5" xfId="8976" xr:uid="{00000000-0005-0000-0000-0000B61F0000}"/>
    <cellStyle name="Normal 3 16 2 6" xfId="8977" xr:uid="{00000000-0005-0000-0000-0000B71F0000}"/>
    <cellStyle name="Normal 3 16 2 7" xfId="8978" xr:uid="{00000000-0005-0000-0000-0000B81F0000}"/>
    <cellStyle name="Normal 3 16 2 8" xfId="8979" xr:uid="{00000000-0005-0000-0000-0000B91F0000}"/>
    <cellStyle name="Normal 3 16 2 9" xfId="8980" xr:uid="{00000000-0005-0000-0000-0000BA1F0000}"/>
    <cellStyle name="Normal 3 16 3" xfId="8981" xr:uid="{00000000-0005-0000-0000-0000BB1F0000}"/>
    <cellStyle name="Normal 3 16 3 10" xfId="8982" xr:uid="{00000000-0005-0000-0000-0000BC1F0000}"/>
    <cellStyle name="Normal 3 16 3 11" xfId="8983" xr:uid="{00000000-0005-0000-0000-0000BD1F0000}"/>
    <cellStyle name="Normal 3 16 3 12" xfId="8984" xr:uid="{00000000-0005-0000-0000-0000BE1F0000}"/>
    <cellStyle name="Normal 3 16 3 13" xfId="8985" xr:uid="{00000000-0005-0000-0000-0000BF1F0000}"/>
    <cellStyle name="Normal 3 16 3 14" xfId="8986" xr:uid="{00000000-0005-0000-0000-0000C01F0000}"/>
    <cellStyle name="Normal 3 16 3 15" xfId="8987" xr:uid="{00000000-0005-0000-0000-0000C11F0000}"/>
    <cellStyle name="Normal 3 16 3 2" xfId="8988" xr:uid="{00000000-0005-0000-0000-0000C21F0000}"/>
    <cellStyle name="Normal 3 16 3 3" xfId="8989" xr:uid="{00000000-0005-0000-0000-0000C31F0000}"/>
    <cellStyle name="Normal 3 16 3 4" xfId="8990" xr:uid="{00000000-0005-0000-0000-0000C41F0000}"/>
    <cellStyle name="Normal 3 16 3 5" xfId="8991" xr:uid="{00000000-0005-0000-0000-0000C51F0000}"/>
    <cellStyle name="Normal 3 16 3 6" xfId="8992" xr:uid="{00000000-0005-0000-0000-0000C61F0000}"/>
    <cellStyle name="Normal 3 16 3 7" xfId="8993" xr:uid="{00000000-0005-0000-0000-0000C71F0000}"/>
    <cellStyle name="Normal 3 16 3 8" xfId="8994" xr:uid="{00000000-0005-0000-0000-0000C81F0000}"/>
    <cellStyle name="Normal 3 16 3 9" xfId="8995" xr:uid="{00000000-0005-0000-0000-0000C91F0000}"/>
    <cellStyle name="Normal 3 16 4" xfId="8996" xr:uid="{00000000-0005-0000-0000-0000CA1F0000}"/>
    <cellStyle name="Normal 3 16 4 10" xfId="8997" xr:uid="{00000000-0005-0000-0000-0000CB1F0000}"/>
    <cellStyle name="Normal 3 16 4 11" xfId="8998" xr:uid="{00000000-0005-0000-0000-0000CC1F0000}"/>
    <cellStyle name="Normal 3 16 4 12" xfId="8999" xr:uid="{00000000-0005-0000-0000-0000CD1F0000}"/>
    <cellStyle name="Normal 3 16 4 13" xfId="9000" xr:uid="{00000000-0005-0000-0000-0000CE1F0000}"/>
    <cellStyle name="Normal 3 16 4 14" xfId="9001" xr:uid="{00000000-0005-0000-0000-0000CF1F0000}"/>
    <cellStyle name="Normal 3 16 4 15" xfId="9002" xr:uid="{00000000-0005-0000-0000-0000D01F0000}"/>
    <cellStyle name="Normal 3 16 4 2" xfId="9003" xr:uid="{00000000-0005-0000-0000-0000D11F0000}"/>
    <cellStyle name="Normal 3 16 4 3" xfId="9004" xr:uid="{00000000-0005-0000-0000-0000D21F0000}"/>
    <cellStyle name="Normal 3 16 4 4" xfId="9005" xr:uid="{00000000-0005-0000-0000-0000D31F0000}"/>
    <cellStyle name="Normal 3 16 4 5" xfId="9006" xr:uid="{00000000-0005-0000-0000-0000D41F0000}"/>
    <cellStyle name="Normal 3 16 4 6" xfId="9007" xr:uid="{00000000-0005-0000-0000-0000D51F0000}"/>
    <cellStyle name="Normal 3 16 4 7" xfId="9008" xr:uid="{00000000-0005-0000-0000-0000D61F0000}"/>
    <cellStyle name="Normal 3 16 4 8" xfId="9009" xr:uid="{00000000-0005-0000-0000-0000D71F0000}"/>
    <cellStyle name="Normal 3 16 4 9" xfId="9010" xr:uid="{00000000-0005-0000-0000-0000D81F0000}"/>
    <cellStyle name="Normal 3 16 5" xfId="9011" xr:uid="{00000000-0005-0000-0000-0000D91F0000}"/>
    <cellStyle name="Normal 3 16 5 10" xfId="9012" xr:uid="{00000000-0005-0000-0000-0000DA1F0000}"/>
    <cellStyle name="Normal 3 16 5 11" xfId="9013" xr:uid="{00000000-0005-0000-0000-0000DB1F0000}"/>
    <cellStyle name="Normal 3 16 5 12" xfId="9014" xr:uid="{00000000-0005-0000-0000-0000DC1F0000}"/>
    <cellStyle name="Normal 3 16 5 13" xfId="9015" xr:uid="{00000000-0005-0000-0000-0000DD1F0000}"/>
    <cellStyle name="Normal 3 16 5 14" xfId="9016" xr:uid="{00000000-0005-0000-0000-0000DE1F0000}"/>
    <cellStyle name="Normal 3 16 5 15" xfId="9017" xr:uid="{00000000-0005-0000-0000-0000DF1F0000}"/>
    <cellStyle name="Normal 3 16 5 2" xfId="9018" xr:uid="{00000000-0005-0000-0000-0000E01F0000}"/>
    <cellStyle name="Normal 3 16 5 3" xfId="9019" xr:uid="{00000000-0005-0000-0000-0000E11F0000}"/>
    <cellStyle name="Normal 3 16 5 4" xfId="9020" xr:uid="{00000000-0005-0000-0000-0000E21F0000}"/>
    <cellStyle name="Normal 3 16 5 5" xfId="9021" xr:uid="{00000000-0005-0000-0000-0000E31F0000}"/>
    <cellStyle name="Normal 3 16 5 6" xfId="9022" xr:uid="{00000000-0005-0000-0000-0000E41F0000}"/>
    <cellStyle name="Normal 3 16 5 7" xfId="9023" xr:uid="{00000000-0005-0000-0000-0000E51F0000}"/>
    <cellStyle name="Normal 3 16 5 8" xfId="9024" xr:uid="{00000000-0005-0000-0000-0000E61F0000}"/>
    <cellStyle name="Normal 3 16 5 9" xfId="9025" xr:uid="{00000000-0005-0000-0000-0000E71F0000}"/>
    <cellStyle name="Normal 3 16 6" xfId="9026" xr:uid="{00000000-0005-0000-0000-0000E81F0000}"/>
    <cellStyle name="Normal 3 16 7" xfId="9027" xr:uid="{00000000-0005-0000-0000-0000E91F0000}"/>
    <cellStyle name="Normal 3 16 8" xfId="9028" xr:uid="{00000000-0005-0000-0000-0000EA1F0000}"/>
    <cellStyle name="Normal 3 16 9" xfId="9029" xr:uid="{00000000-0005-0000-0000-0000EB1F0000}"/>
    <cellStyle name="Normal 3 17" xfId="9030" xr:uid="{00000000-0005-0000-0000-0000EC1F0000}"/>
    <cellStyle name="Normal 3 17 10" xfId="9031" xr:uid="{00000000-0005-0000-0000-0000ED1F0000}"/>
    <cellStyle name="Normal 3 17 11" xfId="9032" xr:uid="{00000000-0005-0000-0000-0000EE1F0000}"/>
    <cellStyle name="Normal 3 17 12" xfId="9033" xr:uid="{00000000-0005-0000-0000-0000EF1F0000}"/>
    <cellStyle name="Normal 3 17 13" xfId="9034" xr:uid="{00000000-0005-0000-0000-0000F01F0000}"/>
    <cellStyle name="Normal 3 17 14" xfId="9035" xr:uid="{00000000-0005-0000-0000-0000F11F0000}"/>
    <cellStyle name="Normal 3 17 15" xfId="9036" xr:uid="{00000000-0005-0000-0000-0000F21F0000}"/>
    <cellStyle name="Normal 3 17 16" xfId="9037" xr:uid="{00000000-0005-0000-0000-0000F31F0000}"/>
    <cellStyle name="Normal 3 17 17" xfId="9038" xr:uid="{00000000-0005-0000-0000-0000F41F0000}"/>
    <cellStyle name="Normal 3 17 18" xfId="9039" xr:uid="{00000000-0005-0000-0000-0000F51F0000}"/>
    <cellStyle name="Normal 3 17 19" xfId="9040" xr:uid="{00000000-0005-0000-0000-0000F61F0000}"/>
    <cellStyle name="Normal 3 17 2" xfId="9041" xr:uid="{00000000-0005-0000-0000-0000F71F0000}"/>
    <cellStyle name="Normal 3 17 2 10" xfId="9042" xr:uid="{00000000-0005-0000-0000-0000F81F0000}"/>
    <cellStyle name="Normal 3 17 2 11" xfId="9043" xr:uid="{00000000-0005-0000-0000-0000F91F0000}"/>
    <cellStyle name="Normal 3 17 2 12" xfId="9044" xr:uid="{00000000-0005-0000-0000-0000FA1F0000}"/>
    <cellStyle name="Normal 3 17 2 13" xfId="9045" xr:uid="{00000000-0005-0000-0000-0000FB1F0000}"/>
    <cellStyle name="Normal 3 17 2 14" xfId="9046" xr:uid="{00000000-0005-0000-0000-0000FC1F0000}"/>
    <cellStyle name="Normal 3 17 2 15" xfId="9047" xr:uid="{00000000-0005-0000-0000-0000FD1F0000}"/>
    <cellStyle name="Normal 3 17 2 2" xfId="9048" xr:uid="{00000000-0005-0000-0000-0000FE1F0000}"/>
    <cellStyle name="Normal 3 17 2 3" xfId="9049" xr:uid="{00000000-0005-0000-0000-0000FF1F0000}"/>
    <cellStyle name="Normal 3 17 2 4" xfId="9050" xr:uid="{00000000-0005-0000-0000-000000200000}"/>
    <cellStyle name="Normal 3 17 2 5" xfId="9051" xr:uid="{00000000-0005-0000-0000-000001200000}"/>
    <cellStyle name="Normal 3 17 2 6" xfId="9052" xr:uid="{00000000-0005-0000-0000-000002200000}"/>
    <cellStyle name="Normal 3 17 2 7" xfId="9053" xr:uid="{00000000-0005-0000-0000-000003200000}"/>
    <cellStyle name="Normal 3 17 2 8" xfId="9054" xr:uid="{00000000-0005-0000-0000-000004200000}"/>
    <cellStyle name="Normal 3 17 2 9" xfId="9055" xr:uid="{00000000-0005-0000-0000-000005200000}"/>
    <cellStyle name="Normal 3 17 3" xfId="9056" xr:uid="{00000000-0005-0000-0000-000006200000}"/>
    <cellStyle name="Normal 3 17 3 10" xfId="9057" xr:uid="{00000000-0005-0000-0000-000007200000}"/>
    <cellStyle name="Normal 3 17 3 11" xfId="9058" xr:uid="{00000000-0005-0000-0000-000008200000}"/>
    <cellStyle name="Normal 3 17 3 12" xfId="9059" xr:uid="{00000000-0005-0000-0000-000009200000}"/>
    <cellStyle name="Normal 3 17 3 13" xfId="9060" xr:uid="{00000000-0005-0000-0000-00000A200000}"/>
    <cellStyle name="Normal 3 17 3 14" xfId="9061" xr:uid="{00000000-0005-0000-0000-00000B200000}"/>
    <cellStyle name="Normal 3 17 3 15" xfId="9062" xr:uid="{00000000-0005-0000-0000-00000C200000}"/>
    <cellStyle name="Normal 3 17 3 2" xfId="9063" xr:uid="{00000000-0005-0000-0000-00000D200000}"/>
    <cellStyle name="Normal 3 17 3 3" xfId="9064" xr:uid="{00000000-0005-0000-0000-00000E200000}"/>
    <cellStyle name="Normal 3 17 3 4" xfId="9065" xr:uid="{00000000-0005-0000-0000-00000F200000}"/>
    <cellStyle name="Normal 3 17 3 5" xfId="9066" xr:uid="{00000000-0005-0000-0000-000010200000}"/>
    <cellStyle name="Normal 3 17 3 6" xfId="9067" xr:uid="{00000000-0005-0000-0000-000011200000}"/>
    <cellStyle name="Normal 3 17 3 7" xfId="9068" xr:uid="{00000000-0005-0000-0000-000012200000}"/>
    <cellStyle name="Normal 3 17 3 8" xfId="9069" xr:uid="{00000000-0005-0000-0000-000013200000}"/>
    <cellStyle name="Normal 3 17 3 9" xfId="9070" xr:uid="{00000000-0005-0000-0000-000014200000}"/>
    <cellStyle name="Normal 3 17 4" xfId="9071" xr:uid="{00000000-0005-0000-0000-000015200000}"/>
    <cellStyle name="Normal 3 17 4 10" xfId="9072" xr:uid="{00000000-0005-0000-0000-000016200000}"/>
    <cellStyle name="Normal 3 17 4 11" xfId="9073" xr:uid="{00000000-0005-0000-0000-000017200000}"/>
    <cellStyle name="Normal 3 17 4 12" xfId="9074" xr:uid="{00000000-0005-0000-0000-000018200000}"/>
    <cellStyle name="Normal 3 17 4 13" xfId="9075" xr:uid="{00000000-0005-0000-0000-000019200000}"/>
    <cellStyle name="Normal 3 17 4 14" xfId="9076" xr:uid="{00000000-0005-0000-0000-00001A200000}"/>
    <cellStyle name="Normal 3 17 4 15" xfId="9077" xr:uid="{00000000-0005-0000-0000-00001B200000}"/>
    <cellStyle name="Normal 3 17 4 2" xfId="9078" xr:uid="{00000000-0005-0000-0000-00001C200000}"/>
    <cellStyle name="Normal 3 17 4 3" xfId="9079" xr:uid="{00000000-0005-0000-0000-00001D200000}"/>
    <cellStyle name="Normal 3 17 4 4" xfId="9080" xr:uid="{00000000-0005-0000-0000-00001E200000}"/>
    <cellStyle name="Normal 3 17 4 5" xfId="9081" xr:uid="{00000000-0005-0000-0000-00001F200000}"/>
    <cellStyle name="Normal 3 17 4 6" xfId="9082" xr:uid="{00000000-0005-0000-0000-000020200000}"/>
    <cellStyle name="Normal 3 17 4 7" xfId="9083" xr:uid="{00000000-0005-0000-0000-000021200000}"/>
    <cellStyle name="Normal 3 17 4 8" xfId="9084" xr:uid="{00000000-0005-0000-0000-000022200000}"/>
    <cellStyle name="Normal 3 17 4 9" xfId="9085" xr:uid="{00000000-0005-0000-0000-000023200000}"/>
    <cellStyle name="Normal 3 17 5" xfId="9086" xr:uid="{00000000-0005-0000-0000-000024200000}"/>
    <cellStyle name="Normal 3 17 5 10" xfId="9087" xr:uid="{00000000-0005-0000-0000-000025200000}"/>
    <cellStyle name="Normal 3 17 5 11" xfId="9088" xr:uid="{00000000-0005-0000-0000-000026200000}"/>
    <cellStyle name="Normal 3 17 5 12" xfId="9089" xr:uid="{00000000-0005-0000-0000-000027200000}"/>
    <cellStyle name="Normal 3 17 5 13" xfId="9090" xr:uid="{00000000-0005-0000-0000-000028200000}"/>
    <cellStyle name="Normal 3 17 5 14" xfId="9091" xr:uid="{00000000-0005-0000-0000-000029200000}"/>
    <cellStyle name="Normal 3 17 5 15" xfId="9092" xr:uid="{00000000-0005-0000-0000-00002A200000}"/>
    <cellStyle name="Normal 3 17 5 2" xfId="9093" xr:uid="{00000000-0005-0000-0000-00002B200000}"/>
    <cellStyle name="Normal 3 17 5 3" xfId="9094" xr:uid="{00000000-0005-0000-0000-00002C200000}"/>
    <cellStyle name="Normal 3 17 5 4" xfId="9095" xr:uid="{00000000-0005-0000-0000-00002D200000}"/>
    <cellStyle name="Normal 3 17 5 5" xfId="9096" xr:uid="{00000000-0005-0000-0000-00002E200000}"/>
    <cellStyle name="Normal 3 17 5 6" xfId="9097" xr:uid="{00000000-0005-0000-0000-00002F200000}"/>
    <cellStyle name="Normal 3 17 5 7" xfId="9098" xr:uid="{00000000-0005-0000-0000-000030200000}"/>
    <cellStyle name="Normal 3 17 5 8" xfId="9099" xr:uid="{00000000-0005-0000-0000-000031200000}"/>
    <cellStyle name="Normal 3 17 5 9" xfId="9100" xr:uid="{00000000-0005-0000-0000-000032200000}"/>
    <cellStyle name="Normal 3 17 6" xfId="9101" xr:uid="{00000000-0005-0000-0000-000033200000}"/>
    <cellStyle name="Normal 3 17 7" xfId="9102" xr:uid="{00000000-0005-0000-0000-000034200000}"/>
    <cellStyle name="Normal 3 17 8" xfId="9103" xr:uid="{00000000-0005-0000-0000-000035200000}"/>
    <cellStyle name="Normal 3 17 9" xfId="9104" xr:uid="{00000000-0005-0000-0000-000036200000}"/>
    <cellStyle name="Normal 3 18" xfId="9105" xr:uid="{00000000-0005-0000-0000-000037200000}"/>
    <cellStyle name="Normal 3 18 10" xfId="9106" xr:uid="{00000000-0005-0000-0000-000038200000}"/>
    <cellStyle name="Normal 3 18 11" xfId="9107" xr:uid="{00000000-0005-0000-0000-000039200000}"/>
    <cellStyle name="Normal 3 18 12" xfId="9108" xr:uid="{00000000-0005-0000-0000-00003A200000}"/>
    <cellStyle name="Normal 3 18 13" xfId="9109" xr:uid="{00000000-0005-0000-0000-00003B200000}"/>
    <cellStyle name="Normal 3 18 14" xfId="9110" xr:uid="{00000000-0005-0000-0000-00003C200000}"/>
    <cellStyle name="Normal 3 18 15" xfId="9111" xr:uid="{00000000-0005-0000-0000-00003D200000}"/>
    <cellStyle name="Normal 3 18 16" xfId="9112" xr:uid="{00000000-0005-0000-0000-00003E200000}"/>
    <cellStyle name="Normal 3 18 17" xfId="9113" xr:uid="{00000000-0005-0000-0000-00003F200000}"/>
    <cellStyle name="Normal 3 18 18" xfId="9114" xr:uid="{00000000-0005-0000-0000-000040200000}"/>
    <cellStyle name="Normal 3 18 19" xfId="9115" xr:uid="{00000000-0005-0000-0000-000041200000}"/>
    <cellStyle name="Normal 3 18 2" xfId="9116" xr:uid="{00000000-0005-0000-0000-000042200000}"/>
    <cellStyle name="Normal 3 18 2 10" xfId="9117" xr:uid="{00000000-0005-0000-0000-000043200000}"/>
    <cellStyle name="Normal 3 18 2 11" xfId="9118" xr:uid="{00000000-0005-0000-0000-000044200000}"/>
    <cellStyle name="Normal 3 18 2 12" xfId="9119" xr:uid="{00000000-0005-0000-0000-000045200000}"/>
    <cellStyle name="Normal 3 18 2 13" xfId="9120" xr:uid="{00000000-0005-0000-0000-000046200000}"/>
    <cellStyle name="Normal 3 18 2 14" xfId="9121" xr:uid="{00000000-0005-0000-0000-000047200000}"/>
    <cellStyle name="Normal 3 18 2 15" xfId="9122" xr:uid="{00000000-0005-0000-0000-000048200000}"/>
    <cellStyle name="Normal 3 18 2 2" xfId="9123" xr:uid="{00000000-0005-0000-0000-000049200000}"/>
    <cellStyle name="Normal 3 18 2 3" xfId="9124" xr:uid="{00000000-0005-0000-0000-00004A200000}"/>
    <cellStyle name="Normal 3 18 2 4" xfId="9125" xr:uid="{00000000-0005-0000-0000-00004B200000}"/>
    <cellStyle name="Normal 3 18 2 5" xfId="9126" xr:uid="{00000000-0005-0000-0000-00004C200000}"/>
    <cellStyle name="Normal 3 18 2 6" xfId="9127" xr:uid="{00000000-0005-0000-0000-00004D200000}"/>
    <cellStyle name="Normal 3 18 2 7" xfId="9128" xr:uid="{00000000-0005-0000-0000-00004E200000}"/>
    <cellStyle name="Normal 3 18 2 8" xfId="9129" xr:uid="{00000000-0005-0000-0000-00004F200000}"/>
    <cellStyle name="Normal 3 18 2 9" xfId="9130" xr:uid="{00000000-0005-0000-0000-000050200000}"/>
    <cellStyle name="Normal 3 18 3" xfId="9131" xr:uid="{00000000-0005-0000-0000-000051200000}"/>
    <cellStyle name="Normal 3 18 3 10" xfId="9132" xr:uid="{00000000-0005-0000-0000-000052200000}"/>
    <cellStyle name="Normal 3 18 3 11" xfId="9133" xr:uid="{00000000-0005-0000-0000-000053200000}"/>
    <cellStyle name="Normal 3 18 3 12" xfId="9134" xr:uid="{00000000-0005-0000-0000-000054200000}"/>
    <cellStyle name="Normal 3 18 3 13" xfId="9135" xr:uid="{00000000-0005-0000-0000-000055200000}"/>
    <cellStyle name="Normal 3 18 3 14" xfId="9136" xr:uid="{00000000-0005-0000-0000-000056200000}"/>
    <cellStyle name="Normal 3 18 3 15" xfId="9137" xr:uid="{00000000-0005-0000-0000-000057200000}"/>
    <cellStyle name="Normal 3 18 3 2" xfId="9138" xr:uid="{00000000-0005-0000-0000-000058200000}"/>
    <cellStyle name="Normal 3 18 3 3" xfId="9139" xr:uid="{00000000-0005-0000-0000-000059200000}"/>
    <cellStyle name="Normal 3 18 3 4" xfId="9140" xr:uid="{00000000-0005-0000-0000-00005A200000}"/>
    <cellStyle name="Normal 3 18 3 5" xfId="9141" xr:uid="{00000000-0005-0000-0000-00005B200000}"/>
    <cellStyle name="Normal 3 18 3 6" xfId="9142" xr:uid="{00000000-0005-0000-0000-00005C200000}"/>
    <cellStyle name="Normal 3 18 3 7" xfId="9143" xr:uid="{00000000-0005-0000-0000-00005D200000}"/>
    <cellStyle name="Normal 3 18 3 8" xfId="9144" xr:uid="{00000000-0005-0000-0000-00005E200000}"/>
    <cellStyle name="Normal 3 18 3 9" xfId="9145" xr:uid="{00000000-0005-0000-0000-00005F200000}"/>
    <cellStyle name="Normal 3 18 4" xfId="9146" xr:uid="{00000000-0005-0000-0000-000060200000}"/>
    <cellStyle name="Normal 3 18 4 10" xfId="9147" xr:uid="{00000000-0005-0000-0000-000061200000}"/>
    <cellStyle name="Normal 3 18 4 11" xfId="9148" xr:uid="{00000000-0005-0000-0000-000062200000}"/>
    <cellStyle name="Normal 3 18 4 12" xfId="9149" xr:uid="{00000000-0005-0000-0000-000063200000}"/>
    <cellStyle name="Normal 3 18 4 13" xfId="9150" xr:uid="{00000000-0005-0000-0000-000064200000}"/>
    <cellStyle name="Normal 3 18 4 14" xfId="9151" xr:uid="{00000000-0005-0000-0000-000065200000}"/>
    <cellStyle name="Normal 3 18 4 15" xfId="9152" xr:uid="{00000000-0005-0000-0000-000066200000}"/>
    <cellStyle name="Normal 3 18 4 2" xfId="9153" xr:uid="{00000000-0005-0000-0000-000067200000}"/>
    <cellStyle name="Normal 3 18 4 3" xfId="9154" xr:uid="{00000000-0005-0000-0000-000068200000}"/>
    <cellStyle name="Normal 3 18 4 4" xfId="9155" xr:uid="{00000000-0005-0000-0000-000069200000}"/>
    <cellStyle name="Normal 3 18 4 5" xfId="9156" xr:uid="{00000000-0005-0000-0000-00006A200000}"/>
    <cellStyle name="Normal 3 18 4 6" xfId="9157" xr:uid="{00000000-0005-0000-0000-00006B200000}"/>
    <cellStyle name="Normal 3 18 4 7" xfId="9158" xr:uid="{00000000-0005-0000-0000-00006C200000}"/>
    <cellStyle name="Normal 3 18 4 8" xfId="9159" xr:uid="{00000000-0005-0000-0000-00006D200000}"/>
    <cellStyle name="Normal 3 18 4 9" xfId="9160" xr:uid="{00000000-0005-0000-0000-00006E200000}"/>
    <cellStyle name="Normal 3 18 5" xfId="9161" xr:uid="{00000000-0005-0000-0000-00006F200000}"/>
    <cellStyle name="Normal 3 18 5 10" xfId="9162" xr:uid="{00000000-0005-0000-0000-000070200000}"/>
    <cellStyle name="Normal 3 18 5 11" xfId="9163" xr:uid="{00000000-0005-0000-0000-000071200000}"/>
    <cellStyle name="Normal 3 18 5 12" xfId="9164" xr:uid="{00000000-0005-0000-0000-000072200000}"/>
    <cellStyle name="Normal 3 18 5 13" xfId="9165" xr:uid="{00000000-0005-0000-0000-000073200000}"/>
    <cellStyle name="Normal 3 18 5 14" xfId="9166" xr:uid="{00000000-0005-0000-0000-000074200000}"/>
    <cellStyle name="Normal 3 18 5 15" xfId="9167" xr:uid="{00000000-0005-0000-0000-000075200000}"/>
    <cellStyle name="Normal 3 18 5 2" xfId="9168" xr:uid="{00000000-0005-0000-0000-000076200000}"/>
    <cellStyle name="Normal 3 18 5 3" xfId="9169" xr:uid="{00000000-0005-0000-0000-000077200000}"/>
    <cellStyle name="Normal 3 18 5 4" xfId="9170" xr:uid="{00000000-0005-0000-0000-000078200000}"/>
    <cellStyle name="Normal 3 18 5 5" xfId="9171" xr:uid="{00000000-0005-0000-0000-000079200000}"/>
    <cellStyle name="Normal 3 18 5 6" xfId="9172" xr:uid="{00000000-0005-0000-0000-00007A200000}"/>
    <cellStyle name="Normal 3 18 5 7" xfId="9173" xr:uid="{00000000-0005-0000-0000-00007B200000}"/>
    <cellStyle name="Normal 3 18 5 8" xfId="9174" xr:uid="{00000000-0005-0000-0000-00007C200000}"/>
    <cellStyle name="Normal 3 18 5 9" xfId="9175" xr:uid="{00000000-0005-0000-0000-00007D200000}"/>
    <cellStyle name="Normal 3 18 6" xfId="9176" xr:uid="{00000000-0005-0000-0000-00007E200000}"/>
    <cellStyle name="Normal 3 18 7" xfId="9177" xr:uid="{00000000-0005-0000-0000-00007F200000}"/>
    <cellStyle name="Normal 3 18 8" xfId="9178" xr:uid="{00000000-0005-0000-0000-000080200000}"/>
    <cellStyle name="Normal 3 18 9" xfId="9179" xr:uid="{00000000-0005-0000-0000-000081200000}"/>
    <cellStyle name="Normal 3 19" xfId="9180" xr:uid="{00000000-0005-0000-0000-000082200000}"/>
    <cellStyle name="Normal 3 19 10" xfId="9181" xr:uid="{00000000-0005-0000-0000-000083200000}"/>
    <cellStyle name="Normal 3 19 11" xfId="9182" xr:uid="{00000000-0005-0000-0000-000084200000}"/>
    <cellStyle name="Normal 3 19 12" xfId="9183" xr:uid="{00000000-0005-0000-0000-000085200000}"/>
    <cellStyle name="Normal 3 19 13" xfId="9184" xr:uid="{00000000-0005-0000-0000-000086200000}"/>
    <cellStyle name="Normal 3 19 14" xfId="9185" xr:uid="{00000000-0005-0000-0000-000087200000}"/>
    <cellStyle name="Normal 3 19 15" xfId="9186" xr:uid="{00000000-0005-0000-0000-000088200000}"/>
    <cellStyle name="Normal 3 19 16" xfId="9187" xr:uid="{00000000-0005-0000-0000-000089200000}"/>
    <cellStyle name="Normal 3 19 17" xfId="9188" xr:uid="{00000000-0005-0000-0000-00008A200000}"/>
    <cellStyle name="Normal 3 19 18" xfId="9189" xr:uid="{00000000-0005-0000-0000-00008B200000}"/>
    <cellStyle name="Normal 3 19 19" xfId="9190" xr:uid="{00000000-0005-0000-0000-00008C200000}"/>
    <cellStyle name="Normal 3 19 2" xfId="9191" xr:uid="{00000000-0005-0000-0000-00008D200000}"/>
    <cellStyle name="Normal 3 19 2 10" xfId="9192" xr:uid="{00000000-0005-0000-0000-00008E200000}"/>
    <cellStyle name="Normal 3 19 2 11" xfId="9193" xr:uid="{00000000-0005-0000-0000-00008F200000}"/>
    <cellStyle name="Normal 3 19 2 12" xfId="9194" xr:uid="{00000000-0005-0000-0000-000090200000}"/>
    <cellStyle name="Normal 3 19 2 13" xfId="9195" xr:uid="{00000000-0005-0000-0000-000091200000}"/>
    <cellStyle name="Normal 3 19 2 14" xfId="9196" xr:uid="{00000000-0005-0000-0000-000092200000}"/>
    <cellStyle name="Normal 3 19 2 15" xfId="9197" xr:uid="{00000000-0005-0000-0000-000093200000}"/>
    <cellStyle name="Normal 3 19 2 2" xfId="9198" xr:uid="{00000000-0005-0000-0000-000094200000}"/>
    <cellStyle name="Normal 3 19 2 3" xfId="9199" xr:uid="{00000000-0005-0000-0000-000095200000}"/>
    <cellStyle name="Normal 3 19 2 4" xfId="9200" xr:uid="{00000000-0005-0000-0000-000096200000}"/>
    <cellStyle name="Normal 3 19 2 5" xfId="9201" xr:uid="{00000000-0005-0000-0000-000097200000}"/>
    <cellStyle name="Normal 3 19 2 6" xfId="9202" xr:uid="{00000000-0005-0000-0000-000098200000}"/>
    <cellStyle name="Normal 3 19 2 7" xfId="9203" xr:uid="{00000000-0005-0000-0000-000099200000}"/>
    <cellStyle name="Normal 3 19 2 8" xfId="9204" xr:uid="{00000000-0005-0000-0000-00009A200000}"/>
    <cellStyle name="Normal 3 19 2 9" xfId="9205" xr:uid="{00000000-0005-0000-0000-00009B200000}"/>
    <cellStyle name="Normal 3 19 3" xfId="9206" xr:uid="{00000000-0005-0000-0000-00009C200000}"/>
    <cellStyle name="Normal 3 19 3 10" xfId="9207" xr:uid="{00000000-0005-0000-0000-00009D200000}"/>
    <cellStyle name="Normal 3 19 3 11" xfId="9208" xr:uid="{00000000-0005-0000-0000-00009E200000}"/>
    <cellStyle name="Normal 3 19 3 12" xfId="9209" xr:uid="{00000000-0005-0000-0000-00009F200000}"/>
    <cellStyle name="Normal 3 19 3 13" xfId="9210" xr:uid="{00000000-0005-0000-0000-0000A0200000}"/>
    <cellStyle name="Normal 3 19 3 14" xfId="9211" xr:uid="{00000000-0005-0000-0000-0000A1200000}"/>
    <cellStyle name="Normal 3 19 3 15" xfId="9212" xr:uid="{00000000-0005-0000-0000-0000A2200000}"/>
    <cellStyle name="Normal 3 19 3 2" xfId="9213" xr:uid="{00000000-0005-0000-0000-0000A3200000}"/>
    <cellStyle name="Normal 3 19 3 3" xfId="9214" xr:uid="{00000000-0005-0000-0000-0000A4200000}"/>
    <cellStyle name="Normal 3 19 3 4" xfId="9215" xr:uid="{00000000-0005-0000-0000-0000A5200000}"/>
    <cellStyle name="Normal 3 19 3 5" xfId="9216" xr:uid="{00000000-0005-0000-0000-0000A6200000}"/>
    <cellStyle name="Normal 3 19 3 6" xfId="9217" xr:uid="{00000000-0005-0000-0000-0000A7200000}"/>
    <cellStyle name="Normal 3 19 3 7" xfId="9218" xr:uid="{00000000-0005-0000-0000-0000A8200000}"/>
    <cellStyle name="Normal 3 19 3 8" xfId="9219" xr:uid="{00000000-0005-0000-0000-0000A9200000}"/>
    <cellStyle name="Normal 3 19 3 9" xfId="9220" xr:uid="{00000000-0005-0000-0000-0000AA200000}"/>
    <cellStyle name="Normal 3 19 4" xfId="9221" xr:uid="{00000000-0005-0000-0000-0000AB200000}"/>
    <cellStyle name="Normal 3 19 4 10" xfId="9222" xr:uid="{00000000-0005-0000-0000-0000AC200000}"/>
    <cellStyle name="Normal 3 19 4 11" xfId="9223" xr:uid="{00000000-0005-0000-0000-0000AD200000}"/>
    <cellStyle name="Normal 3 19 4 12" xfId="9224" xr:uid="{00000000-0005-0000-0000-0000AE200000}"/>
    <cellStyle name="Normal 3 19 4 13" xfId="9225" xr:uid="{00000000-0005-0000-0000-0000AF200000}"/>
    <cellStyle name="Normal 3 19 4 14" xfId="9226" xr:uid="{00000000-0005-0000-0000-0000B0200000}"/>
    <cellStyle name="Normal 3 19 4 15" xfId="9227" xr:uid="{00000000-0005-0000-0000-0000B1200000}"/>
    <cellStyle name="Normal 3 19 4 2" xfId="9228" xr:uid="{00000000-0005-0000-0000-0000B2200000}"/>
    <cellStyle name="Normal 3 19 4 3" xfId="9229" xr:uid="{00000000-0005-0000-0000-0000B3200000}"/>
    <cellStyle name="Normal 3 19 4 4" xfId="9230" xr:uid="{00000000-0005-0000-0000-0000B4200000}"/>
    <cellStyle name="Normal 3 19 4 5" xfId="9231" xr:uid="{00000000-0005-0000-0000-0000B5200000}"/>
    <cellStyle name="Normal 3 19 4 6" xfId="9232" xr:uid="{00000000-0005-0000-0000-0000B6200000}"/>
    <cellStyle name="Normal 3 19 4 7" xfId="9233" xr:uid="{00000000-0005-0000-0000-0000B7200000}"/>
    <cellStyle name="Normal 3 19 4 8" xfId="9234" xr:uid="{00000000-0005-0000-0000-0000B8200000}"/>
    <cellStyle name="Normal 3 19 4 9" xfId="9235" xr:uid="{00000000-0005-0000-0000-0000B9200000}"/>
    <cellStyle name="Normal 3 19 5" xfId="9236" xr:uid="{00000000-0005-0000-0000-0000BA200000}"/>
    <cellStyle name="Normal 3 19 5 10" xfId="9237" xr:uid="{00000000-0005-0000-0000-0000BB200000}"/>
    <cellStyle name="Normal 3 19 5 11" xfId="9238" xr:uid="{00000000-0005-0000-0000-0000BC200000}"/>
    <cellStyle name="Normal 3 19 5 12" xfId="9239" xr:uid="{00000000-0005-0000-0000-0000BD200000}"/>
    <cellStyle name="Normal 3 19 5 13" xfId="9240" xr:uid="{00000000-0005-0000-0000-0000BE200000}"/>
    <cellStyle name="Normal 3 19 5 14" xfId="9241" xr:uid="{00000000-0005-0000-0000-0000BF200000}"/>
    <cellStyle name="Normal 3 19 5 15" xfId="9242" xr:uid="{00000000-0005-0000-0000-0000C0200000}"/>
    <cellStyle name="Normal 3 19 5 2" xfId="9243" xr:uid="{00000000-0005-0000-0000-0000C1200000}"/>
    <cellStyle name="Normal 3 19 5 3" xfId="9244" xr:uid="{00000000-0005-0000-0000-0000C2200000}"/>
    <cellStyle name="Normal 3 19 5 4" xfId="9245" xr:uid="{00000000-0005-0000-0000-0000C3200000}"/>
    <cellStyle name="Normal 3 19 5 5" xfId="9246" xr:uid="{00000000-0005-0000-0000-0000C4200000}"/>
    <cellStyle name="Normal 3 19 5 6" xfId="9247" xr:uid="{00000000-0005-0000-0000-0000C5200000}"/>
    <cellStyle name="Normal 3 19 5 7" xfId="9248" xr:uid="{00000000-0005-0000-0000-0000C6200000}"/>
    <cellStyle name="Normal 3 19 5 8" xfId="9249" xr:uid="{00000000-0005-0000-0000-0000C7200000}"/>
    <cellStyle name="Normal 3 19 5 9" xfId="9250" xr:uid="{00000000-0005-0000-0000-0000C8200000}"/>
    <cellStyle name="Normal 3 19 6" xfId="9251" xr:uid="{00000000-0005-0000-0000-0000C9200000}"/>
    <cellStyle name="Normal 3 19 7" xfId="9252" xr:uid="{00000000-0005-0000-0000-0000CA200000}"/>
    <cellStyle name="Normal 3 19 8" xfId="9253" xr:uid="{00000000-0005-0000-0000-0000CB200000}"/>
    <cellStyle name="Normal 3 19 9" xfId="9254" xr:uid="{00000000-0005-0000-0000-0000CC200000}"/>
    <cellStyle name="Normal 3 2" xfId="19" xr:uid="{00000000-0005-0000-0000-00002B000000}"/>
    <cellStyle name="Normal 3 2 10" xfId="9255" xr:uid="{00000000-0005-0000-0000-0000CE200000}"/>
    <cellStyle name="Normal 3 2 10 10" xfId="9256" xr:uid="{00000000-0005-0000-0000-0000CF200000}"/>
    <cellStyle name="Normal 3 2 10 11" xfId="9257" xr:uid="{00000000-0005-0000-0000-0000D0200000}"/>
    <cellStyle name="Normal 3 2 10 12" xfId="9258" xr:uid="{00000000-0005-0000-0000-0000D1200000}"/>
    <cellStyle name="Normal 3 2 10 13" xfId="9259" xr:uid="{00000000-0005-0000-0000-0000D2200000}"/>
    <cellStyle name="Normal 3 2 10 14" xfId="9260" xr:uid="{00000000-0005-0000-0000-0000D3200000}"/>
    <cellStyle name="Normal 3 2 10 15" xfId="9261" xr:uid="{00000000-0005-0000-0000-0000D4200000}"/>
    <cellStyle name="Normal 3 2 10 16" xfId="9262" xr:uid="{00000000-0005-0000-0000-0000D5200000}"/>
    <cellStyle name="Normal 3 2 10 17" xfId="9263" xr:uid="{00000000-0005-0000-0000-0000D6200000}"/>
    <cellStyle name="Normal 3 2 10 18" xfId="9264" xr:uid="{00000000-0005-0000-0000-0000D7200000}"/>
    <cellStyle name="Normal 3 2 10 19" xfId="9265" xr:uid="{00000000-0005-0000-0000-0000D8200000}"/>
    <cellStyle name="Normal 3 2 10 2" xfId="9266" xr:uid="{00000000-0005-0000-0000-0000D9200000}"/>
    <cellStyle name="Normal 3 2 10 2 10" xfId="9267" xr:uid="{00000000-0005-0000-0000-0000DA200000}"/>
    <cellStyle name="Normal 3 2 10 2 10 10" xfId="9268" xr:uid="{00000000-0005-0000-0000-0000DB200000}"/>
    <cellStyle name="Normal 3 2 10 2 10 11" xfId="9269" xr:uid="{00000000-0005-0000-0000-0000DC200000}"/>
    <cellStyle name="Normal 3 2 10 2 10 12" xfId="9270" xr:uid="{00000000-0005-0000-0000-0000DD200000}"/>
    <cellStyle name="Normal 3 2 10 2 10 13" xfId="9271" xr:uid="{00000000-0005-0000-0000-0000DE200000}"/>
    <cellStyle name="Normal 3 2 10 2 10 14" xfId="9272" xr:uid="{00000000-0005-0000-0000-0000DF200000}"/>
    <cellStyle name="Normal 3 2 10 2 10 15" xfId="9273" xr:uid="{00000000-0005-0000-0000-0000E0200000}"/>
    <cellStyle name="Normal 3 2 10 2 10 2" xfId="9274" xr:uid="{00000000-0005-0000-0000-0000E1200000}"/>
    <cellStyle name="Normal 3 2 10 2 10 3" xfId="9275" xr:uid="{00000000-0005-0000-0000-0000E2200000}"/>
    <cellStyle name="Normal 3 2 10 2 10 4" xfId="9276" xr:uid="{00000000-0005-0000-0000-0000E3200000}"/>
    <cellStyle name="Normal 3 2 10 2 10 5" xfId="9277" xr:uid="{00000000-0005-0000-0000-0000E4200000}"/>
    <cellStyle name="Normal 3 2 10 2 10 6" xfId="9278" xr:uid="{00000000-0005-0000-0000-0000E5200000}"/>
    <cellStyle name="Normal 3 2 10 2 10 7" xfId="9279" xr:uid="{00000000-0005-0000-0000-0000E6200000}"/>
    <cellStyle name="Normal 3 2 10 2 10 8" xfId="9280" xr:uid="{00000000-0005-0000-0000-0000E7200000}"/>
    <cellStyle name="Normal 3 2 10 2 10 9" xfId="9281" xr:uid="{00000000-0005-0000-0000-0000E8200000}"/>
    <cellStyle name="Normal 3 2 10 2 11" xfId="9282" xr:uid="{00000000-0005-0000-0000-0000E9200000}"/>
    <cellStyle name="Normal 3 2 10 2 12" xfId="9283" xr:uid="{00000000-0005-0000-0000-0000EA200000}"/>
    <cellStyle name="Normal 3 2 10 2 13" xfId="9284" xr:uid="{00000000-0005-0000-0000-0000EB200000}"/>
    <cellStyle name="Normal 3 2 10 2 14" xfId="9285" xr:uid="{00000000-0005-0000-0000-0000EC200000}"/>
    <cellStyle name="Normal 3 2 10 2 15" xfId="9286" xr:uid="{00000000-0005-0000-0000-0000ED200000}"/>
    <cellStyle name="Normal 3 2 10 2 16" xfId="9287" xr:uid="{00000000-0005-0000-0000-0000EE200000}"/>
    <cellStyle name="Normal 3 2 10 2 17" xfId="9288" xr:uid="{00000000-0005-0000-0000-0000EF200000}"/>
    <cellStyle name="Normal 3 2 10 2 18" xfId="9289" xr:uid="{00000000-0005-0000-0000-0000F0200000}"/>
    <cellStyle name="Normal 3 2 10 2 19" xfId="9290" xr:uid="{00000000-0005-0000-0000-0000F1200000}"/>
    <cellStyle name="Normal 3 2 10 2 2" xfId="9291" xr:uid="{00000000-0005-0000-0000-0000F2200000}"/>
    <cellStyle name="Normal 3 2 10 2 2 10" xfId="9292" xr:uid="{00000000-0005-0000-0000-0000F3200000}"/>
    <cellStyle name="Normal 3 2 10 2 2 11" xfId="9293" xr:uid="{00000000-0005-0000-0000-0000F4200000}"/>
    <cellStyle name="Normal 3 2 10 2 2 12" xfId="9294" xr:uid="{00000000-0005-0000-0000-0000F5200000}"/>
    <cellStyle name="Normal 3 2 10 2 2 13" xfId="9295" xr:uid="{00000000-0005-0000-0000-0000F6200000}"/>
    <cellStyle name="Normal 3 2 10 2 2 14" xfId="9296" xr:uid="{00000000-0005-0000-0000-0000F7200000}"/>
    <cellStyle name="Normal 3 2 10 2 2 15" xfId="9297" xr:uid="{00000000-0005-0000-0000-0000F8200000}"/>
    <cellStyle name="Normal 3 2 10 2 2 2" xfId="9298" xr:uid="{00000000-0005-0000-0000-0000F9200000}"/>
    <cellStyle name="Normal 3 2 10 2 2 3" xfId="9299" xr:uid="{00000000-0005-0000-0000-0000FA200000}"/>
    <cellStyle name="Normal 3 2 10 2 2 4" xfId="9300" xr:uid="{00000000-0005-0000-0000-0000FB200000}"/>
    <cellStyle name="Normal 3 2 10 2 2 5" xfId="9301" xr:uid="{00000000-0005-0000-0000-0000FC200000}"/>
    <cellStyle name="Normal 3 2 10 2 2 6" xfId="9302" xr:uid="{00000000-0005-0000-0000-0000FD200000}"/>
    <cellStyle name="Normal 3 2 10 2 2 7" xfId="9303" xr:uid="{00000000-0005-0000-0000-0000FE200000}"/>
    <cellStyle name="Normal 3 2 10 2 2 8" xfId="9304" xr:uid="{00000000-0005-0000-0000-0000FF200000}"/>
    <cellStyle name="Normal 3 2 10 2 2 9" xfId="9305" xr:uid="{00000000-0005-0000-0000-000000210000}"/>
    <cellStyle name="Normal 3 2 10 2 20" xfId="9306" xr:uid="{00000000-0005-0000-0000-000001210000}"/>
    <cellStyle name="Normal 3 2 10 2 21" xfId="9307" xr:uid="{00000000-0005-0000-0000-000002210000}"/>
    <cellStyle name="Normal 3 2 10 2 22" xfId="9308" xr:uid="{00000000-0005-0000-0000-000003210000}"/>
    <cellStyle name="Normal 3 2 10 2 23" xfId="9309" xr:uid="{00000000-0005-0000-0000-000004210000}"/>
    <cellStyle name="Normal 3 2 10 2 24" xfId="9310" xr:uid="{00000000-0005-0000-0000-000005210000}"/>
    <cellStyle name="Normal 3 2 10 2 3" xfId="9311" xr:uid="{00000000-0005-0000-0000-000006210000}"/>
    <cellStyle name="Normal 3 2 10 2 3 10" xfId="9312" xr:uid="{00000000-0005-0000-0000-000007210000}"/>
    <cellStyle name="Normal 3 2 10 2 3 11" xfId="9313" xr:uid="{00000000-0005-0000-0000-000008210000}"/>
    <cellStyle name="Normal 3 2 10 2 3 12" xfId="9314" xr:uid="{00000000-0005-0000-0000-000009210000}"/>
    <cellStyle name="Normal 3 2 10 2 3 13" xfId="9315" xr:uid="{00000000-0005-0000-0000-00000A210000}"/>
    <cellStyle name="Normal 3 2 10 2 3 14" xfId="9316" xr:uid="{00000000-0005-0000-0000-00000B210000}"/>
    <cellStyle name="Normal 3 2 10 2 3 15" xfId="9317" xr:uid="{00000000-0005-0000-0000-00000C210000}"/>
    <cellStyle name="Normal 3 2 10 2 3 2" xfId="9318" xr:uid="{00000000-0005-0000-0000-00000D210000}"/>
    <cellStyle name="Normal 3 2 10 2 3 3" xfId="9319" xr:uid="{00000000-0005-0000-0000-00000E210000}"/>
    <cellStyle name="Normal 3 2 10 2 3 4" xfId="9320" xr:uid="{00000000-0005-0000-0000-00000F210000}"/>
    <cellStyle name="Normal 3 2 10 2 3 5" xfId="9321" xr:uid="{00000000-0005-0000-0000-000010210000}"/>
    <cellStyle name="Normal 3 2 10 2 3 6" xfId="9322" xr:uid="{00000000-0005-0000-0000-000011210000}"/>
    <cellStyle name="Normal 3 2 10 2 3 7" xfId="9323" xr:uid="{00000000-0005-0000-0000-000012210000}"/>
    <cellStyle name="Normal 3 2 10 2 3 8" xfId="9324" xr:uid="{00000000-0005-0000-0000-000013210000}"/>
    <cellStyle name="Normal 3 2 10 2 3 9" xfId="9325" xr:uid="{00000000-0005-0000-0000-000014210000}"/>
    <cellStyle name="Normal 3 2 10 2 4" xfId="9326" xr:uid="{00000000-0005-0000-0000-000015210000}"/>
    <cellStyle name="Normal 3 2 10 2 4 10" xfId="9327" xr:uid="{00000000-0005-0000-0000-000016210000}"/>
    <cellStyle name="Normal 3 2 10 2 4 11" xfId="9328" xr:uid="{00000000-0005-0000-0000-000017210000}"/>
    <cellStyle name="Normal 3 2 10 2 4 12" xfId="9329" xr:uid="{00000000-0005-0000-0000-000018210000}"/>
    <cellStyle name="Normal 3 2 10 2 4 13" xfId="9330" xr:uid="{00000000-0005-0000-0000-000019210000}"/>
    <cellStyle name="Normal 3 2 10 2 4 14" xfId="9331" xr:uid="{00000000-0005-0000-0000-00001A210000}"/>
    <cellStyle name="Normal 3 2 10 2 4 15" xfId="9332" xr:uid="{00000000-0005-0000-0000-00001B210000}"/>
    <cellStyle name="Normal 3 2 10 2 4 2" xfId="9333" xr:uid="{00000000-0005-0000-0000-00001C210000}"/>
    <cellStyle name="Normal 3 2 10 2 4 3" xfId="9334" xr:uid="{00000000-0005-0000-0000-00001D210000}"/>
    <cellStyle name="Normal 3 2 10 2 4 4" xfId="9335" xr:uid="{00000000-0005-0000-0000-00001E210000}"/>
    <cellStyle name="Normal 3 2 10 2 4 5" xfId="9336" xr:uid="{00000000-0005-0000-0000-00001F210000}"/>
    <cellStyle name="Normal 3 2 10 2 4 6" xfId="9337" xr:uid="{00000000-0005-0000-0000-000020210000}"/>
    <cellStyle name="Normal 3 2 10 2 4 7" xfId="9338" xr:uid="{00000000-0005-0000-0000-000021210000}"/>
    <cellStyle name="Normal 3 2 10 2 4 8" xfId="9339" xr:uid="{00000000-0005-0000-0000-000022210000}"/>
    <cellStyle name="Normal 3 2 10 2 4 9" xfId="9340" xr:uid="{00000000-0005-0000-0000-000023210000}"/>
    <cellStyle name="Normal 3 2 10 2 5" xfId="9341" xr:uid="{00000000-0005-0000-0000-000024210000}"/>
    <cellStyle name="Normal 3 2 10 2 5 10" xfId="9342" xr:uid="{00000000-0005-0000-0000-000025210000}"/>
    <cellStyle name="Normal 3 2 10 2 5 11" xfId="9343" xr:uid="{00000000-0005-0000-0000-000026210000}"/>
    <cellStyle name="Normal 3 2 10 2 5 12" xfId="9344" xr:uid="{00000000-0005-0000-0000-000027210000}"/>
    <cellStyle name="Normal 3 2 10 2 5 13" xfId="9345" xr:uid="{00000000-0005-0000-0000-000028210000}"/>
    <cellStyle name="Normal 3 2 10 2 5 14" xfId="9346" xr:uid="{00000000-0005-0000-0000-000029210000}"/>
    <cellStyle name="Normal 3 2 10 2 5 15" xfId="9347" xr:uid="{00000000-0005-0000-0000-00002A210000}"/>
    <cellStyle name="Normal 3 2 10 2 5 2" xfId="9348" xr:uid="{00000000-0005-0000-0000-00002B210000}"/>
    <cellStyle name="Normal 3 2 10 2 5 3" xfId="9349" xr:uid="{00000000-0005-0000-0000-00002C210000}"/>
    <cellStyle name="Normal 3 2 10 2 5 4" xfId="9350" xr:uid="{00000000-0005-0000-0000-00002D210000}"/>
    <cellStyle name="Normal 3 2 10 2 5 5" xfId="9351" xr:uid="{00000000-0005-0000-0000-00002E210000}"/>
    <cellStyle name="Normal 3 2 10 2 5 6" xfId="9352" xr:uid="{00000000-0005-0000-0000-00002F210000}"/>
    <cellStyle name="Normal 3 2 10 2 5 7" xfId="9353" xr:uid="{00000000-0005-0000-0000-000030210000}"/>
    <cellStyle name="Normal 3 2 10 2 5 8" xfId="9354" xr:uid="{00000000-0005-0000-0000-000031210000}"/>
    <cellStyle name="Normal 3 2 10 2 5 9" xfId="9355" xr:uid="{00000000-0005-0000-0000-000032210000}"/>
    <cellStyle name="Normal 3 2 10 2 6" xfId="9356" xr:uid="{00000000-0005-0000-0000-000033210000}"/>
    <cellStyle name="Normal 3 2 10 2 6 10" xfId="9357" xr:uid="{00000000-0005-0000-0000-000034210000}"/>
    <cellStyle name="Normal 3 2 10 2 6 11" xfId="9358" xr:uid="{00000000-0005-0000-0000-000035210000}"/>
    <cellStyle name="Normal 3 2 10 2 6 12" xfId="9359" xr:uid="{00000000-0005-0000-0000-000036210000}"/>
    <cellStyle name="Normal 3 2 10 2 6 13" xfId="9360" xr:uid="{00000000-0005-0000-0000-000037210000}"/>
    <cellStyle name="Normal 3 2 10 2 6 14" xfId="9361" xr:uid="{00000000-0005-0000-0000-000038210000}"/>
    <cellStyle name="Normal 3 2 10 2 6 15" xfId="9362" xr:uid="{00000000-0005-0000-0000-000039210000}"/>
    <cellStyle name="Normal 3 2 10 2 6 2" xfId="9363" xr:uid="{00000000-0005-0000-0000-00003A210000}"/>
    <cellStyle name="Normal 3 2 10 2 6 3" xfId="9364" xr:uid="{00000000-0005-0000-0000-00003B210000}"/>
    <cellStyle name="Normal 3 2 10 2 6 4" xfId="9365" xr:uid="{00000000-0005-0000-0000-00003C210000}"/>
    <cellStyle name="Normal 3 2 10 2 6 5" xfId="9366" xr:uid="{00000000-0005-0000-0000-00003D210000}"/>
    <cellStyle name="Normal 3 2 10 2 6 6" xfId="9367" xr:uid="{00000000-0005-0000-0000-00003E210000}"/>
    <cellStyle name="Normal 3 2 10 2 6 7" xfId="9368" xr:uid="{00000000-0005-0000-0000-00003F210000}"/>
    <cellStyle name="Normal 3 2 10 2 6 8" xfId="9369" xr:uid="{00000000-0005-0000-0000-000040210000}"/>
    <cellStyle name="Normal 3 2 10 2 6 9" xfId="9370" xr:uid="{00000000-0005-0000-0000-000041210000}"/>
    <cellStyle name="Normal 3 2 10 2 7" xfId="9371" xr:uid="{00000000-0005-0000-0000-000042210000}"/>
    <cellStyle name="Normal 3 2 10 2 7 10" xfId="9372" xr:uid="{00000000-0005-0000-0000-000043210000}"/>
    <cellStyle name="Normal 3 2 10 2 7 11" xfId="9373" xr:uid="{00000000-0005-0000-0000-000044210000}"/>
    <cellStyle name="Normal 3 2 10 2 7 12" xfId="9374" xr:uid="{00000000-0005-0000-0000-000045210000}"/>
    <cellStyle name="Normal 3 2 10 2 7 13" xfId="9375" xr:uid="{00000000-0005-0000-0000-000046210000}"/>
    <cellStyle name="Normal 3 2 10 2 7 14" xfId="9376" xr:uid="{00000000-0005-0000-0000-000047210000}"/>
    <cellStyle name="Normal 3 2 10 2 7 15" xfId="9377" xr:uid="{00000000-0005-0000-0000-000048210000}"/>
    <cellStyle name="Normal 3 2 10 2 7 2" xfId="9378" xr:uid="{00000000-0005-0000-0000-000049210000}"/>
    <cellStyle name="Normal 3 2 10 2 7 3" xfId="9379" xr:uid="{00000000-0005-0000-0000-00004A210000}"/>
    <cellStyle name="Normal 3 2 10 2 7 4" xfId="9380" xr:uid="{00000000-0005-0000-0000-00004B210000}"/>
    <cellStyle name="Normal 3 2 10 2 7 5" xfId="9381" xr:uid="{00000000-0005-0000-0000-00004C210000}"/>
    <cellStyle name="Normal 3 2 10 2 7 6" xfId="9382" xr:uid="{00000000-0005-0000-0000-00004D210000}"/>
    <cellStyle name="Normal 3 2 10 2 7 7" xfId="9383" xr:uid="{00000000-0005-0000-0000-00004E210000}"/>
    <cellStyle name="Normal 3 2 10 2 7 8" xfId="9384" xr:uid="{00000000-0005-0000-0000-00004F210000}"/>
    <cellStyle name="Normal 3 2 10 2 7 9" xfId="9385" xr:uid="{00000000-0005-0000-0000-000050210000}"/>
    <cellStyle name="Normal 3 2 10 2 8" xfId="9386" xr:uid="{00000000-0005-0000-0000-000051210000}"/>
    <cellStyle name="Normal 3 2 10 2 8 10" xfId="9387" xr:uid="{00000000-0005-0000-0000-000052210000}"/>
    <cellStyle name="Normal 3 2 10 2 8 11" xfId="9388" xr:uid="{00000000-0005-0000-0000-000053210000}"/>
    <cellStyle name="Normal 3 2 10 2 8 12" xfId="9389" xr:uid="{00000000-0005-0000-0000-000054210000}"/>
    <cellStyle name="Normal 3 2 10 2 8 13" xfId="9390" xr:uid="{00000000-0005-0000-0000-000055210000}"/>
    <cellStyle name="Normal 3 2 10 2 8 14" xfId="9391" xr:uid="{00000000-0005-0000-0000-000056210000}"/>
    <cellStyle name="Normal 3 2 10 2 8 15" xfId="9392" xr:uid="{00000000-0005-0000-0000-000057210000}"/>
    <cellStyle name="Normal 3 2 10 2 8 2" xfId="9393" xr:uid="{00000000-0005-0000-0000-000058210000}"/>
    <cellStyle name="Normal 3 2 10 2 8 3" xfId="9394" xr:uid="{00000000-0005-0000-0000-000059210000}"/>
    <cellStyle name="Normal 3 2 10 2 8 4" xfId="9395" xr:uid="{00000000-0005-0000-0000-00005A210000}"/>
    <cellStyle name="Normal 3 2 10 2 8 5" xfId="9396" xr:uid="{00000000-0005-0000-0000-00005B210000}"/>
    <cellStyle name="Normal 3 2 10 2 8 6" xfId="9397" xr:uid="{00000000-0005-0000-0000-00005C210000}"/>
    <cellStyle name="Normal 3 2 10 2 8 7" xfId="9398" xr:uid="{00000000-0005-0000-0000-00005D210000}"/>
    <cellStyle name="Normal 3 2 10 2 8 8" xfId="9399" xr:uid="{00000000-0005-0000-0000-00005E210000}"/>
    <cellStyle name="Normal 3 2 10 2 8 9" xfId="9400" xr:uid="{00000000-0005-0000-0000-00005F210000}"/>
    <cellStyle name="Normal 3 2 10 2 9" xfId="9401" xr:uid="{00000000-0005-0000-0000-000060210000}"/>
    <cellStyle name="Normal 3 2 10 2 9 10" xfId="9402" xr:uid="{00000000-0005-0000-0000-000061210000}"/>
    <cellStyle name="Normal 3 2 10 2 9 11" xfId="9403" xr:uid="{00000000-0005-0000-0000-000062210000}"/>
    <cellStyle name="Normal 3 2 10 2 9 12" xfId="9404" xr:uid="{00000000-0005-0000-0000-000063210000}"/>
    <cellStyle name="Normal 3 2 10 2 9 13" xfId="9405" xr:uid="{00000000-0005-0000-0000-000064210000}"/>
    <cellStyle name="Normal 3 2 10 2 9 14" xfId="9406" xr:uid="{00000000-0005-0000-0000-000065210000}"/>
    <cellStyle name="Normal 3 2 10 2 9 15" xfId="9407" xr:uid="{00000000-0005-0000-0000-000066210000}"/>
    <cellStyle name="Normal 3 2 10 2 9 2" xfId="9408" xr:uid="{00000000-0005-0000-0000-000067210000}"/>
    <cellStyle name="Normal 3 2 10 2 9 3" xfId="9409" xr:uid="{00000000-0005-0000-0000-000068210000}"/>
    <cellStyle name="Normal 3 2 10 2 9 4" xfId="9410" xr:uid="{00000000-0005-0000-0000-000069210000}"/>
    <cellStyle name="Normal 3 2 10 2 9 5" xfId="9411" xr:uid="{00000000-0005-0000-0000-00006A210000}"/>
    <cellStyle name="Normal 3 2 10 2 9 6" xfId="9412" xr:uid="{00000000-0005-0000-0000-00006B210000}"/>
    <cellStyle name="Normal 3 2 10 2 9 7" xfId="9413" xr:uid="{00000000-0005-0000-0000-00006C210000}"/>
    <cellStyle name="Normal 3 2 10 2 9 8" xfId="9414" xr:uid="{00000000-0005-0000-0000-00006D210000}"/>
    <cellStyle name="Normal 3 2 10 2 9 9" xfId="9415" xr:uid="{00000000-0005-0000-0000-00006E210000}"/>
    <cellStyle name="Normal 3 2 10 20" xfId="9416" xr:uid="{00000000-0005-0000-0000-00006F210000}"/>
    <cellStyle name="Normal 3 2 10 3" xfId="9417" xr:uid="{00000000-0005-0000-0000-000070210000}"/>
    <cellStyle name="Normal 3 2 10 3 10" xfId="9418" xr:uid="{00000000-0005-0000-0000-000071210000}"/>
    <cellStyle name="Normal 3 2 10 3 11" xfId="9419" xr:uid="{00000000-0005-0000-0000-000072210000}"/>
    <cellStyle name="Normal 3 2 10 3 12" xfId="9420" xr:uid="{00000000-0005-0000-0000-000073210000}"/>
    <cellStyle name="Normal 3 2 10 3 13" xfId="9421" xr:uid="{00000000-0005-0000-0000-000074210000}"/>
    <cellStyle name="Normal 3 2 10 3 14" xfId="9422" xr:uid="{00000000-0005-0000-0000-000075210000}"/>
    <cellStyle name="Normal 3 2 10 3 15" xfId="9423" xr:uid="{00000000-0005-0000-0000-000076210000}"/>
    <cellStyle name="Normal 3 2 10 3 16" xfId="9424" xr:uid="{00000000-0005-0000-0000-000077210000}"/>
    <cellStyle name="Normal 3 2 10 3 17" xfId="9425" xr:uid="{00000000-0005-0000-0000-000078210000}"/>
    <cellStyle name="Normal 3 2 10 3 18" xfId="9426" xr:uid="{00000000-0005-0000-0000-000079210000}"/>
    <cellStyle name="Normal 3 2 10 3 19" xfId="9427" xr:uid="{00000000-0005-0000-0000-00007A210000}"/>
    <cellStyle name="Normal 3 2 10 3 2" xfId="9428" xr:uid="{00000000-0005-0000-0000-00007B210000}"/>
    <cellStyle name="Normal 3 2 10 3 2 10" xfId="9429" xr:uid="{00000000-0005-0000-0000-00007C210000}"/>
    <cellStyle name="Normal 3 2 10 3 2 11" xfId="9430" xr:uid="{00000000-0005-0000-0000-00007D210000}"/>
    <cellStyle name="Normal 3 2 10 3 2 12" xfId="9431" xr:uid="{00000000-0005-0000-0000-00007E210000}"/>
    <cellStyle name="Normal 3 2 10 3 2 13" xfId="9432" xr:uid="{00000000-0005-0000-0000-00007F210000}"/>
    <cellStyle name="Normal 3 2 10 3 2 14" xfId="9433" xr:uid="{00000000-0005-0000-0000-000080210000}"/>
    <cellStyle name="Normal 3 2 10 3 2 15" xfId="9434" xr:uid="{00000000-0005-0000-0000-000081210000}"/>
    <cellStyle name="Normal 3 2 10 3 2 2" xfId="9435" xr:uid="{00000000-0005-0000-0000-000082210000}"/>
    <cellStyle name="Normal 3 2 10 3 2 3" xfId="9436" xr:uid="{00000000-0005-0000-0000-000083210000}"/>
    <cellStyle name="Normal 3 2 10 3 2 4" xfId="9437" xr:uid="{00000000-0005-0000-0000-000084210000}"/>
    <cellStyle name="Normal 3 2 10 3 2 5" xfId="9438" xr:uid="{00000000-0005-0000-0000-000085210000}"/>
    <cellStyle name="Normal 3 2 10 3 2 6" xfId="9439" xr:uid="{00000000-0005-0000-0000-000086210000}"/>
    <cellStyle name="Normal 3 2 10 3 2 7" xfId="9440" xr:uid="{00000000-0005-0000-0000-000087210000}"/>
    <cellStyle name="Normal 3 2 10 3 2 8" xfId="9441" xr:uid="{00000000-0005-0000-0000-000088210000}"/>
    <cellStyle name="Normal 3 2 10 3 2 9" xfId="9442" xr:uid="{00000000-0005-0000-0000-000089210000}"/>
    <cellStyle name="Normal 3 2 10 3 3" xfId="9443" xr:uid="{00000000-0005-0000-0000-00008A210000}"/>
    <cellStyle name="Normal 3 2 10 3 3 10" xfId="9444" xr:uid="{00000000-0005-0000-0000-00008B210000}"/>
    <cellStyle name="Normal 3 2 10 3 3 11" xfId="9445" xr:uid="{00000000-0005-0000-0000-00008C210000}"/>
    <cellStyle name="Normal 3 2 10 3 3 12" xfId="9446" xr:uid="{00000000-0005-0000-0000-00008D210000}"/>
    <cellStyle name="Normal 3 2 10 3 3 13" xfId="9447" xr:uid="{00000000-0005-0000-0000-00008E210000}"/>
    <cellStyle name="Normal 3 2 10 3 3 14" xfId="9448" xr:uid="{00000000-0005-0000-0000-00008F210000}"/>
    <cellStyle name="Normal 3 2 10 3 3 15" xfId="9449" xr:uid="{00000000-0005-0000-0000-000090210000}"/>
    <cellStyle name="Normal 3 2 10 3 3 2" xfId="9450" xr:uid="{00000000-0005-0000-0000-000091210000}"/>
    <cellStyle name="Normal 3 2 10 3 3 3" xfId="9451" xr:uid="{00000000-0005-0000-0000-000092210000}"/>
    <cellStyle name="Normal 3 2 10 3 3 4" xfId="9452" xr:uid="{00000000-0005-0000-0000-000093210000}"/>
    <cellStyle name="Normal 3 2 10 3 3 5" xfId="9453" xr:uid="{00000000-0005-0000-0000-000094210000}"/>
    <cellStyle name="Normal 3 2 10 3 3 6" xfId="9454" xr:uid="{00000000-0005-0000-0000-000095210000}"/>
    <cellStyle name="Normal 3 2 10 3 3 7" xfId="9455" xr:uid="{00000000-0005-0000-0000-000096210000}"/>
    <cellStyle name="Normal 3 2 10 3 3 8" xfId="9456" xr:uid="{00000000-0005-0000-0000-000097210000}"/>
    <cellStyle name="Normal 3 2 10 3 3 9" xfId="9457" xr:uid="{00000000-0005-0000-0000-000098210000}"/>
    <cellStyle name="Normal 3 2 10 3 4" xfId="9458" xr:uid="{00000000-0005-0000-0000-000099210000}"/>
    <cellStyle name="Normal 3 2 10 3 4 10" xfId="9459" xr:uid="{00000000-0005-0000-0000-00009A210000}"/>
    <cellStyle name="Normal 3 2 10 3 4 11" xfId="9460" xr:uid="{00000000-0005-0000-0000-00009B210000}"/>
    <cellStyle name="Normal 3 2 10 3 4 12" xfId="9461" xr:uid="{00000000-0005-0000-0000-00009C210000}"/>
    <cellStyle name="Normal 3 2 10 3 4 13" xfId="9462" xr:uid="{00000000-0005-0000-0000-00009D210000}"/>
    <cellStyle name="Normal 3 2 10 3 4 14" xfId="9463" xr:uid="{00000000-0005-0000-0000-00009E210000}"/>
    <cellStyle name="Normal 3 2 10 3 4 15" xfId="9464" xr:uid="{00000000-0005-0000-0000-00009F210000}"/>
    <cellStyle name="Normal 3 2 10 3 4 2" xfId="9465" xr:uid="{00000000-0005-0000-0000-0000A0210000}"/>
    <cellStyle name="Normal 3 2 10 3 4 3" xfId="9466" xr:uid="{00000000-0005-0000-0000-0000A1210000}"/>
    <cellStyle name="Normal 3 2 10 3 4 4" xfId="9467" xr:uid="{00000000-0005-0000-0000-0000A2210000}"/>
    <cellStyle name="Normal 3 2 10 3 4 5" xfId="9468" xr:uid="{00000000-0005-0000-0000-0000A3210000}"/>
    <cellStyle name="Normal 3 2 10 3 4 6" xfId="9469" xr:uid="{00000000-0005-0000-0000-0000A4210000}"/>
    <cellStyle name="Normal 3 2 10 3 4 7" xfId="9470" xr:uid="{00000000-0005-0000-0000-0000A5210000}"/>
    <cellStyle name="Normal 3 2 10 3 4 8" xfId="9471" xr:uid="{00000000-0005-0000-0000-0000A6210000}"/>
    <cellStyle name="Normal 3 2 10 3 4 9" xfId="9472" xr:uid="{00000000-0005-0000-0000-0000A7210000}"/>
    <cellStyle name="Normal 3 2 10 3 5" xfId="9473" xr:uid="{00000000-0005-0000-0000-0000A8210000}"/>
    <cellStyle name="Normal 3 2 10 3 5 10" xfId="9474" xr:uid="{00000000-0005-0000-0000-0000A9210000}"/>
    <cellStyle name="Normal 3 2 10 3 5 11" xfId="9475" xr:uid="{00000000-0005-0000-0000-0000AA210000}"/>
    <cellStyle name="Normal 3 2 10 3 5 12" xfId="9476" xr:uid="{00000000-0005-0000-0000-0000AB210000}"/>
    <cellStyle name="Normal 3 2 10 3 5 13" xfId="9477" xr:uid="{00000000-0005-0000-0000-0000AC210000}"/>
    <cellStyle name="Normal 3 2 10 3 5 14" xfId="9478" xr:uid="{00000000-0005-0000-0000-0000AD210000}"/>
    <cellStyle name="Normal 3 2 10 3 5 15" xfId="9479" xr:uid="{00000000-0005-0000-0000-0000AE210000}"/>
    <cellStyle name="Normal 3 2 10 3 5 2" xfId="9480" xr:uid="{00000000-0005-0000-0000-0000AF210000}"/>
    <cellStyle name="Normal 3 2 10 3 5 3" xfId="9481" xr:uid="{00000000-0005-0000-0000-0000B0210000}"/>
    <cellStyle name="Normal 3 2 10 3 5 4" xfId="9482" xr:uid="{00000000-0005-0000-0000-0000B1210000}"/>
    <cellStyle name="Normal 3 2 10 3 5 5" xfId="9483" xr:uid="{00000000-0005-0000-0000-0000B2210000}"/>
    <cellStyle name="Normal 3 2 10 3 5 6" xfId="9484" xr:uid="{00000000-0005-0000-0000-0000B3210000}"/>
    <cellStyle name="Normal 3 2 10 3 5 7" xfId="9485" xr:uid="{00000000-0005-0000-0000-0000B4210000}"/>
    <cellStyle name="Normal 3 2 10 3 5 8" xfId="9486" xr:uid="{00000000-0005-0000-0000-0000B5210000}"/>
    <cellStyle name="Normal 3 2 10 3 5 9" xfId="9487" xr:uid="{00000000-0005-0000-0000-0000B6210000}"/>
    <cellStyle name="Normal 3 2 10 3 6" xfId="9488" xr:uid="{00000000-0005-0000-0000-0000B7210000}"/>
    <cellStyle name="Normal 3 2 10 3 7" xfId="9489" xr:uid="{00000000-0005-0000-0000-0000B8210000}"/>
    <cellStyle name="Normal 3 2 10 3 8" xfId="9490" xr:uid="{00000000-0005-0000-0000-0000B9210000}"/>
    <cellStyle name="Normal 3 2 10 3 9" xfId="9491" xr:uid="{00000000-0005-0000-0000-0000BA210000}"/>
    <cellStyle name="Normal 3 2 10 4" xfId="9492" xr:uid="{00000000-0005-0000-0000-0000BB210000}"/>
    <cellStyle name="Normal 3 2 10 4 10" xfId="9493" xr:uid="{00000000-0005-0000-0000-0000BC210000}"/>
    <cellStyle name="Normal 3 2 10 4 11" xfId="9494" xr:uid="{00000000-0005-0000-0000-0000BD210000}"/>
    <cellStyle name="Normal 3 2 10 4 12" xfId="9495" xr:uid="{00000000-0005-0000-0000-0000BE210000}"/>
    <cellStyle name="Normal 3 2 10 4 13" xfId="9496" xr:uid="{00000000-0005-0000-0000-0000BF210000}"/>
    <cellStyle name="Normal 3 2 10 4 14" xfId="9497" xr:uid="{00000000-0005-0000-0000-0000C0210000}"/>
    <cellStyle name="Normal 3 2 10 4 15" xfId="9498" xr:uid="{00000000-0005-0000-0000-0000C1210000}"/>
    <cellStyle name="Normal 3 2 10 4 16" xfId="9499" xr:uid="{00000000-0005-0000-0000-0000C2210000}"/>
    <cellStyle name="Normal 3 2 10 4 17" xfId="9500" xr:uid="{00000000-0005-0000-0000-0000C3210000}"/>
    <cellStyle name="Normal 3 2 10 4 18" xfId="9501" xr:uid="{00000000-0005-0000-0000-0000C4210000}"/>
    <cellStyle name="Normal 3 2 10 4 19" xfId="9502" xr:uid="{00000000-0005-0000-0000-0000C5210000}"/>
    <cellStyle name="Normal 3 2 10 4 2" xfId="9503" xr:uid="{00000000-0005-0000-0000-0000C6210000}"/>
    <cellStyle name="Normal 3 2 10 4 2 10" xfId="9504" xr:uid="{00000000-0005-0000-0000-0000C7210000}"/>
    <cellStyle name="Normal 3 2 10 4 2 11" xfId="9505" xr:uid="{00000000-0005-0000-0000-0000C8210000}"/>
    <cellStyle name="Normal 3 2 10 4 2 12" xfId="9506" xr:uid="{00000000-0005-0000-0000-0000C9210000}"/>
    <cellStyle name="Normal 3 2 10 4 2 13" xfId="9507" xr:uid="{00000000-0005-0000-0000-0000CA210000}"/>
    <cellStyle name="Normal 3 2 10 4 2 14" xfId="9508" xr:uid="{00000000-0005-0000-0000-0000CB210000}"/>
    <cellStyle name="Normal 3 2 10 4 2 15" xfId="9509" xr:uid="{00000000-0005-0000-0000-0000CC210000}"/>
    <cellStyle name="Normal 3 2 10 4 2 2" xfId="9510" xr:uid="{00000000-0005-0000-0000-0000CD210000}"/>
    <cellStyle name="Normal 3 2 10 4 2 3" xfId="9511" xr:uid="{00000000-0005-0000-0000-0000CE210000}"/>
    <cellStyle name="Normal 3 2 10 4 2 4" xfId="9512" xr:uid="{00000000-0005-0000-0000-0000CF210000}"/>
    <cellStyle name="Normal 3 2 10 4 2 5" xfId="9513" xr:uid="{00000000-0005-0000-0000-0000D0210000}"/>
    <cellStyle name="Normal 3 2 10 4 2 6" xfId="9514" xr:uid="{00000000-0005-0000-0000-0000D1210000}"/>
    <cellStyle name="Normal 3 2 10 4 2 7" xfId="9515" xr:uid="{00000000-0005-0000-0000-0000D2210000}"/>
    <cellStyle name="Normal 3 2 10 4 2 8" xfId="9516" xr:uid="{00000000-0005-0000-0000-0000D3210000}"/>
    <cellStyle name="Normal 3 2 10 4 2 9" xfId="9517" xr:uid="{00000000-0005-0000-0000-0000D4210000}"/>
    <cellStyle name="Normal 3 2 10 4 3" xfId="9518" xr:uid="{00000000-0005-0000-0000-0000D5210000}"/>
    <cellStyle name="Normal 3 2 10 4 3 10" xfId="9519" xr:uid="{00000000-0005-0000-0000-0000D6210000}"/>
    <cellStyle name="Normal 3 2 10 4 3 11" xfId="9520" xr:uid="{00000000-0005-0000-0000-0000D7210000}"/>
    <cellStyle name="Normal 3 2 10 4 3 12" xfId="9521" xr:uid="{00000000-0005-0000-0000-0000D8210000}"/>
    <cellStyle name="Normal 3 2 10 4 3 13" xfId="9522" xr:uid="{00000000-0005-0000-0000-0000D9210000}"/>
    <cellStyle name="Normal 3 2 10 4 3 14" xfId="9523" xr:uid="{00000000-0005-0000-0000-0000DA210000}"/>
    <cellStyle name="Normal 3 2 10 4 3 15" xfId="9524" xr:uid="{00000000-0005-0000-0000-0000DB210000}"/>
    <cellStyle name="Normal 3 2 10 4 3 2" xfId="9525" xr:uid="{00000000-0005-0000-0000-0000DC210000}"/>
    <cellStyle name="Normal 3 2 10 4 3 3" xfId="9526" xr:uid="{00000000-0005-0000-0000-0000DD210000}"/>
    <cellStyle name="Normal 3 2 10 4 3 4" xfId="9527" xr:uid="{00000000-0005-0000-0000-0000DE210000}"/>
    <cellStyle name="Normal 3 2 10 4 3 5" xfId="9528" xr:uid="{00000000-0005-0000-0000-0000DF210000}"/>
    <cellStyle name="Normal 3 2 10 4 3 6" xfId="9529" xr:uid="{00000000-0005-0000-0000-0000E0210000}"/>
    <cellStyle name="Normal 3 2 10 4 3 7" xfId="9530" xr:uid="{00000000-0005-0000-0000-0000E1210000}"/>
    <cellStyle name="Normal 3 2 10 4 3 8" xfId="9531" xr:uid="{00000000-0005-0000-0000-0000E2210000}"/>
    <cellStyle name="Normal 3 2 10 4 3 9" xfId="9532" xr:uid="{00000000-0005-0000-0000-0000E3210000}"/>
    <cellStyle name="Normal 3 2 10 4 4" xfId="9533" xr:uid="{00000000-0005-0000-0000-0000E4210000}"/>
    <cellStyle name="Normal 3 2 10 4 4 10" xfId="9534" xr:uid="{00000000-0005-0000-0000-0000E5210000}"/>
    <cellStyle name="Normal 3 2 10 4 4 11" xfId="9535" xr:uid="{00000000-0005-0000-0000-0000E6210000}"/>
    <cellStyle name="Normal 3 2 10 4 4 12" xfId="9536" xr:uid="{00000000-0005-0000-0000-0000E7210000}"/>
    <cellStyle name="Normal 3 2 10 4 4 13" xfId="9537" xr:uid="{00000000-0005-0000-0000-0000E8210000}"/>
    <cellStyle name="Normal 3 2 10 4 4 14" xfId="9538" xr:uid="{00000000-0005-0000-0000-0000E9210000}"/>
    <cellStyle name="Normal 3 2 10 4 4 15" xfId="9539" xr:uid="{00000000-0005-0000-0000-0000EA210000}"/>
    <cellStyle name="Normal 3 2 10 4 4 2" xfId="9540" xr:uid="{00000000-0005-0000-0000-0000EB210000}"/>
    <cellStyle name="Normal 3 2 10 4 4 3" xfId="9541" xr:uid="{00000000-0005-0000-0000-0000EC210000}"/>
    <cellStyle name="Normal 3 2 10 4 4 4" xfId="9542" xr:uid="{00000000-0005-0000-0000-0000ED210000}"/>
    <cellStyle name="Normal 3 2 10 4 4 5" xfId="9543" xr:uid="{00000000-0005-0000-0000-0000EE210000}"/>
    <cellStyle name="Normal 3 2 10 4 4 6" xfId="9544" xr:uid="{00000000-0005-0000-0000-0000EF210000}"/>
    <cellStyle name="Normal 3 2 10 4 4 7" xfId="9545" xr:uid="{00000000-0005-0000-0000-0000F0210000}"/>
    <cellStyle name="Normal 3 2 10 4 4 8" xfId="9546" xr:uid="{00000000-0005-0000-0000-0000F1210000}"/>
    <cellStyle name="Normal 3 2 10 4 4 9" xfId="9547" xr:uid="{00000000-0005-0000-0000-0000F2210000}"/>
    <cellStyle name="Normal 3 2 10 4 5" xfId="9548" xr:uid="{00000000-0005-0000-0000-0000F3210000}"/>
    <cellStyle name="Normal 3 2 10 4 5 10" xfId="9549" xr:uid="{00000000-0005-0000-0000-0000F4210000}"/>
    <cellStyle name="Normal 3 2 10 4 5 11" xfId="9550" xr:uid="{00000000-0005-0000-0000-0000F5210000}"/>
    <cellStyle name="Normal 3 2 10 4 5 12" xfId="9551" xr:uid="{00000000-0005-0000-0000-0000F6210000}"/>
    <cellStyle name="Normal 3 2 10 4 5 13" xfId="9552" xr:uid="{00000000-0005-0000-0000-0000F7210000}"/>
    <cellStyle name="Normal 3 2 10 4 5 14" xfId="9553" xr:uid="{00000000-0005-0000-0000-0000F8210000}"/>
    <cellStyle name="Normal 3 2 10 4 5 15" xfId="9554" xr:uid="{00000000-0005-0000-0000-0000F9210000}"/>
    <cellStyle name="Normal 3 2 10 4 5 2" xfId="9555" xr:uid="{00000000-0005-0000-0000-0000FA210000}"/>
    <cellStyle name="Normal 3 2 10 4 5 3" xfId="9556" xr:uid="{00000000-0005-0000-0000-0000FB210000}"/>
    <cellStyle name="Normal 3 2 10 4 5 4" xfId="9557" xr:uid="{00000000-0005-0000-0000-0000FC210000}"/>
    <cellStyle name="Normal 3 2 10 4 5 5" xfId="9558" xr:uid="{00000000-0005-0000-0000-0000FD210000}"/>
    <cellStyle name="Normal 3 2 10 4 5 6" xfId="9559" xr:uid="{00000000-0005-0000-0000-0000FE210000}"/>
    <cellStyle name="Normal 3 2 10 4 5 7" xfId="9560" xr:uid="{00000000-0005-0000-0000-0000FF210000}"/>
    <cellStyle name="Normal 3 2 10 4 5 8" xfId="9561" xr:uid="{00000000-0005-0000-0000-000000220000}"/>
    <cellStyle name="Normal 3 2 10 4 5 9" xfId="9562" xr:uid="{00000000-0005-0000-0000-000001220000}"/>
    <cellStyle name="Normal 3 2 10 4 6" xfId="9563" xr:uid="{00000000-0005-0000-0000-000002220000}"/>
    <cellStyle name="Normal 3 2 10 4 7" xfId="9564" xr:uid="{00000000-0005-0000-0000-000003220000}"/>
    <cellStyle name="Normal 3 2 10 4 8" xfId="9565" xr:uid="{00000000-0005-0000-0000-000004220000}"/>
    <cellStyle name="Normal 3 2 10 4 9" xfId="9566" xr:uid="{00000000-0005-0000-0000-000005220000}"/>
    <cellStyle name="Normal 3 2 10 5" xfId="9567" xr:uid="{00000000-0005-0000-0000-000006220000}"/>
    <cellStyle name="Normal 3 2 10 5 10" xfId="9568" xr:uid="{00000000-0005-0000-0000-000007220000}"/>
    <cellStyle name="Normal 3 2 10 5 11" xfId="9569" xr:uid="{00000000-0005-0000-0000-000008220000}"/>
    <cellStyle name="Normal 3 2 10 5 12" xfId="9570" xr:uid="{00000000-0005-0000-0000-000009220000}"/>
    <cellStyle name="Normal 3 2 10 5 13" xfId="9571" xr:uid="{00000000-0005-0000-0000-00000A220000}"/>
    <cellStyle name="Normal 3 2 10 5 14" xfId="9572" xr:uid="{00000000-0005-0000-0000-00000B220000}"/>
    <cellStyle name="Normal 3 2 10 5 15" xfId="9573" xr:uid="{00000000-0005-0000-0000-00000C220000}"/>
    <cellStyle name="Normal 3 2 10 5 16" xfId="9574" xr:uid="{00000000-0005-0000-0000-00000D220000}"/>
    <cellStyle name="Normal 3 2 10 5 17" xfId="9575" xr:uid="{00000000-0005-0000-0000-00000E220000}"/>
    <cellStyle name="Normal 3 2 10 5 18" xfId="9576" xr:uid="{00000000-0005-0000-0000-00000F220000}"/>
    <cellStyle name="Normal 3 2 10 5 19" xfId="9577" xr:uid="{00000000-0005-0000-0000-000010220000}"/>
    <cellStyle name="Normal 3 2 10 5 2" xfId="9578" xr:uid="{00000000-0005-0000-0000-000011220000}"/>
    <cellStyle name="Normal 3 2 10 5 2 10" xfId="9579" xr:uid="{00000000-0005-0000-0000-000012220000}"/>
    <cellStyle name="Normal 3 2 10 5 2 11" xfId="9580" xr:uid="{00000000-0005-0000-0000-000013220000}"/>
    <cellStyle name="Normal 3 2 10 5 2 12" xfId="9581" xr:uid="{00000000-0005-0000-0000-000014220000}"/>
    <cellStyle name="Normal 3 2 10 5 2 13" xfId="9582" xr:uid="{00000000-0005-0000-0000-000015220000}"/>
    <cellStyle name="Normal 3 2 10 5 2 14" xfId="9583" xr:uid="{00000000-0005-0000-0000-000016220000}"/>
    <cellStyle name="Normal 3 2 10 5 2 15" xfId="9584" xr:uid="{00000000-0005-0000-0000-000017220000}"/>
    <cellStyle name="Normal 3 2 10 5 2 2" xfId="9585" xr:uid="{00000000-0005-0000-0000-000018220000}"/>
    <cellStyle name="Normal 3 2 10 5 2 3" xfId="9586" xr:uid="{00000000-0005-0000-0000-000019220000}"/>
    <cellStyle name="Normal 3 2 10 5 2 4" xfId="9587" xr:uid="{00000000-0005-0000-0000-00001A220000}"/>
    <cellStyle name="Normal 3 2 10 5 2 5" xfId="9588" xr:uid="{00000000-0005-0000-0000-00001B220000}"/>
    <cellStyle name="Normal 3 2 10 5 2 6" xfId="9589" xr:uid="{00000000-0005-0000-0000-00001C220000}"/>
    <cellStyle name="Normal 3 2 10 5 2 7" xfId="9590" xr:uid="{00000000-0005-0000-0000-00001D220000}"/>
    <cellStyle name="Normal 3 2 10 5 2 8" xfId="9591" xr:uid="{00000000-0005-0000-0000-00001E220000}"/>
    <cellStyle name="Normal 3 2 10 5 2 9" xfId="9592" xr:uid="{00000000-0005-0000-0000-00001F220000}"/>
    <cellStyle name="Normal 3 2 10 5 3" xfId="9593" xr:uid="{00000000-0005-0000-0000-000020220000}"/>
    <cellStyle name="Normal 3 2 10 5 3 10" xfId="9594" xr:uid="{00000000-0005-0000-0000-000021220000}"/>
    <cellStyle name="Normal 3 2 10 5 3 11" xfId="9595" xr:uid="{00000000-0005-0000-0000-000022220000}"/>
    <cellStyle name="Normal 3 2 10 5 3 12" xfId="9596" xr:uid="{00000000-0005-0000-0000-000023220000}"/>
    <cellStyle name="Normal 3 2 10 5 3 13" xfId="9597" xr:uid="{00000000-0005-0000-0000-000024220000}"/>
    <cellStyle name="Normal 3 2 10 5 3 14" xfId="9598" xr:uid="{00000000-0005-0000-0000-000025220000}"/>
    <cellStyle name="Normal 3 2 10 5 3 15" xfId="9599" xr:uid="{00000000-0005-0000-0000-000026220000}"/>
    <cellStyle name="Normal 3 2 10 5 3 2" xfId="9600" xr:uid="{00000000-0005-0000-0000-000027220000}"/>
    <cellStyle name="Normal 3 2 10 5 3 3" xfId="9601" xr:uid="{00000000-0005-0000-0000-000028220000}"/>
    <cellStyle name="Normal 3 2 10 5 3 4" xfId="9602" xr:uid="{00000000-0005-0000-0000-000029220000}"/>
    <cellStyle name="Normal 3 2 10 5 3 5" xfId="9603" xr:uid="{00000000-0005-0000-0000-00002A220000}"/>
    <cellStyle name="Normal 3 2 10 5 3 6" xfId="9604" xr:uid="{00000000-0005-0000-0000-00002B220000}"/>
    <cellStyle name="Normal 3 2 10 5 3 7" xfId="9605" xr:uid="{00000000-0005-0000-0000-00002C220000}"/>
    <cellStyle name="Normal 3 2 10 5 3 8" xfId="9606" xr:uid="{00000000-0005-0000-0000-00002D220000}"/>
    <cellStyle name="Normal 3 2 10 5 3 9" xfId="9607" xr:uid="{00000000-0005-0000-0000-00002E220000}"/>
    <cellStyle name="Normal 3 2 10 5 4" xfId="9608" xr:uid="{00000000-0005-0000-0000-00002F220000}"/>
    <cellStyle name="Normal 3 2 10 5 4 10" xfId="9609" xr:uid="{00000000-0005-0000-0000-000030220000}"/>
    <cellStyle name="Normal 3 2 10 5 4 11" xfId="9610" xr:uid="{00000000-0005-0000-0000-000031220000}"/>
    <cellStyle name="Normal 3 2 10 5 4 12" xfId="9611" xr:uid="{00000000-0005-0000-0000-000032220000}"/>
    <cellStyle name="Normal 3 2 10 5 4 13" xfId="9612" xr:uid="{00000000-0005-0000-0000-000033220000}"/>
    <cellStyle name="Normal 3 2 10 5 4 14" xfId="9613" xr:uid="{00000000-0005-0000-0000-000034220000}"/>
    <cellStyle name="Normal 3 2 10 5 4 15" xfId="9614" xr:uid="{00000000-0005-0000-0000-000035220000}"/>
    <cellStyle name="Normal 3 2 10 5 4 2" xfId="9615" xr:uid="{00000000-0005-0000-0000-000036220000}"/>
    <cellStyle name="Normal 3 2 10 5 4 3" xfId="9616" xr:uid="{00000000-0005-0000-0000-000037220000}"/>
    <cellStyle name="Normal 3 2 10 5 4 4" xfId="9617" xr:uid="{00000000-0005-0000-0000-000038220000}"/>
    <cellStyle name="Normal 3 2 10 5 4 5" xfId="9618" xr:uid="{00000000-0005-0000-0000-000039220000}"/>
    <cellStyle name="Normal 3 2 10 5 4 6" xfId="9619" xr:uid="{00000000-0005-0000-0000-00003A220000}"/>
    <cellStyle name="Normal 3 2 10 5 4 7" xfId="9620" xr:uid="{00000000-0005-0000-0000-00003B220000}"/>
    <cellStyle name="Normal 3 2 10 5 4 8" xfId="9621" xr:uid="{00000000-0005-0000-0000-00003C220000}"/>
    <cellStyle name="Normal 3 2 10 5 4 9" xfId="9622" xr:uid="{00000000-0005-0000-0000-00003D220000}"/>
    <cellStyle name="Normal 3 2 10 5 5" xfId="9623" xr:uid="{00000000-0005-0000-0000-00003E220000}"/>
    <cellStyle name="Normal 3 2 10 5 5 10" xfId="9624" xr:uid="{00000000-0005-0000-0000-00003F220000}"/>
    <cellStyle name="Normal 3 2 10 5 5 11" xfId="9625" xr:uid="{00000000-0005-0000-0000-000040220000}"/>
    <cellStyle name="Normal 3 2 10 5 5 12" xfId="9626" xr:uid="{00000000-0005-0000-0000-000041220000}"/>
    <cellStyle name="Normal 3 2 10 5 5 13" xfId="9627" xr:uid="{00000000-0005-0000-0000-000042220000}"/>
    <cellStyle name="Normal 3 2 10 5 5 14" xfId="9628" xr:uid="{00000000-0005-0000-0000-000043220000}"/>
    <cellStyle name="Normal 3 2 10 5 5 15" xfId="9629" xr:uid="{00000000-0005-0000-0000-000044220000}"/>
    <cellStyle name="Normal 3 2 10 5 5 2" xfId="9630" xr:uid="{00000000-0005-0000-0000-000045220000}"/>
    <cellStyle name="Normal 3 2 10 5 5 3" xfId="9631" xr:uid="{00000000-0005-0000-0000-000046220000}"/>
    <cellStyle name="Normal 3 2 10 5 5 4" xfId="9632" xr:uid="{00000000-0005-0000-0000-000047220000}"/>
    <cellStyle name="Normal 3 2 10 5 5 5" xfId="9633" xr:uid="{00000000-0005-0000-0000-000048220000}"/>
    <cellStyle name="Normal 3 2 10 5 5 6" xfId="9634" xr:uid="{00000000-0005-0000-0000-000049220000}"/>
    <cellStyle name="Normal 3 2 10 5 5 7" xfId="9635" xr:uid="{00000000-0005-0000-0000-00004A220000}"/>
    <cellStyle name="Normal 3 2 10 5 5 8" xfId="9636" xr:uid="{00000000-0005-0000-0000-00004B220000}"/>
    <cellStyle name="Normal 3 2 10 5 5 9" xfId="9637" xr:uid="{00000000-0005-0000-0000-00004C220000}"/>
    <cellStyle name="Normal 3 2 10 5 6" xfId="9638" xr:uid="{00000000-0005-0000-0000-00004D220000}"/>
    <cellStyle name="Normal 3 2 10 5 7" xfId="9639" xr:uid="{00000000-0005-0000-0000-00004E220000}"/>
    <cellStyle name="Normal 3 2 10 5 8" xfId="9640" xr:uid="{00000000-0005-0000-0000-00004F220000}"/>
    <cellStyle name="Normal 3 2 10 5 9" xfId="9641" xr:uid="{00000000-0005-0000-0000-000050220000}"/>
    <cellStyle name="Normal 3 2 10 6" xfId="9642" xr:uid="{00000000-0005-0000-0000-000051220000}"/>
    <cellStyle name="Normal 3 2 10 6 10" xfId="9643" xr:uid="{00000000-0005-0000-0000-000052220000}"/>
    <cellStyle name="Normal 3 2 10 6 11" xfId="9644" xr:uid="{00000000-0005-0000-0000-000053220000}"/>
    <cellStyle name="Normal 3 2 10 6 12" xfId="9645" xr:uid="{00000000-0005-0000-0000-000054220000}"/>
    <cellStyle name="Normal 3 2 10 6 13" xfId="9646" xr:uid="{00000000-0005-0000-0000-000055220000}"/>
    <cellStyle name="Normal 3 2 10 6 14" xfId="9647" xr:uid="{00000000-0005-0000-0000-000056220000}"/>
    <cellStyle name="Normal 3 2 10 6 15" xfId="9648" xr:uid="{00000000-0005-0000-0000-000057220000}"/>
    <cellStyle name="Normal 3 2 10 6 16" xfId="9649" xr:uid="{00000000-0005-0000-0000-000058220000}"/>
    <cellStyle name="Normal 3 2 10 6 17" xfId="9650" xr:uid="{00000000-0005-0000-0000-000059220000}"/>
    <cellStyle name="Normal 3 2 10 6 18" xfId="9651" xr:uid="{00000000-0005-0000-0000-00005A220000}"/>
    <cellStyle name="Normal 3 2 10 6 19" xfId="9652" xr:uid="{00000000-0005-0000-0000-00005B220000}"/>
    <cellStyle name="Normal 3 2 10 6 2" xfId="9653" xr:uid="{00000000-0005-0000-0000-00005C220000}"/>
    <cellStyle name="Normal 3 2 10 6 2 10" xfId="9654" xr:uid="{00000000-0005-0000-0000-00005D220000}"/>
    <cellStyle name="Normal 3 2 10 6 2 11" xfId="9655" xr:uid="{00000000-0005-0000-0000-00005E220000}"/>
    <cellStyle name="Normal 3 2 10 6 2 12" xfId="9656" xr:uid="{00000000-0005-0000-0000-00005F220000}"/>
    <cellStyle name="Normal 3 2 10 6 2 13" xfId="9657" xr:uid="{00000000-0005-0000-0000-000060220000}"/>
    <cellStyle name="Normal 3 2 10 6 2 14" xfId="9658" xr:uid="{00000000-0005-0000-0000-000061220000}"/>
    <cellStyle name="Normal 3 2 10 6 2 15" xfId="9659" xr:uid="{00000000-0005-0000-0000-000062220000}"/>
    <cellStyle name="Normal 3 2 10 6 2 2" xfId="9660" xr:uid="{00000000-0005-0000-0000-000063220000}"/>
    <cellStyle name="Normal 3 2 10 6 2 3" xfId="9661" xr:uid="{00000000-0005-0000-0000-000064220000}"/>
    <cellStyle name="Normal 3 2 10 6 2 4" xfId="9662" xr:uid="{00000000-0005-0000-0000-000065220000}"/>
    <cellStyle name="Normal 3 2 10 6 2 5" xfId="9663" xr:uid="{00000000-0005-0000-0000-000066220000}"/>
    <cellStyle name="Normal 3 2 10 6 2 6" xfId="9664" xr:uid="{00000000-0005-0000-0000-000067220000}"/>
    <cellStyle name="Normal 3 2 10 6 2 7" xfId="9665" xr:uid="{00000000-0005-0000-0000-000068220000}"/>
    <cellStyle name="Normal 3 2 10 6 2 8" xfId="9666" xr:uid="{00000000-0005-0000-0000-000069220000}"/>
    <cellStyle name="Normal 3 2 10 6 2 9" xfId="9667" xr:uid="{00000000-0005-0000-0000-00006A220000}"/>
    <cellStyle name="Normal 3 2 10 6 3" xfId="9668" xr:uid="{00000000-0005-0000-0000-00006B220000}"/>
    <cellStyle name="Normal 3 2 10 6 3 10" xfId="9669" xr:uid="{00000000-0005-0000-0000-00006C220000}"/>
    <cellStyle name="Normal 3 2 10 6 3 11" xfId="9670" xr:uid="{00000000-0005-0000-0000-00006D220000}"/>
    <cellStyle name="Normal 3 2 10 6 3 12" xfId="9671" xr:uid="{00000000-0005-0000-0000-00006E220000}"/>
    <cellStyle name="Normal 3 2 10 6 3 13" xfId="9672" xr:uid="{00000000-0005-0000-0000-00006F220000}"/>
    <cellStyle name="Normal 3 2 10 6 3 14" xfId="9673" xr:uid="{00000000-0005-0000-0000-000070220000}"/>
    <cellStyle name="Normal 3 2 10 6 3 15" xfId="9674" xr:uid="{00000000-0005-0000-0000-000071220000}"/>
    <cellStyle name="Normal 3 2 10 6 3 2" xfId="9675" xr:uid="{00000000-0005-0000-0000-000072220000}"/>
    <cellStyle name="Normal 3 2 10 6 3 3" xfId="9676" xr:uid="{00000000-0005-0000-0000-000073220000}"/>
    <cellStyle name="Normal 3 2 10 6 3 4" xfId="9677" xr:uid="{00000000-0005-0000-0000-000074220000}"/>
    <cellStyle name="Normal 3 2 10 6 3 5" xfId="9678" xr:uid="{00000000-0005-0000-0000-000075220000}"/>
    <cellStyle name="Normal 3 2 10 6 3 6" xfId="9679" xr:uid="{00000000-0005-0000-0000-000076220000}"/>
    <cellStyle name="Normal 3 2 10 6 3 7" xfId="9680" xr:uid="{00000000-0005-0000-0000-000077220000}"/>
    <cellStyle name="Normal 3 2 10 6 3 8" xfId="9681" xr:uid="{00000000-0005-0000-0000-000078220000}"/>
    <cellStyle name="Normal 3 2 10 6 3 9" xfId="9682" xr:uid="{00000000-0005-0000-0000-000079220000}"/>
    <cellStyle name="Normal 3 2 10 6 4" xfId="9683" xr:uid="{00000000-0005-0000-0000-00007A220000}"/>
    <cellStyle name="Normal 3 2 10 6 4 10" xfId="9684" xr:uid="{00000000-0005-0000-0000-00007B220000}"/>
    <cellStyle name="Normal 3 2 10 6 4 11" xfId="9685" xr:uid="{00000000-0005-0000-0000-00007C220000}"/>
    <cellStyle name="Normal 3 2 10 6 4 12" xfId="9686" xr:uid="{00000000-0005-0000-0000-00007D220000}"/>
    <cellStyle name="Normal 3 2 10 6 4 13" xfId="9687" xr:uid="{00000000-0005-0000-0000-00007E220000}"/>
    <cellStyle name="Normal 3 2 10 6 4 14" xfId="9688" xr:uid="{00000000-0005-0000-0000-00007F220000}"/>
    <cellStyle name="Normal 3 2 10 6 4 15" xfId="9689" xr:uid="{00000000-0005-0000-0000-000080220000}"/>
    <cellStyle name="Normal 3 2 10 6 4 2" xfId="9690" xr:uid="{00000000-0005-0000-0000-000081220000}"/>
    <cellStyle name="Normal 3 2 10 6 4 3" xfId="9691" xr:uid="{00000000-0005-0000-0000-000082220000}"/>
    <cellStyle name="Normal 3 2 10 6 4 4" xfId="9692" xr:uid="{00000000-0005-0000-0000-000083220000}"/>
    <cellStyle name="Normal 3 2 10 6 4 5" xfId="9693" xr:uid="{00000000-0005-0000-0000-000084220000}"/>
    <cellStyle name="Normal 3 2 10 6 4 6" xfId="9694" xr:uid="{00000000-0005-0000-0000-000085220000}"/>
    <cellStyle name="Normal 3 2 10 6 4 7" xfId="9695" xr:uid="{00000000-0005-0000-0000-000086220000}"/>
    <cellStyle name="Normal 3 2 10 6 4 8" xfId="9696" xr:uid="{00000000-0005-0000-0000-000087220000}"/>
    <cellStyle name="Normal 3 2 10 6 4 9" xfId="9697" xr:uid="{00000000-0005-0000-0000-000088220000}"/>
    <cellStyle name="Normal 3 2 10 6 5" xfId="9698" xr:uid="{00000000-0005-0000-0000-000089220000}"/>
    <cellStyle name="Normal 3 2 10 6 5 10" xfId="9699" xr:uid="{00000000-0005-0000-0000-00008A220000}"/>
    <cellStyle name="Normal 3 2 10 6 5 11" xfId="9700" xr:uid="{00000000-0005-0000-0000-00008B220000}"/>
    <cellStyle name="Normal 3 2 10 6 5 12" xfId="9701" xr:uid="{00000000-0005-0000-0000-00008C220000}"/>
    <cellStyle name="Normal 3 2 10 6 5 13" xfId="9702" xr:uid="{00000000-0005-0000-0000-00008D220000}"/>
    <cellStyle name="Normal 3 2 10 6 5 14" xfId="9703" xr:uid="{00000000-0005-0000-0000-00008E220000}"/>
    <cellStyle name="Normal 3 2 10 6 5 15" xfId="9704" xr:uid="{00000000-0005-0000-0000-00008F220000}"/>
    <cellStyle name="Normal 3 2 10 6 5 2" xfId="9705" xr:uid="{00000000-0005-0000-0000-000090220000}"/>
    <cellStyle name="Normal 3 2 10 6 5 3" xfId="9706" xr:uid="{00000000-0005-0000-0000-000091220000}"/>
    <cellStyle name="Normal 3 2 10 6 5 4" xfId="9707" xr:uid="{00000000-0005-0000-0000-000092220000}"/>
    <cellStyle name="Normal 3 2 10 6 5 5" xfId="9708" xr:uid="{00000000-0005-0000-0000-000093220000}"/>
    <cellStyle name="Normal 3 2 10 6 5 6" xfId="9709" xr:uid="{00000000-0005-0000-0000-000094220000}"/>
    <cellStyle name="Normal 3 2 10 6 5 7" xfId="9710" xr:uid="{00000000-0005-0000-0000-000095220000}"/>
    <cellStyle name="Normal 3 2 10 6 5 8" xfId="9711" xr:uid="{00000000-0005-0000-0000-000096220000}"/>
    <cellStyle name="Normal 3 2 10 6 5 9" xfId="9712" xr:uid="{00000000-0005-0000-0000-000097220000}"/>
    <cellStyle name="Normal 3 2 10 6 6" xfId="9713" xr:uid="{00000000-0005-0000-0000-000098220000}"/>
    <cellStyle name="Normal 3 2 10 6 7" xfId="9714" xr:uid="{00000000-0005-0000-0000-000099220000}"/>
    <cellStyle name="Normal 3 2 10 6 8" xfId="9715" xr:uid="{00000000-0005-0000-0000-00009A220000}"/>
    <cellStyle name="Normal 3 2 10 6 9" xfId="9716" xr:uid="{00000000-0005-0000-0000-00009B220000}"/>
    <cellStyle name="Normal 3 2 10 7" xfId="9717" xr:uid="{00000000-0005-0000-0000-00009C220000}"/>
    <cellStyle name="Normal 3 2 10 8" xfId="9718" xr:uid="{00000000-0005-0000-0000-00009D220000}"/>
    <cellStyle name="Normal 3 2 10 9" xfId="9719" xr:uid="{00000000-0005-0000-0000-00009E220000}"/>
    <cellStyle name="Normal 3 2 11" xfId="9720" xr:uid="{00000000-0005-0000-0000-00009F220000}"/>
    <cellStyle name="Normal 3 2 11 10" xfId="9721" xr:uid="{00000000-0005-0000-0000-0000A0220000}"/>
    <cellStyle name="Normal 3 2 11 11" xfId="9722" xr:uid="{00000000-0005-0000-0000-0000A1220000}"/>
    <cellStyle name="Normal 3 2 11 12" xfId="9723" xr:uid="{00000000-0005-0000-0000-0000A2220000}"/>
    <cellStyle name="Normal 3 2 11 13" xfId="9724" xr:uid="{00000000-0005-0000-0000-0000A3220000}"/>
    <cellStyle name="Normal 3 2 11 14" xfId="9725" xr:uid="{00000000-0005-0000-0000-0000A4220000}"/>
    <cellStyle name="Normal 3 2 11 15" xfId="9726" xr:uid="{00000000-0005-0000-0000-0000A5220000}"/>
    <cellStyle name="Normal 3 2 11 2" xfId="9727" xr:uid="{00000000-0005-0000-0000-0000A6220000}"/>
    <cellStyle name="Normal 3 2 11 3" xfId="9728" xr:uid="{00000000-0005-0000-0000-0000A7220000}"/>
    <cellStyle name="Normal 3 2 11 4" xfId="9729" xr:uid="{00000000-0005-0000-0000-0000A8220000}"/>
    <cellStyle name="Normal 3 2 11 5" xfId="9730" xr:uid="{00000000-0005-0000-0000-0000A9220000}"/>
    <cellStyle name="Normal 3 2 11 6" xfId="9731" xr:uid="{00000000-0005-0000-0000-0000AA220000}"/>
    <cellStyle name="Normal 3 2 11 7" xfId="9732" xr:uid="{00000000-0005-0000-0000-0000AB220000}"/>
    <cellStyle name="Normal 3 2 11 8" xfId="9733" xr:uid="{00000000-0005-0000-0000-0000AC220000}"/>
    <cellStyle name="Normal 3 2 11 9" xfId="9734" xr:uid="{00000000-0005-0000-0000-0000AD220000}"/>
    <cellStyle name="Normal 3 2 12" xfId="9735" xr:uid="{00000000-0005-0000-0000-0000AE220000}"/>
    <cellStyle name="Normal 3 2 12 10" xfId="9736" xr:uid="{00000000-0005-0000-0000-0000AF220000}"/>
    <cellStyle name="Normal 3 2 12 11" xfId="9737" xr:uid="{00000000-0005-0000-0000-0000B0220000}"/>
    <cellStyle name="Normal 3 2 12 12" xfId="9738" xr:uid="{00000000-0005-0000-0000-0000B1220000}"/>
    <cellStyle name="Normal 3 2 12 13" xfId="9739" xr:uid="{00000000-0005-0000-0000-0000B2220000}"/>
    <cellStyle name="Normal 3 2 12 14" xfId="9740" xr:uid="{00000000-0005-0000-0000-0000B3220000}"/>
    <cellStyle name="Normal 3 2 12 15" xfId="9741" xr:uid="{00000000-0005-0000-0000-0000B4220000}"/>
    <cellStyle name="Normal 3 2 12 2" xfId="9742" xr:uid="{00000000-0005-0000-0000-0000B5220000}"/>
    <cellStyle name="Normal 3 2 12 3" xfId="9743" xr:uid="{00000000-0005-0000-0000-0000B6220000}"/>
    <cellStyle name="Normal 3 2 12 4" xfId="9744" xr:uid="{00000000-0005-0000-0000-0000B7220000}"/>
    <cellStyle name="Normal 3 2 12 5" xfId="9745" xr:uid="{00000000-0005-0000-0000-0000B8220000}"/>
    <cellStyle name="Normal 3 2 12 6" xfId="9746" xr:uid="{00000000-0005-0000-0000-0000B9220000}"/>
    <cellStyle name="Normal 3 2 12 7" xfId="9747" xr:uid="{00000000-0005-0000-0000-0000BA220000}"/>
    <cellStyle name="Normal 3 2 12 8" xfId="9748" xr:uid="{00000000-0005-0000-0000-0000BB220000}"/>
    <cellStyle name="Normal 3 2 12 9" xfId="9749" xr:uid="{00000000-0005-0000-0000-0000BC220000}"/>
    <cellStyle name="Normal 3 2 13" xfId="9750" xr:uid="{00000000-0005-0000-0000-0000BD220000}"/>
    <cellStyle name="Normal 3 2 13 10" xfId="9751" xr:uid="{00000000-0005-0000-0000-0000BE220000}"/>
    <cellStyle name="Normal 3 2 13 11" xfId="9752" xr:uid="{00000000-0005-0000-0000-0000BF220000}"/>
    <cellStyle name="Normal 3 2 13 12" xfId="9753" xr:uid="{00000000-0005-0000-0000-0000C0220000}"/>
    <cellStyle name="Normal 3 2 13 13" xfId="9754" xr:uid="{00000000-0005-0000-0000-0000C1220000}"/>
    <cellStyle name="Normal 3 2 13 14" xfId="9755" xr:uid="{00000000-0005-0000-0000-0000C2220000}"/>
    <cellStyle name="Normal 3 2 13 15" xfId="9756" xr:uid="{00000000-0005-0000-0000-0000C3220000}"/>
    <cellStyle name="Normal 3 2 13 2" xfId="9757" xr:uid="{00000000-0005-0000-0000-0000C4220000}"/>
    <cellStyle name="Normal 3 2 13 3" xfId="9758" xr:uid="{00000000-0005-0000-0000-0000C5220000}"/>
    <cellStyle name="Normal 3 2 13 4" xfId="9759" xr:uid="{00000000-0005-0000-0000-0000C6220000}"/>
    <cellStyle name="Normal 3 2 13 5" xfId="9760" xr:uid="{00000000-0005-0000-0000-0000C7220000}"/>
    <cellStyle name="Normal 3 2 13 6" xfId="9761" xr:uid="{00000000-0005-0000-0000-0000C8220000}"/>
    <cellStyle name="Normal 3 2 13 7" xfId="9762" xr:uid="{00000000-0005-0000-0000-0000C9220000}"/>
    <cellStyle name="Normal 3 2 13 8" xfId="9763" xr:uid="{00000000-0005-0000-0000-0000CA220000}"/>
    <cellStyle name="Normal 3 2 13 9" xfId="9764" xr:uid="{00000000-0005-0000-0000-0000CB220000}"/>
    <cellStyle name="Normal 3 2 14" xfId="9765" xr:uid="{00000000-0005-0000-0000-0000CC220000}"/>
    <cellStyle name="Normal 3 2 14 10" xfId="9766" xr:uid="{00000000-0005-0000-0000-0000CD220000}"/>
    <cellStyle name="Normal 3 2 14 11" xfId="9767" xr:uid="{00000000-0005-0000-0000-0000CE220000}"/>
    <cellStyle name="Normal 3 2 14 12" xfId="9768" xr:uid="{00000000-0005-0000-0000-0000CF220000}"/>
    <cellStyle name="Normal 3 2 14 13" xfId="9769" xr:uid="{00000000-0005-0000-0000-0000D0220000}"/>
    <cellStyle name="Normal 3 2 14 14" xfId="9770" xr:uid="{00000000-0005-0000-0000-0000D1220000}"/>
    <cellStyle name="Normal 3 2 14 15" xfId="9771" xr:uid="{00000000-0005-0000-0000-0000D2220000}"/>
    <cellStyle name="Normal 3 2 14 2" xfId="9772" xr:uid="{00000000-0005-0000-0000-0000D3220000}"/>
    <cellStyle name="Normal 3 2 14 3" xfId="9773" xr:uid="{00000000-0005-0000-0000-0000D4220000}"/>
    <cellStyle name="Normal 3 2 14 4" xfId="9774" xr:uid="{00000000-0005-0000-0000-0000D5220000}"/>
    <cellStyle name="Normal 3 2 14 5" xfId="9775" xr:uid="{00000000-0005-0000-0000-0000D6220000}"/>
    <cellStyle name="Normal 3 2 14 6" xfId="9776" xr:uid="{00000000-0005-0000-0000-0000D7220000}"/>
    <cellStyle name="Normal 3 2 14 7" xfId="9777" xr:uid="{00000000-0005-0000-0000-0000D8220000}"/>
    <cellStyle name="Normal 3 2 14 8" xfId="9778" xr:uid="{00000000-0005-0000-0000-0000D9220000}"/>
    <cellStyle name="Normal 3 2 14 9" xfId="9779" xr:uid="{00000000-0005-0000-0000-0000DA220000}"/>
    <cellStyle name="Normal 3 2 15" xfId="9780" xr:uid="{00000000-0005-0000-0000-0000DB220000}"/>
    <cellStyle name="Normal 3 2 15 10" xfId="9781" xr:uid="{00000000-0005-0000-0000-0000DC220000}"/>
    <cellStyle name="Normal 3 2 15 11" xfId="9782" xr:uid="{00000000-0005-0000-0000-0000DD220000}"/>
    <cellStyle name="Normal 3 2 15 12" xfId="9783" xr:uid="{00000000-0005-0000-0000-0000DE220000}"/>
    <cellStyle name="Normal 3 2 15 13" xfId="9784" xr:uid="{00000000-0005-0000-0000-0000DF220000}"/>
    <cellStyle name="Normal 3 2 15 14" xfId="9785" xr:uid="{00000000-0005-0000-0000-0000E0220000}"/>
    <cellStyle name="Normal 3 2 15 15" xfId="9786" xr:uid="{00000000-0005-0000-0000-0000E1220000}"/>
    <cellStyle name="Normal 3 2 15 2" xfId="9787" xr:uid="{00000000-0005-0000-0000-0000E2220000}"/>
    <cellStyle name="Normal 3 2 15 3" xfId="9788" xr:uid="{00000000-0005-0000-0000-0000E3220000}"/>
    <cellStyle name="Normal 3 2 15 4" xfId="9789" xr:uid="{00000000-0005-0000-0000-0000E4220000}"/>
    <cellStyle name="Normal 3 2 15 5" xfId="9790" xr:uid="{00000000-0005-0000-0000-0000E5220000}"/>
    <cellStyle name="Normal 3 2 15 6" xfId="9791" xr:uid="{00000000-0005-0000-0000-0000E6220000}"/>
    <cellStyle name="Normal 3 2 15 7" xfId="9792" xr:uid="{00000000-0005-0000-0000-0000E7220000}"/>
    <cellStyle name="Normal 3 2 15 8" xfId="9793" xr:uid="{00000000-0005-0000-0000-0000E8220000}"/>
    <cellStyle name="Normal 3 2 15 9" xfId="9794" xr:uid="{00000000-0005-0000-0000-0000E9220000}"/>
    <cellStyle name="Normal 3 2 16" xfId="9795" xr:uid="{00000000-0005-0000-0000-0000EA220000}"/>
    <cellStyle name="Normal 3 2 16 10" xfId="9796" xr:uid="{00000000-0005-0000-0000-0000EB220000}"/>
    <cellStyle name="Normal 3 2 16 11" xfId="9797" xr:uid="{00000000-0005-0000-0000-0000EC220000}"/>
    <cellStyle name="Normal 3 2 16 12" xfId="9798" xr:uid="{00000000-0005-0000-0000-0000ED220000}"/>
    <cellStyle name="Normal 3 2 16 13" xfId="9799" xr:uid="{00000000-0005-0000-0000-0000EE220000}"/>
    <cellStyle name="Normal 3 2 16 14" xfId="9800" xr:uid="{00000000-0005-0000-0000-0000EF220000}"/>
    <cellStyle name="Normal 3 2 16 15" xfId="9801" xr:uid="{00000000-0005-0000-0000-0000F0220000}"/>
    <cellStyle name="Normal 3 2 16 2" xfId="9802" xr:uid="{00000000-0005-0000-0000-0000F1220000}"/>
    <cellStyle name="Normal 3 2 16 3" xfId="9803" xr:uid="{00000000-0005-0000-0000-0000F2220000}"/>
    <cellStyle name="Normal 3 2 16 4" xfId="9804" xr:uid="{00000000-0005-0000-0000-0000F3220000}"/>
    <cellStyle name="Normal 3 2 16 5" xfId="9805" xr:uid="{00000000-0005-0000-0000-0000F4220000}"/>
    <cellStyle name="Normal 3 2 16 6" xfId="9806" xr:uid="{00000000-0005-0000-0000-0000F5220000}"/>
    <cellStyle name="Normal 3 2 16 7" xfId="9807" xr:uid="{00000000-0005-0000-0000-0000F6220000}"/>
    <cellStyle name="Normal 3 2 16 8" xfId="9808" xr:uid="{00000000-0005-0000-0000-0000F7220000}"/>
    <cellStyle name="Normal 3 2 16 9" xfId="9809" xr:uid="{00000000-0005-0000-0000-0000F8220000}"/>
    <cellStyle name="Normal 3 2 17" xfId="9810" xr:uid="{00000000-0005-0000-0000-0000F9220000}"/>
    <cellStyle name="Normal 3 2 17 10" xfId="9811" xr:uid="{00000000-0005-0000-0000-0000FA220000}"/>
    <cellStyle name="Normal 3 2 17 11" xfId="9812" xr:uid="{00000000-0005-0000-0000-0000FB220000}"/>
    <cellStyle name="Normal 3 2 17 12" xfId="9813" xr:uid="{00000000-0005-0000-0000-0000FC220000}"/>
    <cellStyle name="Normal 3 2 17 13" xfId="9814" xr:uid="{00000000-0005-0000-0000-0000FD220000}"/>
    <cellStyle name="Normal 3 2 17 14" xfId="9815" xr:uid="{00000000-0005-0000-0000-0000FE220000}"/>
    <cellStyle name="Normal 3 2 17 15" xfId="9816" xr:uid="{00000000-0005-0000-0000-0000FF220000}"/>
    <cellStyle name="Normal 3 2 17 2" xfId="9817" xr:uid="{00000000-0005-0000-0000-000000230000}"/>
    <cellStyle name="Normal 3 2 17 3" xfId="9818" xr:uid="{00000000-0005-0000-0000-000001230000}"/>
    <cellStyle name="Normal 3 2 17 4" xfId="9819" xr:uid="{00000000-0005-0000-0000-000002230000}"/>
    <cellStyle name="Normal 3 2 17 5" xfId="9820" xr:uid="{00000000-0005-0000-0000-000003230000}"/>
    <cellStyle name="Normal 3 2 17 6" xfId="9821" xr:uid="{00000000-0005-0000-0000-000004230000}"/>
    <cellStyle name="Normal 3 2 17 7" xfId="9822" xr:uid="{00000000-0005-0000-0000-000005230000}"/>
    <cellStyle name="Normal 3 2 17 8" xfId="9823" xr:uid="{00000000-0005-0000-0000-000006230000}"/>
    <cellStyle name="Normal 3 2 17 9" xfId="9824" xr:uid="{00000000-0005-0000-0000-000007230000}"/>
    <cellStyle name="Normal 3 2 18" xfId="9825" xr:uid="{00000000-0005-0000-0000-000008230000}"/>
    <cellStyle name="Normal 3 2 18 10" xfId="9826" xr:uid="{00000000-0005-0000-0000-000009230000}"/>
    <cellStyle name="Normal 3 2 18 11" xfId="9827" xr:uid="{00000000-0005-0000-0000-00000A230000}"/>
    <cellStyle name="Normal 3 2 18 12" xfId="9828" xr:uid="{00000000-0005-0000-0000-00000B230000}"/>
    <cellStyle name="Normal 3 2 18 13" xfId="9829" xr:uid="{00000000-0005-0000-0000-00000C230000}"/>
    <cellStyle name="Normal 3 2 18 14" xfId="9830" xr:uid="{00000000-0005-0000-0000-00000D230000}"/>
    <cellStyle name="Normal 3 2 18 15" xfId="9831" xr:uid="{00000000-0005-0000-0000-00000E230000}"/>
    <cellStyle name="Normal 3 2 18 2" xfId="9832" xr:uid="{00000000-0005-0000-0000-00000F230000}"/>
    <cellStyle name="Normal 3 2 18 3" xfId="9833" xr:uid="{00000000-0005-0000-0000-000010230000}"/>
    <cellStyle name="Normal 3 2 18 4" xfId="9834" xr:uid="{00000000-0005-0000-0000-000011230000}"/>
    <cellStyle name="Normal 3 2 18 5" xfId="9835" xr:uid="{00000000-0005-0000-0000-000012230000}"/>
    <cellStyle name="Normal 3 2 18 6" xfId="9836" xr:uid="{00000000-0005-0000-0000-000013230000}"/>
    <cellStyle name="Normal 3 2 18 7" xfId="9837" xr:uid="{00000000-0005-0000-0000-000014230000}"/>
    <cellStyle name="Normal 3 2 18 8" xfId="9838" xr:uid="{00000000-0005-0000-0000-000015230000}"/>
    <cellStyle name="Normal 3 2 18 9" xfId="9839" xr:uid="{00000000-0005-0000-0000-000016230000}"/>
    <cellStyle name="Normal 3 2 19" xfId="9840" xr:uid="{00000000-0005-0000-0000-000017230000}"/>
    <cellStyle name="Normal 3 2 19 10" xfId="9841" xr:uid="{00000000-0005-0000-0000-000018230000}"/>
    <cellStyle name="Normal 3 2 19 11" xfId="9842" xr:uid="{00000000-0005-0000-0000-000019230000}"/>
    <cellStyle name="Normal 3 2 19 12" xfId="9843" xr:uid="{00000000-0005-0000-0000-00001A230000}"/>
    <cellStyle name="Normal 3 2 19 13" xfId="9844" xr:uid="{00000000-0005-0000-0000-00001B230000}"/>
    <cellStyle name="Normal 3 2 19 14" xfId="9845" xr:uid="{00000000-0005-0000-0000-00001C230000}"/>
    <cellStyle name="Normal 3 2 19 15" xfId="9846" xr:uid="{00000000-0005-0000-0000-00001D230000}"/>
    <cellStyle name="Normal 3 2 19 2" xfId="9847" xr:uid="{00000000-0005-0000-0000-00001E230000}"/>
    <cellStyle name="Normal 3 2 19 3" xfId="9848" xr:uid="{00000000-0005-0000-0000-00001F230000}"/>
    <cellStyle name="Normal 3 2 19 4" xfId="9849" xr:uid="{00000000-0005-0000-0000-000020230000}"/>
    <cellStyle name="Normal 3 2 19 5" xfId="9850" xr:uid="{00000000-0005-0000-0000-000021230000}"/>
    <cellStyle name="Normal 3 2 19 6" xfId="9851" xr:uid="{00000000-0005-0000-0000-000022230000}"/>
    <cellStyle name="Normal 3 2 19 7" xfId="9852" xr:uid="{00000000-0005-0000-0000-000023230000}"/>
    <cellStyle name="Normal 3 2 19 8" xfId="9853" xr:uid="{00000000-0005-0000-0000-000024230000}"/>
    <cellStyle name="Normal 3 2 19 9" xfId="9854" xr:uid="{00000000-0005-0000-0000-000025230000}"/>
    <cellStyle name="Normal 3 2 2" xfId="70" xr:uid="{9B7D195F-BB48-4FCC-AB49-0161CBB3A699}"/>
    <cellStyle name="Normal 3 2 2 10" xfId="9855" xr:uid="{00000000-0005-0000-0000-000027230000}"/>
    <cellStyle name="Normal 3 2 2 10 10" xfId="9856" xr:uid="{00000000-0005-0000-0000-000028230000}"/>
    <cellStyle name="Normal 3 2 2 10 11" xfId="9857" xr:uid="{00000000-0005-0000-0000-000029230000}"/>
    <cellStyle name="Normal 3 2 2 10 12" xfId="9858" xr:uid="{00000000-0005-0000-0000-00002A230000}"/>
    <cellStyle name="Normal 3 2 2 10 13" xfId="9859" xr:uid="{00000000-0005-0000-0000-00002B230000}"/>
    <cellStyle name="Normal 3 2 2 10 14" xfId="9860" xr:uid="{00000000-0005-0000-0000-00002C230000}"/>
    <cellStyle name="Normal 3 2 2 10 15" xfId="9861" xr:uid="{00000000-0005-0000-0000-00002D230000}"/>
    <cellStyle name="Normal 3 2 2 10 16" xfId="9862" xr:uid="{00000000-0005-0000-0000-00002E230000}"/>
    <cellStyle name="Normal 3 2 2 10 17" xfId="9863" xr:uid="{00000000-0005-0000-0000-00002F230000}"/>
    <cellStyle name="Normal 3 2 2 10 18" xfId="9864" xr:uid="{00000000-0005-0000-0000-000030230000}"/>
    <cellStyle name="Normal 3 2 2 10 19" xfId="9865" xr:uid="{00000000-0005-0000-0000-000031230000}"/>
    <cellStyle name="Normal 3 2 2 10 2" xfId="9866" xr:uid="{00000000-0005-0000-0000-000032230000}"/>
    <cellStyle name="Normal 3 2 2 10 2 10" xfId="9867" xr:uid="{00000000-0005-0000-0000-000033230000}"/>
    <cellStyle name="Normal 3 2 2 10 2 11" xfId="9868" xr:uid="{00000000-0005-0000-0000-000034230000}"/>
    <cellStyle name="Normal 3 2 2 10 2 12" xfId="9869" xr:uid="{00000000-0005-0000-0000-000035230000}"/>
    <cellStyle name="Normal 3 2 2 10 2 13" xfId="9870" xr:uid="{00000000-0005-0000-0000-000036230000}"/>
    <cellStyle name="Normal 3 2 2 10 2 14" xfId="9871" xr:uid="{00000000-0005-0000-0000-000037230000}"/>
    <cellStyle name="Normal 3 2 2 10 2 15" xfId="9872" xr:uid="{00000000-0005-0000-0000-000038230000}"/>
    <cellStyle name="Normal 3 2 2 10 2 2" xfId="9873" xr:uid="{00000000-0005-0000-0000-000039230000}"/>
    <cellStyle name="Normal 3 2 2 10 2 3" xfId="9874" xr:uid="{00000000-0005-0000-0000-00003A230000}"/>
    <cellStyle name="Normal 3 2 2 10 2 4" xfId="9875" xr:uid="{00000000-0005-0000-0000-00003B230000}"/>
    <cellStyle name="Normal 3 2 2 10 2 5" xfId="9876" xr:uid="{00000000-0005-0000-0000-00003C230000}"/>
    <cellStyle name="Normal 3 2 2 10 2 6" xfId="9877" xr:uid="{00000000-0005-0000-0000-00003D230000}"/>
    <cellStyle name="Normal 3 2 2 10 2 7" xfId="9878" xr:uid="{00000000-0005-0000-0000-00003E230000}"/>
    <cellStyle name="Normal 3 2 2 10 2 8" xfId="9879" xr:uid="{00000000-0005-0000-0000-00003F230000}"/>
    <cellStyle name="Normal 3 2 2 10 2 9" xfId="9880" xr:uid="{00000000-0005-0000-0000-000040230000}"/>
    <cellStyle name="Normal 3 2 2 10 3" xfId="9881" xr:uid="{00000000-0005-0000-0000-000041230000}"/>
    <cellStyle name="Normal 3 2 2 10 3 10" xfId="9882" xr:uid="{00000000-0005-0000-0000-000042230000}"/>
    <cellStyle name="Normal 3 2 2 10 3 11" xfId="9883" xr:uid="{00000000-0005-0000-0000-000043230000}"/>
    <cellStyle name="Normal 3 2 2 10 3 12" xfId="9884" xr:uid="{00000000-0005-0000-0000-000044230000}"/>
    <cellStyle name="Normal 3 2 2 10 3 13" xfId="9885" xr:uid="{00000000-0005-0000-0000-000045230000}"/>
    <cellStyle name="Normal 3 2 2 10 3 14" xfId="9886" xr:uid="{00000000-0005-0000-0000-000046230000}"/>
    <cellStyle name="Normal 3 2 2 10 3 15" xfId="9887" xr:uid="{00000000-0005-0000-0000-000047230000}"/>
    <cellStyle name="Normal 3 2 2 10 3 2" xfId="9888" xr:uid="{00000000-0005-0000-0000-000048230000}"/>
    <cellStyle name="Normal 3 2 2 10 3 3" xfId="9889" xr:uid="{00000000-0005-0000-0000-000049230000}"/>
    <cellStyle name="Normal 3 2 2 10 3 4" xfId="9890" xr:uid="{00000000-0005-0000-0000-00004A230000}"/>
    <cellStyle name="Normal 3 2 2 10 3 5" xfId="9891" xr:uid="{00000000-0005-0000-0000-00004B230000}"/>
    <cellStyle name="Normal 3 2 2 10 3 6" xfId="9892" xr:uid="{00000000-0005-0000-0000-00004C230000}"/>
    <cellStyle name="Normal 3 2 2 10 3 7" xfId="9893" xr:uid="{00000000-0005-0000-0000-00004D230000}"/>
    <cellStyle name="Normal 3 2 2 10 3 8" xfId="9894" xr:uid="{00000000-0005-0000-0000-00004E230000}"/>
    <cellStyle name="Normal 3 2 2 10 3 9" xfId="9895" xr:uid="{00000000-0005-0000-0000-00004F230000}"/>
    <cellStyle name="Normal 3 2 2 10 4" xfId="9896" xr:uid="{00000000-0005-0000-0000-000050230000}"/>
    <cellStyle name="Normal 3 2 2 10 4 10" xfId="9897" xr:uid="{00000000-0005-0000-0000-000051230000}"/>
    <cellStyle name="Normal 3 2 2 10 4 11" xfId="9898" xr:uid="{00000000-0005-0000-0000-000052230000}"/>
    <cellStyle name="Normal 3 2 2 10 4 12" xfId="9899" xr:uid="{00000000-0005-0000-0000-000053230000}"/>
    <cellStyle name="Normal 3 2 2 10 4 13" xfId="9900" xr:uid="{00000000-0005-0000-0000-000054230000}"/>
    <cellStyle name="Normal 3 2 2 10 4 14" xfId="9901" xr:uid="{00000000-0005-0000-0000-000055230000}"/>
    <cellStyle name="Normal 3 2 2 10 4 15" xfId="9902" xr:uid="{00000000-0005-0000-0000-000056230000}"/>
    <cellStyle name="Normal 3 2 2 10 4 2" xfId="9903" xr:uid="{00000000-0005-0000-0000-000057230000}"/>
    <cellStyle name="Normal 3 2 2 10 4 3" xfId="9904" xr:uid="{00000000-0005-0000-0000-000058230000}"/>
    <cellStyle name="Normal 3 2 2 10 4 4" xfId="9905" xr:uid="{00000000-0005-0000-0000-000059230000}"/>
    <cellStyle name="Normal 3 2 2 10 4 5" xfId="9906" xr:uid="{00000000-0005-0000-0000-00005A230000}"/>
    <cellStyle name="Normal 3 2 2 10 4 6" xfId="9907" xr:uid="{00000000-0005-0000-0000-00005B230000}"/>
    <cellStyle name="Normal 3 2 2 10 4 7" xfId="9908" xr:uid="{00000000-0005-0000-0000-00005C230000}"/>
    <cellStyle name="Normal 3 2 2 10 4 8" xfId="9909" xr:uid="{00000000-0005-0000-0000-00005D230000}"/>
    <cellStyle name="Normal 3 2 2 10 4 9" xfId="9910" xr:uid="{00000000-0005-0000-0000-00005E230000}"/>
    <cellStyle name="Normal 3 2 2 10 5" xfId="9911" xr:uid="{00000000-0005-0000-0000-00005F230000}"/>
    <cellStyle name="Normal 3 2 2 10 5 10" xfId="9912" xr:uid="{00000000-0005-0000-0000-000060230000}"/>
    <cellStyle name="Normal 3 2 2 10 5 11" xfId="9913" xr:uid="{00000000-0005-0000-0000-000061230000}"/>
    <cellStyle name="Normal 3 2 2 10 5 12" xfId="9914" xr:uid="{00000000-0005-0000-0000-000062230000}"/>
    <cellStyle name="Normal 3 2 2 10 5 13" xfId="9915" xr:uid="{00000000-0005-0000-0000-000063230000}"/>
    <cellStyle name="Normal 3 2 2 10 5 14" xfId="9916" xr:uid="{00000000-0005-0000-0000-000064230000}"/>
    <cellStyle name="Normal 3 2 2 10 5 15" xfId="9917" xr:uid="{00000000-0005-0000-0000-000065230000}"/>
    <cellStyle name="Normal 3 2 2 10 5 2" xfId="9918" xr:uid="{00000000-0005-0000-0000-000066230000}"/>
    <cellStyle name="Normal 3 2 2 10 5 3" xfId="9919" xr:uid="{00000000-0005-0000-0000-000067230000}"/>
    <cellStyle name="Normal 3 2 2 10 5 4" xfId="9920" xr:uid="{00000000-0005-0000-0000-000068230000}"/>
    <cellStyle name="Normal 3 2 2 10 5 5" xfId="9921" xr:uid="{00000000-0005-0000-0000-000069230000}"/>
    <cellStyle name="Normal 3 2 2 10 5 6" xfId="9922" xr:uid="{00000000-0005-0000-0000-00006A230000}"/>
    <cellStyle name="Normal 3 2 2 10 5 7" xfId="9923" xr:uid="{00000000-0005-0000-0000-00006B230000}"/>
    <cellStyle name="Normal 3 2 2 10 5 8" xfId="9924" xr:uid="{00000000-0005-0000-0000-00006C230000}"/>
    <cellStyle name="Normal 3 2 2 10 5 9" xfId="9925" xr:uid="{00000000-0005-0000-0000-00006D230000}"/>
    <cellStyle name="Normal 3 2 2 10 6" xfId="9926" xr:uid="{00000000-0005-0000-0000-00006E230000}"/>
    <cellStyle name="Normal 3 2 2 10 7" xfId="9927" xr:uid="{00000000-0005-0000-0000-00006F230000}"/>
    <cellStyle name="Normal 3 2 2 10 8" xfId="9928" xr:uid="{00000000-0005-0000-0000-000070230000}"/>
    <cellStyle name="Normal 3 2 2 10 9" xfId="9929" xr:uid="{00000000-0005-0000-0000-000071230000}"/>
    <cellStyle name="Normal 3 2 2 11" xfId="9930" xr:uid="{00000000-0005-0000-0000-000072230000}"/>
    <cellStyle name="Normal 3 2 2 11 10" xfId="9931" xr:uid="{00000000-0005-0000-0000-000073230000}"/>
    <cellStyle name="Normal 3 2 2 11 11" xfId="9932" xr:uid="{00000000-0005-0000-0000-000074230000}"/>
    <cellStyle name="Normal 3 2 2 11 12" xfId="9933" xr:uid="{00000000-0005-0000-0000-000075230000}"/>
    <cellStyle name="Normal 3 2 2 11 13" xfId="9934" xr:uid="{00000000-0005-0000-0000-000076230000}"/>
    <cellStyle name="Normal 3 2 2 11 14" xfId="9935" xr:uid="{00000000-0005-0000-0000-000077230000}"/>
    <cellStyle name="Normal 3 2 2 11 15" xfId="9936" xr:uid="{00000000-0005-0000-0000-000078230000}"/>
    <cellStyle name="Normal 3 2 2 11 16" xfId="9937" xr:uid="{00000000-0005-0000-0000-000079230000}"/>
    <cellStyle name="Normal 3 2 2 11 17" xfId="9938" xr:uid="{00000000-0005-0000-0000-00007A230000}"/>
    <cellStyle name="Normal 3 2 2 11 18" xfId="9939" xr:uid="{00000000-0005-0000-0000-00007B230000}"/>
    <cellStyle name="Normal 3 2 2 11 19" xfId="9940" xr:uid="{00000000-0005-0000-0000-00007C230000}"/>
    <cellStyle name="Normal 3 2 2 11 2" xfId="9941" xr:uid="{00000000-0005-0000-0000-00007D230000}"/>
    <cellStyle name="Normal 3 2 2 11 2 10" xfId="9942" xr:uid="{00000000-0005-0000-0000-00007E230000}"/>
    <cellStyle name="Normal 3 2 2 11 2 11" xfId="9943" xr:uid="{00000000-0005-0000-0000-00007F230000}"/>
    <cellStyle name="Normal 3 2 2 11 2 12" xfId="9944" xr:uid="{00000000-0005-0000-0000-000080230000}"/>
    <cellStyle name="Normal 3 2 2 11 2 13" xfId="9945" xr:uid="{00000000-0005-0000-0000-000081230000}"/>
    <cellStyle name="Normal 3 2 2 11 2 14" xfId="9946" xr:uid="{00000000-0005-0000-0000-000082230000}"/>
    <cellStyle name="Normal 3 2 2 11 2 15" xfId="9947" xr:uid="{00000000-0005-0000-0000-000083230000}"/>
    <cellStyle name="Normal 3 2 2 11 2 2" xfId="9948" xr:uid="{00000000-0005-0000-0000-000084230000}"/>
    <cellStyle name="Normal 3 2 2 11 2 3" xfId="9949" xr:uid="{00000000-0005-0000-0000-000085230000}"/>
    <cellStyle name="Normal 3 2 2 11 2 4" xfId="9950" xr:uid="{00000000-0005-0000-0000-000086230000}"/>
    <cellStyle name="Normal 3 2 2 11 2 5" xfId="9951" xr:uid="{00000000-0005-0000-0000-000087230000}"/>
    <cellStyle name="Normal 3 2 2 11 2 6" xfId="9952" xr:uid="{00000000-0005-0000-0000-000088230000}"/>
    <cellStyle name="Normal 3 2 2 11 2 7" xfId="9953" xr:uid="{00000000-0005-0000-0000-000089230000}"/>
    <cellStyle name="Normal 3 2 2 11 2 8" xfId="9954" xr:uid="{00000000-0005-0000-0000-00008A230000}"/>
    <cellStyle name="Normal 3 2 2 11 2 9" xfId="9955" xr:uid="{00000000-0005-0000-0000-00008B230000}"/>
    <cellStyle name="Normal 3 2 2 11 3" xfId="9956" xr:uid="{00000000-0005-0000-0000-00008C230000}"/>
    <cellStyle name="Normal 3 2 2 11 3 10" xfId="9957" xr:uid="{00000000-0005-0000-0000-00008D230000}"/>
    <cellStyle name="Normal 3 2 2 11 3 11" xfId="9958" xr:uid="{00000000-0005-0000-0000-00008E230000}"/>
    <cellStyle name="Normal 3 2 2 11 3 12" xfId="9959" xr:uid="{00000000-0005-0000-0000-00008F230000}"/>
    <cellStyle name="Normal 3 2 2 11 3 13" xfId="9960" xr:uid="{00000000-0005-0000-0000-000090230000}"/>
    <cellStyle name="Normal 3 2 2 11 3 14" xfId="9961" xr:uid="{00000000-0005-0000-0000-000091230000}"/>
    <cellStyle name="Normal 3 2 2 11 3 15" xfId="9962" xr:uid="{00000000-0005-0000-0000-000092230000}"/>
    <cellStyle name="Normal 3 2 2 11 3 2" xfId="9963" xr:uid="{00000000-0005-0000-0000-000093230000}"/>
    <cellStyle name="Normal 3 2 2 11 3 3" xfId="9964" xr:uid="{00000000-0005-0000-0000-000094230000}"/>
    <cellStyle name="Normal 3 2 2 11 3 4" xfId="9965" xr:uid="{00000000-0005-0000-0000-000095230000}"/>
    <cellStyle name="Normal 3 2 2 11 3 5" xfId="9966" xr:uid="{00000000-0005-0000-0000-000096230000}"/>
    <cellStyle name="Normal 3 2 2 11 3 6" xfId="9967" xr:uid="{00000000-0005-0000-0000-000097230000}"/>
    <cellStyle name="Normal 3 2 2 11 3 7" xfId="9968" xr:uid="{00000000-0005-0000-0000-000098230000}"/>
    <cellStyle name="Normal 3 2 2 11 3 8" xfId="9969" xr:uid="{00000000-0005-0000-0000-000099230000}"/>
    <cellStyle name="Normal 3 2 2 11 3 9" xfId="9970" xr:uid="{00000000-0005-0000-0000-00009A230000}"/>
    <cellStyle name="Normal 3 2 2 11 4" xfId="9971" xr:uid="{00000000-0005-0000-0000-00009B230000}"/>
    <cellStyle name="Normal 3 2 2 11 4 10" xfId="9972" xr:uid="{00000000-0005-0000-0000-00009C230000}"/>
    <cellStyle name="Normal 3 2 2 11 4 11" xfId="9973" xr:uid="{00000000-0005-0000-0000-00009D230000}"/>
    <cellStyle name="Normal 3 2 2 11 4 12" xfId="9974" xr:uid="{00000000-0005-0000-0000-00009E230000}"/>
    <cellStyle name="Normal 3 2 2 11 4 13" xfId="9975" xr:uid="{00000000-0005-0000-0000-00009F230000}"/>
    <cellStyle name="Normal 3 2 2 11 4 14" xfId="9976" xr:uid="{00000000-0005-0000-0000-0000A0230000}"/>
    <cellStyle name="Normal 3 2 2 11 4 15" xfId="9977" xr:uid="{00000000-0005-0000-0000-0000A1230000}"/>
    <cellStyle name="Normal 3 2 2 11 4 2" xfId="9978" xr:uid="{00000000-0005-0000-0000-0000A2230000}"/>
    <cellStyle name="Normal 3 2 2 11 4 3" xfId="9979" xr:uid="{00000000-0005-0000-0000-0000A3230000}"/>
    <cellStyle name="Normal 3 2 2 11 4 4" xfId="9980" xr:uid="{00000000-0005-0000-0000-0000A4230000}"/>
    <cellStyle name="Normal 3 2 2 11 4 5" xfId="9981" xr:uid="{00000000-0005-0000-0000-0000A5230000}"/>
    <cellStyle name="Normal 3 2 2 11 4 6" xfId="9982" xr:uid="{00000000-0005-0000-0000-0000A6230000}"/>
    <cellStyle name="Normal 3 2 2 11 4 7" xfId="9983" xr:uid="{00000000-0005-0000-0000-0000A7230000}"/>
    <cellStyle name="Normal 3 2 2 11 4 8" xfId="9984" xr:uid="{00000000-0005-0000-0000-0000A8230000}"/>
    <cellStyle name="Normal 3 2 2 11 4 9" xfId="9985" xr:uid="{00000000-0005-0000-0000-0000A9230000}"/>
    <cellStyle name="Normal 3 2 2 11 5" xfId="9986" xr:uid="{00000000-0005-0000-0000-0000AA230000}"/>
    <cellStyle name="Normal 3 2 2 11 5 10" xfId="9987" xr:uid="{00000000-0005-0000-0000-0000AB230000}"/>
    <cellStyle name="Normal 3 2 2 11 5 11" xfId="9988" xr:uid="{00000000-0005-0000-0000-0000AC230000}"/>
    <cellStyle name="Normal 3 2 2 11 5 12" xfId="9989" xr:uid="{00000000-0005-0000-0000-0000AD230000}"/>
    <cellStyle name="Normal 3 2 2 11 5 13" xfId="9990" xr:uid="{00000000-0005-0000-0000-0000AE230000}"/>
    <cellStyle name="Normal 3 2 2 11 5 14" xfId="9991" xr:uid="{00000000-0005-0000-0000-0000AF230000}"/>
    <cellStyle name="Normal 3 2 2 11 5 15" xfId="9992" xr:uid="{00000000-0005-0000-0000-0000B0230000}"/>
    <cellStyle name="Normal 3 2 2 11 5 2" xfId="9993" xr:uid="{00000000-0005-0000-0000-0000B1230000}"/>
    <cellStyle name="Normal 3 2 2 11 5 3" xfId="9994" xr:uid="{00000000-0005-0000-0000-0000B2230000}"/>
    <cellStyle name="Normal 3 2 2 11 5 4" xfId="9995" xr:uid="{00000000-0005-0000-0000-0000B3230000}"/>
    <cellStyle name="Normal 3 2 2 11 5 5" xfId="9996" xr:uid="{00000000-0005-0000-0000-0000B4230000}"/>
    <cellStyle name="Normal 3 2 2 11 5 6" xfId="9997" xr:uid="{00000000-0005-0000-0000-0000B5230000}"/>
    <cellStyle name="Normal 3 2 2 11 5 7" xfId="9998" xr:uid="{00000000-0005-0000-0000-0000B6230000}"/>
    <cellStyle name="Normal 3 2 2 11 5 8" xfId="9999" xr:uid="{00000000-0005-0000-0000-0000B7230000}"/>
    <cellStyle name="Normal 3 2 2 11 5 9" xfId="10000" xr:uid="{00000000-0005-0000-0000-0000B8230000}"/>
    <cellStyle name="Normal 3 2 2 11 6" xfId="10001" xr:uid="{00000000-0005-0000-0000-0000B9230000}"/>
    <cellStyle name="Normal 3 2 2 11 7" xfId="10002" xr:uid="{00000000-0005-0000-0000-0000BA230000}"/>
    <cellStyle name="Normal 3 2 2 11 8" xfId="10003" xr:uid="{00000000-0005-0000-0000-0000BB230000}"/>
    <cellStyle name="Normal 3 2 2 11 9" xfId="10004" xr:uid="{00000000-0005-0000-0000-0000BC230000}"/>
    <cellStyle name="Normal 3 2 2 12" xfId="10005" xr:uid="{00000000-0005-0000-0000-0000BD230000}"/>
    <cellStyle name="Normal 3 2 2 12 10" xfId="10006" xr:uid="{00000000-0005-0000-0000-0000BE230000}"/>
    <cellStyle name="Normal 3 2 2 12 11" xfId="10007" xr:uid="{00000000-0005-0000-0000-0000BF230000}"/>
    <cellStyle name="Normal 3 2 2 12 12" xfId="10008" xr:uid="{00000000-0005-0000-0000-0000C0230000}"/>
    <cellStyle name="Normal 3 2 2 12 13" xfId="10009" xr:uid="{00000000-0005-0000-0000-0000C1230000}"/>
    <cellStyle name="Normal 3 2 2 12 14" xfId="10010" xr:uid="{00000000-0005-0000-0000-0000C2230000}"/>
    <cellStyle name="Normal 3 2 2 12 15" xfId="10011" xr:uid="{00000000-0005-0000-0000-0000C3230000}"/>
    <cellStyle name="Normal 3 2 2 12 16" xfId="10012" xr:uid="{00000000-0005-0000-0000-0000C4230000}"/>
    <cellStyle name="Normal 3 2 2 12 17" xfId="10013" xr:uid="{00000000-0005-0000-0000-0000C5230000}"/>
    <cellStyle name="Normal 3 2 2 12 18" xfId="10014" xr:uid="{00000000-0005-0000-0000-0000C6230000}"/>
    <cellStyle name="Normal 3 2 2 12 19" xfId="10015" xr:uid="{00000000-0005-0000-0000-0000C7230000}"/>
    <cellStyle name="Normal 3 2 2 12 2" xfId="10016" xr:uid="{00000000-0005-0000-0000-0000C8230000}"/>
    <cellStyle name="Normal 3 2 2 12 2 10" xfId="10017" xr:uid="{00000000-0005-0000-0000-0000C9230000}"/>
    <cellStyle name="Normal 3 2 2 12 2 11" xfId="10018" xr:uid="{00000000-0005-0000-0000-0000CA230000}"/>
    <cellStyle name="Normal 3 2 2 12 2 12" xfId="10019" xr:uid="{00000000-0005-0000-0000-0000CB230000}"/>
    <cellStyle name="Normal 3 2 2 12 2 13" xfId="10020" xr:uid="{00000000-0005-0000-0000-0000CC230000}"/>
    <cellStyle name="Normal 3 2 2 12 2 14" xfId="10021" xr:uid="{00000000-0005-0000-0000-0000CD230000}"/>
    <cellStyle name="Normal 3 2 2 12 2 15" xfId="10022" xr:uid="{00000000-0005-0000-0000-0000CE230000}"/>
    <cellStyle name="Normal 3 2 2 12 2 2" xfId="10023" xr:uid="{00000000-0005-0000-0000-0000CF230000}"/>
    <cellStyle name="Normal 3 2 2 12 2 3" xfId="10024" xr:uid="{00000000-0005-0000-0000-0000D0230000}"/>
    <cellStyle name="Normal 3 2 2 12 2 4" xfId="10025" xr:uid="{00000000-0005-0000-0000-0000D1230000}"/>
    <cellStyle name="Normal 3 2 2 12 2 5" xfId="10026" xr:uid="{00000000-0005-0000-0000-0000D2230000}"/>
    <cellStyle name="Normal 3 2 2 12 2 6" xfId="10027" xr:uid="{00000000-0005-0000-0000-0000D3230000}"/>
    <cellStyle name="Normal 3 2 2 12 2 7" xfId="10028" xr:uid="{00000000-0005-0000-0000-0000D4230000}"/>
    <cellStyle name="Normal 3 2 2 12 2 8" xfId="10029" xr:uid="{00000000-0005-0000-0000-0000D5230000}"/>
    <cellStyle name="Normal 3 2 2 12 2 9" xfId="10030" xr:uid="{00000000-0005-0000-0000-0000D6230000}"/>
    <cellStyle name="Normal 3 2 2 12 3" xfId="10031" xr:uid="{00000000-0005-0000-0000-0000D7230000}"/>
    <cellStyle name="Normal 3 2 2 12 3 10" xfId="10032" xr:uid="{00000000-0005-0000-0000-0000D8230000}"/>
    <cellStyle name="Normal 3 2 2 12 3 11" xfId="10033" xr:uid="{00000000-0005-0000-0000-0000D9230000}"/>
    <cellStyle name="Normal 3 2 2 12 3 12" xfId="10034" xr:uid="{00000000-0005-0000-0000-0000DA230000}"/>
    <cellStyle name="Normal 3 2 2 12 3 13" xfId="10035" xr:uid="{00000000-0005-0000-0000-0000DB230000}"/>
    <cellStyle name="Normal 3 2 2 12 3 14" xfId="10036" xr:uid="{00000000-0005-0000-0000-0000DC230000}"/>
    <cellStyle name="Normal 3 2 2 12 3 15" xfId="10037" xr:uid="{00000000-0005-0000-0000-0000DD230000}"/>
    <cellStyle name="Normal 3 2 2 12 3 2" xfId="10038" xr:uid="{00000000-0005-0000-0000-0000DE230000}"/>
    <cellStyle name="Normal 3 2 2 12 3 3" xfId="10039" xr:uid="{00000000-0005-0000-0000-0000DF230000}"/>
    <cellStyle name="Normal 3 2 2 12 3 4" xfId="10040" xr:uid="{00000000-0005-0000-0000-0000E0230000}"/>
    <cellStyle name="Normal 3 2 2 12 3 5" xfId="10041" xr:uid="{00000000-0005-0000-0000-0000E1230000}"/>
    <cellStyle name="Normal 3 2 2 12 3 6" xfId="10042" xr:uid="{00000000-0005-0000-0000-0000E2230000}"/>
    <cellStyle name="Normal 3 2 2 12 3 7" xfId="10043" xr:uid="{00000000-0005-0000-0000-0000E3230000}"/>
    <cellStyle name="Normal 3 2 2 12 3 8" xfId="10044" xr:uid="{00000000-0005-0000-0000-0000E4230000}"/>
    <cellStyle name="Normal 3 2 2 12 3 9" xfId="10045" xr:uid="{00000000-0005-0000-0000-0000E5230000}"/>
    <cellStyle name="Normal 3 2 2 12 4" xfId="10046" xr:uid="{00000000-0005-0000-0000-0000E6230000}"/>
    <cellStyle name="Normal 3 2 2 12 4 10" xfId="10047" xr:uid="{00000000-0005-0000-0000-0000E7230000}"/>
    <cellStyle name="Normal 3 2 2 12 4 11" xfId="10048" xr:uid="{00000000-0005-0000-0000-0000E8230000}"/>
    <cellStyle name="Normal 3 2 2 12 4 12" xfId="10049" xr:uid="{00000000-0005-0000-0000-0000E9230000}"/>
    <cellStyle name="Normal 3 2 2 12 4 13" xfId="10050" xr:uid="{00000000-0005-0000-0000-0000EA230000}"/>
    <cellStyle name="Normal 3 2 2 12 4 14" xfId="10051" xr:uid="{00000000-0005-0000-0000-0000EB230000}"/>
    <cellStyle name="Normal 3 2 2 12 4 15" xfId="10052" xr:uid="{00000000-0005-0000-0000-0000EC230000}"/>
    <cellStyle name="Normal 3 2 2 12 4 2" xfId="10053" xr:uid="{00000000-0005-0000-0000-0000ED230000}"/>
    <cellStyle name="Normal 3 2 2 12 4 3" xfId="10054" xr:uid="{00000000-0005-0000-0000-0000EE230000}"/>
    <cellStyle name="Normal 3 2 2 12 4 4" xfId="10055" xr:uid="{00000000-0005-0000-0000-0000EF230000}"/>
    <cellStyle name="Normal 3 2 2 12 4 5" xfId="10056" xr:uid="{00000000-0005-0000-0000-0000F0230000}"/>
    <cellStyle name="Normal 3 2 2 12 4 6" xfId="10057" xr:uid="{00000000-0005-0000-0000-0000F1230000}"/>
    <cellStyle name="Normal 3 2 2 12 4 7" xfId="10058" xr:uid="{00000000-0005-0000-0000-0000F2230000}"/>
    <cellStyle name="Normal 3 2 2 12 4 8" xfId="10059" xr:uid="{00000000-0005-0000-0000-0000F3230000}"/>
    <cellStyle name="Normal 3 2 2 12 4 9" xfId="10060" xr:uid="{00000000-0005-0000-0000-0000F4230000}"/>
    <cellStyle name="Normal 3 2 2 12 5" xfId="10061" xr:uid="{00000000-0005-0000-0000-0000F5230000}"/>
    <cellStyle name="Normal 3 2 2 12 5 10" xfId="10062" xr:uid="{00000000-0005-0000-0000-0000F6230000}"/>
    <cellStyle name="Normal 3 2 2 12 5 11" xfId="10063" xr:uid="{00000000-0005-0000-0000-0000F7230000}"/>
    <cellStyle name="Normal 3 2 2 12 5 12" xfId="10064" xr:uid="{00000000-0005-0000-0000-0000F8230000}"/>
    <cellStyle name="Normal 3 2 2 12 5 13" xfId="10065" xr:uid="{00000000-0005-0000-0000-0000F9230000}"/>
    <cellStyle name="Normal 3 2 2 12 5 14" xfId="10066" xr:uid="{00000000-0005-0000-0000-0000FA230000}"/>
    <cellStyle name="Normal 3 2 2 12 5 15" xfId="10067" xr:uid="{00000000-0005-0000-0000-0000FB230000}"/>
    <cellStyle name="Normal 3 2 2 12 5 2" xfId="10068" xr:uid="{00000000-0005-0000-0000-0000FC230000}"/>
    <cellStyle name="Normal 3 2 2 12 5 3" xfId="10069" xr:uid="{00000000-0005-0000-0000-0000FD230000}"/>
    <cellStyle name="Normal 3 2 2 12 5 4" xfId="10070" xr:uid="{00000000-0005-0000-0000-0000FE230000}"/>
    <cellStyle name="Normal 3 2 2 12 5 5" xfId="10071" xr:uid="{00000000-0005-0000-0000-0000FF230000}"/>
    <cellStyle name="Normal 3 2 2 12 5 6" xfId="10072" xr:uid="{00000000-0005-0000-0000-000000240000}"/>
    <cellStyle name="Normal 3 2 2 12 5 7" xfId="10073" xr:uid="{00000000-0005-0000-0000-000001240000}"/>
    <cellStyle name="Normal 3 2 2 12 5 8" xfId="10074" xr:uid="{00000000-0005-0000-0000-000002240000}"/>
    <cellStyle name="Normal 3 2 2 12 5 9" xfId="10075" xr:uid="{00000000-0005-0000-0000-000003240000}"/>
    <cellStyle name="Normal 3 2 2 12 6" xfId="10076" xr:uid="{00000000-0005-0000-0000-000004240000}"/>
    <cellStyle name="Normal 3 2 2 12 7" xfId="10077" xr:uid="{00000000-0005-0000-0000-000005240000}"/>
    <cellStyle name="Normal 3 2 2 12 8" xfId="10078" xr:uid="{00000000-0005-0000-0000-000006240000}"/>
    <cellStyle name="Normal 3 2 2 12 9" xfId="10079" xr:uid="{00000000-0005-0000-0000-000007240000}"/>
    <cellStyle name="Normal 3 2 2 13" xfId="10080" xr:uid="{00000000-0005-0000-0000-000008240000}"/>
    <cellStyle name="Normal 3 2 2 13 10" xfId="10081" xr:uid="{00000000-0005-0000-0000-000009240000}"/>
    <cellStyle name="Normal 3 2 2 13 11" xfId="10082" xr:uid="{00000000-0005-0000-0000-00000A240000}"/>
    <cellStyle name="Normal 3 2 2 13 12" xfId="10083" xr:uid="{00000000-0005-0000-0000-00000B240000}"/>
    <cellStyle name="Normal 3 2 2 13 13" xfId="10084" xr:uid="{00000000-0005-0000-0000-00000C240000}"/>
    <cellStyle name="Normal 3 2 2 13 14" xfId="10085" xr:uid="{00000000-0005-0000-0000-00000D240000}"/>
    <cellStyle name="Normal 3 2 2 13 15" xfId="10086" xr:uid="{00000000-0005-0000-0000-00000E240000}"/>
    <cellStyle name="Normal 3 2 2 13 16" xfId="10087" xr:uid="{00000000-0005-0000-0000-00000F240000}"/>
    <cellStyle name="Normal 3 2 2 13 17" xfId="10088" xr:uid="{00000000-0005-0000-0000-000010240000}"/>
    <cellStyle name="Normal 3 2 2 13 18" xfId="10089" xr:uid="{00000000-0005-0000-0000-000011240000}"/>
    <cellStyle name="Normal 3 2 2 13 19" xfId="10090" xr:uid="{00000000-0005-0000-0000-000012240000}"/>
    <cellStyle name="Normal 3 2 2 13 2" xfId="10091" xr:uid="{00000000-0005-0000-0000-000013240000}"/>
    <cellStyle name="Normal 3 2 2 13 2 10" xfId="10092" xr:uid="{00000000-0005-0000-0000-000014240000}"/>
    <cellStyle name="Normal 3 2 2 13 2 11" xfId="10093" xr:uid="{00000000-0005-0000-0000-000015240000}"/>
    <cellStyle name="Normal 3 2 2 13 2 12" xfId="10094" xr:uid="{00000000-0005-0000-0000-000016240000}"/>
    <cellStyle name="Normal 3 2 2 13 2 13" xfId="10095" xr:uid="{00000000-0005-0000-0000-000017240000}"/>
    <cellStyle name="Normal 3 2 2 13 2 14" xfId="10096" xr:uid="{00000000-0005-0000-0000-000018240000}"/>
    <cellStyle name="Normal 3 2 2 13 2 15" xfId="10097" xr:uid="{00000000-0005-0000-0000-000019240000}"/>
    <cellStyle name="Normal 3 2 2 13 2 2" xfId="10098" xr:uid="{00000000-0005-0000-0000-00001A240000}"/>
    <cellStyle name="Normal 3 2 2 13 2 3" xfId="10099" xr:uid="{00000000-0005-0000-0000-00001B240000}"/>
    <cellStyle name="Normal 3 2 2 13 2 4" xfId="10100" xr:uid="{00000000-0005-0000-0000-00001C240000}"/>
    <cellStyle name="Normal 3 2 2 13 2 5" xfId="10101" xr:uid="{00000000-0005-0000-0000-00001D240000}"/>
    <cellStyle name="Normal 3 2 2 13 2 6" xfId="10102" xr:uid="{00000000-0005-0000-0000-00001E240000}"/>
    <cellStyle name="Normal 3 2 2 13 2 7" xfId="10103" xr:uid="{00000000-0005-0000-0000-00001F240000}"/>
    <cellStyle name="Normal 3 2 2 13 2 8" xfId="10104" xr:uid="{00000000-0005-0000-0000-000020240000}"/>
    <cellStyle name="Normal 3 2 2 13 2 9" xfId="10105" xr:uid="{00000000-0005-0000-0000-000021240000}"/>
    <cellStyle name="Normal 3 2 2 13 3" xfId="10106" xr:uid="{00000000-0005-0000-0000-000022240000}"/>
    <cellStyle name="Normal 3 2 2 13 3 10" xfId="10107" xr:uid="{00000000-0005-0000-0000-000023240000}"/>
    <cellStyle name="Normal 3 2 2 13 3 11" xfId="10108" xr:uid="{00000000-0005-0000-0000-000024240000}"/>
    <cellStyle name="Normal 3 2 2 13 3 12" xfId="10109" xr:uid="{00000000-0005-0000-0000-000025240000}"/>
    <cellStyle name="Normal 3 2 2 13 3 13" xfId="10110" xr:uid="{00000000-0005-0000-0000-000026240000}"/>
    <cellStyle name="Normal 3 2 2 13 3 14" xfId="10111" xr:uid="{00000000-0005-0000-0000-000027240000}"/>
    <cellStyle name="Normal 3 2 2 13 3 15" xfId="10112" xr:uid="{00000000-0005-0000-0000-000028240000}"/>
    <cellStyle name="Normal 3 2 2 13 3 2" xfId="10113" xr:uid="{00000000-0005-0000-0000-000029240000}"/>
    <cellStyle name="Normal 3 2 2 13 3 3" xfId="10114" xr:uid="{00000000-0005-0000-0000-00002A240000}"/>
    <cellStyle name="Normal 3 2 2 13 3 4" xfId="10115" xr:uid="{00000000-0005-0000-0000-00002B240000}"/>
    <cellStyle name="Normal 3 2 2 13 3 5" xfId="10116" xr:uid="{00000000-0005-0000-0000-00002C240000}"/>
    <cellStyle name="Normal 3 2 2 13 3 6" xfId="10117" xr:uid="{00000000-0005-0000-0000-00002D240000}"/>
    <cellStyle name="Normal 3 2 2 13 3 7" xfId="10118" xr:uid="{00000000-0005-0000-0000-00002E240000}"/>
    <cellStyle name="Normal 3 2 2 13 3 8" xfId="10119" xr:uid="{00000000-0005-0000-0000-00002F240000}"/>
    <cellStyle name="Normal 3 2 2 13 3 9" xfId="10120" xr:uid="{00000000-0005-0000-0000-000030240000}"/>
    <cellStyle name="Normal 3 2 2 13 4" xfId="10121" xr:uid="{00000000-0005-0000-0000-000031240000}"/>
    <cellStyle name="Normal 3 2 2 13 4 10" xfId="10122" xr:uid="{00000000-0005-0000-0000-000032240000}"/>
    <cellStyle name="Normal 3 2 2 13 4 11" xfId="10123" xr:uid="{00000000-0005-0000-0000-000033240000}"/>
    <cellStyle name="Normal 3 2 2 13 4 12" xfId="10124" xr:uid="{00000000-0005-0000-0000-000034240000}"/>
    <cellStyle name="Normal 3 2 2 13 4 13" xfId="10125" xr:uid="{00000000-0005-0000-0000-000035240000}"/>
    <cellStyle name="Normal 3 2 2 13 4 14" xfId="10126" xr:uid="{00000000-0005-0000-0000-000036240000}"/>
    <cellStyle name="Normal 3 2 2 13 4 15" xfId="10127" xr:uid="{00000000-0005-0000-0000-000037240000}"/>
    <cellStyle name="Normal 3 2 2 13 4 2" xfId="10128" xr:uid="{00000000-0005-0000-0000-000038240000}"/>
    <cellStyle name="Normal 3 2 2 13 4 3" xfId="10129" xr:uid="{00000000-0005-0000-0000-000039240000}"/>
    <cellStyle name="Normal 3 2 2 13 4 4" xfId="10130" xr:uid="{00000000-0005-0000-0000-00003A240000}"/>
    <cellStyle name="Normal 3 2 2 13 4 5" xfId="10131" xr:uid="{00000000-0005-0000-0000-00003B240000}"/>
    <cellStyle name="Normal 3 2 2 13 4 6" xfId="10132" xr:uid="{00000000-0005-0000-0000-00003C240000}"/>
    <cellStyle name="Normal 3 2 2 13 4 7" xfId="10133" xr:uid="{00000000-0005-0000-0000-00003D240000}"/>
    <cellStyle name="Normal 3 2 2 13 4 8" xfId="10134" xr:uid="{00000000-0005-0000-0000-00003E240000}"/>
    <cellStyle name="Normal 3 2 2 13 4 9" xfId="10135" xr:uid="{00000000-0005-0000-0000-00003F240000}"/>
    <cellStyle name="Normal 3 2 2 13 5" xfId="10136" xr:uid="{00000000-0005-0000-0000-000040240000}"/>
    <cellStyle name="Normal 3 2 2 13 5 10" xfId="10137" xr:uid="{00000000-0005-0000-0000-000041240000}"/>
    <cellStyle name="Normal 3 2 2 13 5 11" xfId="10138" xr:uid="{00000000-0005-0000-0000-000042240000}"/>
    <cellStyle name="Normal 3 2 2 13 5 12" xfId="10139" xr:uid="{00000000-0005-0000-0000-000043240000}"/>
    <cellStyle name="Normal 3 2 2 13 5 13" xfId="10140" xr:uid="{00000000-0005-0000-0000-000044240000}"/>
    <cellStyle name="Normal 3 2 2 13 5 14" xfId="10141" xr:uid="{00000000-0005-0000-0000-000045240000}"/>
    <cellStyle name="Normal 3 2 2 13 5 15" xfId="10142" xr:uid="{00000000-0005-0000-0000-000046240000}"/>
    <cellStyle name="Normal 3 2 2 13 5 2" xfId="10143" xr:uid="{00000000-0005-0000-0000-000047240000}"/>
    <cellStyle name="Normal 3 2 2 13 5 3" xfId="10144" xr:uid="{00000000-0005-0000-0000-000048240000}"/>
    <cellStyle name="Normal 3 2 2 13 5 4" xfId="10145" xr:uid="{00000000-0005-0000-0000-000049240000}"/>
    <cellStyle name="Normal 3 2 2 13 5 5" xfId="10146" xr:uid="{00000000-0005-0000-0000-00004A240000}"/>
    <cellStyle name="Normal 3 2 2 13 5 6" xfId="10147" xr:uid="{00000000-0005-0000-0000-00004B240000}"/>
    <cellStyle name="Normal 3 2 2 13 5 7" xfId="10148" xr:uid="{00000000-0005-0000-0000-00004C240000}"/>
    <cellStyle name="Normal 3 2 2 13 5 8" xfId="10149" xr:uid="{00000000-0005-0000-0000-00004D240000}"/>
    <cellStyle name="Normal 3 2 2 13 5 9" xfId="10150" xr:uid="{00000000-0005-0000-0000-00004E240000}"/>
    <cellStyle name="Normal 3 2 2 13 6" xfId="10151" xr:uid="{00000000-0005-0000-0000-00004F240000}"/>
    <cellStyle name="Normal 3 2 2 13 7" xfId="10152" xr:uid="{00000000-0005-0000-0000-000050240000}"/>
    <cellStyle name="Normal 3 2 2 13 8" xfId="10153" xr:uid="{00000000-0005-0000-0000-000051240000}"/>
    <cellStyle name="Normal 3 2 2 13 9" xfId="10154" xr:uid="{00000000-0005-0000-0000-000052240000}"/>
    <cellStyle name="Normal 3 2 2 14" xfId="10155" xr:uid="{00000000-0005-0000-0000-000053240000}"/>
    <cellStyle name="Normal 3 2 2 14 10" xfId="10156" xr:uid="{00000000-0005-0000-0000-000054240000}"/>
    <cellStyle name="Normal 3 2 2 14 11" xfId="10157" xr:uid="{00000000-0005-0000-0000-000055240000}"/>
    <cellStyle name="Normal 3 2 2 14 12" xfId="10158" xr:uid="{00000000-0005-0000-0000-000056240000}"/>
    <cellStyle name="Normal 3 2 2 14 13" xfId="10159" xr:uid="{00000000-0005-0000-0000-000057240000}"/>
    <cellStyle name="Normal 3 2 2 14 14" xfId="10160" xr:uid="{00000000-0005-0000-0000-000058240000}"/>
    <cellStyle name="Normal 3 2 2 14 15" xfId="10161" xr:uid="{00000000-0005-0000-0000-000059240000}"/>
    <cellStyle name="Normal 3 2 2 14 16" xfId="10162" xr:uid="{00000000-0005-0000-0000-00005A240000}"/>
    <cellStyle name="Normal 3 2 2 14 17" xfId="10163" xr:uid="{00000000-0005-0000-0000-00005B240000}"/>
    <cellStyle name="Normal 3 2 2 14 18" xfId="10164" xr:uid="{00000000-0005-0000-0000-00005C240000}"/>
    <cellStyle name="Normal 3 2 2 14 19" xfId="10165" xr:uid="{00000000-0005-0000-0000-00005D240000}"/>
    <cellStyle name="Normal 3 2 2 14 2" xfId="10166" xr:uid="{00000000-0005-0000-0000-00005E240000}"/>
    <cellStyle name="Normal 3 2 2 14 2 10" xfId="10167" xr:uid="{00000000-0005-0000-0000-00005F240000}"/>
    <cellStyle name="Normal 3 2 2 14 2 11" xfId="10168" xr:uid="{00000000-0005-0000-0000-000060240000}"/>
    <cellStyle name="Normal 3 2 2 14 2 12" xfId="10169" xr:uid="{00000000-0005-0000-0000-000061240000}"/>
    <cellStyle name="Normal 3 2 2 14 2 13" xfId="10170" xr:uid="{00000000-0005-0000-0000-000062240000}"/>
    <cellStyle name="Normal 3 2 2 14 2 14" xfId="10171" xr:uid="{00000000-0005-0000-0000-000063240000}"/>
    <cellStyle name="Normal 3 2 2 14 2 15" xfId="10172" xr:uid="{00000000-0005-0000-0000-000064240000}"/>
    <cellStyle name="Normal 3 2 2 14 2 2" xfId="10173" xr:uid="{00000000-0005-0000-0000-000065240000}"/>
    <cellStyle name="Normal 3 2 2 14 2 3" xfId="10174" xr:uid="{00000000-0005-0000-0000-000066240000}"/>
    <cellStyle name="Normal 3 2 2 14 2 4" xfId="10175" xr:uid="{00000000-0005-0000-0000-000067240000}"/>
    <cellStyle name="Normal 3 2 2 14 2 5" xfId="10176" xr:uid="{00000000-0005-0000-0000-000068240000}"/>
    <cellStyle name="Normal 3 2 2 14 2 6" xfId="10177" xr:uid="{00000000-0005-0000-0000-000069240000}"/>
    <cellStyle name="Normal 3 2 2 14 2 7" xfId="10178" xr:uid="{00000000-0005-0000-0000-00006A240000}"/>
    <cellStyle name="Normal 3 2 2 14 2 8" xfId="10179" xr:uid="{00000000-0005-0000-0000-00006B240000}"/>
    <cellStyle name="Normal 3 2 2 14 2 9" xfId="10180" xr:uid="{00000000-0005-0000-0000-00006C240000}"/>
    <cellStyle name="Normal 3 2 2 14 3" xfId="10181" xr:uid="{00000000-0005-0000-0000-00006D240000}"/>
    <cellStyle name="Normal 3 2 2 14 3 10" xfId="10182" xr:uid="{00000000-0005-0000-0000-00006E240000}"/>
    <cellStyle name="Normal 3 2 2 14 3 11" xfId="10183" xr:uid="{00000000-0005-0000-0000-00006F240000}"/>
    <cellStyle name="Normal 3 2 2 14 3 12" xfId="10184" xr:uid="{00000000-0005-0000-0000-000070240000}"/>
    <cellStyle name="Normal 3 2 2 14 3 13" xfId="10185" xr:uid="{00000000-0005-0000-0000-000071240000}"/>
    <cellStyle name="Normal 3 2 2 14 3 14" xfId="10186" xr:uid="{00000000-0005-0000-0000-000072240000}"/>
    <cellStyle name="Normal 3 2 2 14 3 15" xfId="10187" xr:uid="{00000000-0005-0000-0000-000073240000}"/>
    <cellStyle name="Normal 3 2 2 14 3 2" xfId="10188" xr:uid="{00000000-0005-0000-0000-000074240000}"/>
    <cellStyle name="Normal 3 2 2 14 3 3" xfId="10189" xr:uid="{00000000-0005-0000-0000-000075240000}"/>
    <cellStyle name="Normal 3 2 2 14 3 4" xfId="10190" xr:uid="{00000000-0005-0000-0000-000076240000}"/>
    <cellStyle name="Normal 3 2 2 14 3 5" xfId="10191" xr:uid="{00000000-0005-0000-0000-000077240000}"/>
    <cellStyle name="Normal 3 2 2 14 3 6" xfId="10192" xr:uid="{00000000-0005-0000-0000-000078240000}"/>
    <cellStyle name="Normal 3 2 2 14 3 7" xfId="10193" xr:uid="{00000000-0005-0000-0000-000079240000}"/>
    <cellStyle name="Normal 3 2 2 14 3 8" xfId="10194" xr:uid="{00000000-0005-0000-0000-00007A240000}"/>
    <cellStyle name="Normal 3 2 2 14 3 9" xfId="10195" xr:uid="{00000000-0005-0000-0000-00007B240000}"/>
    <cellStyle name="Normal 3 2 2 14 4" xfId="10196" xr:uid="{00000000-0005-0000-0000-00007C240000}"/>
    <cellStyle name="Normal 3 2 2 14 4 10" xfId="10197" xr:uid="{00000000-0005-0000-0000-00007D240000}"/>
    <cellStyle name="Normal 3 2 2 14 4 11" xfId="10198" xr:uid="{00000000-0005-0000-0000-00007E240000}"/>
    <cellStyle name="Normal 3 2 2 14 4 12" xfId="10199" xr:uid="{00000000-0005-0000-0000-00007F240000}"/>
    <cellStyle name="Normal 3 2 2 14 4 13" xfId="10200" xr:uid="{00000000-0005-0000-0000-000080240000}"/>
    <cellStyle name="Normal 3 2 2 14 4 14" xfId="10201" xr:uid="{00000000-0005-0000-0000-000081240000}"/>
    <cellStyle name="Normal 3 2 2 14 4 15" xfId="10202" xr:uid="{00000000-0005-0000-0000-000082240000}"/>
    <cellStyle name="Normal 3 2 2 14 4 2" xfId="10203" xr:uid="{00000000-0005-0000-0000-000083240000}"/>
    <cellStyle name="Normal 3 2 2 14 4 3" xfId="10204" xr:uid="{00000000-0005-0000-0000-000084240000}"/>
    <cellStyle name="Normal 3 2 2 14 4 4" xfId="10205" xr:uid="{00000000-0005-0000-0000-000085240000}"/>
    <cellStyle name="Normal 3 2 2 14 4 5" xfId="10206" xr:uid="{00000000-0005-0000-0000-000086240000}"/>
    <cellStyle name="Normal 3 2 2 14 4 6" xfId="10207" xr:uid="{00000000-0005-0000-0000-000087240000}"/>
    <cellStyle name="Normal 3 2 2 14 4 7" xfId="10208" xr:uid="{00000000-0005-0000-0000-000088240000}"/>
    <cellStyle name="Normal 3 2 2 14 4 8" xfId="10209" xr:uid="{00000000-0005-0000-0000-000089240000}"/>
    <cellStyle name="Normal 3 2 2 14 4 9" xfId="10210" xr:uid="{00000000-0005-0000-0000-00008A240000}"/>
    <cellStyle name="Normal 3 2 2 14 5" xfId="10211" xr:uid="{00000000-0005-0000-0000-00008B240000}"/>
    <cellStyle name="Normal 3 2 2 14 5 10" xfId="10212" xr:uid="{00000000-0005-0000-0000-00008C240000}"/>
    <cellStyle name="Normal 3 2 2 14 5 11" xfId="10213" xr:uid="{00000000-0005-0000-0000-00008D240000}"/>
    <cellStyle name="Normal 3 2 2 14 5 12" xfId="10214" xr:uid="{00000000-0005-0000-0000-00008E240000}"/>
    <cellStyle name="Normal 3 2 2 14 5 13" xfId="10215" xr:uid="{00000000-0005-0000-0000-00008F240000}"/>
    <cellStyle name="Normal 3 2 2 14 5 14" xfId="10216" xr:uid="{00000000-0005-0000-0000-000090240000}"/>
    <cellStyle name="Normal 3 2 2 14 5 15" xfId="10217" xr:uid="{00000000-0005-0000-0000-000091240000}"/>
    <cellStyle name="Normal 3 2 2 14 5 2" xfId="10218" xr:uid="{00000000-0005-0000-0000-000092240000}"/>
    <cellStyle name="Normal 3 2 2 14 5 3" xfId="10219" xr:uid="{00000000-0005-0000-0000-000093240000}"/>
    <cellStyle name="Normal 3 2 2 14 5 4" xfId="10220" xr:uid="{00000000-0005-0000-0000-000094240000}"/>
    <cellStyle name="Normal 3 2 2 14 5 5" xfId="10221" xr:uid="{00000000-0005-0000-0000-000095240000}"/>
    <cellStyle name="Normal 3 2 2 14 5 6" xfId="10222" xr:uid="{00000000-0005-0000-0000-000096240000}"/>
    <cellStyle name="Normal 3 2 2 14 5 7" xfId="10223" xr:uid="{00000000-0005-0000-0000-000097240000}"/>
    <cellStyle name="Normal 3 2 2 14 5 8" xfId="10224" xr:uid="{00000000-0005-0000-0000-000098240000}"/>
    <cellStyle name="Normal 3 2 2 14 5 9" xfId="10225" xr:uid="{00000000-0005-0000-0000-000099240000}"/>
    <cellStyle name="Normal 3 2 2 14 6" xfId="10226" xr:uid="{00000000-0005-0000-0000-00009A240000}"/>
    <cellStyle name="Normal 3 2 2 14 7" xfId="10227" xr:uid="{00000000-0005-0000-0000-00009B240000}"/>
    <cellStyle name="Normal 3 2 2 14 8" xfId="10228" xr:uid="{00000000-0005-0000-0000-00009C240000}"/>
    <cellStyle name="Normal 3 2 2 14 9" xfId="10229" xr:uid="{00000000-0005-0000-0000-00009D240000}"/>
    <cellStyle name="Normal 3 2 2 15" xfId="10230" xr:uid="{00000000-0005-0000-0000-00009E240000}"/>
    <cellStyle name="Normal 3 2 2 15 10" xfId="10231" xr:uid="{00000000-0005-0000-0000-00009F240000}"/>
    <cellStyle name="Normal 3 2 2 15 11" xfId="10232" xr:uid="{00000000-0005-0000-0000-0000A0240000}"/>
    <cellStyle name="Normal 3 2 2 15 12" xfId="10233" xr:uid="{00000000-0005-0000-0000-0000A1240000}"/>
    <cellStyle name="Normal 3 2 2 15 13" xfId="10234" xr:uid="{00000000-0005-0000-0000-0000A2240000}"/>
    <cellStyle name="Normal 3 2 2 15 14" xfId="10235" xr:uid="{00000000-0005-0000-0000-0000A3240000}"/>
    <cellStyle name="Normal 3 2 2 15 15" xfId="10236" xr:uid="{00000000-0005-0000-0000-0000A4240000}"/>
    <cellStyle name="Normal 3 2 2 15 16" xfId="10237" xr:uid="{00000000-0005-0000-0000-0000A5240000}"/>
    <cellStyle name="Normal 3 2 2 15 17" xfId="10238" xr:uid="{00000000-0005-0000-0000-0000A6240000}"/>
    <cellStyle name="Normal 3 2 2 15 18" xfId="10239" xr:uid="{00000000-0005-0000-0000-0000A7240000}"/>
    <cellStyle name="Normal 3 2 2 15 19" xfId="10240" xr:uid="{00000000-0005-0000-0000-0000A8240000}"/>
    <cellStyle name="Normal 3 2 2 15 2" xfId="10241" xr:uid="{00000000-0005-0000-0000-0000A9240000}"/>
    <cellStyle name="Normal 3 2 2 15 2 10" xfId="10242" xr:uid="{00000000-0005-0000-0000-0000AA240000}"/>
    <cellStyle name="Normal 3 2 2 15 2 11" xfId="10243" xr:uid="{00000000-0005-0000-0000-0000AB240000}"/>
    <cellStyle name="Normal 3 2 2 15 2 12" xfId="10244" xr:uid="{00000000-0005-0000-0000-0000AC240000}"/>
    <cellStyle name="Normal 3 2 2 15 2 13" xfId="10245" xr:uid="{00000000-0005-0000-0000-0000AD240000}"/>
    <cellStyle name="Normal 3 2 2 15 2 14" xfId="10246" xr:uid="{00000000-0005-0000-0000-0000AE240000}"/>
    <cellStyle name="Normal 3 2 2 15 2 15" xfId="10247" xr:uid="{00000000-0005-0000-0000-0000AF240000}"/>
    <cellStyle name="Normal 3 2 2 15 2 2" xfId="10248" xr:uid="{00000000-0005-0000-0000-0000B0240000}"/>
    <cellStyle name="Normal 3 2 2 15 2 3" xfId="10249" xr:uid="{00000000-0005-0000-0000-0000B1240000}"/>
    <cellStyle name="Normal 3 2 2 15 2 4" xfId="10250" xr:uid="{00000000-0005-0000-0000-0000B2240000}"/>
    <cellStyle name="Normal 3 2 2 15 2 5" xfId="10251" xr:uid="{00000000-0005-0000-0000-0000B3240000}"/>
    <cellStyle name="Normal 3 2 2 15 2 6" xfId="10252" xr:uid="{00000000-0005-0000-0000-0000B4240000}"/>
    <cellStyle name="Normal 3 2 2 15 2 7" xfId="10253" xr:uid="{00000000-0005-0000-0000-0000B5240000}"/>
    <cellStyle name="Normal 3 2 2 15 2 8" xfId="10254" xr:uid="{00000000-0005-0000-0000-0000B6240000}"/>
    <cellStyle name="Normal 3 2 2 15 2 9" xfId="10255" xr:uid="{00000000-0005-0000-0000-0000B7240000}"/>
    <cellStyle name="Normal 3 2 2 15 3" xfId="10256" xr:uid="{00000000-0005-0000-0000-0000B8240000}"/>
    <cellStyle name="Normal 3 2 2 15 3 10" xfId="10257" xr:uid="{00000000-0005-0000-0000-0000B9240000}"/>
    <cellStyle name="Normal 3 2 2 15 3 11" xfId="10258" xr:uid="{00000000-0005-0000-0000-0000BA240000}"/>
    <cellStyle name="Normal 3 2 2 15 3 12" xfId="10259" xr:uid="{00000000-0005-0000-0000-0000BB240000}"/>
    <cellStyle name="Normal 3 2 2 15 3 13" xfId="10260" xr:uid="{00000000-0005-0000-0000-0000BC240000}"/>
    <cellStyle name="Normal 3 2 2 15 3 14" xfId="10261" xr:uid="{00000000-0005-0000-0000-0000BD240000}"/>
    <cellStyle name="Normal 3 2 2 15 3 15" xfId="10262" xr:uid="{00000000-0005-0000-0000-0000BE240000}"/>
    <cellStyle name="Normal 3 2 2 15 3 2" xfId="10263" xr:uid="{00000000-0005-0000-0000-0000BF240000}"/>
    <cellStyle name="Normal 3 2 2 15 3 3" xfId="10264" xr:uid="{00000000-0005-0000-0000-0000C0240000}"/>
    <cellStyle name="Normal 3 2 2 15 3 4" xfId="10265" xr:uid="{00000000-0005-0000-0000-0000C1240000}"/>
    <cellStyle name="Normal 3 2 2 15 3 5" xfId="10266" xr:uid="{00000000-0005-0000-0000-0000C2240000}"/>
    <cellStyle name="Normal 3 2 2 15 3 6" xfId="10267" xr:uid="{00000000-0005-0000-0000-0000C3240000}"/>
    <cellStyle name="Normal 3 2 2 15 3 7" xfId="10268" xr:uid="{00000000-0005-0000-0000-0000C4240000}"/>
    <cellStyle name="Normal 3 2 2 15 3 8" xfId="10269" xr:uid="{00000000-0005-0000-0000-0000C5240000}"/>
    <cellStyle name="Normal 3 2 2 15 3 9" xfId="10270" xr:uid="{00000000-0005-0000-0000-0000C6240000}"/>
    <cellStyle name="Normal 3 2 2 15 4" xfId="10271" xr:uid="{00000000-0005-0000-0000-0000C7240000}"/>
    <cellStyle name="Normal 3 2 2 15 4 10" xfId="10272" xr:uid="{00000000-0005-0000-0000-0000C8240000}"/>
    <cellStyle name="Normal 3 2 2 15 4 11" xfId="10273" xr:uid="{00000000-0005-0000-0000-0000C9240000}"/>
    <cellStyle name="Normal 3 2 2 15 4 12" xfId="10274" xr:uid="{00000000-0005-0000-0000-0000CA240000}"/>
    <cellStyle name="Normal 3 2 2 15 4 13" xfId="10275" xr:uid="{00000000-0005-0000-0000-0000CB240000}"/>
    <cellStyle name="Normal 3 2 2 15 4 14" xfId="10276" xr:uid="{00000000-0005-0000-0000-0000CC240000}"/>
    <cellStyle name="Normal 3 2 2 15 4 15" xfId="10277" xr:uid="{00000000-0005-0000-0000-0000CD240000}"/>
    <cellStyle name="Normal 3 2 2 15 4 2" xfId="10278" xr:uid="{00000000-0005-0000-0000-0000CE240000}"/>
    <cellStyle name="Normal 3 2 2 15 4 3" xfId="10279" xr:uid="{00000000-0005-0000-0000-0000CF240000}"/>
    <cellStyle name="Normal 3 2 2 15 4 4" xfId="10280" xr:uid="{00000000-0005-0000-0000-0000D0240000}"/>
    <cellStyle name="Normal 3 2 2 15 4 5" xfId="10281" xr:uid="{00000000-0005-0000-0000-0000D1240000}"/>
    <cellStyle name="Normal 3 2 2 15 4 6" xfId="10282" xr:uid="{00000000-0005-0000-0000-0000D2240000}"/>
    <cellStyle name="Normal 3 2 2 15 4 7" xfId="10283" xr:uid="{00000000-0005-0000-0000-0000D3240000}"/>
    <cellStyle name="Normal 3 2 2 15 4 8" xfId="10284" xr:uid="{00000000-0005-0000-0000-0000D4240000}"/>
    <cellStyle name="Normal 3 2 2 15 4 9" xfId="10285" xr:uid="{00000000-0005-0000-0000-0000D5240000}"/>
    <cellStyle name="Normal 3 2 2 15 5" xfId="10286" xr:uid="{00000000-0005-0000-0000-0000D6240000}"/>
    <cellStyle name="Normal 3 2 2 15 5 10" xfId="10287" xr:uid="{00000000-0005-0000-0000-0000D7240000}"/>
    <cellStyle name="Normal 3 2 2 15 5 11" xfId="10288" xr:uid="{00000000-0005-0000-0000-0000D8240000}"/>
    <cellStyle name="Normal 3 2 2 15 5 12" xfId="10289" xr:uid="{00000000-0005-0000-0000-0000D9240000}"/>
    <cellStyle name="Normal 3 2 2 15 5 13" xfId="10290" xr:uid="{00000000-0005-0000-0000-0000DA240000}"/>
    <cellStyle name="Normal 3 2 2 15 5 14" xfId="10291" xr:uid="{00000000-0005-0000-0000-0000DB240000}"/>
    <cellStyle name="Normal 3 2 2 15 5 15" xfId="10292" xr:uid="{00000000-0005-0000-0000-0000DC240000}"/>
    <cellStyle name="Normal 3 2 2 15 5 2" xfId="10293" xr:uid="{00000000-0005-0000-0000-0000DD240000}"/>
    <cellStyle name="Normal 3 2 2 15 5 3" xfId="10294" xr:uid="{00000000-0005-0000-0000-0000DE240000}"/>
    <cellStyle name="Normal 3 2 2 15 5 4" xfId="10295" xr:uid="{00000000-0005-0000-0000-0000DF240000}"/>
    <cellStyle name="Normal 3 2 2 15 5 5" xfId="10296" xr:uid="{00000000-0005-0000-0000-0000E0240000}"/>
    <cellStyle name="Normal 3 2 2 15 5 6" xfId="10297" xr:uid="{00000000-0005-0000-0000-0000E1240000}"/>
    <cellStyle name="Normal 3 2 2 15 5 7" xfId="10298" xr:uid="{00000000-0005-0000-0000-0000E2240000}"/>
    <cellStyle name="Normal 3 2 2 15 5 8" xfId="10299" xr:uid="{00000000-0005-0000-0000-0000E3240000}"/>
    <cellStyle name="Normal 3 2 2 15 5 9" xfId="10300" xr:uid="{00000000-0005-0000-0000-0000E4240000}"/>
    <cellStyle name="Normal 3 2 2 15 6" xfId="10301" xr:uid="{00000000-0005-0000-0000-0000E5240000}"/>
    <cellStyle name="Normal 3 2 2 15 7" xfId="10302" xr:uid="{00000000-0005-0000-0000-0000E6240000}"/>
    <cellStyle name="Normal 3 2 2 15 8" xfId="10303" xr:uid="{00000000-0005-0000-0000-0000E7240000}"/>
    <cellStyle name="Normal 3 2 2 15 9" xfId="10304" xr:uid="{00000000-0005-0000-0000-0000E8240000}"/>
    <cellStyle name="Normal 3 2 2 16" xfId="10305" xr:uid="{00000000-0005-0000-0000-0000E9240000}"/>
    <cellStyle name="Normal 3 2 2 16 10" xfId="10306" xr:uid="{00000000-0005-0000-0000-0000EA240000}"/>
    <cellStyle name="Normal 3 2 2 16 11" xfId="10307" xr:uid="{00000000-0005-0000-0000-0000EB240000}"/>
    <cellStyle name="Normal 3 2 2 16 12" xfId="10308" xr:uid="{00000000-0005-0000-0000-0000EC240000}"/>
    <cellStyle name="Normal 3 2 2 16 13" xfId="10309" xr:uid="{00000000-0005-0000-0000-0000ED240000}"/>
    <cellStyle name="Normal 3 2 2 16 14" xfId="10310" xr:uid="{00000000-0005-0000-0000-0000EE240000}"/>
    <cellStyle name="Normal 3 2 2 16 15" xfId="10311" xr:uid="{00000000-0005-0000-0000-0000EF240000}"/>
    <cellStyle name="Normal 3 2 2 16 2" xfId="10312" xr:uid="{00000000-0005-0000-0000-0000F0240000}"/>
    <cellStyle name="Normal 3 2 2 16 3" xfId="10313" xr:uid="{00000000-0005-0000-0000-0000F1240000}"/>
    <cellStyle name="Normal 3 2 2 16 4" xfId="10314" xr:uid="{00000000-0005-0000-0000-0000F2240000}"/>
    <cellStyle name="Normal 3 2 2 16 5" xfId="10315" xr:uid="{00000000-0005-0000-0000-0000F3240000}"/>
    <cellStyle name="Normal 3 2 2 16 6" xfId="10316" xr:uid="{00000000-0005-0000-0000-0000F4240000}"/>
    <cellStyle name="Normal 3 2 2 16 7" xfId="10317" xr:uid="{00000000-0005-0000-0000-0000F5240000}"/>
    <cellStyle name="Normal 3 2 2 16 8" xfId="10318" xr:uid="{00000000-0005-0000-0000-0000F6240000}"/>
    <cellStyle name="Normal 3 2 2 16 9" xfId="10319" xr:uid="{00000000-0005-0000-0000-0000F7240000}"/>
    <cellStyle name="Normal 3 2 2 17" xfId="10320" xr:uid="{00000000-0005-0000-0000-0000F8240000}"/>
    <cellStyle name="Normal 3 2 2 17 10" xfId="10321" xr:uid="{00000000-0005-0000-0000-0000F9240000}"/>
    <cellStyle name="Normal 3 2 2 17 11" xfId="10322" xr:uid="{00000000-0005-0000-0000-0000FA240000}"/>
    <cellStyle name="Normal 3 2 2 17 12" xfId="10323" xr:uid="{00000000-0005-0000-0000-0000FB240000}"/>
    <cellStyle name="Normal 3 2 2 17 13" xfId="10324" xr:uid="{00000000-0005-0000-0000-0000FC240000}"/>
    <cellStyle name="Normal 3 2 2 17 14" xfId="10325" xr:uid="{00000000-0005-0000-0000-0000FD240000}"/>
    <cellStyle name="Normal 3 2 2 17 15" xfId="10326" xr:uid="{00000000-0005-0000-0000-0000FE240000}"/>
    <cellStyle name="Normal 3 2 2 17 2" xfId="10327" xr:uid="{00000000-0005-0000-0000-0000FF240000}"/>
    <cellStyle name="Normal 3 2 2 17 3" xfId="10328" xr:uid="{00000000-0005-0000-0000-000000250000}"/>
    <cellStyle name="Normal 3 2 2 17 4" xfId="10329" xr:uid="{00000000-0005-0000-0000-000001250000}"/>
    <cellStyle name="Normal 3 2 2 17 5" xfId="10330" xr:uid="{00000000-0005-0000-0000-000002250000}"/>
    <cellStyle name="Normal 3 2 2 17 6" xfId="10331" xr:uid="{00000000-0005-0000-0000-000003250000}"/>
    <cellStyle name="Normal 3 2 2 17 7" xfId="10332" xr:uid="{00000000-0005-0000-0000-000004250000}"/>
    <cellStyle name="Normal 3 2 2 17 8" xfId="10333" xr:uid="{00000000-0005-0000-0000-000005250000}"/>
    <cellStyle name="Normal 3 2 2 17 9" xfId="10334" xr:uid="{00000000-0005-0000-0000-000006250000}"/>
    <cellStyle name="Normal 3 2 2 18" xfId="10335" xr:uid="{00000000-0005-0000-0000-000007250000}"/>
    <cellStyle name="Normal 3 2 2 18 10" xfId="10336" xr:uid="{00000000-0005-0000-0000-000008250000}"/>
    <cellStyle name="Normal 3 2 2 18 11" xfId="10337" xr:uid="{00000000-0005-0000-0000-000009250000}"/>
    <cellStyle name="Normal 3 2 2 18 12" xfId="10338" xr:uid="{00000000-0005-0000-0000-00000A250000}"/>
    <cellStyle name="Normal 3 2 2 18 13" xfId="10339" xr:uid="{00000000-0005-0000-0000-00000B250000}"/>
    <cellStyle name="Normal 3 2 2 18 14" xfId="10340" xr:uid="{00000000-0005-0000-0000-00000C250000}"/>
    <cellStyle name="Normal 3 2 2 18 15" xfId="10341" xr:uid="{00000000-0005-0000-0000-00000D250000}"/>
    <cellStyle name="Normal 3 2 2 18 2" xfId="10342" xr:uid="{00000000-0005-0000-0000-00000E250000}"/>
    <cellStyle name="Normal 3 2 2 18 3" xfId="10343" xr:uid="{00000000-0005-0000-0000-00000F250000}"/>
    <cellStyle name="Normal 3 2 2 18 4" xfId="10344" xr:uid="{00000000-0005-0000-0000-000010250000}"/>
    <cellStyle name="Normal 3 2 2 18 5" xfId="10345" xr:uid="{00000000-0005-0000-0000-000011250000}"/>
    <cellStyle name="Normal 3 2 2 18 6" xfId="10346" xr:uid="{00000000-0005-0000-0000-000012250000}"/>
    <cellStyle name="Normal 3 2 2 18 7" xfId="10347" xr:uid="{00000000-0005-0000-0000-000013250000}"/>
    <cellStyle name="Normal 3 2 2 18 8" xfId="10348" xr:uid="{00000000-0005-0000-0000-000014250000}"/>
    <cellStyle name="Normal 3 2 2 18 9" xfId="10349" xr:uid="{00000000-0005-0000-0000-000015250000}"/>
    <cellStyle name="Normal 3 2 2 19" xfId="10350" xr:uid="{00000000-0005-0000-0000-000016250000}"/>
    <cellStyle name="Normal 3 2 2 2" xfId="962" xr:uid="{00000000-0005-0000-0000-000038030000}"/>
    <cellStyle name="Normal 3 2 2 2 10" xfId="10352" xr:uid="{00000000-0005-0000-0000-000018250000}"/>
    <cellStyle name="Normal 3 2 2 2 10 10" xfId="10353" xr:uid="{00000000-0005-0000-0000-000019250000}"/>
    <cellStyle name="Normal 3 2 2 2 10 11" xfId="10354" xr:uid="{00000000-0005-0000-0000-00001A250000}"/>
    <cellStyle name="Normal 3 2 2 2 10 12" xfId="10355" xr:uid="{00000000-0005-0000-0000-00001B250000}"/>
    <cellStyle name="Normal 3 2 2 2 10 13" xfId="10356" xr:uid="{00000000-0005-0000-0000-00001C250000}"/>
    <cellStyle name="Normal 3 2 2 2 10 14" xfId="10357" xr:uid="{00000000-0005-0000-0000-00001D250000}"/>
    <cellStyle name="Normal 3 2 2 2 10 15" xfId="10358" xr:uid="{00000000-0005-0000-0000-00001E250000}"/>
    <cellStyle name="Normal 3 2 2 2 10 2" xfId="10359" xr:uid="{00000000-0005-0000-0000-00001F250000}"/>
    <cellStyle name="Normal 3 2 2 2 10 3" xfId="10360" xr:uid="{00000000-0005-0000-0000-000020250000}"/>
    <cellStyle name="Normal 3 2 2 2 10 4" xfId="10361" xr:uid="{00000000-0005-0000-0000-000021250000}"/>
    <cellStyle name="Normal 3 2 2 2 10 5" xfId="10362" xr:uid="{00000000-0005-0000-0000-000022250000}"/>
    <cellStyle name="Normal 3 2 2 2 10 6" xfId="10363" xr:uid="{00000000-0005-0000-0000-000023250000}"/>
    <cellStyle name="Normal 3 2 2 2 10 7" xfId="10364" xr:uid="{00000000-0005-0000-0000-000024250000}"/>
    <cellStyle name="Normal 3 2 2 2 10 8" xfId="10365" xr:uid="{00000000-0005-0000-0000-000025250000}"/>
    <cellStyle name="Normal 3 2 2 2 10 9" xfId="10366" xr:uid="{00000000-0005-0000-0000-000026250000}"/>
    <cellStyle name="Normal 3 2 2 2 11" xfId="10367" xr:uid="{00000000-0005-0000-0000-000027250000}"/>
    <cellStyle name="Normal 3 2 2 2 11 10" xfId="10368" xr:uid="{00000000-0005-0000-0000-000028250000}"/>
    <cellStyle name="Normal 3 2 2 2 11 11" xfId="10369" xr:uid="{00000000-0005-0000-0000-000029250000}"/>
    <cellStyle name="Normal 3 2 2 2 11 12" xfId="10370" xr:uid="{00000000-0005-0000-0000-00002A250000}"/>
    <cellStyle name="Normal 3 2 2 2 11 13" xfId="10371" xr:uid="{00000000-0005-0000-0000-00002B250000}"/>
    <cellStyle name="Normal 3 2 2 2 11 14" xfId="10372" xr:uid="{00000000-0005-0000-0000-00002C250000}"/>
    <cellStyle name="Normal 3 2 2 2 11 15" xfId="10373" xr:uid="{00000000-0005-0000-0000-00002D250000}"/>
    <cellStyle name="Normal 3 2 2 2 11 2" xfId="10374" xr:uid="{00000000-0005-0000-0000-00002E250000}"/>
    <cellStyle name="Normal 3 2 2 2 11 3" xfId="10375" xr:uid="{00000000-0005-0000-0000-00002F250000}"/>
    <cellStyle name="Normal 3 2 2 2 11 4" xfId="10376" xr:uid="{00000000-0005-0000-0000-000030250000}"/>
    <cellStyle name="Normal 3 2 2 2 11 5" xfId="10377" xr:uid="{00000000-0005-0000-0000-000031250000}"/>
    <cellStyle name="Normal 3 2 2 2 11 6" xfId="10378" xr:uid="{00000000-0005-0000-0000-000032250000}"/>
    <cellStyle name="Normal 3 2 2 2 11 7" xfId="10379" xr:uid="{00000000-0005-0000-0000-000033250000}"/>
    <cellStyle name="Normal 3 2 2 2 11 8" xfId="10380" xr:uid="{00000000-0005-0000-0000-000034250000}"/>
    <cellStyle name="Normal 3 2 2 2 11 9" xfId="10381" xr:uid="{00000000-0005-0000-0000-000035250000}"/>
    <cellStyle name="Normal 3 2 2 2 12" xfId="10382" xr:uid="{00000000-0005-0000-0000-000036250000}"/>
    <cellStyle name="Normal 3 2 2 2 12 10" xfId="10383" xr:uid="{00000000-0005-0000-0000-000037250000}"/>
    <cellStyle name="Normal 3 2 2 2 12 11" xfId="10384" xr:uid="{00000000-0005-0000-0000-000038250000}"/>
    <cellStyle name="Normal 3 2 2 2 12 12" xfId="10385" xr:uid="{00000000-0005-0000-0000-000039250000}"/>
    <cellStyle name="Normal 3 2 2 2 12 13" xfId="10386" xr:uid="{00000000-0005-0000-0000-00003A250000}"/>
    <cellStyle name="Normal 3 2 2 2 12 14" xfId="10387" xr:uid="{00000000-0005-0000-0000-00003B250000}"/>
    <cellStyle name="Normal 3 2 2 2 12 15" xfId="10388" xr:uid="{00000000-0005-0000-0000-00003C250000}"/>
    <cellStyle name="Normal 3 2 2 2 12 2" xfId="10389" xr:uid="{00000000-0005-0000-0000-00003D250000}"/>
    <cellStyle name="Normal 3 2 2 2 12 3" xfId="10390" xr:uid="{00000000-0005-0000-0000-00003E250000}"/>
    <cellStyle name="Normal 3 2 2 2 12 4" xfId="10391" xr:uid="{00000000-0005-0000-0000-00003F250000}"/>
    <cellStyle name="Normal 3 2 2 2 12 5" xfId="10392" xr:uid="{00000000-0005-0000-0000-000040250000}"/>
    <cellStyle name="Normal 3 2 2 2 12 6" xfId="10393" xr:uid="{00000000-0005-0000-0000-000041250000}"/>
    <cellStyle name="Normal 3 2 2 2 12 7" xfId="10394" xr:uid="{00000000-0005-0000-0000-000042250000}"/>
    <cellStyle name="Normal 3 2 2 2 12 8" xfId="10395" xr:uid="{00000000-0005-0000-0000-000043250000}"/>
    <cellStyle name="Normal 3 2 2 2 12 9" xfId="10396" xr:uid="{00000000-0005-0000-0000-000044250000}"/>
    <cellStyle name="Normal 3 2 2 2 13" xfId="10397" xr:uid="{00000000-0005-0000-0000-000045250000}"/>
    <cellStyle name="Normal 3 2 2 2 14" xfId="10398" xr:uid="{00000000-0005-0000-0000-000046250000}"/>
    <cellStyle name="Normal 3 2 2 2 15" xfId="10399" xr:uid="{00000000-0005-0000-0000-000047250000}"/>
    <cellStyle name="Normal 3 2 2 2 16" xfId="10400" xr:uid="{00000000-0005-0000-0000-000048250000}"/>
    <cellStyle name="Normal 3 2 2 2 17" xfId="10401" xr:uid="{00000000-0005-0000-0000-000049250000}"/>
    <cellStyle name="Normal 3 2 2 2 18" xfId="10402" xr:uid="{00000000-0005-0000-0000-00004A250000}"/>
    <cellStyle name="Normal 3 2 2 2 19" xfId="10403" xr:uid="{00000000-0005-0000-0000-00004B250000}"/>
    <cellStyle name="Normal 3 2 2 2 2" xfId="10404" xr:uid="{00000000-0005-0000-0000-00004C250000}"/>
    <cellStyle name="Normal 3 2 2 2 2 10" xfId="10405" xr:uid="{00000000-0005-0000-0000-00004D250000}"/>
    <cellStyle name="Normal 3 2 2 2 2 11" xfId="10406" xr:uid="{00000000-0005-0000-0000-00004E250000}"/>
    <cellStyle name="Normal 3 2 2 2 2 12" xfId="10407" xr:uid="{00000000-0005-0000-0000-00004F250000}"/>
    <cellStyle name="Normal 3 2 2 2 2 13" xfId="10408" xr:uid="{00000000-0005-0000-0000-000050250000}"/>
    <cellStyle name="Normal 3 2 2 2 2 14" xfId="10409" xr:uid="{00000000-0005-0000-0000-000051250000}"/>
    <cellStyle name="Normal 3 2 2 2 2 15" xfId="10410" xr:uid="{00000000-0005-0000-0000-000052250000}"/>
    <cellStyle name="Normal 3 2 2 2 2 16" xfId="10411" xr:uid="{00000000-0005-0000-0000-000053250000}"/>
    <cellStyle name="Normal 3 2 2 2 2 17" xfId="10412" xr:uid="{00000000-0005-0000-0000-000054250000}"/>
    <cellStyle name="Normal 3 2 2 2 2 18" xfId="10413" xr:uid="{00000000-0005-0000-0000-000055250000}"/>
    <cellStyle name="Normal 3 2 2 2 2 19" xfId="10414" xr:uid="{00000000-0005-0000-0000-000056250000}"/>
    <cellStyle name="Normal 3 2 2 2 2 2" xfId="10415" xr:uid="{00000000-0005-0000-0000-000057250000}"/>
    <cellStyle name="Normal 3 2 2 2 2 2 10" xfId="10416" xr:uid="{00000000-0005-0000-0000-000058250000}"/>
    <cellStyle name="Normal 3 2 2 2 2 2 11" xfId="10417" xr:uid="{00000000-0005-0000-0000-000059250000}"/>
    <cellStyle name="Normal 3 2 2 2 2 2 12" xfId="10418" xr:uid="{00000000-0005-0000-0000-00005A250000}"/>
    <cellStyle name="Normal 3 2 2 2 2 2 13" xfId="10419" xr:uid="{00000000-0005-0000-0000-00005B250000}"/>
    <cellStyle name="Normal 3 2 2 2 2 2 14" xfId="10420" xr:uid="{00000000-0005-0000-0000-00005C250000}"/>
    <cellStyle name="Normal 3 2 2 2 2 2 15" xfId="10421" xr:uid="{00000000-0005-0000-0000-00005D250000}"/>
    <cellStyle name="Normal 3 2 2 2 2 2 16" xfId="10422" xr:uid="{00000000-0005-0000-0000-00005E250000}"/>
    <cellStyle name="Normal 3 2 2 2 2 2 17" xfId="10423" xr:uid="{00000000-0005-0000-0000-00005F250000}"/>
    <cellStyle name="Normal 3 2 2 2 2 2 18" xfId="10424" xr:uid="{00000000-0005-0000-0000-000060250000}"/>
    <cellStyle name="Normal 3 2 2 2 2 2 19" xfId="10425" xr:uid="{00000000-0005-0000-0000-000061250000}"/>
    <cellStyle name="Normal 3 2 2 2 2 2 2" xfId="10426" xr:uid="{00000000-0005-0000-0000-000062250000}"/>
    <cellStyle name="Normal 3 2 2 2 2 2 2 10" xfId="10427" xr:uid="{00000000-0005-0000-0000-000063250000}"/>
    <cellStyle name="Normal 3 2 2 2 2 2 2 11" xfId="10428" xr:uid="{00000000-0005-0000-0000-000064250000}"/>
    <cellStyle name="Normal 3 2 2 2 2 2 2 12" xfId="10429" xr:uid="{00000000-0005-0000-0000-000065250000}"/>
    <cellStyle name="Normal 3 2 2 2 2 2 2 13" xfId="10430" xr:uid="{00000000-0005-0000-0000-000066250000}"/>
    <cellStyle name="Normal 3 2 2 2 2 2 2 14" xfId="10431" xr:uid="{00000000-0005-0000-0000-000067250000}"/>
    <cellStyle name="Normal 3 2 2 2 2 2 2 15" xfId="10432" xr:uid="{00000000-0005-0000-0000-000068250000}"/>
    <cellStyle name="Normal 3 2 2 2 2 2 2 16" xfId="10433" xr:uid="{00000000-0005-0000-0000-000069250000}"/>
    <cellStyle name="Normal 3 2 2 2 2 2 2 17" xfId="10434" xr:uid="{00000000-0005-0000-0000-00006A250000}"/>
    <cellStyle name="Normal 3 2 2 2 2 2 2 18" xfId="10435" xr:uid="{00000000-0005-0000-0000-00006B250000}"/>
    <cellStyle name="Normal 3 2 2 2 2 2 2 2" xfId="10436" xr:uid="{00000000-0005-0000-0000-00006C250000}"/>
    <cellStyle name="Normal 3 2 2 2 2 2 2 2 10" xfId="10437" xr:uid="{00000000-0005-0000-0000-00006D250000}"/>
    <cellStyle name="Normal 3 2 2 2 2 2 2 2 11" xfId="10438" xr:uid="{00000000-0005-0000-0000-00006E250000}"/>
    <cellStyle name="Normal 3 2 2 2 2 2 2 2 12" xfId="10439" xr:uid="{00000000-0005-0000-0000-00006F250000}"/>
    <cellStyle name="Normal 3 2 2 2 2 2 2 2 13" xfId="10440" xr:uid="{00000000-0005-0000-0000-000070250000}"/>
    <cellStyle name="Normal 3 2 2 2 2 2 2 2 14" xfId="10441" xr:uid="{00000000-0005-0000-0000-000071250000}"/>
    <cellStyle name="Normal 3 2 2 2 2 2 2 2 15" xfId="10442" xr:uid="{00000000-0005-0000-0000-000072250000}"/>
    <cellStyle name="Normal 3 2 2 2 2 2 2 2 16" xfId="10443" xr:uid="{00000000-0005-0000-0000-000073250000}"/>
    <cellStyle name="Normal 3 2 2 2 2 2 2 2 17" xfId="10444" xr:uid="{00000000-0005-0000-0000-000074250000}"/>
    <cellStyle name="Normal 3 2 2 2 2 2 2 2 18" xfId="10445" xr:uid="{00000000-0005-0000-0000-000075250000}"/>
    <cellStyle name="Normal 3 2 2 2 2 2 2 2 19" xfId="10446" xr:uid="{00000000-0005-0000-0000-000076250000}"/>
    <cellStyle name="Normal 3 2 2 2 2 2 2 2 2" xfId="10447" xr:uid="{00000000-0005-0000-0000-000077250000}"/>
    <cellStyle name="Normal 3 2 2 2 2 2 2 2 2 10" xfId="10448" xr:uid="{00000000-0005-0000-0000-000078250000}"/>
    <cellStyle name="Normal 3 2 2 2 2 2 2 2 2 11" xfId="10449" xr:uid="{00000000-0005-0000-0000-000079250000}"/>
    <cellStyle name="Normal 3 2 2 2 2 2 2 2 2 12" xfId="10450" xr:uid="{00000000-0005-0000-0000-00007A250000}"/>
    <cellStyle name="Normal 3 2 2 2 2 2 2 2 2 13" xfId="10451" xr:uid="{00000000-0005-0000-0000-00007B250000}"/>
    <cellStyle name="Normal 3 2 2 2 2 2 2 2 2 14" xfId="10452" xr:uid="{00000000-0005-0000-0000-00007C250000}"/>
    <cellStyle name="Normal 3 2 2 2 2 2 2 2 2 15" xfId="10453" xr:uid="{00000000-0005-0000-0000-00007D250000}"/>
    <cellStyle name="Normal 3 2 2 2 2 2 2 2 2 2" xfId="10454" xr:uid="{00000000-0005-0000-0000-00007E250000}"/>
    <cellStyle name="Normal 3 2 2 2 2 2 2 2 2 3" xfId="10455" xr:uid="{00000000-0005-0000-0000-00007F250000}"/>
    <cellStyle name="Normal 3 2 2 2 2 2 2 2 2 4" xfId="10456" xr:uid="{00000000-0005-0000-0000-000080250000}"/>
    <cellStyle name="Normal 3 2 2 2 2 2 2 2 2 5" xfId="10457" xr:uid="{00000000-0005-0000-0000-000081250000}"/>
    <cellStyle name="Normal 3 2 2 2 2 2 2 2 2 6" xfId="10458" xr:uid="{00000000-0005-0000-0000-000082250000}"/>
    <cellStyle name="Normal 3 2 2 2 2 2 2 2 2 7" xfId="10459" xr:uid="{00000000-0005-0000-0000-000083250000}"/>
    <cellStyle name="Normal 3 2 2 2 2 2 2 2 2 8" xfId="10460" xr:uid="{00000000-0005-0000-0000-000084250000}"/>
    <cellStyle name="Normal 3 2 2 2 2 2 2 2 2 9" xfId="10461" xr:uid="{00000000-0005-0000-0000-000085250000}"/>
    <cellStyle name="Normal 3 2 2 2 2 2 2 2 3" xfId="10462" xr:uid="{00000000-0005-0000-0000-000086250000}"/>
    <cellStyle name="Normal 3 2 2 2 2 2 2 2 3 10" xfId="10463" xr:uid="{00000000-0005-0000-0000-000087250000}"/>
    <cellStyle name="Normal 3 2 2 2 2 2 2 2 3 11" xfId="10464" xr:uid="{00000000-0005-0000-0000-000088250000}"/>
    <cellStyle name="Normal 3 2 2 2 2 2 2 2 3 12" xfId="10465" xr:uid="{00000000-0005-0000-0000-000089250000}"/>
    <cellStyle name="Normal 3 2 2 2 2 2 2 2 3 13" xfId="10466" xr:uid="{00000000-0005-0000-0000-00008A250000}"/>
    <cellStyle name="Normal 3 2 2 2 2 2 2 2 3 14" xfId="10467" xr:uid="{00000000-0005-0000-0000-00008B250000}"/>
    <cellStyle name="Normal 3 2 2 2 2 2 2 2 3 15" xfId="10468" xr:uid="{00000000-0005-0000-0000-00008C250000}"/>
    <cellStyle name="Normal 3 2 2 2 2 2 2 2 3 2" xfId="10469" xr:uid="{00000000-0005-0000-0000-00008D250000}"/>
    <cellStyle name="Normal 3 2 2 2 2 2 2 2 3 3" xfId="10470" xr:uid="{00000000-0005-0000-0000-00008E250000}"/>
    <cellStyle name="Normal 3 2 2 2 2 2 2 2 3 4" xfId="10471" xr:uid="{00000000-0005-0000-0000-00008F250000}"/>
    <cellStyle name="Normal 3 2 2 2 2 2 2 2 3 5" xfId="10472" xr:uid="{00000000-0005-0000-0000-000090250000}"/>
    <cellStyle name="Normal 3 2 2 2 2 2 2 2 3 6" xfId="10473" xr:uid="{00000000-0005-0000-0000-000091250000}"/>
    <cellStyle name="Normal 3 2 2 2 2 2 2 2 3 7" xfId="10474" xr:uid="{00000000-0005-0000-0000-000092250000}"/>
    <cellStyle name="Normal 3 2 2 2 2 2 2 2 3 8" xfId="10475" xr:uid="{00000000-0005-0000-0000-000093250000}"/>
    <cellStyle name="Normal 3 2 2 2 2 2 2 2 3 9" xfId="10476" xr:uid="{00000000-0005-0000-0000-000094250000}"/>
    <cellStyle name="Normal 3 2 2 2 2 2 2 2 4" xfId="10477" xr:uid="{00000000-0005-0000-0000-000095250000}"/>
    <cellStyle name="Normal 3 2 2 2 2 2 2 2 4 10" xfId="10478" xr:uid="{00000000-0005-0000-0000-000096250000}"/>
    <cellStyle name="Normal 3 2 2 2 2 2 2 2 4 11" xfId="10479" xr:uid="{00000000-0005-0000-0000-000097250000}"/>
    <cellStyle name="Normal 3 2 2 2 2 2 2 2 4 12" xfId="10480" xr:uid="{00000000-0005-0000-0000-000098250000}"/>
    <cellStyle name="Normal 3 2 2 2 2 2 2 2 4 13" xfId="10481" xr:uid="{00000000-0005-0000-0000-000099250000}"/>
    <cellStyle name="Normal 3 2 2 2 2 2 2 2 4 14" xfId="10482" xr:uid="{00000000-0005-0000-0000-00009A250000}"/>
    <cellStyle name="Normal 3 2 2 2 2 2 2 2 4 15" xfId="10483" xr:uid="{00000000-0005-0000-0000-00009B250000}"/>
    <cellStyle name="Normal 3 2 2 2 2 2 2 2 4 2" xfId="10484" xr:uid="{00000000-0005-0000-0000-00009C250000}"/>
    <cellStyle name="Normal 3 2 2 2 2 2 2 2 4 3" xfId="10485" xr:uid="{00000000-0005-0000-0000-00009D250000}"/>
    <cellStyle name="Normal 3 2 2 2 2 2 2 2 4 4" xfId="10486" xr:uid="{00000000-0005-0000-0000-00009E250000}"/>
    <cellStyle name="Normal 3 2 2 2 2 2 2 2 4 5" xfId="10487" xr:uid="{00000000-0005-0000-0000-00009F250000}"/>
    <cellStyle name="Normal 3 2 2 2 2 2 2 2 4 6" xfId="10488" xr:uid="{00000000-0005-0000-0000-0000A0250000}"/>
    <cellStyle name="Normal 3 2 2 2 2 2 2 2 4 7" xfId="10489" xr:uid="{00000000-0005-0000-0000-0000A1250000}"/>
    <cellStyle name="Normal 3 2 2 2 2 2 2 2 4 8" xfId="10490" xr:uid="{00000000-0005-0000-0000-0000A2250000}"/>
    <cellStyle name="Normal 3 2 2 2 2 2 2 2 4 9" xfId="10491" xr:uid="{00000000-0005-0000-0000-0000A3250000}"/>
    <cellStyle name="Normal 3 2 2 2 2 2 2 2 5" xfId="10492" xr:uid="{00000000-0005-0000-0000-0000A4250000}"/>
    <cellStyle name="Normal 3 2 2 2 2 2 2 2 5 10" xfId="10493" xr:uid="{00000000-0005-0000-0000-0000A5250000}"/>
    <cellStyle name="Normal 3 2 2 2 2 2 2 2 5 11" xfId="10494" xr:uid="{00000000-0005-0000-0000-0000A6250000}"/>
    <cellStyle name="Normal 3 2 2 2 2 2 2 2 5 12" xfId="10495" xr:uid="{00000000-0005-0000-0000-0000A7250000}"/>
    <cellStyle name="Normal 3 2 2 2 2 2 2 2 5 13" xfId="10496" xr:uid="{00000000-0005-0000-0000-0000A8250000}"/>
    <cellStyle name="Normal 3 2 2 2 2 2 2 2 5 14" xfId="10497" xr:uid="{00000000-0005-0000-0000-0000A9250000}"/>
    <cellStyle name="Normal 3 2 2 2 2 2 2 2 5 15" xfId="10498" xr:uid="{00000000-0005-0000-0000-0000AA250000}"/>
    <cellStyle name="Normal 3 2 2 2 2 2 2 2 5 2" xfId="10499" xr:uid="{00000000-0005-0000-0000-0000AB250000}"/>
    <cellStyle name="Normal 3 2 2 2 2 2 2 2 5 3" xfId="10500" xr:uid="{00000000-0005-0000-0000-0000AC250000}"/>
    <cellStyle name="Normal 3 2 2 2 2 2 2 2 5 4" xfId="10501" xr:uid="{00000000-0005-0000-0000-0000AD250000}"/>
    <cellStyle name="Normal 3 2 2 2 2 2 2 2 5 5" xfId="10502" xr:uid="{00000000-0005-0000-0000-0000AE250000}"/>
    <cellStyle name="Normal 3 2 2 2 2 2 2 2 5 6" xfId="10503" xr:uid="{00000000-0005-0000-0000-0000AF250000}"/>
    <cellStyle name="Normal 3 2 2 2 2 2 2 2 5 7" xfId="10504" xr:uid="{00000000-0005-0000-0000-0000B0250000}"/>
    <cellStyle name="Normal 3 2 2 2 2 2 2 2 5 8" xfId="10505" xr:uid="{00000000-0005-0000-0000-0000B1250000}"/>
    <cellStyle name="Normal 3 2 2 2 2 2 2 2 5 9" xfId="10506" xr:uid="{00000000-0005-0000-0000-0000B2250000}"/>
    <cellStyle name="Normal 3 2 2 2 2 2 2 2 6" xfId="10507" xr:uid="{00000000-0005-0000-0000-0000B3250000}"/>
    <cellStyle name="Normal 3 2 2 2 2 2 2 2 7" xfId="10508" xr:uid="{00000000-0005-0000-0000-0000B4250000}"/>
    <cellStyle name="Normal 3 2 2 2 2 2 2 2 8" xfId="10509" xr:uid="{00000000-0005-0000-0000-0000B5250000}"/>
    <cellStyle name="Normal 3 2 2 2 2 2 2 2 9" xfId="10510" xr:uid="{00000000-0005-0000-0000-0000B6250000}"/>
    <cellStyle name="Normal 3 2 2 2 2 2 2 3" xfId="10511" xr:uid="{00000000-0005-0000-0000-0000B7250000}"/>
    <cellStyle name="Normal 3 2 2 2 2 2 2 3 10" xfId="10512" xr:uid="{00000000-0005-0000-0000-0000B8250000}"/>
    <cellStyle name="Normal 3 2 2 2 2 2 2 3 11" xfId="10513" xr:uid="{00000000-0005-0000-0000-0000B9250000}"/>
    <cellStyle name="Normal 3 2 2 2 2 2 2 3 12" xfId="10514" xr:uid="{00000000-0005-0000-0000-0000BA250000}"/>
    <cellStyle name="Normal 3 2 2 2 2 2 2 3 13" xfId="10515" xr:uid="{00000000-0005-0000-0000-0000BB250000}"/>
    <cellStyle name="Normal 3 2 2 2 2 2 2 3 14" xfId="10516" xr:uid="{00000000-0005-0000-0000-0000BC250000}"/>
    <cellStyle name="Normal 3 2 2 2 2 2 2 3 15" xfId="10517" xr:uid="{00000000-0005-0000-0000-0000BD250000}"/>
    <cellStyle name="Normal 3 2 2 2 2 2 2 3 16" xfId="10518" xr:uid="{00000000-0005-0000-0000-0000BE250000}"/>
    <cellStyle name="Normal 3 2 2 2 2 2 2 3 17" xfId="10519" xr:uid="{00000000-0005-0000-0000-0000BF250000}"/>
    <cellStyle name="Normal 3 2 2 2 2 2 2 3 18" xfId="10520" xr:uid="{00000000-0005-0000-0000-0000C0250000}"/>
    <cellStyle name="Normal 3 2 2 2 2 2 2 3 19" xfId="10521" xr:uid="{00000000-0005-0000-0000-0000C1250000}"/>
    <cellStyle name="Normal 3 2 2 2 2 2 2 3 2" xfId="10522" xr:uid="{00000000-0005-0000-0000-0000C2250000}"/>
    <cellStyle name="Normal 3 2 2 2 2 2 2 3 2 10" xfId="10523" xr:uid="{00000000-0005-0000-0000-0000C3250000}"/>
    <cellStyle name="Normal 3 2 2 2 2 2 2 3 2 11" xfId="10524" xr:uid="{00000000-0005-0000-0000-0000C4250000}"/>
    <cellStyle name="Normal 3 2 2 2 2 2 2 3 2 12" xfId="10525" xr:uid="{00000000-0005-0000-0000-0000C5250000}"/>
    <cellStyle name="Normal 3 2 2 2 2 2 2 3 2 13" xfId="10526" xr:uid="{00000000-0005-0000-0000-0000C6250000}"/>
    <cellStyle name="Normal 3 2 2 2 2 2 2 3 2 14" xfId="10527" xr:uid="{00000000-0005-0000-0000-0000C7250000}"/>
    <cellStyle name="Normal 3 2 2 2 2 2 2 3 2 15" xfId="10528" xr:uid="{00000000-0005-0000-0000-0000C8250000}"/>
    <cellStyle name="Normal 3 2 2 2 2 2 2 3 2 2" xfId="10529" xr:uid="{00000000-0005-0000-0000-0000C9250000}"/>
    <cellStyle name="Normal 3 2 2 2 2 2 2 3 2 3" xfId="10530" xr:uid="{00000000-0005-0000-0000-0000CA250000}"/>
    <cellStyle name="Normal 3 2 2 2 2 2 2 3 2 4" xfId="10531" xr:uid="{00000000-0005-0000-0000-0000CB250000}"/>
    <cellStyle name="Normal 3 2 2 2 2 2 2 3 2 5" xfId="10532" xr:uid="{00000000-0005-0000-0000-0000CC250000}"/>
    <cellStyle name="Normal 3 2 2 2 2 2 2 3 2 6" xfId="10533" xr:uid="{00000000-0005-0000-0000-0000CD250000}"/>
    <cellStyle name="Normal 3 2 2 2 2 2 2 3 2 7" xfId="10534" xr:uid="{00000000-0005-0000-0000-0000CE250000}"/>
    <cellStyle name="Normal 3 2 2 2 2 2 2 3 2 8" xfId="10535" xr:uid="{00000000-0005-0000-0000-0000CF250000}"/>
    <cellStyle name="Normal 3 2 2 2 2 2 2 3 2 9" xfId="10536" xr:uid="{00000000-0005-0000-0000-0000D0250000}"/>
    <cellStyle name="Normal 3 2 2 2 2 2 2 3 3" xfId="10537" xr:uid="{00000000-0005-0000-0000-0000D1250000}"/>
    <cellStyle name="Normal 3 2 2 2 2 2 2 3 3 10" xfId="10538" xr:uid="{00000000-0005-0000-0000-0000D2250000}"/>
    <cellStyle name="Normal 3 2 2 2 2 2 2 3 3 11" xfId="10539" xr:uid="{00000000-0005-0000-0000-0000D3250000}"/>
    <cellStyle name="Normal 3 2 2 2 2 2 2 3 3 12" xfId="10540" xr:uid="{00000000-0005-0000-0000-0000D4250000}"/>
    <cellStyle name="Normal 3 2 2 2 2 2 2 3 3 13" xfId="10541" xr:uid="{00000000-0005-0000-0000-0000D5250000}"/>
    <cellStyle name="Normal 3 2 2 2 2 2 2 3 3 14" xfId="10542" xr:uid="{00000000-0005-0000-0000-0000D6250000}"/>
    <cellStyle name="Normal 3 2 2 2 2 2 2 3 3 15" xfId="10543" xr:uid="{00000000-0005-0000-0000-0000D7250000}"/>
    <cellStyle name="Normal 3 2 2 2 2 2 2 3 3 2" xfId="10544" xr:uid="{00000000-0005-0000-0000-0000D8250000}"/>
    <cellStyle name="Normal 3 2 2 2 2 2 2 3 3 3" xfId="10545" xr:uid="{00000000-0005-0000-0000-0000D9250000}"/>
    <cellStyle name="Normal 3 2 2 2 2 2 2 3 3 4" xfId="10546" xr:uid="{00000000-0005-0000-0000-0000DA250000}"/>
    <cellStyle name="Normal 3 2 2 2 2 2 2 3 3 5" xfId="10547" xr:uid="{00000000-0005-0000-0000-0000DB250000}"/>
    <cellStyle name="Normal 3 2 2 2 2 2 2 3 3 6" xfId="10548" xr:uid="{00000000-0005-0000-0000-0000DC250000}"/>
    <cellStyle name="Normal 3 2 2 2 2 2 2 3 3 7" xfId="10549" xr:uid="{00000000-0005-0000-0000-0000DD250000}"/>
    <cellStyle name="Normal 3 2 2 2 2 2 2 3 3 8" xfId="10550" xr:uid="{00000000-0005-0000-0000-0000DE250000}"/>
    <cellStyle name="Normal 3 2 2 2 2 2 2 3 3 9" xfId="10551" xr:uid="{00000000-0005-0000-0000-0000DF250000}"/>
    <cellStyle name="Normal 3 2 2 2 2 2 2 3 4" xfId="10552" xr:uid="{00000000-0005-0000-0000-0000E0250000}"/>
    <cellStyle name="Normal 3 2 2 2 2 2 2 3 4 10" xfId="10553" xr:uid="{00000000-0005-0000-0000-0000E1250000}"/>
    <cellStyle name="Normal 3 2 2 2 2 2 2 3 4 11" xfId="10554" xr:uid="{00000000-0005-0000-0000-0000E2250000}"/>
    <cellStyle name="Normal 3 2 2 2 2 2 2 3 4 12" xfId="10555" xr:uid="{00000000-0005-0000-0000-0000E3250000}"/>
    <cellStyle name="Normal 3 2 2 2 2 2 2 3 4 13" xfId="10556" xr:uid="{00000000-0005-0000-0000-0000E4250000}"/>
    <cellStyle name="Normal 3 2 2 2 2 2 2 3 4 14" xfId="10557" xr:uid="{00000000-0005-0000-0000-0000E5250000}"/>
    <cellStyle name="Normal 3 2 2 2 2 2 2 3 4 15" xfId="10558" xr:uid="{00000000-0005-0000-0000-0000E6250000}"/>
    <cellStyle name="Normal 3 2 2 2 2 2 2 3 4 2" xfId="10559" xr:uid="{00000000-0005-0000-0000-0000E7250000}"/>
    <cellStyle name="Normal 3 2 2 2 2 2 2 3 4 3" xfId="10560" xr:uid="{00000000-0005-0000-0000-0000E8250000}"/>
    <cellStyle name="Normal 3 2 2 2 2 2 2 3 4 4" xfId="10561" xr:uid="{00000000-0005-0000-0000-0000E9250000}"/>
    <cellStyle name="Normal 3 2 2 2 2 2 2 3 4 5" xfId="10562" xr:uid="{00000000-0005-0000-0000-0000EA250000}"/>
    <cellStyle name="Normal 3 2 2 2 2 2 2 3 4 6" xfId="10563" xr:uid="{00000000-0005-0000-0000-0000EB250000}"/>
    <cellStyle name="Normal 3 2 2 2 2 2 2 3 4 7" xfId="10564" xr:uid="{00000000-0005-0000-0000-0000EC250000}"/>
    <cellStyle name="Normal 3 2 2 2 2 2 2 3 4 8" xfId="10565" xr:uid="{00000000-0005-0000-0000-0000ED250000}"/>
    <cellStyle name="Normal 3 2 2 2 2 2 2 3 4 9" xfId="10566" xr:uid="{00000000-0005-0000-0000-0000EE250000}"/>
    <cellStyle name="Normal 3 2 2 2 2 2 2 3 5" xfId="10567" xr:uid="{00000000-0005-0000-0000-0000EF250000}"/>
    <cellStyle name="Normal 3 2 2 2 2 2 2 3 5 10" xfId="10568" xr:uid="{00000000-0005-0000-0000-0000F0250000}"/>
    <cellStyle name="Normal 3 2 2 2 2 2 2 3 5 11" xfId="10569" xr:uid="{00000000-0005-0000-0000-0000F1250000}"/>
    <cellStyle name="Normal 3 2 2 2 2 2 2 3 5 12" xfId="10570" xr:uid="{00000000-0005-0000-0000-0000F2250000}"/>
    <cellStyle name="Normal 3 2 2 2 2 2 2 3 5 13" xfId="10571" xr:uid="{00000000-0005-0000-0000-0000F3250000}"/>
    <cellStyle name="Normal 3 2 2 2 2 2 2 3 5 14" xfId="10572" xr:uid="{00000000-0005-0000-0000-0000F4250000}"/>
    <cellStyle name="Normal 3 2 2 2 2 2 2 3 5 15" xfId="10573" xr:uid="{00000000-0005-0000-0000-0000F5250000}"/>
    <cellStyle name="Normal 3 2 2 2 2 2 2 3 5 2" xfId="10574" xr:uid="{00000000-0005-0000-0000-0000F6250000}"/>
    <cellStyle name="Normal 3 2 2 2 2 2 2 3 5 3" xfId="10575" xr:uid="{00000000-0005-0000-0000-0000F7250000}"/>
    <cellStyle name="Normal 3 2 2 2 2 2 2 3 5 4" xfId="10576" xr:uid="{00000000-0005-0000-0000-0000F8250000}"/>
    <cellStyle name="Normal 3 2 2 2 2 2 2 3 5 5" xfId="10577" xr:uid="{00000000-0005-0000-0000-0000F9250000}"/>
    <cellStyle name="Normal 3 2 2 2 2 2 2 3 5 6" xfId="10578" xr:uid="{00000000-0005-0000-0000-0000FA250000}"/>
    <cellStyle name="Normal 3 2 2 2 2 2 2 3 5 7" xfId="10579" xr:uid="{00000000-0005-0000-0000-0000FB250000}"/>
    <cellStyle name="Normal 3 2 2 2 2 2 2 3 5 8" xfId="10580" xr:uid="{00000000-0005-0000-0000-0000FC250000}"/>
    <cellStyle name="Normal 3 2 2 2 2 2 2 3 5 9" xfId="10581" xr:uid="{00000000-0005-0000-0000-0000FD250000}"/>
    <cellStyle name="Normal 3 2 2 2 2 2 2 3 6" xfId="10582" xr:uid="{00000000-0005-0000-0000-0000FE250000}"/>
    <cellStyle name="Normal 3 2 2 2 2 2 2 3 7" xfId="10583" xr:uid="{00000000-0005-0000-0000-0000FF250000}"/>
    <cellStyle name="Normal 3 2 2 2 2 2 2 3 8" xfId="10584" xr:uid="{00000000-0005-0000-0000-000000260000}"/>
    <cellStyle name="Normal 3 2 2 2 2 2 2 3 9" xfId="10585" xr:uid="{00000000-0005-0000-0000-000001260000}"/>
    <cellStyle name="Normal 3 2 2 2 2 2 2 4" xfId="10586" xr:uid="{00000000-0005-0000-0000-000002260000}"/>
    <cellStyle name="Normal 3 2 2 2 2 2 2 4 10" xfId="10587" xr:uid="{00000000-0005-0000-0000-000003260000}"/>
    <cellStyle name="Normal 3 2 2 2 2 2 2 4 11" xfId="10588" xr:uid="{00000000-0005-0000-0000-000004260000}"/>
    <cellStyle name="Normal 3 2 2 2 2 2 2 4 12" xfId="10589" xr:uid="{00000000-0005-0000-0000-000005260000}"/>
    <cellStyle name="Normal 3 2 2 2 2 2 2 4 13" xfId="10590" xr:uid="{00000000-0005-0000-0000-000006260000}"/>
    <cellStyle name="Normal 3 2 2 2 2 2 2 4 14" xfId="10591" xr:uid="{00000000-0005-0000-0000-000007260000}"/>
    <cellStyle name="Normal 3 2 2 2 2 2 2 4 15" xfId="10592" xr:uid="{00000000-0005-0000-0000-000008260000}"/>
    <cellStyle name="Normal 3 2 2 2 2 2 2 4 16" xfId="10593" xr:uid="{00000000-0005-0000-0000-000009260000}"/>
    <cellStyle name="Normal 3 2 2 2 2 2 2 4 17" xfId="10594" xr:uid="{00000000-0005-0000-0000-00000A260000}"/>
    <cellStyle name="Normal 3 2 2 2 2 2 2 4 18" xfId="10595" xr:uid="{00000000-0005-0000-0000-00000B260000}"/>
    <cellStyle name="Normal 3 2 2 2 2 2 2 4 19" xfId="10596" xr:uid="{00000000-0005-0000-0000-00000C260000}"/>
    <cellStyle name="Normal 3 2 2 2 2 2 2 4 2" xfId="10597" xr:uid="{00000000-0005-0000-0000-00000D260000}"/>
    <cellStyle name="Normal 3 2 2 2 2 2 2 4 2 10" xfId="10598" xr:uid="{00000000-0005-0000-0000-00000E260000}"/>
    <cellStyle name="Normal 3 2 2 2 2 2 2 4 2 11" xfId="10599" xr:uid="{00000000-0005-0000-0000-00000F260000}"/>
    <cellStyle name="Normal 3 2 2 2 2 2 2 4 2 12" xfId="10600" xr:uid="{00000000-0005-0000-0000-000010260000}"/>
    <cellStyle name="Normal 3 2 2 2 2 2 2 4 2 13" xfId="10601" xr:uid="{00000000-0005-0000-0000-000011260000}"/>
    <cellStyle name="Normal 3 2 2 2 2 2 2 4 2 14" xfId="10602" xr:uid="{00000000-0005-0000-0000-000012260000}"/>
    <cellStyle name="Normal 3 2 2 2 2 2 2 4 2 15" xfId="10603" xr:uid="{00000000-0005-0000-0000-000013260000}"/>
    <cellStyle name="Normal 3 2 2 2 2 2 2 4 2 2" xfId="10604" xr:uid="{00000000-0005-0000-0000-000014260000}"/>
    <cellStyle name="Normal 3 2 2 2 2 2 2 4 2 3" xfId="10605" xr:uid="{00000000-0005-0000-0000-000015260000}"/>
    <cellStyle name="Normal 3 2 2 2 2 2 2 4 2 4" xfId="10606" xr:uid="{00000000-0005-0000-0000-000016260000}"/>
    <cellStyle name="Normal 3 2 2 2 2 2 2 4 2 5" xfId="10607" xr:uid="{00000000-0005-0000-0000-000017260000}"/>
    <cellStyle name="Normal 3 2 2 2 2 2 2 4 2 6" xfId="10608" xr:uid="{00000000-0005-0000-0000-000018260000}"/>
    <cellStyle name="Normal 3 2 2 2 2 2 2 4 2 7" xfId="10609" xr:uid="{00000000-0005-0000-0000-000019260000}"/>
    <cellStyle name="Normal 3 2 2 2 2 2 2 4 2 8" xfId="10610" xr:uid="{00000000-0005-0000-0000-00001A260000}"/>
    <cellStyle name="Normal 3 2 2 2 2 2 2 4 2 9" xfId="10611" xr:uid="{00000000-0005-0000-0000-00001B260000}"/>
    <cellStyle name="Normal 3 2 2 2 2 2 2 4 3" xfId="10612" xr:uid="{00000000-0005-0000-0000-00001C260000}"/>
    <cellStyle name="Normal 3 2 2 2 2 2 2 4 3 10" xfId="10613" xr:uid="{00000000-0005-0000-0000-00001D260000}"/>
    <cellStyle name="Normal 3 2 2 2 2 2 2 4 3 11" xfId="10614" xr:uid="{00000000-0005-0000-0000-00001E260000}"/>
    <cellStyle name="Normal 3 2 2 2 2 2 2 4 3 12" xfId="10615" xr:uid="{00000000-0005-0000-0000-00001F260000}"/>
    <cellStyle name="Normal 3 2 2 2 2 2 2 4 3 13" xfId="10616" xr:uid="{00000000-0005-0000-0000-000020260000}"/>
    <cellStyle name="Normal 3 2 2 2 2 2 2 4 3 14" xfId="10617" xr:uid="{00000000-0005-0000-0000-000021260000}"/>
    <cellStyle name="Normal 3 2 2 2 2 2 2 4 3 15" xfId="10618" xr:uid="{00000000-0005-0000-0000-000022260000}"/>
    <cellStyle name="Normal 3 2 2 2 2 2 2 4 3 2" xfId="10619" xr:uid="{00000000-0005-0000-0000-000023260000}"/>
    <cellStyle name="Normal 3 2 2 2 2 2 2 4 3 3" xfId="10620" xr:uid="{00000000-0005-0000-0000-000024260000}"/>
    <cellStyle name="Normal 3 2 2 2 2 2 2 4 3 4" xfId="10621" xr:uid="{00000000-0005-0000-0000-000025260000}"/>
    <cellStyle name="Normal 3 2 2 2 2 2 2 4 3 5" xfId="10622" xr:uid="{00000000-0005-0000-0000-000026260000}"/>
    <cellStyle name="Normal 3 2 2 2 2 2 2 4 3 6" xfId="10623" xr:uid="{00000000-0005-0000-0000-000027260000}"/>
    <cellStyle name="Normal 3 2 2 2 2 2 2 4 3 7" xfId="10624" xr:uid="{00000000-0005-0000-0000-000028260000}"/>
    <cellStyle name="Normal 3 2 2 2 2 2 2 4 3 8" xfId="10625" xr:uid="{00000000-0005-0000-0000-000029260000}"/>
    <cellStyle name="Normal 3 2 2 2 2 2 2 4 3 9" xfId="10626" xr:uid="{00000000-0005-0000-0000-00002A260000}"/>
    <cellStyle name="Normal 3 2 2 2 2 2 2 4 4" xfId="10627" xr:uid="{00000000-0005-0000-0000-00002B260000}"/>
    <cellStyle name="Normal 3 2 2 2 2 2 2 4 4 10" xfId="10628" xr:uid="{00000000-0005-0000-0000-00002C260000}"/>
    <cellStyle name="Normal 3 2 2 2 2 2 2 4 4 11" xfId="10629" xr:uid="{00000000-0005-0000-0000-00002D260000}"/>
    <cellStyle name="Normal 3 2 2 2 2 2 2 4 4 12" xfId="10630" xr:uid="{00000000-0005-0000-0000-00002E260000}"/>
    <cellStyle name="Normal 3 2 2 2 2 2 2 4 4 13" xfId="10631" xr:uid="{00000000-0005-0000-0000-00002F260000}"/>
    <cellStyle name="Normal 3 2 2 2 2 2 2 4 4 14" xfId="10632" xr:uid="{00000000-0005-0000-0000-000030260000}"/>
    <cellStyle name="Normal 3 2 2 2 2 2 2 4 4 15" xfId="10633" xr:uid="{00000000-0005-0000-0000-000031260000}"/>
    <cellStyle name="Normal 3 2 2 2 2 2 2 4 4 2" xfId="10634" xr:uid="{00000000-0005-0000-0000-000032260000}"/>
    <cellStyle name="Normal 3 2 2 2 2 2 2 4 4 3" xfId="10635" xr:uid="{00000000-0005-0000-0000-000033260000}"/>
    <cellStyle name="Normal 3 2 2 2 2 2 2 4 4 4" xfId="10636" xr:uid="{00000000-0005-0000-0000-000034260000}"/>
    <cellStyle name="Normal 3 2 2 2 2 2 2 4 4 5" xfId="10637" xr:uid="{00000000-0005-0000-0000-000035260000}"/>
    <cellStyle name="Normal 3 2 2 2 2 2 2 4 4 6" xfId="10638" xr:uid="{00000000-0005-0000-0000-000036260000}"/>
    <cellStyle name="Normal 3 2 2 2 2 2 2 4 4 7" xfId="10639" xr:uid="{00000000-0005-0000-0000-000037260000}"/>
    <cellStyle name="Normal 3 2 2 2 2 2 2 4 4 8" xfId="10640" xr:uid="{00000000-0005-0000-0000-000038260000}"/>
    <cellStyle name="Normal 3 2 2 2 2 2 2 4 4 9" xfId="10641" xr:uid="{00000000-0005-0000-0000-000039260000}"/>
    <cellStyle name="Normal 3 2 2 2 2 2 2 4 5" xfId="10642" xr:uid="{00000000-0005-0000-0000-00003A260000}"/>
    <cellStyle name="Normal 3 2 2 2 2 2 2 4 5 10" xfId="10643" xr:uid="{00000000-0005-0000-0000-00003B260000}"/>
    <cellStyle name="Normal 3 2 2 2 2 2 2 4 5 11" xfId="10644" xr:uid="{00000000-0005-0000-0000-00003C260000}"/>
    <cellStyle name="Normal 3 2 2 2 2 2 2 4 5 12" xfId="10645" xr:uid="{00000000-0005-0000-0000-00003D260000}"/>
    <cellStyle name="Normal 3 2 2 2 2 2 2 4 5 13" xfId="10646" xr:uid="{00000000-0005-0000-0000-00003E260000}"/>
    <cellStyle name="Normal 3 2 2 2 2 2 2 4 5 14" xfId="10647" xr:uid="{00000000-0005-0000-0000-00003F260000}"/>
    <cellStyle name="Normal 3 2 2 2 2 2 2 4 5 15" xfId="10648" xr:uid="{00000000-0005-0000-0000-000040260000}"/>
    <cellStyle name="Normal 3 2 2 2 2 2 2 4 5 2" xfId="10649" xr:uid="{00000000-0005-0000-0000-000041260000}"/>
    <cellStyle name="Normal 3 2 2 2 2 2 2 4 5 3" xfId="10650" xr:uid="{00000000-0005-0000-0000-000042260000}"/>
    <cellStyle name="Normal 3 2 2 2 2 2 2 4 5 4" xfId="10651" xr:uid="{00000000-0005-0000-0000-000043260000}"/>
    <cellStyle name="Normal 3 2 2 2 2 2 2 4 5 5" xfId="10652" xr:uid="{00000000-0005-0000-0000-000044260000}"/>
    <cellStyle name="Normal 3 2 2 2 2 2 2 4 5 6" xfId="10653" xr:uid="{00000000-0005-0000-0000-000045260000}"/>
    <cellStyle name="Normal 3 2 2 2 2 2 2 4 5 7" xfId="10654" xr:uid="{00000000-0005-0000-0000-000046260000}"/>
    <cellStyle name="Normal 3 2 2 2 2 2 2 4 5 8" xfId="10655" xr:uid="{00000000-0005-0000-0000-000047260000}"/>
    <cellStyle name="Normal 3 2 2 2 2 2 2 4 5 9" xfId="10656" xr:uid="{00000000-0005-0000-0000-000048260000}"/>
    <cellStyle name="Normal 3 2 2 2 2 2 2 4 6" xfId="10657" xr:uid="{00000000-0005-0000-0000-000049260000}"/>
    <cellStyle name="Normal 3 2 2 2 2 2 2 4 7" xfId="10658" xr:uid="{00000000-0005-0000-0000-00004A260000}"/>
    <cellStyle name="Normal 3 2 2 2 2 2 2 4 8" xfId="10659" xr:uid="{00000000-0005-0000-0000-00004B260000}"/>
    <cellStyle name="Normal 3 2 2 2 2 2 2 4 9" xfId="10660" xr:uid="{00000000-0005-0000-0000-00004C260000}"/>
    <cellStyle name="Normal 3 2 2 2 2 2 2 5" xfId="10661" xr:uid="{00000000-0005-0000-0000-00004D260000}"/>
    <cellStyle name="Normal 3 2 2 2 2 2 2 6" xfId="10662" xr:uid="{00000000-0005-0000-0000-00004E260000}"/>
    <cellStyle name="Normal 3 2 2 2 2 2 2 7" xfId="10663" xr:uid="{00000000-0005-0000-0000-00004F260000}"/>
    <cellStyle name="Normal 3 2 2 2 2 2 2 8" xfId="10664" xr:uid="{00000000-0005-0000-0000-000050260000}"/>
    <cellStyle name="Normal 3 2 2 2 2 2 2 9" xfId="10665" xr:uid="{00000000-0005-0000-0000-000051260000}"/>
    <cellStyle name="Normal 3 2 2 2 2 2 20" xfId="10666" xr:uid="{00000000-0005-0000-0000-000052260000}"/>
    <cellStyle name="Normal 3 2 2 2 2 2 21" xfId="10667" xr:uid="{00000000-0005-0000-0000-000053260000}"/>
    <cellStyle name="Normal 3 2 2 2 2 2 22" xfId="10668" xr:uid="{00000000-0005-0000-0000-000054260000}"/>
    <cellStyle name="Normal 3 2 2 2 2 2 3" xfId="10669" xr:uid="{00000000-0005-0000-0000-000055260000}"/>
    <cellStyle name="Normal 3 2 2 2 2 2 3 10" xfId="10670" xr:uid="{00000000-0005-0000-0000-000056260000}"/>
    <cellStyle name="Normal 3 2 2 2 2 2 3 11" xfId="10671" xr:uid="{00000000-0005-0000-0000-000057260000}"/>
    <cellStyle name="Normal 3 2 2 2 2 2 3 12" xfId="10672" xr:uid="{00000000-0005-0000-0000-000058260000}"/>
    <cellStyle name="Normal 3 2 2 2 2 2 3 13" xfId="10673" xr:uid="{00000000-0005-0000-0000-000059260000}"/>
    <cellStyle name="Normal 3 2 2 2 2 2 3 14" xfId="10674" xr:uid="{00000000-0005-0000-0000-00005A260000}"/>
    <cellStyle name="Normal 3 2 2 2 2 2 3 15" xfId="10675" xr:uid="{00000000-0005-0000-0000-00005B260000}"/>
    <cellStyle name="Normal 3 2 2 2 2 2 3 2" xfId="10676" xr:uid="{00000000-0005-0000-0000-00005C260000}"/>
    <cellStyle name="Normal 3 2 2 2 2 2 3 3" xfId="10677" xr:uid="{00000000-0005-0000-0000-00005D260000}"/>
    <cellStyle name="Normal 3 2 2 2 2 2 3 4" xfId="10678" xr:uid="{00000000-0005-0000-0000-00005E260000}"/>
    <cellStyle name="Normal 3 2 2 2 2 2 3 5" xfId="10679" xr:uid="{00000000-0005-0000-0000-00005F260000}"/>
    <cellStyle name="Normal 3 2 2 2 2 2 3 6" xfId="10680" xr:uid="{00000000-0005-0000-0000-000060260000}"/>
    <cellStyle name="Normal 3 2 2 2 2 2 3 7" xfId="10681" xr:uid="{00000000-0005-0000-0000-000061260000}"/>
    <cellStyle name="Normal 3 2 2 2 2 2 3 8" xfId="10682" xr:uid="{00000000-0005-0000-0000-000062260000}"/>
    <cellStyle name="Normal 3 2 2 2 2 2 3 9" xfId="10683" xr:uid="{00000000-0005-0000-0000-000063260000}"/>
    <cellStyle name="Normal 3 2 2 2 2 2 4" xfId="10684" xr:uid="{00000000-0005-0000-0000-000064260000}"/>
    <cellStyle name="Normal 3 2 2 2 2 2 4 10" xfId="10685" xr:uid="{00000000-0005-0000-0000-000065260000}"/>
    <cellStyle name="Normal 3 2 2 2 2 2 4 11" xfId="10686" xr:uid="{00000000-0005-0000-0000-000066260000}"/>
    <cellStyle name="Normal 3 2 2 2 2 2 4 12" xfId="10687" xr:uid="{00000000-0005-0000-0000-000067260000}"/>
    <cellStyle name="Normal 3 2 2 2 2 2 4 13" xfId="10688" xr:uid="{00000000-0005-0000-0000-000068260000}"/>
    <cellStyle name="Normal 3 2 2 2 2 2 4 14" xfId="10689" xr:uid="{00000000-0005-0000-0000-000069260000}"/>
    <cellStyle name="Normal 3 2 2 2 2 2 4 15" xfId="10690" xr:uid="{00000000-0005-0000-0000-00006A260000}"/>
    <cellStyle name="Normal 3 2 2 2 2 2 4 2" xfId="10691" xr:uid="{00000000-0005-0000-0000-00006B260000}"/>
    <cellStyle name="Normal 3 2 2 2 2 2 4 3" xfId="10692" xr:uid="{00000000-0005-0000-0000-00006C260000}"/>
    <cellStyle name="Normal 3 2 2 2 2 2 4 4" xfId="10693" xr:uid="{00000000-0005-0000-0000-00006D260000}"/>
    <cellStyle name="Normal 3 2 2 2 2 2 4 5" xfId="10694" xr:uid="{00000000-0005-0000-0000-00006E260000}"/>
    <cellStyle name="Normal 3 2 2 2 2 2 4 6" xfId="10695" xr:uid="{00000000-0005-0000-0000-00006F260000}"/>
    <cellStyle name="Normal 3 2 2 2 2 2 4 7" xfId="10696" xr:uid="{00000000-0005-0000-0000-000070260000}"/>
    <cellStyle name="Normal 3 2 2 2 2 2 4 8" xfId="10697" xr:uid="{00000000-0005-0000-0000-000071260000}"/>
    <cellStyle name="Normal 3 2 2 2 2 2 4 9" xfId="10698" xr:uid="{00000000-0005-0000-0000-000072260000}"/>
    <cellStyle name="Normal 3 2 2 2 2 2 5" xfId="10699" xr:uid="{00000000-0005-0000-0000-000073260000}"/>
    <cellStyle name="Normal 3 2 2 2 2 2 5 10" xfId="10700" xr:uid="{00000000-0005-0000-0000-000074260000}"/>
    <cellStyle name="Normal 3 2 2 2 2 2 5 11" xfId="10701" xr:uid="{00000000-0005-0000-0000-000075260000}"/>
    <cellStyle name="Normal 3 2 2 2 2 2 5 12" xfId="10702" xr:uid="{00000000-0005-0000-0000-000076260000}"/>
    <cellStyle name="Normal 3 2 2 2 2 2 5 13" xfId="10703" xr:uid="{00000000-0005-0000-0000-000077260000}"/>
    <cellStyle name="Normal 3 2 2 2 2 2 5 14" xfId="10704" xr:uid="{00000000-0005-0000-0000-000078260000}"/>
    <cellStyle name="Normal 3 2 2 2 2 2 5 15" xfId="10705" xr:uid="{00000000-0005-0000-0000-000079260000}"/>
    <cellStyle name="Normal 3 2 2 2 2 2 5 2" xfId="10706" xr:uid="{00000000-0005-0000-0000-00007A260000}"/>
    <cellStyle name="Normal 3 2 2 2 2 2 5 3" xfId="10707" xr:uid="{00000000-0005-0000-0000-00007B260000}"/>
    <cellStyle name="Normal 3 2 2 2 2 2 5 4" xfId="10708" xr:uid="{00000000-0005-0000-0000-00007C260000}"/>
    <cellStyle name="Normal 3 2 2 2 2 2 5 5" xfId="10709" xr:uid="{00000000-0005-0000-0000-00007D260000}"/>
    <cellStyle name="Normal 3 2 2 2 2 2 5 6" xfId="10710" xr:uid="{00000000-0005-0000-0000-00007E260000}"/>
    <cellStyle name="Normal 3 2 2 2 2 2 5 7" xfId="10711" xr:uid="{00000000-0005-0000-0000-00007F260000}"/>
    <cellStyle name="Normal 3 2 2 2 2 2 5 8" xfId="10712" xr:uid="{00000000-0005-0000-0000-000080260000}"/>
    <cellStyle name="Normal 3 2 2 2 2 2 5 9" xfId="10713" xr:uid="{00000000-0005-0000-0000-000081260000}"/>
    <cellStyle name="Normal 3 2 2 2 2 2 6" xfId="10714" xr:uid="{00000000-0005-0000-0000-000082260000}"/>
    <cellStyle name="Normal 3 2 2 2 2 2 6 10" xfId="10715" xr:uid="{00000000-0005-0000-0000-000083260000}"/>
    <cellStyle name="Normal 3 2 2 2 2 2 6 11" xfId="10716" xr:uid="{00000000-0005-0000-0000-000084260000}"/>
    <cellStyle name="Normal 3 2 2 2 2 2 6 12" xfId="10717" xr:uid="{00000000-0005-0000-0000-000085260000}"/>
    <cellStyle name="Normal 3 2 2 2 2 2 6 13" xfId="10718" xr:uid="{00000000-0005-0000-0000-000086260000}"/>
    <cellStyle name="Normal 3 2 2 2 2 2 6 14" xfId="10719" xr:uid="{00000000-0005-0000-0000-000087260000}"/>
    <cellStyle name="Normal 3 2 2 2 2 2 6 15" xfId="10720" xr:uid="{00000000-0005-0000-0000-000088260000}"/>
    <cellStyle name="Normal 3 2 2 2 2 2 6 2" xfId="10721" xr:uid="{00000000-0005-0000-0000-000089260000}"/>
    <cellStyle name="Normal 3 2 2 2 2 2 6 3" xfId="10722" xr:uid="{00000000-0005-0000-0000-00008A260000}"/>
    <cellStyle name="Normal 3 2 2 2 2 2 6 4" xfId="10723" xr:uid="{00000000-0005-0000-0000-00008B260000}"/>
    <cellStyle name="Normal 3 2 2 2 2 2 6 5" xfId="10724" xr:uid="{00000000-0005-0000-0000-00008C260000}"/>
    <cellStyle name="Normal 3 2 2 2 2 2 6 6" xfId="10725" xr:uid="{00000000-0005-0000-0000-00008D260000}"/>
    <cellStyle name="Normal 3 2 2 2 2 2 6 7" xfId="10726" xr:uid="{00000000-0005-0000-0000-00008E260000}"/>
    <cellStyle name="Normal 3 2 2 2 2 2 6 8" xfId="10727" xr:uid="{00000000-0005-0000-0000-00008F260000}"/>
    <cellStyle name="Normal 3 2 2 2 2 2 6 9" xfId="10728" xr:uid="{00000000-0005-0000-0000-000090260000}"/>
    <cellStyle name="Normal 3 2 2 2 2 2 7" xfId="10729" xr:uid="{00000000-0005-0000-0000-000091260000}"/>
    <cellStyle name="Normal 3 2 2 2 2 2 7 10" xfId="10730" xr:uid="{00000000-0005-0000-0000-000092260000}"/>
    <cellStyle name="Normal 3 2 2 2 2 2 7 11" xfId="10731" xr:uid="{00000000-0005-0000-0000-000093260000}"/>
    <cellStyle name="Normal 3 2 2 2 2 2 7 12" xfId="10732" xr:uid="{00000000-0005-0000-0000-000094260000}"/>
    <cellStyle name="Normal 3 2 2 2 2 2 7 13" xfId="10733" xr:uid="{00000000-0005-0000-0000-000095260000}"/>
    <cellStyle name="Normal 3 2 2 2 2 2 7 14" xfId="10734" xr:uid="{00000000-0005-0000-0000-000096260000}"/>
    <cellStyle name="Normal 3 2 2 2 2 2 7 15" xfId="10735" xr:uid="{00000000-0005-0000-0000-000097260000}"/>
    <cellStyle name="Normal 3 2 2 2 2 2 7 2" xfId="10736" xr:uid="{00000000-0005-0000-0000-000098260000}"/>
    <cellStyle name="Normal 3 2 2 2 2 2 7 3" xfId="10737" xr:uid="{00000000-0005-0000-0000-000099260000}"/>
    <cellStyle name="Normal 3 2 2 2 2 2 7 4" xfId="10738" xr:uid="{00000000-0005-0000-0000-00009A260000}"/>
    <cellStyle name="Normal 3 2 2 2 2 2 7 5" xfId="10739" xr:uid="{00000000-0005-0000-0000-00009B260000}"/>
    <cellStyle name="Normal 3 2 2 2 2 2 7 6" xfId="10740" xr:uid="{00000000-0005-0000-0000-00009C260000}"/>
    <cellStyle name="Normal 3 2 2 2 2 2 7 7" xfId="10741" xr:uid="{00000000-0005-0000-0000-00009D260000}"/>
    <cellStyle name="Normal 3 2 2 2 2 2 7 8" xfId="10742" xr:uid="{00000000-0005-0000-0000-00009E260000}"/>
    <cellStyle name="Normal 3 2 2 2 2 2 7 9" xfId="10743" xr:uid="{00000000-0005-0000-0000-00009F260000}"/>
    <cellStyle name="Normal 3 2 2 2 2 2 8" xfId="10744" xr:uid="{00000000-0005-0000-0000-0000A0260000}"/>
    <cellStyle name="Normal 3 2 2 2 2 2 8 10" xfId="10745" xr:uid="{00000000-0005-0000-0000-0000A1260000}"/>
    <cellStyle name="Normal 3 2 2 2 2 2 8 11" xfId="10746" xr:uid="{00000000-0005-0000-0000-0000A2260000}"/>
    <cellStyle name="Normal 3 2 2 2 2 2 8 12" xfId="10747" xr:uid="{00000000-0005-0000-0000-0000A3260000}"/>
    <cellStyle name="Normal 3 2 2 2 2 2 8 13" xfId="10748" xr:uid="{00000000-0005-0000-0000-0000A4260000}"/>
    <cellStyle name="Normal 3 2 2 2 2 2 8 14" xfId="10749" xr:uid="{00000000-0005-0000-0000-0000A5260000}"/>
    <cellStyle name="Normal 3 2 2 2 2 2 8 15" xfId="10750" xr:uid="{00000000-0005-0000-0000-0000A6260000}"/>
    <cellStyle name="Normal 3 2 2 2 2 2 8 2" xfId="10751" xr:uid="{00000000-0005-0000-0000-0000A7260000}"/>
    <cellStyle name="Normal 3 2 2 2 2 2 8 3" xfId="10752" xr:uid="{00000000-0005-0000-0000-0000A8260000}"/>
    <cellStyle name="Normal 3 2 2 2 2 2 8 4" xfId="10753" xr:uid="{00000000-0005-0000-0000-0000A9260000}"/>
    <cellStyle name="Normal 3 2 2 2 2 2 8 5" xfId="10754" xr:uid="{00000000-0005-0000-0000-0000AA260000}"/>
    <cellStyle name="Normal 3 2 2 2 2 2 8 6" xfId="10755" xr:uid="{00000000-0005-0000-0000-0000AB260000}"/>
    <cellStyle name="Normal 3 2 2 2 2 2 8 7" xfId="10756" xr:uid="{00000000-0005-0000-0000-0000AC260000}"/>
    <cellStyle name="Normal 3 2 2 2 2 2 8 8" xfId="10757" xr:uid="{00000000-0005-0000-0000-0000AD260000}"/>
    <cellStyle name="Normal 3 2 2 2 2 2 8 9" xfId="10758" xr:uid="{00000000-0005-0000-0000-0000AE260000}"/>
    <cellStyle name="Normal 3 2 2 2 2 2 9" xfId="10759" xr:uid="{00000000-0005-0000-0000-0000AF260000}"/>
    <cellStyle name="Normal 3 2 2 2 2 20" xfId="10760" xr:uid="{00000000-0005-0000-0000-0000B0260000}"/>
    <cellStyle name="Normal 3 2 2 2 2 21" xfId="10761" xr:uid="{00000000-0005-0000-0000-0000B1260000}"/>
    <cellStyle name="Normal 3 2 2 2 2 22" xfId="10762" xr:uid="{00000000-0005-0000-0000-0000B2260000}"/>
    <cellStyle name="Normal 3 2 2 2 2 3" xfId="10763" xr:uid="{00000000-0005-0000-0000-0000B3260000}"/>
    <cellStyle name="Normal 3 2 2 2 2 3 10" xfId="10764" xr:uid="{00000000-0005-0000-0000-0000B4260000}"/>
    <cellStyle name="Normal 3 2 2 2 2 3 11" xfId="10765" xr:uid="{00000000-0005-0000-0000-0000B5260000}"/>
    <cellStyle name="Normal 3 2 2 2 2 3 12" xfId="10766" xr:uid="{00000000-0005-0000-0000-0000B6260000}"/>
    <cellStyle name="Normal 3 2 2 2 2 3 13" xfId="10767" xr:uid="{00000000-0005-0000-0000-0000B7260000}"/>
    <cellStyle name="Normal 3 2 2 2 2 3 14" xfId="10768" xr:uid="{00000000-0005-0000-0000-0000B8260000}"/>
    <cellStyle name="Normal 3 2 2 2 2 3 15" xfId="10769" xr:uid="{00000000-0005-0000-0000-0000B9260000}"/>
    <cellStyle name="Normal 3 2 2 2 2 3 16" xfId="10770" xr:uid="{00000000-0005-0000-0000-0000BA260000}"/>
    <cellStyle name="Normal 3 2 2 2 2 3 17" xfId="10771" xr:uid="{00000000-0005-0000-0000-0000BB260000}"/>
    <cellStyle name="Normal 3 2 2 2 2 3 18" xfId="10772" xr:uid="{00000000-0005-0000-0000-0000BC260000}"/>
    <cellStyle name="Normal 3 2 2 2 2 3 19" xfId="10773" xr:uid="{00000000-0005-0000-0000-0000BD260000}"/>
    <cellStyle name="Normal 3 2 2 2 2 3 2" xfId="10774" xr:uid="{00000000-0005-0000-0000-0000BE260000}"/>
    <cellStyle name="Normal 3 2 2 2 2 3 2 10" xfId="10775" xr:uid="{00000000-0005-0000-0000-0000BF260000}"/>
    <cellStyle name="Normal 3 2 2 2 2 3 2 11" xfId="10776" xr:uid="{00000000-0005-0000-0000-0000C0260000}"/>
    <cellStyle name="Normal 3 2 2 2 2 3 2 12" xfId="10777" xr:uid="{00000000-0005-0000-0000-0000C1260000}"/>
    <cellStyle name="Normal 3 2 2 2 2 3 2 13" xfId="10778" xr:uid="{00000000-0005-0000-0000-0000C2260000}"/>
    <cellStyle name="Normal 3 2 2 2 2 3 2 14" xfId="10779" xr:uid="{00000000-0005-0000-0000-0000C3260000}"/>
    <cellStyle name="Normal 3 2 2 2 2 3 2 15" xfId="10780" xr:uid="{00000000-0005-0000-0000-0000C4260000}"/>
    <cellStyle name="Normal 3 2 2 2 2 3 2 2" xfId="10781" xr:uid="{00000000-0005-0000-0000-0000C5260000}"/>
    <cellStyle name="Normal 3 2 2 2 2 3 2 3" xfId="10782" xr:uid="{00000000-0005-0000-0000-0000C6260000}"/>
    <cellStyle name="Normal 3 2 2 2 2 3 2 4" xfId="10783" xr:uid="{00000000-0005-0000-0000-0000C7260000}"/>
    <cellStyle name="Normal 3 2 2 2 2 3 2 5" xfId="10784" xr:uid="{00000000-0005-0000-0000-0000C8260000}"/>
    <cellStyle name="Normal 3 2 2 2 2 3 2 6" xfId="10785" xr:uid="{00000000-0005-0000-0000-0000C9260000}"/>
    <cellStyle name="Normal 3 2 2 2 2 3 2 7" xfId="10786" xr:uid="{00000000-0005-0000-0000-0000CA260000}"/>
    <cellStyle name="Normal 3 2 2 2 2 3 2 8" xfId="10787" xr:uid="{00000000-0005-0000-0000-0000CB260000}"/>
    <cellStyle name="Normal 3 2 2 2 2 3 2 9" xfId="10788" xr:uid="{00000000-0005-0000-0000-0000CC260000}"/>
    <cellStyle name="Normal 3 2 2 2 2 3 3" xfId="10789" xr:uid="{00000000-0005-0000-0000-0000CD260000}"/>
    <cellStyle name="Normal 3 2 2 2 2 3 3 10" xfId="10790" xr:uid="{00000000-0005-0000-0000-0000CE260000}"/>
    <cellStyle name="Normal 3 2 2 2 2 3 3 11" xfId="10791" xr:uid="{00000000-0005-0000-0000-0000CF260000}"/>
    <cellStyle name="Normal 3 2 2 2 2 3 3 12" xfId="10792" xr:uid="{00000000-0005-0000-0000-0000D0260000}"/>
    <cellStyle name="Normal 3 2 2 2 2 3 3 13" xfId="10793" xr:uid="{00000000-0005-0000-0000-0000D1260000}"/>
    <cellStyle name="Normal 3 2 2 2 2 3 3 14" xfId="10794" xr:uid="{00000000-0005-0000-0000-0000D2260000}"/>
    <cellStyle name="Normal 3 2 2 2 2 3 3 15" xfId="10795" xr:uid="{00000000-0005-0000-0000-0000D3260000}"/>
    <cellStyle name="Normal 3 2 2 2 2 3 3 2" xfId="10796" xr:uid="{00000000-0005-0000-0000-0000D4260000}"/>
    <cellStyle name="Normal 3 2 2 2 2 3 3 3" xfId="10797" xr:uid="{00000000-0005-0000-0000-0000D5260000}"/>
    <cellStyle name="Normal 3 2 2 2 2 3 3 4" xfId="10798" xr:uid="{00000000-0005-0000-0000-0000D6260000}"/>
    <cellStyle name="Normal 3 2 2 2 2 3 3 5" xfId="10799" xr:uid="{00000000-0005-0000-0000-0000D7260000}"/>
    <cellStyle name="Normal 3 2 2 2 2 3 3 6" xfId="10800" xr:uid="{00000000-0005-0000-0000-0000D8260000}"/>
    <cellStyle name="Normal 3 2 2 2 2 3 3 7" xfId="10801" xr:uid="{00000000-0005-0000-0000-0000D9260000}"/>
    <cellStyle name="Normal 3 2 2 2 2 3 3 8" xfId="10802" xr:uid="{00000000-0005-0000-0000-0000DA260000}"/>
    <cellStyle name="Normal 3 2 2 2 2 3 3 9" xfId="10803" xr:uid="{00000000-0005-0000-0000-0000DB260000}"/>
    <cellStyle name="Normal 3 2 2 2 2 3 4" xfId="10804" xr:uid="{00000000-0005-0000-0000-0000DC260000}"/>
    <cellStyle name="Normal 3 2 2 2 2 3 4 10" xfId="10805" xr:uid="{00000000-0005-0000-0000-0000DD260000}"/>
    <cellStyle name="Normal 3 2 2 2 2 3 4 11" xfId="10806" xr:uid="{00000000-0005-0000-0000-0000DE260000}"/>
    <cellStyle name="Normal 3 2 2 2 2 3 4 12" xfId="10807" xr:uid="{00000000-0005-0000-0000-0000DF260000}"/>
    <cellStyle name="Normal 3 2 2 2 2 3 4 13" xfId="10808" xr:uid="{00000000-0005-0000-0000-0000E0260000}"/>
    <cellStyle name="Normal 3 2 2 2 2 3 4 14" xfId="10809" xr:uid="{00000000-0005-0000-0000-0000E1260000}"/>
    <cellStyle name="Normal 3 2 2 2 2 3 4 15" xfId="10810" xr:uid="{00000000-0005-0000-0000-0000E2260000}"/>
    <cellStyle name="Normal 3 2 2 2 2 3 4 2" xfId="10811" xr:uid="{00000000-0005-0000-0000-0000E3260000}"/>
    <cellStyle name="Normal 3 2 2 2 2 3 4 3" xfId="10812" xr:uid="{00000000-0005-0000-0000-0000E4260000}"/>
    <cellStyle name="Normal 3 2 2 2 2 3 4 4" xfId="10813" xr:uid="{00000000-0005-0000-0000-0000E5260000}"/>
    <cellStyle name="Normal 3 2 2 2 2 3 4 5" xfId="10814" xr:uid="{00000000-0005-0000-0000-0000E6260000}"/>
    <cellStyle name="Normal 3 2 2 2 2 3 4 6" xfId="10815" xr:uid="{00000000-0005-0000-0000-0000E7260000}"/>
    <cellStyle name="Normal 3 2 2 2 2 3 4 7" xfId="10816" xr:uid="{00000000-0005-0000-0000-0000E8260000}"/>
    <cellStyle name="Normal 3 2 2 2 2 3 4 8" xfId="10817" xr:uid="{00000000-0005-0000-0000-0000E9260000}"/>
    <cellStyle name="Normal 3 2 2 2 2 3 4 9" xfId="10818" xr:uid="{00000000-0005-0000-0000-0000EA260000}"/>
    <cellStyle name="Normal 3 2 2 2 2 3 5" xfId="10819" xr:uid="{00000000-0005-0000-0000-0000EB260000}"/>
    <cellStyle name="Normal 3 2 2 2 2 3 5 10" xfId="10820" xr:uid="{00000000-0005-0000-0000-0000EC260000}"/>
    <cellStyle name="Normal 3 2 2 2 2 3 5 11" xfId="10821" xr:uid="{00000000-0005-0000-0000-0000ED260000}"/>
    <cellStyle name="Normal 3 2 2 2 2 3 5 12" xfId="10822" xr:uid="{00000000-0005-0000-0000-0000EE260000}"/>
    <cellStyle name="Normal 3 2 2 2 2 3 5 13" xfId="10823" xr:uid="{00000000-0005-0000-0000-0000EF260000}"/>
    <cellStyle name="Normal 3 2 2 2 2 3 5 14" xfId="10824" xr:uid="{00000000-0005-0000-0000-0000F0260000}"/>
    <cellStyle name="Normal 3 2 2 2 2 3 5 15" xfId="10825" xr:uid="{00000000-0005-0000-0000-0000F1260000}"/>
    <cellStyle name="Normal 3 2 2 2 2 3 5 2" xfId="10826" xr:uid="{00000000-0005-0000-0000-0000F2260000}"/>
    <cellStyle name="Normal 3 2 2 2 2 3 5 3" xfId="10827" xr:uid="{00000000-0005-0000-0000-0000F3260000}"/>
    <cellStyle name="Normal 3 2 2 2 2 3 5 4" xfId="10828" xr:uid="{00000000-0005-0000-0000-0000F4260000}"/>
    <cellStyle name="Normal 3 2 2 2 2 3 5 5" xfId="10829" xr:uid="{00000000-0005-0000-0000-0000F5260000}"/>
    <cellStyle name="Normal 3 2 2 2 2 3 5 6" xfId="10830" xr:uid="{00000000-0005-0000-0000-0000F6260000}"/>
    <cellStyle name="Normal 3 2 2 2 2 3 5 7" xfId="10831" xr:uid="{00000000-0005-0000-0000-0000F7260000}"/>
    <cellStyle name="Normal 3 2 2 2 2 3 5 8" xfId="10832" xr:uid="{00000000-0005-0000-0000-0000F8260000}"/>
    <cellStyle name="Normal 3 2 2 2 2 3 5 9" xfId="10833" xr:uid="{00000000-0005-0000-0000-0000F9260000}"/>
    <cellStyle name="Normal 3 2 2 2 2 3 6" xfId="10834" xr:uid="{00000000-0005-0000-0000-0000FA260000}"/>
    <cellStyle name="Normal 3 2 2 2 2 3 7" xfId="10835" xr:uid="{00000000-0005-0000-0000-0000FB260000}"/>
    <cellStyle name="Normal 3 2 2 2 2 3 8" xfId="10836" xr:uid="{00000000-0005-0000-0000-0000FC260000}"/>
    <cellStyle name="Normal 3 2 2 2 2 3 9" xfId="10837" xr:uid="{00000000-0005-0000-0000-0000FD260000}"/>
    <cellStyle name="Normal 3 2 2 2 2 4" xfId="10838" xr:uid="{00000000-0005-0000-0000-0000FE260000}"/>
    <cellStyle name="Normal 3 2 2 2 2 4 10" xfId="10839" xr:uid="{00000000-0005-0000-0000-0000FF260000}"/>
    <cellStyle name="Normal 3 2 2 2 2 4 11" xfId="10840" xr:uid="{00000000-0005-0000-0000-000000270000}"/>
    <cellStyle name="Normal 3 2 2 2 2 4 12" xfId="10841" xr:uid="{00000000-0005-0000-0000-000001270000}"/>
    <cellStyle name="Normal 3 2 2 2 2 4 13" xfId="10842" xr:uid="{00000000-0005-0000-0000-000002270000}"/>
    <cellStyle name="Normal 3 2 2 2 2 4 14" xfId="10843" xr:uid="{00000000-0005-0000-0000-000003270000}"/>
    <cellStyle name="Normal 3 2 2 2 2 4 15" xfId="10844" xr:uid="{00000000-0005-0000-0000-000004270000}"/>
    <cellStyle name="Normal 3 2 2 2 2 4 16" xfId="10845" xr:uid="{00000000-0005-0000-0000-000005270000}"/>
    <cellStyle name="Normal 3 2 2 2 2 4 17" xfId="10846" xr:uid="{00000000-0005-0000-0000-000006270000}"/>
    <cellStyle name="Normal 3 2 2 2 2 4 18" xfId="10847" xr:uid="{00000000-0005-0000-0000-000007270000}"/>
    <cellStyle name="Normal 3 2 2 2 2 4 19" xfId="10848" xr:uid="{00000000-0005-0000-0000-000008270000}"/>
    <cellStyle name="Normal 3 2 2 2 2 4 2" xfId="10849" xr:uid="{00000000-0005-0000-0000-000009270000}"/>
    <cellStyle name="Normal 3 2 2 2 2 4 2 10" xfId="10850" xr:uid="{00000000-0005-0000-0000-00000A270000}"/>
    <cellStyle name="Normal 3 2 2 2 2 4 2 11" xfId="10851" xr:uid="{00000000-0005-0000-0000-00000B270000}"/>
    <cellStyle name="Normal 3 2 2 2 2 4 2 12" xfId="10852" xr:uid="{00000000-0005-0000-0000-00000C270000}"/>
    <cellStyle name="Normal 3 2 2 2 2 4 2 13" xfId="10853" xr:uid="{00000000-0005-0000-0000-00000D270000}"/>
    <cellStyle name="Normal 3 2 2 2 2 4 2 14" xfId="10854" xr:uid="{00000000-0005-0000-0000-00000E270000}"/>
    <cellStyle name="Normal 3 2 2 2 2 4 2 15" xfId="10855" xr:uid="{00000000-0005-0000-0000-00000F270000}"/>
    <cellStyle name="Normal 3 2 2 2 2 4 2 2" xfId="10856" xr:uid="{00000000-0005-0000-0000-000010270000}"/>
    <cellStyle name="Normal 3 2 2 2 2 4 2 3" xfId="10857" xr:uid="{00000000-0005-0000-0000-000011270000}"/>
    <cellStyle name="Normal 3 2 2 2 2 4 2 4" xfId="10858" xr:uid="{00000000-0005-0000-0000-000012270000}"/>
    <cellStyle name="Normal 3 2 2 2 2 4 2 5" xfId="10859" xr:uid="{00000000-0005-0000-0000-000013270000}"/>
    <cellStyle name="Normal 3 2 2 2 2 4 2 6" xfId="10860" xr:uid="{00000000-0005-0000-0000-000014270000}"/>
    <cellStyle name="Normal 3 2 2 2 2 4 2 7" xfId="10861" xr:uid="{00000000-0005-0000-0000-000015270000}"/>
    <cellStyle name="Normal 3 2 2 2 2 4 2 8" xfId="10862" xr:uid="{00000000-0005-0000-0000-000016270000}"/>
    <cellStyle name="Normal 3 2 2 2 2 4 2 9" xfId="10863" xr:uid="{00000000-0005-0000-0000-000017270000}"/>
    <cellStyle name="Normal 3 2 2 2 2 4 3" xfId="10864" xr:uid="{00000000-0005-0000-0000-000018270000}"/>
    <cellStyle name="Normal 3 2 2 2 2 4 3 10" xfId="10865" xr:uid="{00000000-0005-0000-0000-000019270000}"/>
    <cellStyle name="Normal 3 2 2 2 2 4 3 11" xfId="10866" xr:uid="{00000000-0005-0000-0000-00001A270000}"/>
    <cellStyle name="Normal 3 2 2 2 2 4 3 12" xfId="10867" xr:uid="{00000000-0005-0000-0000-00001B270000}"/>
    <cellStyle name="Normal 3 2 2 2 2 4 3 13" xfId="10868" xr:uid="{00000000-0005-0000-0000-00001C270000}"/>
    <cellStyle name="Normal 3 2 2 2 2 4 3 14" xfId="10869" xr:uid="{00000000-0005-0000-0000-00001D270000}"/>
    <cellStyle name="Normal 3 2 2 2 2 4 3 15" xfId="10870" xr:uid="{00000000-0005-0000-0000-00001E270000}"/>
    <cellStyle name="Normal 3 2 2 2 2 4 3 2" xfId="10871" xr:uid="{00000000-0005-0000-0000-00001F270000}"/>
    <cellStyle name="Normal 3 2 2 2 2 4 3 3" xfId="10872" xr:uid="{00000000-0005-0000-0000-000020270000}"/>
    <cellStyle name="Normal 3 2 2 2 2 4 3 4" xfId="10873" xr:uid="{00000000-0005-0000-0000-000021270000}"/>
    <cellStyle name="Normal 3 2 2 2 2 4 3 5" xfId="10874" xr:uid="{00000000-0005-0000-0000-000022270000}"/>
    <cellStyle name="Normal 3 2 2 2 2 4 3 6" xfId="10875" xr:uid="{00000000-0005-0000-0000-000023270000}"/>
    <cellStyle name="Normal 3 2 2 2 2 4 3 7" xfId="10876" xr:uid="{00000000-0005-0000-0000-000024270000}"/>
    <cellStyle name="Normal 3 2 2 2 2 4 3 8" xfId="10877" xr:uid="{00000000-0005-0000-0000-000025270000}"/>
    <cellStyle name="Normal 3 2 2 2 2 4 3 9" xfId="10878" xr:uid="{00000000-0005-0000-0000-000026270000}"/>
    <cellStyle name="Normal 3 2 2 2 2 4 4" xfId="10879" xr:uid="{00000000-0005-0000-0000-000027270000}"/>
    <cellStyle name="Normal 3 2 2 2 2 4 4 10" xfId="10880" xr:uid="{00000000-0005-0000-0000-000028270000}"/>
    <cellStyle name="Normal 3 2 2 2 2 4 4 11" xfId="10881" xr:uid="{00000000-0005-0000-0000-000029270000}"/>
    <cellStyle name="Normal 3 2 2 2 2 4 4 12" xfId="10882" xr:uid="{00000000-0005-0000-0000-00002A270000}"/>
    <cellStyle name="Normal 3 2 2 2 2 4 4 13" xfId="10883" xr:uid="{00000000-0005-0000-0000-00002B270000}"/>
    <cellStyle name="Normal 3 2 2 2 2 4 4 14" xfId="10884" xr:uid="{00000000-0005-0000-0000-00002C270000}"/>
    <cellStyle name="Normal 3 2 2 2 2 4 4 15" xfId="10885" xr:uid="{00000000-0005-0000-0000-00002D270000}"/>
    <cellStyle name="Normal 3 2 2 2 2 4 4 2" xfId="10886" xr:uid="{00000000-0005-0000-0000-00002E270000}"/>
    <cellStyle name="Normal 3 2 2 2 2 4 4 3" xfId="10887" xr:uid="{00000000-0005-0000-0000-00002F270000}"/>
    <cellStyle name="Normal 3 2 2 2 2 4 4 4" xfId="10888" xr:uid="{00000000-0005-0000-0000-000030270000}"/>
    <cellStyle name="Normal 3 2 2 2 2 4 4 5" xfId="10889" xr:uid="{00000000-0005-0000-0000-000031270000}"/>
    <cellStyle name="Normal 3 2 2 2 2 4 4 6" xfId="10890" xr:uid="{00000000-0005-0000-0000-000032270000}"/>
    <cellStyle name="Normal 3 2 2 2 2 4 4 7" xfId="10891" xr:uid="{00000000-0005-0000-0000-000033270000}"/>
    <cellStyle name="Normal 3 2 2 2 2 4 4 8" xfId="10892" xr:uid="{00000000-0005-0000-0000-000034270000}"/>
    <cellStyle name="Normal 3 2 2 2 2 4 4 9" xfId="10893" xr:uid="{00000000-0005-0000-0000-000035270000}"/>
    <cellStyle name="Normal 3 2 2 2 2 4 5" xfId="10894" xr:uid="{00000000-0005-0000-0000-000036270000}"/>
    <cellStyle name="Normal 3 2 2 2 2 4 5 10" xfId="10895" xr:uid="{00000000-0005-0000-0000-000037270000}"/>
    <cellStyle name="Normal 3 2 2 2 2 4 5 11" xfId="10896" xr:uid="{00000000-0005-0000-0000-000038270000}"/>
    <cellStyle name="Normal 3 2 2 2 2 4 5 12" xfId="10897" xr:uid="{00000000-0005-0000-0000-000039270000}"/>
    <cellStyle name="Normal 3 2 2 2 2 4 5 13" xfId="10898" xr:uid="{00000000-0005-0000-0000-00003A270000}"/>
    <cellStyle name="Normal 3 2 2 2 2 4 5 14" xfId="10899" xr:uid="{00000000-0005-0000-0000-00003B270000}"/>
    <cellStyle name="Normal 3 2 2 2 2 4 5 15" xfId="10900" xr:uid="{00000000-0005-0000-0000-00003C270000}"/>
    <cellStyle name="Normal 3 2 2 2 2 4 5 2" xfId="10901" xr:uid="{00000000-0005-0000-0000-00003D270000}"/>
    <cellStyle name="Normal 3 2 2 2 2 4 5 3" xfId="10902" xr:uid="{00000000-0005-0000-0000-00003E270000}"/>
    <cellStyle name="Normal 3 2 2 2 2 4 5 4" xfId="10903" xr:uid="{00000000-0005-0000-0000-00003F270000}"/>
    <cellStyle name="Normal 3 2 2 2 2 4 5 5" xfId="10904" xr:uid="{00000000-0005-0000-0000-000040270000}"/>
    <cellStyle name="Normal 3 2 2 2 2 4 5 6" xfId="10905" xr:uid="{00000000-0005-0000-0000-000041270000}"/>
    <cellStyle name="Normal 3 2 2 2 2 4 5 7" xfId="10906" xr:uid="{00000000-0005-0000-0000-000042270000}"/>
    <cellStyle name="Normal 3 2 2 2 2 4 5 8" xfId="10907" xr:uid="{00000000-0005-0000-0000-000043270000}"/>
    <cellStyle name="Normal 3 2 2 2 2 4 5 9" xfId="10908" xr:uid="{00000000-0005-0000-0000-000044270000}"/>
    <cellStyle name="Normal 3 2 2 2 2 4 6" xfId="10909" xr:uid="{00000000-0005-0000-0000-000045270000}"/>
    <cellStyle name="Normal 3 2 2 2 2 4 7" xfId="10910" xr:uid="{00000000-0005-0000-0000-000046270000}"/>
    <cellStyle name="Normal 3 2 2 2 2 4 8" xfId="10911" xr:uid="{00000000-0005-0000-0000-000047270000}"/>
    <cellStyle name="Normal 3 2 2 2 2 4 9" xfId="10912" xr:uid="{00000000-0005-0000-0000-000048270000}"/>
    <cellStyle name="Normal 3 2 2 2 2 5" xfId="10913" xr:uid="{00000000-0005-0000-0000-000049270000}"/>
    <cellStyle name="Normal 3 2 2 2 2 5 10" xfId="10914" xr:uid="{00000000-0005-0000-0000-00004A270000}"/>
    <cellStyle name="Normal 3 2 2 2 2 5 11" xfId="10915" xr:uid="{00000000-0005-0000-0000-00004B270000}"/>
    <cellStyle name="Normal 3 2 2 2 2 5 12" xfId="10916" xr:uid="{00000000-0005-0000-0000-00004C270000}"/>
    <cellStyle name="Normal 3 2 2 2 2 5 13" xfId="10917" xr:uid="{00000000-0005-0000-0000-00004D270000}"/>
    <cellStyle name="Normal 3 2 2 2 2 5 14" xfId="10918" xr:uid="{00000000-0005-0000-0000-00004E270000}"/>
    <cellStyle name="Normal 3 2 2 2 2 5 15" xfId="10919" xr:uid="{00000000-0005-0000-0000-00004F270000}"/>
    <cellStyle name="Normal 3 2 2 2 2 5 16" xfId="10920" xr:uid="{00000000-0005-0000-0000-000050270000}"/>
    <cellStyle name="Normal 3 2 2 2 2 5 17" xfId="10921" xr:uid="{00000000-0005-0000-0000-000051270000}"/>
    <cellStyle name="Normal 3 2 2 2 2 5 18" xfId="10922" xr:uid="{00000000-0005-0000-0000-000052270000}"/>
    <cellStyle name="Normal 3 2 2 2 2 5 19" xfId="10923" xr:uid="{00000000-0005-0000-0000-000053270000}"/>
    <cellStyle name="Normal 3 2 2 2 2 5 2" xfId="10924" xr:uid="{00000000-0005-0000-0000-000054270000}"/>
    <cellStyle name="Normal 3 2 2 2 2 5 2 10" xfId="10925" xr:uid="{00000000-0005-0000-0000-000055270000}"/>
    <cellStyle name="Normal 3 2 2 2 2 5 2 11" xfId="10926" xr:uid="{00000000-0005-0000-0000-000056270000}"/>
    <cellStyle name="Normal 3 2 2 2 2 5 2 12" xfId="10927" xr:uid="{00000000-0005-0000-0000-000057270000}"/>
    <cellStyle name="Normal 3 2 2 2 2 5 2 13" xfId="10928" xr:uid="{00000000-0005-0000-0000-000058270000}"/>
    <cellStyle name="Normal 3 2 2 2 2 5 2 14" xfId="10929" xr:uid="{00000000-0005-0000-0000-000059270000}"/>
    <cellStyle name="Normal 3 2 2 2 2 5 2 15" xfId="10930" xr:uid="{00000000-0005-0000-0000-00005A270000}"/>
    <cellStyle name="Normal 3 2 2 2 2 5 2 2" xfId="10931" xr:uid="{00000000-0005-0000-0000-00005B270000}"/>
    <cellStyle name="Normal 3 2 2 2 2 5 2 3" xfId="10932" xr:uid="{00000000-0005-0000-0000-00005C270000}"/>
    <cellStyle name="Normal 3 2 2 2 2 5 2 4" xfId="10933" xr:uid="{00000000-0005-0000-0000-00005D270000}"/>
    <cellStyle name="Normal 3 2 2 2 2 5 2 5" xfId="10934" xr:uid="{00000000-0005-0000-0000-00005E270000}"/>
    <cellStyle name="Normal 3 2 2 2 2 5 2 6" xfId="10935" xr:uid="{00000000-0005-0000-0000-00005F270000}"/>
    <cellStyle name="Normal 3 2 2 2 2 5 2 7" xfId="10936" xr:uid="{00000000-0005-0000-0000-000060270000}"/>
    <cellStyle name="Normal 3 2 2 2 2 5 2 8" xfId="10937" xr:uid="{00000000-0005-0000-0000-000061270000}"/>
    <cellStyle name="Normal 3 2 2 2 2 5 2 9" xfId="10938" xr:uid="{00000000-0005-0000-0000-000062270000}"/>
    <cellStyle name="Normal 3 2 2 2 2 5 3" xfId="10939" xr:uid="{00000000-0005-0000-0000-000063270000}"/>
    <cellStyle name="Normal 3 2 2 2 2 5 3 10" xfId="10940" xr:uid="{00000000-0005-0000-0000-000064270000}"/>
    <cellStyle name="Normal 3 2 2 2 2 5 3 11" xfId="10941" xr:uid="{00000000-0005-0000-0000-000065270000}"/>
    <cellStyle name="Normal 3 2 2 2 2 5 3 12" xfId="10942" xr:uid="{00000000-0005-0000-0000-000066270000}"/>
    <cellStyle name="Normal 3 2 2 2 2 5 3 13" xfId="10943" xr:uid="{00000000-0005-0000-0000-000067270000}"/>
    <cellStyle name="Normal 3 2 2 2 2 5 3 14" xfId="10944" xr:uid="{00000000-0005-0000-0000-000068270000}"/>
    <cellStyle name="Normal 3 2 2 2 2 5 3 15" xfId="10945" xr:uid="{00000000-0005-0000-0000-000069270000}"/>
    <cellStyle name="Normal 3 2 2 2 2 5 3 2" xfId="10946" xr:uid="{00000000-0005-0000-0000-00006A270000}"/>
    <cellStyle name="Normal 3 2 2 2 2 5 3 3" xfId="10947" xr:uid="{00000000-0005-0000-0000-00006B270000}"/>
    <cellStyle name="Normal 3 2 2 2 2 5 3 4" xfId="10948" xr:uid="{00000000-0005-0000-0000-00006C270000}"/>
    <cellStyle name="Normal 3 2 2 2 2 5 3 5" xfId="10949" xr:uid="{00000000-0005-0000-0000-00006D270000}"/>
    <cellStyle name="Normal 3 2 2 2 2 5 3 6" xfId="10950" xr:uid="{00000000-0005-0000-0000-00006E270000}"/>
    <cellStyle name="Normal 3 2 2 2 2 5 3 7" xfId="10951" xr:uid="{00000000-0005-0000-0000-00006F270000}"/>
    <cellStyle name="Normal 3 2 2 2 2 5 3 8" xfId="10952" xr:uid="{00000000-0005-0000-0000-000070270000}"/>
    <cellStyle name="Normal 3 2 2 2 2 5 3 9" xfId="10953" xr:uid="{00000000-0005-0000-0000-000071270000}"/>
    <cellStyle name="Normal 3 2 2 2 2 5 4" xfId="10954" xr:uid="{00000000-0005-0000-0000-000072270000}"/>
    <cellStyle name="Normal 3 2 2 2 2 5 4 10" xfId="10955" xr:uid="{00000000-0005-0000-0000-000073270000}"/>
    <cellStyle name="Normal 3 2 2 2 2 5 4 11" xfId="10956" xr:uid="{00000000-0005-0000-0000-000074270000}"/>
    <cellStyle name="Normal 3 2 2 2 2 5 4 12" xfId="10957" xr:uid="{00000000-0005-0000-0000-000075270000}"/>
    <cellStyle name="Normal 3 2 2 2 2 5 4 13" xfId="10958" xr:uid="{00000000-0005-0000-0000-000076270000}"/>
    <cellStyle name="Normal 3 2 2 2 2 5 4 14" xfId="10959" xr:uid="{00000000-0005-0000-0000-000077270000}"/>
    <cellStyle name="Normal 3 2 2 2 2 5 4 15" xfId="10960" xr:uid="{00000000-0005-0000-0000-000078270000}"/>
    <cellStyle name="Normal 3 2 2 2 2 5 4 2" xfId="10961" xr:uid="{00000000-0005-0000-0000-000079270000}"/>
    <cellStyle name="Normal 3 2 2 2 2 5 4 3" xfId="10962" xr:uid="{00000000-0005-0000-0000-00007A270000}"/>
    <cellStyle name="Normal 3 2 2 2 2 5 4 4" xfId="10963" xr:uid="{00000000-0005-0000-0000-00007B270000}"/>
    <cellStyle name="Normal 3 2 2 2 2 5 4 5" xfId="10964" xr:uid="{00000000-0005-0000-0000-00007C270000}"/>
    <cellStyle name="Normal 3 2 2 2 2 5 4 6" xfId="10965" xr:uid="{00000000-0005-0000-0000-00007D270000}"/>
    <cellStyle name="Normal 3 2 2 2 2 5 4 7" xfId="10966" xr:uid="{00000000-0005-0000-0000-00007E270000}"/>
    <cellStyle name="Normal 3 2 2 2 2 5 4 8" xfId="10967" xr:uid="{00000000-0005-0000-0000-00007F270000}"/>
    <cellStyle name="Normal 3 2 2 2 2 5 4 9" xfId="10968" xr:uid="{00000000-0005-0000-0000-000080270000}"/>
    <cellStyle name="Normal 3 2 2 2 2 5 5" xfId="10969" xr:uid="{00000000-0005-0000-0000-000081270000}"/>
    <cellStyle name="Normal 3 2 2 2 2 5 5 10" xfId="10970" xr:uid="{00000000-0005-0000-0000-000082270000}"/>
    <cellStyle name="Normal 3 2 2 2 2 5 5 11" xfId="10971" xr:uid="{00000000-0005-0000-0000-000083270000}"/>
    <cellStyle name="Normal 3 2 2 2 2 5 5 12" xfId="10972" xr:uid="{00000000-0005-0000-0000-000084270000}"/>
    <cellStyle name="Normal 3 2 2 2 2 5 5 13" xfId="10973" xr:uid="{00000000-0005-0000-0000-000085270000}"/>
    <cellStyle name="Normal 3 2 2 2 2 5 5 14" xfId="10974" xr:uid="{00000000-0005-0000-0000-000086270000}"/>
    <cellStyle name="Normal 3 2 2 2 2 5 5 15" xfId="10975" xr:uid="{00000000-0005-0000-0000-000087270000}"/>
    <cellStyle name="Normal 3 2 2 2 2 5 5 2" xfId="10976" xr:uid="{00000000-0005-0000-0000-000088270000}"/>
    <cellStyle name="Normal 3 2 2 2 2 5 5 3" xfId="10977" xr:uid="{00000000-0005-0000-0000-000089270000}"/>
    <cellStyle name="Normal 3 2 2 2 2 5 5 4" xfId="10978" xr:uid="{00000000-0005-0000-0000-00008A270000}"/>
    <cellStyle name="Normal 3 2 2 2 2 5 5 5" xfId="10979" xr:uid="{00000000-0005-0000-0000-00008B270000}"/>
    <cellStyle name="Normal 3 2 2 2 2 5 5 6" xfId="10980" xr:uid="{00000000-0005-0000-0000-00008C270000}"/>
    <cellStyle name="Normal 3 2 2 2 2 5 5 7" xfId="10981" xr:uid="{00000000-0005-0000-0000-00008D270000}"/>
    <cellStyle name="Normal 3 2 2 2 2 5 5 8" xfId="10982" xr:uid="{00000000-0005-0000-0000-00008E270000}"/>
    <cellStyle name="Normal 3 2 2 2 2 5 5 9" xfId="10983" xr:uid="{00000000-0005-0000-0000-00008F270000}"/>
    <cellStyle name="Normal 3 2 2 2 2 5 6" xfId="10984" xr:uid="{00000000-0005-0000-0000-000090270000}"/>
    <cellStyle name="Normal 3 2 2 2 2 5 7" xfId="10985" xr:uid="{00000000-0005-0000-0000-000091270000}"/>
    <cellStyle name="Normal 3 2 2 2 2 5 8" xfId="10986" xr:uid="{00000000-0005-0000-0000-000092270000}"/>
    <cellStyle name="Normal 3 2 2 2 2 5 9" xfId="10987" xr:uid="{00000000-0005-0000-0000-000093270000}"/>
    <cellStyle name="Normal 3 2 2 2 2 6" xfId="10988" xr:uid="{00000000-0005-0000-0000-000094270000}"/>
    <cellStyle name="Normal 3 2 2 2 2 6 10" xfId="10989" xr:uid="{00000000-0005-0000-0000-000095270000}"/>
    <cellStyle name="Normal 3 2 2 2 2 6 11" xfId="10990" xr:uid="{00000000-0005-0000-0000-000096270000}"/>
    <cellStyle name="Normal 3 2 2 2 2 6 12" xfId="10991" xr:uid="{00000000-0005-0000-0000-000097270000}"/>
    <cellStyle name="Normal 3 2 2 2 2 6 13" xfId="10992" xr:uid="{00000000-0005-0000-0000-000098270000}"/>
    <cellStyle name="Normal 3 2 2 2 2 6 14" xfId="10993" xr:uid="{00000000-0005-0000-0000-000099270000}"/>
    <cellStyle name="Normal 3 2 2 2 2 6 15" xfId="10994" xr:uid="{00000000-0005-0000-0000-00009A270000}"/>
    <cellStyle name="Normal 3 2 2 2 2 6 16" xfId="10995" xr:uid="{00000000-0005-0000-0000-00009B270000}"/>
    <cellStyle name="Normal 3 2 2 2 2 6 17" xfId="10996" xr:uid="{00000000-0005-0000-0000-00009C270000}"/>
    <cellStyle name="Normal 3 2 2 2 2 6 18" xfId="10997" xr:uid="{00000000-0005-0000-0000-00009D270000}"/>
    <cellStyle name="Normal 3 2 2 2 2 6 19" xfId="10998" xr:uid="{00000000-0005-0000-0000-00009E270000}"/>
    <cellStyle name="Normal 3 2 2 2 2 6 2" xfId="10999" xr:uid="{00000000-0005-0000-0000-00009F270000}"/>
    <cellStyle name="Normal 3 2 2 2 2 6 2 10" xfId="11000" xr:uid="{00000000-0005-0000-0000-0000A0270000}"/>
    <cellStyle name="Normal 3 2 2 2 2 6 2 11" xfId="11001" xr:uid="{00000000-0005-0000-0000-0000A1270000}"/>
    <cellStyle name="Normal 3 2 2 2 2 6 2 12" xfId="11002" xr:uid="{00000000-0005-0000-0000-0000A2270000}"/>
    <cellStyle name="Normal 3 2 2 2 2 6 2 13" xfId="11003" xr:uid="{00000000-0005-0000-0000-0000A3270000}"/>
    <cellStyle name="Normal 3 2 2 2 2 6 2 14" xfId="11004" xr:uid="{00000000-0005-0000-0000-0000A4270000}"/>
    <cellStyle name="Normal 3 2 2 2 2 6 2 15" xfId="11005" xr:uid="{00000000-0005-0000-0000-0000A5270000}"/>
    <cellStyle name="Normal 3 2 2 2 2 6 2 2" xfId="11006" xr:uid="{00000000-0005-0000-0000-0000A6270000}"/>
    <cellStyle name="Normal 3 2 2 2 2 6 2 3" xfId="11007" xr:uid="{00000000-0005-0000-0000-0000A7270000}"/>
    <cellStyle name="Normal 3 2 2 2 2 6 2 4" xfId="11008" xr:uid="{00000000-0005-0000-0000-0000A8270000}"/>
    <cellStyle name="Normal 3 2 2 2 2 6 2 5" xfId="11009" xr:uid="{00000000-0005-0000-0000-0000A9270000}"/>
    <cellStyle name="Normal 3 2 2 2 2 6 2 6" xfId="11010" xr:uid="{00000000-0005-0000-0000-0000AA270000}"/>
    <cellStyle name="Normal 3 2 2 2 2 6 2 7" xfId="11011" xr:uid="{00000000-0005-0000-0000-0000AB270000}"/>
    <cellStyle name="Normal 3 2 2 2 2 6 2 8" xfId="11012" xr:uid="{00000000-0005-0000-0000-0000AC270000}"/>
    <cellStyle name="Normal 3 2 2 2 2 6 2 9" xfId="11013" xr:uid="{00000000-0005-0000-0000-0000AD270000}"/>
    <cellStyle name="Normal 3 2 2 2 2 6 3" xfId="11014" xr:uid="{00000000-0005-0000-0000-0000AE270000}"/>
    <cellStyle name="Normal 3 2 2 2 2 6 3 10" xfId="11015" xr:uid="{00000000-0005-0000-0000-0000AF270000}"/>
    <cellStyle name="Normal 3 2 2 2 2 6 3 11" xfId="11016" xr:uid="{00000000-0005-0000-0000-0000B0270000}"/>
    <cellStyle name="Normal 3 2 2 2 2 6 3 12" xfId="11017" xr:uid="{00000000-0005-0000-0000-0000B1270000}"/>
    <cellStyle name="Normal 3 2 2 2 2 6 3 13" xfId="11018" xr:uid="{00000000-0005-0000-0000-0000B2270000}"/>
    <cellStyle name="Normal 3 2 2 2 2 6 3 14" xfId="11019" xr:uid="{00000000-0005-0000-0000-0000B3270000}"/>
    <cellStyle name="Normal 3 2 2 2 2 6 3 15" xfId="11020" xr:uid="{00000000-0005-0000-0000-0000B4270000}"/>
    <cellStyle name="Normal 3 2 2 2 2 6 3 2" xfId="11021" xr:uid="{00000000-0005-0000-0000-0000B5270000}"/>
    <cellStyle name="Normal 3 2 2 2 2 6 3 3" xfId="11022" xr:uid="{00000000-0005-0000-0000-0000B6270000}"/>
    <cellStyle name="Normal 3 2 2 2 2 6 3 4" xfId="11023" xr:uid="{00000000-0005-0000-0000-0000B7270000}"/>
    <cellStyle name="Normal 3 2 2 2 2 6 3 5" xfId="11024" xr:uid="{00000000-0005-0000-0000-0000B8270000}"/>
    <cellStyle name="Normal 3 2 2 2 2 6 3 6" xfId="11025" xr:uid="{00000000-0005-0000-0000-0000B9270000}"/>
    <cellStyle name="Normal 3 2 2 2 2 6 3 7" xfId="11026" xr:uid="{00000000-0005-0000-0000-0000BA270000}"/>
    <cellStyle name="Normal 3 2 2 2 2 6 3 8" xfId="11027" xr:uid="{00000000-0005-0000-0000-0000BB270000}"/>
    <cellStyle name="Normal 3 2 2 2 2 6 3 9" xfId="11028" xr:uid="{00000000-0005-0000-0000-0000BC270000}"/>
    <cellStyle name="Normal 3 2 2 2 2 6 4" xfId="11029" xr:uid="{00000000-0005-0000-0000-0000BD270000}"/>
    <cellStyle name="Normal 3 2 2 2 2 6 4 10" xfId="11030" xr:uid="{00000000-0005-0000-0000-0000BE270000}"/>
    <cellStyle name="Normal 3 2 2 2 2 6 4 11" xfId="11031" xr:uid="{00000000-0005-0000-0000-0000BF270000}"/>
    <cellStyle name="Normal 3 2 2 2 2 6 4 12" xfId="11032" xr:uid="{00000000-0005-0000-0000-0000C0270000}"/>
    <cellStyle name="Normal 3 2 2 2 2 6 4 13" xfId="11033" xr:uid="{00000000-0005-0000-0000-0000C1270000}"/>
    <cellStyle name="Normal 3 2 2 2 2 6 4 14" xfId="11034" xr:uid="{00000000-0005-0000-0000-0000C2270000}"/>
    <cellStyle name="Normal 3 2 2 2 2 6 4 15" xfId="11035" xr:uid="{00000000-0005-0000-0000-0000C3270000}"/>
    <cellStyle name="Normal 3 2 2 2 2 6 4 2" xfId="11036" xr:uid="{00000000-0005-0000-0000-0000C4270000}"/>
    <cellStyle name="Normal 3 2 2 2 2 6 4 3" xfId="11037" xr:uid="{00000000-0005-0000-0000-0000C5270000}"/>
    <cellStyle name="Normal 3 2 2 2 2 6 4 4" xfId="11038" xr:uid="{00000000-0005-0000-0000-0000C6270000}"/>
    <cellStyle name="Normal 3 2 2 2 2 6 4 5" xfId="11039" xr:uid="{00000000-0005-0000-0000-0000C7270000}"/>
    <cellStyle name="Normal 3 2 2 2 2 6 4 6" xfId="11040" xr:uid="{00000000-0005-0000-0000-0000C8270000}"/>
    <cellStyle name="Normal 3 2 2 2 2 6 4 7" xfId="11041" xr:uid="{00000000-0005-0000-0000-0000C9270000}"/>
    <cellStyle name="Normal 3 2 2 2 2 6 4 8" xfId="11042" xr:uid="{00000000-0005-0000-0000-0000CA270000}"/>
    <cellStyle name="Normal 3 2 2 2 2 6 4 9" xfId="11043" xr:uid="{00000000-0005-0000-0000-0000CB270000}"/>
    <cellStyle name="Normal 3 2 2 2 2 6 5" xfId="11044" xr:uid="{00000000-0005-0000-0000-0000CC270000}"/>
    <cellStyle name="Normal 3 2 2 2 2 6 5 10" xfId="11045" xr:uid="{00000000-0005-0000-0000-0000CD270000}"/>
    <cellStyle name="Normal 3 2 2 2 2 6 5 11" xfId="11046" xr:uid="{00000000-0005-0000-0000-0000CE270000}"/>
    <cellStyle name="Normal 3 2 2 2 2 6 5 12" xfId="11047" xr:uid="{00000000-0005-0000-0000-0000CF270000}"/>
    <cellStyle name="Normal 3 2 2 2 2 6 5 13" xfId="11048" xr:uid="{00000000-0005-0000-0000-0000D0270000}"/>
    <cellStyle name="Normal 3 2 2 2 2 6 5 14" xfId="11049" xr:uid="{00000000-0005-0000-0000-0000D1270000}"/>
    <cellStyle name="Normal 3 2 2 2 2 6 5 15" xfId="11050" xr:uid="{00000000-0005-0000-0000-0000D2270000}"/>
    <cellStyle name="Normal 3 2 2 2 2 6 5 2" xfId="11051" xr:uid="{00000000-0005-0000-0000-0000D3270000}"/>
    <cellStyle name="Normal 3 2 2 2 2 6 5 3" xfId="11052" xr:uid="{00000000-0005-0000-0000-0000D4270000}"/>
    <cellStyle name="Normal 3 2 2 2 2 6 5 4" xfId="11053" xr:uid="{00000000-0005-0000-0000-0000D5270000}"/>
    <cellStyle name="Normal 3 2 2 2 2 6 5 5" xfId="11054" xr:uid="{00000000-0005-0000-0000-0000D6270000}"/>
    <cellStyle name="Normal 3 2 2 2 2 6 5 6" xfId="11055" xr:uid="{00000000-0005-0000-0000-0000D7270000}"/>
    <cellStyle name="Normal 3 2 2 2 2 6 5 7" xfId="11056" xr:uid="{00000000-0005-0000-0000-0000D8270000}"/>
    <cellStyle name="Normal 3 2 2 2 2 6 5 8" xfId="11057" xr:uid="{00000000-0005-0000-0000-0000D9270000}"/>
    <cellStyle name="Normal 3 2 2 2 2 6 5 9" xfId="11058" xr:uid="{00000000-0005-0000-0000-0000DA270000}"/>
    <cellStyle name="Normal 3 2 2 2 2 6 6" xfId="11059" xr:uid="{00000000-0005-0000-0000-0000DB270000}"/>
    <cellStyle name="Normal 3 2 2 2 2 6 7" xfId="11060" xr:uid="{00000000-0005-0000-0000-0000DC270000}"/>
    <cellStyle name="Normal 3 2 2 2 2 6 8" xfId="11061" xr:uid="{00000000-0005-0000-0000-0000DD270000}"/>
    <cellStyle name="Normal 3 2 2 2 2 6 9" xfId="11062" xr:uid="{00000000-0005-0000-0000-0000DE270000}"/>
    <cellStyle name="Normal 3 2 2 2 2 7" xfId="11063" xr:uid="{00000000-0005-0000-0000-0000DF270000}"/>
    <cellStyle name="Normal 3 2 2 2 2 7 10" xfId="11064" xr:uid="{00000000-0005-0000-0000-0000E0270000}"/>
    <cellStyle name="Normal 3 2 2 2 2 7 11" xfId="11065" xr:uid="{00000000-0005-0000-0000-0000E1270000}"/>
    <cellStyle name="Normal 3 2 2 2 2 7 12" xfId="11066" xr:uid="{00000000-0005-0000-0000-0000E2270000}"/>
    <cellStyle name="Normal 3 2 2 2 2 7 13" xfId="11067" xr:uid="{00000000-0005-0000-0000-0000E3270000}"/>
    <cellStyle name="Normal 3 2 2 2 2 7 14" xfId="11068" xr:uid="{00000000-0005-0000-0000-0000E4270000}"/>
    <cellStyle name="Normal 3 2 2 2 2 7 15" xfId="11069" xr:uid="{00000000-0005-0000-0000-0000E5270000}"/>
    <cellStyle name="Normal 3 2 2 2 2 7 16" xfId="11070" xr:uid="{00000000-0005-0000-0000-0000E6270000}"/>
    <cellStyle name="Normal 3 2 2 2 2 7 17" xfId="11071" xr:uid="{00000000-0005-0000-0000-0000E7270000}"/>
    <cellStyle name="Normal 3 2 2 2 2 7 18" xfId="11072" xr:uid="{00000000-0005-0000-0000-0000E8270000}"/>
    <cellStyle name="Normal 3 2 2 2 2 7 19" xfId="11073" xr:uid="{00000000-0005-0000-0000-0000E9270000}"/>
    <cellStyle name="Normal 3 2 2 2 2 7 2" xfId="11074" xr:uid="{00000000-0005-0000-0000-0000EA270000}"/>
    <cellStyle name="Normal 3 2 2 2 2 7 2 10" xfId="11075" xr:uid="{00000000-0005-0000-0000-0000EB270000}"/>
    <cellStyle name="Normal 3 2 2 2 2 7 2 11" xfId="11076" xr:uid="{00000000-0005-0000-0000-0000EC270000}"/>
    <cellStyle name="Normal 3 2 2 2 2 7 2 12" xfId="11077" xr:uid="{00000000-0005-0000-0000-0000ED270000}"/>
    <cellStyle name="Normal 3 2 2 2 2 7 2 13" xfId="11078" xr:uid="{00000000-0005-0000-0000-0000EE270000}"/>
    <cellStyle name="Normal 3 2 2 2 2 7 2 14" xfId="11079" xr:uid="{00000000-0005-0000-0000-0000EF270000}"/>
    <cellStyle name="Normal 3 2 2 2 2 7 2 15" xfId="11080" xr:uid="{00000000-0005-0000-0000-0000F0270000}"/>
    <cellStyle name="Normal 3 2 2 2 2 7 2 2" xfId="11081" xr:uid="{00000000-0005-0000-0000-0000F1270000}"/>
    <cellStyle name="Normal 3 2 2 2 2 7 2 3" xfId="11082" xr:uid="{00000000-0005-0000-0000-0000F2270000}"/>
    <cellStyle name="Normal 3 2 2 2 2 7 2 4" xfId="11083" xr:uid="{00000000-0005-0000-0000-0000F3270000}"/>
    <cellStyle name="Normal 3 2 2 2 2 7 2 5" xfId="11084" xr:uid="{00000000-0005-0000-0000-0000F4270000}"/>
    <cellStyle name="Normal 3 2 2 2 2 7 2 6" xfId="11085" xr:uid="{00000000-0005-0000-0000-0000F5270000}"/>
    <cellStyle name="Normal 3 2 2 2 2 7 2 7" xfId="11086" xr:uid="{00000000-0005-0000-0000-0000F6270000}"/>
    <cellStyle name="Normal 3 2 2 2 2 7 2 8" xfId="11087" xr:uid="{00000000-0005-0000-0000-0000F7270000}"/>
    <cellStyle name="Normal 3 2 2 2 2 7 2 9" xfId="11088" xr:uid="{00000000-0005-0000-0000-0000F8270000}"/>
    <cellStyle name="Normal 3 2 2 2 2 7 3" xfId="11089" xr:uid="{00000000-0005-0000-0000-0000F9270000}"/>
    <cellStyle name="Normal 3 2 2 2 2 7 3 10" xfId="11090" xr:uid="{00000000-0005-0000-0000-0000FA270000}"/>
    <cellStyle name="Normal 3 2 2 2 2 7 3 11" xfId="11091" xr:uid="{00000000-0005-0000-0000-0000FB270000}"/>
    <cellStyle name="Normal 3 2 2 2 2 7 3 12" xfId="11092" xr:uid="{00000000-0005-0000-0000-0000FC270000}"/>
    <cellStyle name="Normal 3 2 2 2 2 7 3 13" xfId="11093" xr:uid="{00000000-0005-0000-0000-0000FD270000}"/>
    <cellStyle name="Normal 3 2 2 2 2 7 3 14" xfId="11094" xr:uid="{00000000-0005-0000-0000-0000FE270000}"/>
    <cellStyle name="Normal 3 2 2 2 2 7 3 15" xfId="11095" xr:uid="{00000000-0005-0000-0000-0000FF270000}"/>
    <cellStyle name="Normal 3 2 2 2 2 7 3 2" xfId="11096" xr:uid="{00000000-0005-0000-0000-000000280000}"/>
    <cellStyle name="Normal 3 2 2 2 2 7 3 3" xfId="11097" xr:uid="{00000000-0005-0000-0000-000001280000}"/>
    <cellStyle name="Normal 3 2 2 2 2 7 3 4" xfId="11098" xr:uid="{00000000-0005-0000-0000-000002280000}"/>
    <cellStyle name="Normal 3 2 2 2 2 7 3 5" xfId="11099" xr:uid="{00000000-0005-0000-0000-000003280000}"/>
    <cellStyle name="Normal 3 2 2 2 2 7 3 6" xfId="11100" xr:uid="{00000000-0005-0000-0000-000004280000}"/>
    <cellStyle name="Normal 3 2 2 2 2 7 3 7" xfId="11101" xr:uid="{00000000-0005-0000-0000-000005280000}"/>
    <cellStyle name="Normal 3 2 2 2 2 7 3 8" xfId="11102" xr:uid="{00000000-0005-0000-0000-000006280000}"/>
    <cellStyle name="Normal 3 2 2 2 2 7 3 9" xfId="11103" xr:uid="{00000000-0005-0000-0000-000007280000}"/>
    <cellStyle name="Normal 3 2 2 2 2 7 4" xfId="11104" xr:uid="{00000000-0005-0000-0000-000008280000}"/>
    <cellStyle name="Normal 3 2 2 2 2 7 4 10" xfId="11105" xr:uid="{00000000-0005-0000-0000-000009280000}"/>
    <cellStyle name="Normal 3 2 2 2 2 7 4 11" xfId="11106" xr:uid="{00000000-0005-0000-0000-00000A280000}"/>
    <cellStyle name="Normal 3 2 2 2 2 7 4 12" xfId="11107" xr:uid="{00000000-0005-0000-0000-00000B280000}"/>
    <cellStyle name="Normal 3 2 2 2 2 7 4 13" xfId="11108" xr:uid="{00000000-0005-0000-0000-00000C280000}"/>
    <cellStyle name="Normal 3 2 2 2 2 7 4 14" xfId="11109" xr:uid="{00000000-0005-0000-0000-00000D280000}"/>
    <cellStyle name="Normal 3 2 2 2 2 7 4 15" xfId="11110" xr:uid="{00000000-0005-0000-0000-00000E280000}"/>
    <cellStyle name="Normal 3 2 2 2 2 7 4 2" xfId="11111" xr:uid="{00000000-0005-0000-0000-00000F280000}"/>
    <cellStyle name="Normal 3 2 2 2 2 7 4 3" xfId="11112" xr:uid="{00000000-0005-0000-0000-000010280000}"/>
    <cellStyle name="Normal 3 2 2 2 2 7 4 4" xfId="11113" xr:uid="{00000000-0005-0000-0000-000011280000}"/>
    <cellStyle name="Normal 3 2 2 2 2 7 4 5" xfId="11114" xr:uid="{00000000-0005-0000-0000-000012280000}"/>
    <cellStyle name="Normal 3 2 2 2 2 7 4 6" xfId="11115" xr:uid="{00000000-0005-0000-0000-000013280000}"/>
    <cellStyle name="Normal 3 2 2 2 2 7 4 7" xfId="11116" xr:uid="{00000000-0005-0000-0000-000014280000}"/>
    <cellStyle name="Normal 3 2 2 2 2 7 4 8" xfId="11117" xr:uid="{00000000-0005-0000-0000-000015280000}"/>
    <cellStyle name="Normal 3 2 2 2 2 7 4 9" xfId="11118" xr:uid="{00000000-0005-0000-0000-000016280000}"/>
    <cellStyle name="Normal 3 2 2 2 2 7 5" xfId="11119" xr:uid="{00000000-0005-0000-0000-000017280000}"/>
    <cellStyle name="Normal 3 2 2 2 2 7 5 10" xfId="11120" xr:uid="{00000000-0005-0000-0000-000018280000}"/>
    <cellStyle name="Normal 3 2 2 2 2 7 5 11" xfId="11121" xr:uid="{00000000-0005-0000-0000-000019280000}"/>
    <cellStyle name="Normal 3 2 2 2 2 7 5 12" xfId="11122" xr:uid="{00000000-0005-0000-0000-00001A280000}"/>
    <cellStyle name="Normal 3 2 2 2 2 7 5 13" xfId="11123" xr:uid="{00000000-0005-0000-0000-00001B280000}"/>
    <cellStyle name="Normal 3 2 2 2 2 7 5 14" xfId="11124" xr:uid="{00000000-0005-0000-0000-00001C280000}"/>
    <cellStyle name="Normal 3 2 2 2 2 7 5 15" xfId="11125" xr:uid="{00000000-0005-0000-0000-00001D280000}"/>
    <cellStyle name="Normal 3 2 2 2 2 7 5 2" xfId="11126" xr:uid="{00000000-0005-0000-0000-00001E280000}"/>
    <cellStyle name="Normal 3 2 2 2 2 7 5 3" xfId="11127" xr:uid="{00000000-0005-0000-0000-00001F280000}"/>
    <cellStyle name="Normal 3 2 2 2 2 7 5 4" xfId="11128" xr:uid="{00000000-0005-0000-0000-000020280000}"/>
    <cellStyle name="Normal 3 2 2 2 2 7 5 5" xfId="11129" xr:uid="{00000000-0005-0000-0000-000021280000}"/>
    <cellStyle name="Normal 3 2 2 2 2 7 5 6" xfId="11130" xr:uid="{00000000-0005-0000-0000-000022280000}"/>
    <cellStyle name="Normal 3 2 2 2 2 7 5 7" xfId="11131" xr:uid="{00000000-0005-0000-0000-000023280000}"/>
    <cellStyle name="Normal 3 2 2 2 2 7 5 8" xfId="11132" xr:uid="{00000000-0005-0000-0000-000024280000}"/>
    <cellStyle name="Normal 3 2 2 2 2 7 5 9" xfId="11133" xr:uid="{00000000-0005-0000-0000-000025280000}"/>
    <cellStyle name="Normal 3 2 2 2 2 7 6" xfId="11134" xr:uid="{00000000-0005-0000-0000-000026280000}"/>
    <cellStyle name="Normal 3 2 2 2 2 7 7" xfId="11135" xr:uid="{00000000-0005-0000-0000-000027280000}"/>
    <cellStyle name="Normal 3 2 2 2 2 7 8" xfId="11136" xr:uid="{00000000-0005-0000-0000-000028280000}"/>
    <cellStyle name="Normal 3 2 2 2 2 7 9" xfId="11137" xr:uid="{00000000-0005-0000-0000-000029280000}"/>
    <cellStyle name="Normal 3 2 2 2 2 8" xfId="11138" xr:uid="{00000000-0005-0000-0000-00002A280000}"/>
    <cellStyle name="Normal 3 2 2 2 2 8 10" xfId="11139" xr:uid="{00000000-0005-0000-0000-00002B280000}"/>
    <cellStyle name="Normal 3 2 2 2 2 8 11" xfId="11140" xr:uid="{00000000-0005-0000-0000-00002C280000}"/>
    <cellStyle name="Normal 3 2 2 2 2 8 12" xfId="11141" xr:uid="{00000000-0005-0000-0000-00002D280000}"/>
    <cellStyle name="Normal 3 2 2 2 2 8 13" xfId="11142" xr:uid="{00000000-0005-0000-0000-00002E280000}"/>
    <cellStyle name="Normal 3 2 2 2 2 8 14" xfId="11143" xr:uid="{00000000-0005-0000-0000-00002F280000}"/>
    <cellStyle name="Normal 3 2 2 2 2 8 15" xfId="11144" xr:uid="{00000000-0005-0000-0000-000030280000}"/>
    <cellStyle name="Normal 3 2 2 2 2 8 16" xfId="11145" xr:uid="{00000000-0005-0000-0000-000031280000}"/>
    <cellStyle name="Normal 3 2 2 2 2 8 17" xfId="11146" xr:uid="{00000000-0005-0000-0000-000032280000}"/>
    <cellStyle name="Normal 3 2 2 2 2 8 18" xfId="11147" xr:uid="{00000000-0005-0000-0000-000033280000}"/>
    <cellStyle name="Normal 3 2 2 2 2 8 19" xfId="11148" xr:uid="{00000000-0005-0000-0000-000034280000}"/>
    <cellStyle name="Normal 3 2 2 2 2 8 2" xfId="11149" xr:uid="{00000000-0005-0000-0000-000035280000}"/>
    <cellStyle name="Normal 3 2 2 2 2 8 2 10" xfId="11150" xr:uid="{00000000-0005-0000-0000-000036280000}"/>
    <cellStyle name="Normal 3 2 2 2 2 8 2 11" xfId="11151" xr:uid="{00000000-0005-0000-0000-000037280000}"/>
    <cellStyle name="Normal 3 2 2 2 2 8 2 12" xfId="11152" xr:uid="{00000000-0005-0000-0000-000038280000}"/>
    <cellStyle name="Normal 3 2 2 2 2 8 2 13" xfId="11153" xr:uid="{00000000-0005-0000-0000-000039280000}"/>
    <cellStyle name="Normal 3 2 2 2 2 8 2 14" xfId="11154" xr:uid="{00000000-0005-0000-0000-00003A280000}"/>
    <cellStyle name="Normal 3 2 2 2 2 8 2 15" xfId="11155" xr:uid="{00000000-0005-0000-0000-00003B280000}"/>
    <cellStyle name="Normal 3 2 2 2 2 8 2 2" xfId="11156" xr:uid="{00000000-0005-0000-0000-00003C280000}"/>
    <cellStyle name="Normal 3 2 2 2 2 8 2 3" xfId="11157" xr:uid="{00000000-0005-0000-0000-00003D280000}"/>
    <cellStyle name="Normal 3 2 2 2 2 8 2 4" xfId="11158" xr:uid="{00000000-0005-0000-0000-00003E280000}"/>
    <cellStyle name="Normal 3 2 2 2 2 8 2 5" xfId="11159" xr:uid="{00000000-0005-0000-0000-00003F280000}"/>
    <cellStyle name="Normal 3 2 2 2 2 8 2 6" xfId="11160" xr:uid="{00000000-0005-0000-0000-000040280000}"/>
    <cellStyle name="Normal 3 2 2 2 2 8 2 7" xfId="11161" xr:uid="{00000000-0005-0000-0000-000041280000}"/>
    <cellStyle name="Normal 3 2 2 2 2 8 2 8" xfId="11162" xr:uid="{00000000-0005-0000-0000-000042280000}"/>
    <cellStyle name="Normal 3 2 2 2 2 8 2 9" xfId="11163" xr:uid="{00000000-0005-0000-0000-000043280000}"/>
    <cellStyle name="Normal 3 2 2 2 2 8 3" xfId="11164" xr:uid="{00000000-0005-0000-0000-000044280000}"/>
    <cellStyle name="Normal 3 2 2 2 2 8 3 10" xfId="11165" xr:uid="{00000000-0005-0000-0000-000045280000}"/>
    <cellStyle name="Normal 3 2 2 2 2 8 3 11" xfId="11166" xr:uid="{00000000-0005-0000-0000-000046280000}"/>
    <cellStyle name="Normal 3 2 2 2 2 8 3 12" xfId="11167" xr:uid="{00000000-0005-0000-0000-000047280000}"/>
    <cellStyle name="Normal 3 2 2 2 2 8 3 13" xfId="11168" xr:uid="{00000000-0005-0000-0000-000048280000}"/>
    <cellStyle name="Normal 3 2 2 2 2 8 3 14" xfId="11169" xr:uid="{00000000-0005-0000-0000-000049280000}"/>
    <cellStyle name="Normal 3 2 2 2 2 8 3 15" xfId="11170" xr:uid="{00000000-0005-0000-0000-00004A280000}"/>
    <cellStyle name="Normal 3 2 2 2 2 8 3 2" xfId="11171" xr:uid="{00000000-0005-0000-0000-00004B280000}"/>
    <cellStyle name="Normal 3 2 2 2 2 8 3 3" xfId="11172" xr:uid="{00000000-0005-0000-0000-00004C280000}"/>
    <cellStyle name="Normal 3 2 2 2 2 8 3 4" xfId="11173" xr:uid="{00000000-0005-0000-0000-00004D280000}"/>
    <cellStyle name="Normal 3 2 2 2 2 8 3 5" xfId="11174" xr:uid="{00000000-0005-0000-0000-00004E280000}"/>
    <cellStyle name="Normal 3 2 2 2 2 8 3 6" xfId="11175" xr:uid="{00000000-0005-0000-0000-00004F280000}"/>
    <cellStyle name="Normal 3 2 2 2 2 8 3 7" xfId="11176" xr:uid="{00000000-0005-0000-0000-000050280000}"/>
    <cellStyle name="Normal 3 2 2 2 2 8 3 8" xfId="11177" xr:uid="{00000000-0005-0000-0000-000051280000}"/>
    <cellStyle name="Normal 3 2 2 2 2 8 3 9" xfId="11178" xr:uid="{00000000-0005-0000-0000-000052280000}"/>
    <cellStyle name="Normal 3 2 2 2 2 8 4" xfId="11179" xr:uid="{00000000-0005-0000-0000-000053280000}"/>
    <cellStyle name="Normal 3 2 2 2 2 8 4 10" xfId="11180" xr:uid="{00000000-0005-0000-0000-000054280000}"/>
    <cellStyle name="Normal 3 2 2 2 2 8 4 11" xfId="11181" xr:uid="{00000000-0005-0000-0000-000055280000}"/>
    <cellStyle name="Normal 3 2 2 2 2 8 4 12" xfId="11182" xr:uid="{00000000-0005-0000-0000-000056280000}"/>
    <cellStyle name="Normal 3 2 2 2 2 8 4 13" xfId="11183" xr:uid="{00000000-0005-0000-0000-000057280000}"/>
    <cellStyle name="Normal 3 2 2 2 2 8 4 14" xfId="11184" xr:uid="{00000000-0005-0000-0000-000058280000}"/>
    <cellStyle name="Normal 3 2 2 2 2 8 4 15" xfId="11185" xr:uid="{00000000-0005-0000-0000-000059280000}"/>
    <cellStyle name="Normal 3 2 2 2 2 8 4 2" xfId="11186" xr:uid="{00000000-0005-0000-0000-00005A280000}"/>
    <cellStyle name="Normal 3 2 2 2 2 8 4 3" xfId="11187" xr:uid="{00000000-0005-0000-0000-00005B280000}"/>
    <cellStyle name="Normal 3 2 2 2 2 8 4 4" xfId="11188" xr:uid="{00000000-0005-0000-0000-00005C280000}"/>
    <cellStyle name="Normal 3 2 2 2 2 8 4 5" xfId="11189" xr:uid="{00000000-0005-0000-0000-00005D280000}"/>
    <cellStyle name="Normal 3 2 2 2 2 8 4 6" xfId="11190" xr:uid="{00000000-0005-0000-0000-00005E280000}"/>
    <cellStyle name="Normal 3 2 2 2 2 8 4 7" xfId="11191" xr:uid="{00000000-0005-0000-0000-00005F280000}"/>
    <cellStyle name="Normal 3 2 2 2 2 8 4 8" xfId="11192" xr:uid="{00000000-0005-0000-0000-000060280000}"/>
    <cellStyle name="Normal 3 2 2 2 2 8 4 9" xfId="11193" xr:uid="{00000000-0005-0000-0000-000061280000}"/>
    <cellStyle name="Normal 3 2 2 2 2 8 5" xfId="11194" xr:uid="{00000000-0005-0000-0000-000062280000}"/>
    <cellStyle name="Normal 3 2 2 2 2 8 5 10" xfId="11195" xr:uid="{00000000-0005-0000-0000-000063280000}"/>
    <cellStyle name="Normal 3 2 2 2 2 8 5 11" xfId="11196" xr:uid="{00000000-0005-0000-0000-000064280000}"/>
    <cellStyle name="Normal 3 2 2 2 2 8 5 12" xfId="11197" xr:uid="{00000000-0005-0000-0000-000065280000}"/>
    <cellStyle name="Normal 3 2 2 2 2 8 5 13" xfId="11198" xr:uid="{00000000-0005-0000-0000-000066280000}"/>
    <cellStyle name="Normal 3 2 2 2 2 8 5 14" xfId="11199" xr:uid="{00000000-0005-0000-0000-000067280000}"/>
    <cellStyle name="Normal 3 2 2 2 2 8 5 15" xfId="11200" xr:uid="{00000000-0005-0000-0000-000068280000}"/>
    <cellStyle name="Normal 3 2 2 2 2 8 5 2" xfId="11201" xr:uid="{00000000-0005-0000-0000-000069280000}"/>
    <cellStyle name="Normal 3 2 2 2 2 8 5 3" xfId="11202" xr:uid="{00000000-0005-0000-0000-00006A280000}"/>
    <cellStyle name="Normal 3 2 2 2 2 8 5 4" xfId="11203" xr:uid="{00000000-0005-0000-0000-00006B280000}"/>
    <cellStyle name="Normal 3 2 2 2 2 8 5 5" xfId="11204" xr:uid="{00000000-0005-0000-0000-00006C280000}"/>
    <cellStyle name="Normal 3 2 2 2 2 8 5 6" xfId="11205" xr:uid="{00000000-0005-0000-0000-00006D280000}"/>
    <cellStyle name="Normal 3 2 2 2 2 8 5 7" xfId="11206" xr:uid="{00000000-0005-0000-0000-00006E280000}"/>
    <cellStyle name="Normal 3 2 2 2 2 8 5 8" xfId="11207" xr:uid="{00000000-0005-0000-0000-00006F280000}"/>
    <cellStyle name="Normal 3 2 2 2 2 8 5 9" xfId="11208" xr:uid="{00000000-0005-0000-0000-000070280000}"/>
    <cellStyle name="Normal 3 2 2 2 2 8 6" xfId="11209" xr:uid="{00000000-0005-0000-0000-000071280000}"/>
    <cellStyle name="Normal 3 2 2 2 2 8 7" xfId="11210" xr:uid="{00000000-0005-0000-0000-000072280000}"/>
    <cellStyle name="Normal 3 2 2 2 2 8 8" xfId="11211" xr:uid="{00000000-0005-0000-0000-000073280000}"/>
    <cellStyle name="Normal 3 2 2 2 2 8 9" xfId="11212" xr:uid="{00000000-0005-0000-0000-000074280000}"/>
    <cellStyle name="Normal 3 2 2 2 2 9" xfId="11213" xr:uid="{00000000-0005-0000-0000-000075280000}"/>
    <cellStyle name="Normal 3 2 2 2 20" xfId="11214" xr:uid="{00000000-0005-0000-0000-000076280000}"/>
    <cellStyle name="Normal 3 2 2 2 21" xfId="11215" xr:uid="{00000000-0005-0000-0000-000077280000}"/>
    <cellStyle name="Normal 3 2 2 2 22" xfId="11216" xr:uid="{00000000-0005-0000-0000-000078280000}"/>
    <cellStyle name="Normal 3 2 2 2 23" xfId="11217" xr:uid="{00000000-0005-0000-0000-000079280000}"/>
    <cellStyle name="Normal 3 2 2 2 24" xfId="11218" xr:uid="{00000000-0005-0000-0000-00007A280000}"/>
    <cellStyle name="Normal 3 2 2 2 25" xfId="11219" xr:uid="{00000000-0005-0000-0000-00007B280000}"/>
    <cellStyle name="Normal 3 2 2 2 26" xfId="11220" xr:uid="{00000000-0005-0000-0000-00007C280000}"/>
    <cellStyle name="Normal 3 2 2 2 27" xfId="10351" xr:uid="{00000000-0005-0000-0000-000017250000}"/>
    <cellStyle name="Normal 3 2 2 2 3" xfId="11221" xr:uid="{00000000-0005-0000-0000-00007D280000}"/>
    <cellStyle name="Normal 3 2 2 2 3 10" xfId="11222" xr:uid="{00000000-0005-0000-0000-00007E280000}"/>
    <cellStyle name="Normal 3 2 2 2 3 11" xfId="11223" xr:uid="{00000000-0005-0000-0000-00007F280000}"/>
    <cellStyle name="Normal 3 2 2 2 3 12" xfId="11224" xr:uid="{00000000-0005-0000-0000-000080280000}"/>
    <cellStyle name="Normal 3 2 2 2 3 13" xfId="11225" xr:uid="{00000000-0005-0000-0000-000081280000}"/>
    <cellStyle name="Normal 3 2 2 2 3 14" xfId="11226" xr:uid="{00000000-0005-0000-0000-000082280000}"/>
    <cellStyle name="Normal 3 2 2 2 3 15" xfId="11227" xr:uid="{00000000-0005-0000-0000-000083280000}"/>
    <cellStyle name="Normal 3 2 2 2 3 2" xfId="11228" xr:uid="{00000000-0005-0000-0000-000084280000}"/>
    <cellStyle name="Normal 3 2 2 2 3 3" xfId="11229" xr:uid="{00000000-0005-0000-0000-000085280000}"/>
    <cellStyle name="Normal 3 2 2 2 3 4" xfId="11230" xr:uid="{00000000-0005-0000-0000-000086280000}"/>
    <cellStyle name="Normal 3 2 2 2 3 5" xfId="11231" xr:uid="{00000000-0005-0000-0000-000087280000}"/>
    <cellStyle name="Normal 3 2 2 2 3 6" xfId="11232" xr:uid="{00000000-0005-0000-0000-000088280000}"/>
    <cellStyle name="Normal 3 2 2 2 3 7" xfId="11233" xr:uid="{00000000-0005-0000-0000-000089280000}"/>
    <cellStyle name="Normal 3 2 2 2 3 8" xfId="11234" xr:uid="{00000000-0005-0000-0000-00008A280000}"/>
    <cellStyle name="Normal 3 2 2 2 3 9" xfId="11235" xr:uid="{00000000-0005-0000-0000-00008B280000}"/>
    <cellStyle name="Normal 3 2 2 2 4" xfId="11236" xr:uid="{00000000-0005-0000-0000-00008C280000}"/>
    <cellStyle name="Normal 3 2 2 2 4 10" xfId="11237" xr:uid="{00000000-0005-0000-0000-00008D280000}"/>
    <cellStyle name="Normal 3 2 2 2 4 11" xfId="11238" xr:uid="{00000000-0005-0000-0000-00008E280000}"/>
    <cellStyle name="Normal 3 2 2 2 4 12" xfId="11239" xr:uid="{00000000-0005-0000-0000-00008F280000}"/>
    <cellStyle name="Normal 3 2 2 2 4 13" xfId="11240" xr:uid="{00000000-0005-0000-0000-000090280000}"/>
    <cellStyle name="Normal 3 2 2 2 4 14" xfId="11241" xr:uid="{00000000-0005-0000-0000-000091280000}"/>
    <cellStyle name="Normal 3 2 2 2 4 15" xfId="11242" xr:uid="{00000000-0005-0000-0000-000092280000}"/>
    <cellStyle name="Normal 3 2 2 2 4 2" xfId="11243" xr:uid="{00000000-0005-0000-0000-000093280000}"/>
    <cellStyle name="Normal 3 2 2 2 4 3" xfId="11244" xr:uid="{00000000-0005-0000-0000-000094280000}"/>
    <cellStyle name="Normal 3 2 2 2 4 4" xfId="11245" xr:uid="{00000000-0005-0000-0000-000095280000}"/>
    <cellStyle name="Normal 3 2 2 2 4 5" xfId="11246" xr:uid="{00000000-0005-0000-0000-000096280000}"/>
    <cellStyle name="Normal 3 2 2 2 4 6" xfId="11247" xr:uid="{00000000-0005-0000-0000-000097280000}"/>
    <cellStyle name="Normal 3 2 2 2 4 7" xfId="11248" xr:uid="{00000000-0005-0000-0000-000098280000}"/>
    <cellStyle name="Normal 3 2 2 2 4 8" xfId="11249" xr:uid="{00000000-0005-0000-0000-000099280000}"/>
    <cellStyle name="Normal 3 2 2 2 4 9" xfId="11250" xr:uid="{00000000-0005-0000-0000-00009A280000}"/>
    <cellStyle name="Normal 3 2 2 2 5" xfId="11251" xr:uid="{00000000-0005-0000-0000-00009B280000}"/>
    <cellStyle name="Normal 3 2 2 2 5 10" xfId="11252" xr:uid="{00000000-0005-0000-0000-00009C280000}"/>
    <cellStyle name="Normal 3 2 2 2 5 11" xfId="11253" xr:uid="{00000000-0005-0000-0000-00009D280000}"/>
    <cellStyle name="Normal 3 2 2 2 5 12" xfId="11254" xr:uid="{00000000-0005-0000-0000-00009E280000}"/>
    <cellStyle name="Normal 3 2 2 2 5 13" xfId="11255" xr:uid="{00000000-0005-0000-0000-00009F280000}"/>
    <cellStyle name="Normal 3 2 2 2 5 14" xfId="11256" xr:uid="{00000000-0005-0000-0000-0000A0280000}"/>
    <cellStyle name="Normal 3 2 2 2 5 15" xfId="11257" xr:uid="{00000000-0005-0000-0000-0000A1280000}"/>
    <cellStyle name="Normal 3 2 2 2 5 2" xfId="11258" xr:uid="{00000000-0005-0000-0000-0000A2280000}"/>
    <cellStyle name="Normal 3 2 2 2 5 3" xfId="11259" xr:uid="{00000000-0005-0000-0000-0000A3280000}"/>
    <cellStyle name="Normal 3 2 2 2 5 4" xfId="11260" xr:uid="{00000000-0005-0000-0000-0000A4280000}"/>
    <cellStyle name="Normal 3 2 2 2 5 5" xfId="11261" xr:uid="{00000000-0005-0000-0000-0000A5280000}"/>
    <cellStyle name="Normal 3 2 2 2 5 6" xfId="11262" xr:uid="{00000000-0005-0000-0000-0000A6280000}"/>
    <cellStyle name="Normal 3 2 2 2 5 7" xfId="11263" xr:uid="{00000000-0005-0000-0000-0000A7280000}"/>
    <cellStyle name="Normal 3 2 2 2 5 8" xfId="11264" xr:uid="{00000000-0005-0000-0000-0000A8280000}"/>
    <cellStyle name="Normal 3 2 2 2 5 9" xfId="11265" xr:uid="{00000000-0005-0000-0000-0000A9280000}"/>
    <cellStyle name="Normal 3 2 2 2 6" xfId="11266" xr:uid="{00000000-0005-0000-0000-0000AA280000}"/>
    <cellStyle name="Normal 3 2 2 2 6 10" xfId="11267" xr:uid="{00000000-0005-0000-0000-0000AB280000}"/>
    <cellStyle name="Normal 3 2 2 2 6 11" xfId="11268" xr:uid="{00000000-0005-0000-0000-0000AC280000}"/>
    <cellStyle name="Normal 3 2 2 2 6 12" xfId="11269" xr:uid="{00000000-0005-0000-0000-0000AD280000}"/>
    <cellStyle name="Normal 3 2 2 2 6 13" xfId="11270" xr:uid="{00000000-0005-0000-0000-0000AE280000}"/>
    <cellStyle name="Normal 3 2 2 2 6 14" xfId="11271" xr:uid="{00000000-0005-0000-0000-0000AF280000}"/>
    <cellStyle name="Normal 3 2 2 2 6 15" xfId="11272" xr:uid="{00000000-0005-0000-0000-0000B0280000}"/>
    <cellStyle name="Normal 3 2 2 2 6 2" xfId="11273" xr:uid="{00000000-0005-0000-0000-0000B1280000}"/>
    <cellStyle name="Normal 3 2 2 2 6 3" xfId="11274" xr:uid="{00000000-0005-0000-0000-0000B2280000}"/>
    <cellStyle name="Normal 3 2 2 2 6 4" xfId="11275" xr:uid="{00000000-0005-0000-0000-0000B3280000}"/>
    <cellStyle name="Normal 3 2 2 2 6 5" xfId="11276" xr:uid="{00000000-0005-0000-0000-0000B4280000}"/>
    <cellStyle name="Normal 3 2 2 2 6 6" xfId="11277" xr:uid="{00000000-0005-0000-0000-0000B5280000}"/>
    <cellStyle name="Normal 3 2 2 2 6 7" xfId="11278" xr:uid="{00000000-0005-0000-0000-0000B6280000}"/>
    <cellStyle name="Normal 3 2 2 2 6 8" xfId="11279" xr:uid="{00000000-0005-0000-0000-0000B7280000}"/>
    <cellStyle name="Normal 3 2 2 2 6 9" xfId="11280" xr:uid="{00000000-0005-0000-0000-0000B8280000}"/>
    <cellStyle name="Normal 3 2 2 2 7" xfId="11281" xr:uid="{00000000-0005-0000-0000-0000B9280000}"/>
    <cellStyle name="Normal 3 2 2 2 7 10" xfId="11282" xr:uid="{00000000-0005-0000-0000-0000BA280000}"/>
    <cellStyle name="Normal 3 2 2 2 7 11" xfId="11283" xr:uid="{00000000-0005-0000-0000-0000BB280000}"/>
    <cellStyle name="Normal 3 2 2 2 7 12" xfId="11284" xr:uid="{00000000-0005-0000-0000-0000BC280000}"/>
    <cellStyle name="Normal 3 2 2 2 7 13" xfId="11285" xr:uid="{00000000-0005-0000-0000-0000BD280000}"/>
    <cellStyle name="Normal 3 2 2 2 7 14" xfId="11286" xr:uid="{00000000-0005-0000-0000-0000BE280000}"/>
    <cellStyle name="Normal 3 2 2 2 7 15" xfId="11287" xr:uid="{00000000-0005-0000-0000-0000BF280000}"/>
    <cellStyle name="Normal 3 2 2 2 7 2" xfId="11288" xr:uid="{00000000-0005-0000-0000-0000C0280000}"/>
    <cellStyle name="Normal 3 2 2 2 7 3" xfId="11289" xr:uid="{00000000-0005-0000-0000-0000C1280000}"/>
    <cellStyle name="Normal 3 2 2 2 7 4" xfId="11290" xr:uid="{00000000-0005-0000-0000-0000C2280000}"/>
    <cellStyle name="Normal 3 2 2 2 7 5" xfId="11291" xr:uid="{00000000-0005-0000-0000-0000C3280000}"/>
    <cellStyle name="Normal 3 2 2 2 7 6" xfId="11292" xr:uid="{00000000-0005-0000-0000-0000C4280000}"/>
    <cellStyle name="Normal 3 2 2 2 7 7" xfId="11293" xr:uid="{00000000-0005-0000-0000-0000C5280000}"/>
    <cellStyle name="Normal 3 2 2 2 7 8" xfId="11294" xr:uid="{00000000-0005-0000-0000-0000C6280000}"/>
    <cellStyle name="Normal 3 2 2 2 7 9" xfId="11295" xr:uid="{00000000-0005-0000-0000-0000C7280000}"/>
    <cellStyle name="Normal 3 2 2 2 8" xfId="11296" xr:uid="{00000000-0005-0000-0000-0000C8280000}"/>
    <cellStyle name="Normal 3 2 2 2 8 10" xfId="11297" xr:uid="{00000000-0005-0000-0000-0000C9280000}"/>
    <cellStyle name="Normal 3 2 2 2 8 11" xfId="11298" xr:uid="{00000000-0005-0000-0000-0000CA280000}"/>
    <cellStyle name="Normal 3 2 2 2 8 12" xfId="11299" xr:uid="{00000000-0005-0000-0000-0000CB280000}"/>
    <cellStyle name="Normal 3 2 2 2 8 13" xfId="11300" xr:uid="{00000000-0005-0000-0000-0000CC280000}"/>
    <cellStyle name="Normal 3 2 2 2 8 14" xfId="11301" xr:uid="{00000000-0005-0000-0000-0000CD280000}"/>
    <cellStyle name="Normal 3 2 2 2 8 15" xfId="11302" xr:uid="{00000000-0005-0000-0000-0000CE280000}"/>
    <cellStyle name="Normal 3 2 2 2 8 2" xfId="11303" xr:uid="{00000000-0005-0000-0000-0000CF280000}"/>
    <cellStyle name="Normal 3 2 2 2 8 3" xfId="11304" xr:uid="{00000000-0005-0000-0000-0000D0280000}"/>
    <cellStyle name="Normal 3 2 2 2 8 4" xfId="11305" xr:uid="{00000000-0005-0000-0000-0000D1280000}"/>
    <cellStyle name="Normal 3 2 2 2 8 5" xfId="11306" xr:uid="{00000000-0005-0000-0000-0000D2280000}"/>
    <cellStyle name="Normal 3 2 2 2 8 6" xfId="11307" xr:uid="{00000000-0005-0000-0000-0000D3280000}"/>
    <cellStyle name="Normal 3 2 2 2 8 7" xfId="11308" xr:uid="{00000000-0005-0000-0000-0000D4280000}"/>
    <cellStyle name="Normal 3 2 2 2 8 8" xfId="11309" xr:uid="{00000000-0005-0000-0000-0000D5280000}"/>
    <cellStyle name="Normal 3 2 2 2 8 9" xfId="11310" xr:uid="{00000000-0005-0000-0000-0000D6280000}"/>
    <cellStyle name="Normal 3 2 2 2 9" xfId="11311" xr:uid="{00000000-0005-0000-0000-0000D7280000}"/>
    <cellStyle name="Normal 3 2 2 2 9 10" xfId="11312" xr:uid="{00000000-0005-0000-0000-0000D8280000}"/>
    <cellStyle name="Normal 3 2 2 2 9 11" xfId="11313" xr:uid="{00000000-0005-0000-0000-0000D9280000}"/>
    <cellStyle name="Normal 3 2 2 2 9 12" xfId="11314" xr:uid="{00000000-0005-0000-0000-0000DA280000}"/>
    <cellStyle name="Normal 3 2 2 2 9 13" xfId="11315" xr:uid="{00000000-0005-0000-0000-0000DB280000}"/>
    <cellStyle name="Normal 3 2 2 2 9 14" xfId="11316" xr:uid="{00000000-0005-0000-0000-0000DC280000}"/>
    <cellStyle name="Normal 3 2 2 2 9 15" xfId="11317" xr:uid="{00000000-0005-0000-0000-0000DD280000}"/>
    <cellStyle name="Normal 3 2 2 2 9 2" xfId="11318" xr:uid="{00000000-0005-0000-0000-0000DE280000}"/>
    <cellStyle name="Normal 3 2 2 2 9 3" xfId="11319" xr:uid="{00000000-0005-0000-0000-0000DF280000}"/>
    <cellStyle name="Normal 3 2 2 2 9 4" xfId="11320" xr:uid="{00000000-0005-0000-0000-0000E0280000}"/>
    <cellStyle name="Normal 3 2 2 2 9 5" xfId="11321" xr:uid="{00000000-0005-0000-0000-0000E1280000}"/>
    <cellStyle name="Normal 3 2 2 2 9 6" xfId="11322" xr:uid="{00000000-0005-0000-0000-0000E2280000}"/>
    <cellStyle name="Normal 3 2 2 2 9 7" xfId="11323" xr:uid="{00000000-0005-0000-0000-0000E3280000}"/>
    <cellStyle name="Normal 3 2 2 2 9 8" xfId="11324" xr:uid="{00000000-0005-0000-0000-0000E4280000}"/>
    <cellStyle name="Normal 3 2 2 2 9 9" xfId="11325" xr:uid="{00000000-0005-0000-0000-0000E5280000}"/>
    <cellStyle name="Normal 3 2 2 20" xfId="11326" xr:uid="{00000000-0005-0000-0000-0000E6280000}"/>
    <cellStyle name="Normal 3 2 2 21" xfId="11327" xr:uid="{00000000-0005-0000-0000-0000E7280000}"/>
    <cellStyle name="Normal 3 2 2 22" xfId="11328" xr:uid="{00000000-0005-0000-0000-0000E8280000}"/>
    <cellStyle name="Normal 3 2 2 23" xfId="11329" xr:uid="{00000000-0005-0000-0000-0000E9280000}"/>
    <cellStyle name="Normal 3 2 2 24" xfId="11330" xr:uid="{00000000-0005-0000-0000-0000EA280000}"/>
    <cellStyle name="Normal 3 2 2 25" xfId="11331" xr:uid="{00000000-0005-0000-0000-0000EB280000}"/>
    <cellStyle name="Normal 3 2 2 26" xfId="11332" xr:uid="{00000000-0005-0000-0000-0000EC280000}"/>
    <cellStyle name="Normal 3 2 2 27" xfId="11333" xr:uid="{00000000-0005-0000-0000-0000ED280000}"/>
    <cellStyle name="Normal 3 2 2 28" xfId="11334" xr:uid="{00000000-0005-0000-0000-0000EE280000}"/>
    <cellStyle name="Normal 3 2 2 29" xfId="11335" xr:uid="{00000000-0005-0000-0000-0000EF280000}"/>
    <cellStyle name="Normal 3 2 2 3" xfId="11336" xr:uid="{00000000-0005-0000-0000-0000F0280000}"/>
    <cellStyle name="Normal 3 2 2 3 10" xfId="11337" xr:uid="{00000000-0005-0000-0000-0000F1280000}"/>
    <cellStyle name="Normal 3 2 2 3 11" xfId="11338" xr:uid="{00000000-0005-0000-0000-0000F2280000}"/>
    <cellStyle name="Normal 3 2 2 3 12" xfId="11339" xr:uid="{00000000-0005-0000-0000-0000F3280000}"/>
    <cellStyle name="Normal 3 2 2 3 13" xfId="11340" xr:uid="{00000000-0005-0000-0000-0000F4280000}"/>
    <cellStyle name="Normal 3 2 2 3 14" xfId="11341" xr:uid="{00000000-0005-0000-0000-0000F5280000}"/>
    <cellStyle name="Normal 3 2 2 3 15" xfId="11342" xr:uid="{00000000-0005-0000-0000-0000F6280000}"/>
    <cellStyle name="Normal 3 2 2 3 16" xfId="11343" xr:uid="{00000000-0005-0000-0000-0000F7280000}"/>
    <cellStyle name="Normal 3 2 2 3 17" xfId="11344" xr:uid="{00000000-0005-0000-0000-0000F8280000}"/>
    <cellStyle name="Normal 3 2 2 3 18" xfId="11345" xr:uid="{00000000-0005-0000-0000-0000F9280000}"/>
    <cellStyle name="Normal 3 2 2 3 19" xfId="11346" xr:uid="{00000000-0005-0000-0000-0000FA280000}"/>
    <cellStyle name="Normal 3 2 2 3 2" xfId="11347" xr:uid="{00000000-0005-0000-0000-0000FB280000}"/>
    <cellStyle name="Normal 3 2 2 3 2 10" xfId="11348" xr:uid="{00000000-0005-0000-0000-0000FC280000}"/>
    <cellStyle name="Normal 3 2 2 3 2 11" xfId="11349" xr:uid="{00000000-0005-0000-0000-0000FD280000}"/>
    <cellStyle name="Normal 3 2 2 3 2 12" xfId="11350" xr:uid="{00000000-0005-0000-0000-0000FE280000}"/>
    <cellStyle name="Normal 3 2 2 3 2 13" xfId="11351" xr:uid="{00000000-0005-0000-0000-0000FF280000}"/>
    <cellStyle name="Normal 3 2 2 3 2 14" xfId="11352" xr:uid="{00000000-0005-0000-0000-000000290000}"/>
    <cellStyle name="Normal 3 2 2 3 2 15" xfId="11353" xr:uid="{00000000-0005-0000-0000-000001290000}"/>
    <cellStyle name="Normal 3 2 2 3 2 2" xfId="11354" xr:uid="{00000000-0005-0000-0000-000002290000}"/>
    <cellStyle name="Normal 3 2 2 3 2 3" xfId="11355" xr:uid="{00000000-0005-0000-0000-000003290000}"/>
    <cellStyle name="Normal 3 2 2 3 2 4" xfId="11356" xr:uid="{00000000-0005-0000-0000-000004290000}"/>
    <cellStyle name="Normal 3 2 2 3 2 5" xfId="11357" xr:uid="{00000000-0005-0000-0000-000005290000}"/>
    <cellStyle name="Normal 3 2 2 3 2 6" xfId="11358" xr:uid="{00000000-0005-0000-0000-000006290000}"/>
    <cellStyle name="Normal 3 2 2 3 2 7" xfId="11359" xr:uid="{00000000-0005-0000-0000-000007290000}"/>
    <cellStyle name="Normal 3 2 2 3 2 8" xfId="11360" xr:uid="{00000000-0005-0000-0000-000008290000}"/>
    <cellStyle name="Normal 3 2 2 3 2 9" xfId="11361" xr:uid="{00000000-0005-0000-0000-000009290000}"/>
    <cellStyle name="Normal 3 2 2 3 3" xfId="11362" xr:uid="{00000000-0005-0000-0000-00000A290000}"/>
    <cellStyle name="Normal 3 2 2 3 3 10" xfId="11363" xr:uid="{00000000-0005-0000-0000-00000B290000}"/>
    <cellStyle name="Normal 3 2 2 3 3 11" xfId="11364" xr:uid="{00000000-0005-0000-0000-00000C290000}"/>
    <cellStyle name="Normal 3 2 2 3 3 12" xfId="11365" xr:uid="{00000000-0005-0000-0000-00000D290000}"/>
    <cellStyle name="Normal 3 2 2 3 3 13" xfId="11366" xr:uid="{00000000-0005-0000-0000-00000E290000}"/>
    <cellStyle name="Normal 3 2 2 3 3 14" xfId="11367" xr:uid="{00000000-0005-0000-0000-00000F290000}"/>
    <cellStyle name="Normal 3 2 2 3 3 15" xfId="11368" xr:uid="{00000000-0005-0000-0000-000010290000}"/>
    <cellStyle name="Normal 3 2 2 3 3 2" xfId="11369" xr:uid="{00000000-0005-0000-0000-000011290000}"/>
    <cellStyle name="Normal 3 2 2 3 3 3" xfId="11370" xr:uid="{00000000-0005-0000-0000-000012290000}"/>
    <cellStyle name="Normal 3 2 2 3 3 4" xfId="11371" xr:uid="{00000000-0005-0000-0000-000013290000}"/>
    <cellStyle name="Normal 3 2 2 3 3 5" xfId="11372" xr:uid="{00000000-0005-0000-0000-000014290000}"/>
    <cellStyle name="Normal 3 2 2 3 3 6" xfId="11373" xr:uid="{00000000-0005-0000-0000-000015290000}"/>
    <cellStyle name="Normal 3 2 2 3 3 7" xfId="11374" xr:uid="{00000000-0005-0000-0000-000016290000}"/>
    <cellStyle name="Normal 3 2 2 3 3 8" xfId="11375" xr:uid="{00000000-0005-0000-0000-000017290000}"/>
    <cellStyle name="Normal 3 2 2 3 3 9" xfId="11376" xr:uid="{00000000-0005-0000-0000-000018290000}"/>
    <cellStyle name="Normal 3 2 2 3 4" xfId="11377" xr:uid="{00000000-0005-0000-0000-000019290000}"/>
    <cellStyle name="Normal 3 2 2 3 4 10" xfId="11378" xr:uid="{00000000-0005-0000-0000-00001A290000}"/>
    <cellStyle name="Normal 3 2 2 3 4 11" xfId="11379" xr:uid="{00000000-0005-0000-0000-00001B290000}"/>
    <cellStyle name="Normal 3 2 2 3 4 12" xfId="11380" xr:uid="{00000000-0005-0000-0000-00001C290000}"/>
    <cellStyle name="Normal 3 2 2 3 4 13" xfId="11381" xr:uid="{00000000-0005-0000-0000-00001D290000}"/>
    <cellStyle name="Normal 3 2 2 3 4 14" xfId="11382" xr:uid="{00000000-0005-0000-0000-00001E290000}"/>
    <cellStyle name="Normal 3 2 2 3 4 15" xfId="11383" xr:uid="{00000000-0005-0000-0000-00001F290000}"/>
    <cellStyle name="Normal 3 2 2 3 4 2" xfId="11384" xr:uid="{00000000-0005-0000-0000-000020290000}"/>
    <cellStyle name="Normal 3 2 2 3 4 3" xfId="11385" xr:uid="{00000000-0005-0000-0000-000021290000}"/>
    <cellStyle name="Normal 3 2 2 3 4 4" xfId="11386" xr:uid="{00000000-0005-0000-0000-000022290000}"/>
    <cellStyle name="Normal 3 2 2 3 4 5" xfId="11387" xr:uid="{00000000-0005-0000-0000-000023290000}"/>
    <cellStyle name="Normal 3 2 2 3 4 6" xfId="11388" xr:uid="{00000000-0005-0000-0000-000024290000}"/>
    <cellStyle name="Normal 3 2 2 3 4 7" xfId="11389" xr:uid="{00000000-0005-0000-0000-000025290000}"/>
    <cellStyle name="Normal 3 2 2 3 4 8" xfId="11390" xr:uid="{00000000-0005-0000-0000-000026290000}"/>
    <cellStyle name="Normal 3 2 2 3 4 9" xfId="11391" xr:uid="{00000000-0005-0000-0000-000027290000}"/>
    <cellStyle name="Normal 3 2 2 3 5" xfId="11392" xr:uid="{00000000-0005-0000-0000-000028290000}"/>
    <cellStyle name="Normal 3 2 2 3 5 10" xfId="11393" xr:uid="{00000000-0005-0000-0000-000029290000}"/>
    <cellStyle name="Normal 3 2 2 3 5 11" xfId="11394" xr:uid="{00000000-0005-0000-0000-00002A290000}"/>
    <cellStyle name="Normal 3 2 2 3 5 12" xfId="11395" xr:uid="{00000000-0005-0000-0000-00002B290000}"/>
    <cellStyle name="Normal 3 2 2 3 5 13" xfId="11396" xr:uid="{00000000-0005-0000-0000-00002C290000}"/>
    <cellStyle name="Normal 3 2 2 3 5 14" xfId="11397" xr:uid="{00000000-0005-0000-0000-00002D290000}"/>
    <cellStyle name="Normal 3 2 2 3 5 15" xfId="11398" xr:uid="{00000000-0005-0000-0000-00002E290000}"/>
    <cellStyle name="Normal 3 2 2 3 5 2" xfId="11399" xr:uid="{00000000-0005-0000-0000-00002F290000}"/>
    <cellStyle name="Normal 3 2 2 3 5 3" xfId="11400" xr:uid="{00000000-0005-0000-0000-000030290000}"/>
    <cellStyle name="Normal 3 2 2 3 5 4" xfId="11401" xr:uid="{00000000-0005-0000-0000-000031290000}"/>
    <cellStyle name="Normal 3 2 2 3 5 5" xfId="11402" xr:uid="{00000000-0005-0000-0000-000032290000}"/>
    <cellStyle name="Normal 3 2 2 3 5 6" xfId="11403" xr:uid="{00000000-0005-0000-0000-000033290000}"/>
    <cellStyle name="Normal 3 2 2 3 5 7" xfId="11404" xr:uid="{00000000-0005-0000-0000-000034290000}"/>
    <cellStyle name="Normal 3 2 2 3 5 8" xfId="11405" xr:uid="{00000000-0005-0000-0000-000035290000}"/>
    <cellStyle name="Normal 3 2 2 3 5 9" xfId="11406" xr:uid="{00000000-0005-0000-0000-000036290000}"/>
    <cellStyle name="Normal 3 2 2 3 6" xfId="11407" xr:uid="{00000000-0005-0000-0000-000037290000}"/>
    <cellStyle name="Normal 3 2 2 3 7" xfId="11408" xr:uid="{00000000-0005-0000-0000-000038290000}"/>
    <cellStyle name="Normal 3 2 2 3 8" xfId="11409" xr:uid="{00000000-0005-0000-0000-000039290000}"/>
    <cellStyle name="Normal 3 2 2 3 9" xfId="11410" xr:uid="{00000000-0005-0000-0000-00003A290000}"/>
    <cellStyle name="Normal 3 2 2 30" xfId="11411" xr:uid="{00000000-0005-0000-0000-00003B290000}"/>
    <cellStyle name="Normal 3 2 2 31" xfId="11412" xr:uid="{00000000-0005-0000-0000-00003C290000}"/>
    <cellStyle name="Normal 3 2 2 32" xfId="11413" xr:uid="{00000000-0005-0000-0000-00003D290000}"/>
    <cellStyle name="Normal 3 2 2 4" xfId="11414" xr:uid="{00000000-0005-0000-0000-00003E290000}"/>
    <cellStyle name="Normal 3 2 2 4 10" xfId="11415" xr:uid="{00000000-0005-0000-0000-00003F290000}"/>
    <cellStyle name="Normal 3 2 2 4 11" xfId="11416" xr:uid="{00000000-0005-0000-0000-000040290000}"/>
    <cellStyle name="Normal 3 2 2 4 12" xfId="11417" xr:uid="{00000000-0005-0000-0000-000041290000}"/>
    <cellStyle name="Normal 3 2 2 4 13" xfId="11418" xr:uid="{00000000-0005-0000-0000-000042290000}"/>
    <cellStyle name="Normal 3 2 2 4 14" xfId="11419" xr:uid="{00000000-0005-0000-0000-000043290000}"/>
    <cellStyle name="Normal 3 2 2 4 15" xfId="11420" xr:uid="{00000000-0005-0000-0000-000044290000}"/>
    <cellStyle name="Normal 3 2 2 4 16" xfId="11421" xr:uid="{00000000-0005-0000-0000-000045290000}"/>
    <cellStyle name="Normal 3 2 2 4 17" xfId="11422" xr:uid="{00000000-0005-0000-0000-000046290000}"/>
    <cellStyle name="Normal 3 2 2 4 18" xfId="11423" xr:uid="{00000000-0005-0000-0000-000047290000}"/>
    <cellStyle name="Normal 3 2 2 4 19" xfId="11424" xr:uid="{00000000-0005-0000-0000-000048290000}"/>
    <cellStyle name="Normal 3 2 2 4 2" xfId="11425" xr:uid="{00000000-0005-0000-0000-000049290000}"/>
    <cellStyle name="Normal 3 2 2 4 2 10" xfId="11426" xr:uid="{00000000-0005-0000-0000-00004A290000}"/>
    <cellStyle name="Normal 3 2 2 4 2 11" xfId="11427" xr:uid="{00000000-0005-0000-0000-00004B290000}"/>
    <cellStyle name="Normal 3 2 2 4 2 12" xfId="11428" xr:uid="{00000000-0005-0000-0000-00004C290000}"/>
    <cellStyle name="Normal 3 2 2 4 2 13" xfId="11429" xr:uid="{00000000-0005-0000-0000-00004D290000}"/>
    <cellStyle name="Normal 3 2 2 4 2 14" xfId="11430" xr:uid="{00000000-0005-0000-0000-00004E290000}"/>
    <cellStyle name="Normal 3 2 2 4 2 15" xfId="11431" xr:uid="{00000000-0005-0000-0000-00004F290000}"/>
    <cellStyle name="Normal 3 2 2 4 2 2" xfId="11432" xr:uid="{00000000-0005-0000-0000-000050290000}"/>
    <cellStyle name="Normal 3 2 2 4 2 3" xfId="11433" xr:uid="{00000000-0005-0000-0000-000051290000}"/>
    <cellStyle name="Normal 3 2 2 4 2 4" xfId="11434" xr:uid="{00000000-0005-0000-0000-000052290000}"/>
    <cellStyle name="Normal 3 2 2 4 2 5" xfId="11435" xr:uid="{00000000-0005-0000-0000-000053290000}"/>
    <cellStyle name="Normal 3 2 2 4 2 6" xfId="11436" xr:uid="{00000000-0005-0000-0000-000054290000}"/>
    <cellStyle name="Normal 3 2 2 4 2 7" xfId="11437" xr:uid="{00000000-0005-0000-0000-000055290000}"/>
    <cellStyle name="Normal 3 2 2 4 2 8" xfId="11438" xr:uid="{00000000-0005-0000-0000-000056290000}"/>
    <cellStyle name="Normal 3 2 2 4 2 9" xfId="11439" xr:uid="{00000000-0005-0000-0000-000057290000}"/>
    <cellStyle name="Normal 3 2 2 4 3" xfId="11440" xr:uid="{00000000-0005-0000-0000-000058290000}"/>
    <cellStyle name="Normal 3 2 2 4 3 10" xfId="11441" xr:uid="{00000000-0005-0000-0000-000059290000}"/>
    <cellStyle name="Normal 3 2 2 4 3 11" xfId="11442" xr:uid="{00000000-0005-0000-0000-00005A290000}"/>
    <cellStyle name="Normal 3 2 2 4 3 12" xfId="11443" xr:uid="{00000000-0005-0000-0000-00005B290000}"/>
    <cellStyle name="Normal 3 2 2 4 3 13" xfId="11444" xr:uid="{00000000-0005-0000-0000-00005C290000}"/>
    <cellStyle name="Normal 3 2 2 4 3 14" xfId="11445" xr:uid="{00000000-0005-0000-0000-00005D290000}"/>
    <cellStyle name="Normal 3 2 2 4 3 15" xfId="11446" xr:uid="{00000000-0005-0000-0000-00005E290000}"/>
    <cellStyle name="Normal 3 2 2 4 3 2" xfId="11447" xr:uid="{00000000-0005-0000-0000-00005F290000}"/>
    <cellStyle name="Normal 3 2 2 4 3 3" xfId="11448" xr:uid="{00000000-0005-0000-0000-000060290000}"/>
    <cellStyle name="Normal 3 2 2 4 3 4" xfId="11449" xr:uid="{00000000-0005-0000-0000-000061290000}"/>
    <cellStyle name="Normal 3 2 2 4 3 5" xfId="11450" xr:uid="{00000000-0005-0000-0000-000062290000}"/>
    <cellStyle name="Normal 3 2 2 4 3 6" xfId="11451" xr:uid="{00000000-0005-0000-0000-000063290000}"/>
    <cellStyle name="Normal 3 2 2 4 3 7" xfId="11452" xr:uid="{00000000-0005-0000-0000-000064290000}"/>
    <cellStyle name="Normal 3 2 2 4 3 8" xfId="11453" xr:uid="{00000000-0005-0000-0000-000065290000}"/>
    <cellStyle name="Normal 3 2 2 4 3 9" xfId="11454" xr:uid="{00000000-0005-0000-0000-000066290000}"/>
    <cellStyle name="Normal 3 2 2 4 4" xfId="11455" xr:uid="{00000000-0005-0000-0000-000067290000}"/>
    <cellStyle name="Normal 3 2 2 4 4 10" xfId="11456" xr:uid="{00000000-0005-0000-0000-000068290000}"/>
    <cellStyle name="Normal 3 2 2 4 4 11" xfId="11457" xr:uid="{00000000-0005-0000-0000-000069290000}"/>
    <cellStyle name="Normal 3 2 2 4 4 12" xfId="11458" xr:uid="{00000000-0005-0000-0000-00006A290000}"/>
    <cellStyle name="Normal 3 2 2 4 4 13" xfId="11459" xr:uid="{00000000-0005-0000-0000-00006B290000}"/>
    <cellStyle name="Normal 3 2 2 4 4 14" xfId="11460" xr:uid="{00000000-0005-0000-0000-00006C290000}"/>
    <cellStyle name="Normal 3 2 2 4 4 15" xfId="11461" xr:uid="{00000000-0005-0000-0000-00006D290000}"/>
    <cellStyle name="Normal 3 2 2 4 4 2" xfId="11462" xr:uid="{00000000-0005-0000-0000-00006E290000}"/>
    <cellStyle name="Normal 3 2 2 4 4 3" xfId="11463" xr:uid="{00000000-0005-0000-0000-00006F290000}"/>
    <cellStyle name="Normal 3 2 2 4 4 4" xfId="11464" xr:uid="{00000000-0005-0000-0000-000070290000}"/>
    <cellStyle name="Normal 3 2 2 4 4 5" xfId="11465" xr:uid="{00000000-0005-0000-0000-000071290000}"/>
    <cellStyle name="Normal 3 2 2 4 4 6" xfId="11466" xr:uid="{00000000-0005-0000-0000-000072290000}"/>
    <cellStyle name="Normal 3 2 2 4 4 7" xfId="11467" xr:uid="{00000000-0005-0000-0000-000073290000}"/>
    <cellStyle name="Normal 3 2 2 4 4 8" xfId="11468" xr:uid="{00000000-0005-0000-0000-000074290000}"/>
    <cellStyle name="Normal 3 2 2 4 4 9" xfId="11469" xr:uid="{00000000-0005-0000-0000-000075290000}"/>
    <cellStyle name="Normal 3 2 2 4 5" xfId="11470" xr:uid="{00000000-0005-0000-0000-000076290000}"/>
    <cellStyle name="Normal 3 2 2 4 5 10" xfId="11471" xr:uid="{00000000-0005-0000-0000-000077290000}"/>
    <cellStyle name="Normal 3 2 2 4 5 11" xfId="11472" xr:uid="{00000000-0005-0000-0000-000078290000}"/>
    <cellStyle name="Normal 3 2 2 4 5 12" xfId="11473" xr:uid="{00000000-0005-0000-0000-000079290000}"/>
    <cellStyle name="Normal 3 2 2 4 5 13" xfId="11474" xr:uid="{00000000-0005-0000-0000-00007A290000}"/>
    <cellStyle name="Normal 3 2 2 4 5 14" xfId="11475" xr:uid="{00000000-0005-0000-0000-00007B290000}"/>
    <cellStyle name="Normal 3 2 2 4 5 15" xfId="11476" xr:uid="{00000000-0005-0000-0000-00007C290000}"/>
    <cellStyle name="Normal 3 2 2 4 5 2" xfId="11477" xr:uid="{00000000-0005-0000-0000-00007D290000}"/>
    <cellStyle name="Normal 3 2 2 4 5 3" xfId="11478" xr:uid="{00000000-0005-0000-0000-00007E290000}"/>
    <cellStyle name="Normal 3 2 2 4 5 4" xfId="11479" xr:uid="{00000000-0005-0000-0000-00007F290000}"/>
    <cellStyle name="Normal 3 2 2 4 5 5" xfId="11480" xr:uid="{00000000-0005-0000-0000-000080290000}"/>
    <cellStyle name="Normal 3 2 2 4 5 6" xfId="11481" xr:uid="{00000000-0005-0000-0000-000081290000}"/>
    <cellStyle name="Normal 3 2 2 4 5 7" xfId="11482" xr:uid="{00000000-0005-0000-0000-000082290000}"/>
    <cellStyle name="Normal 3 2 2 4 5 8" xfId="11483" xr:uid="{00000000-0005-0000-0000-000083290000}"/>
    <cellStyle name="Normal 3 2 2 4 5 9" xfId="11484" xr:uid="{00000000-0005-0000-0000-000084290000}"/>
    <cellStyle name="Normal 3 2 2 4 6" xfId="11485" xr:uid="{00000000-0005-0000-0000-000085290000}"/>
    <cellStyle name="Normal 3 2 2 4 7" xfId="11486" xr:uid="{00000000-0005-0000-0000-000086290000}"/>
    <cellStyle name="Normal 3 2 2 4 8" xfId="11487" xr:uid="{00000000-0005-0000-0000-000087290000}"/>
    <cellStyle name="Normal 3 2 2 4 9" xfId="11488" xr:uid="{00000000-0005-0000-0000-000088290000}"/>
    <cellStyle name="Normal 3 2 2 5" xfId="11489" xr:uid="{00000000-0005-0000-0000-000089290000}"/>
    <cellStyle name="Normal 3 2 2 5 10" xfId="11490" xr:uid="{00000000-0005-0000-0000-00008A290000}"/>
    <cellStyle name="Normal 3 2 2 5 11" xfId="11491" xr:uid="{00000000-0005-0000-0000-00008B290000}"/>
    <cellStyle name="Normal 3 2 2 5 12" xfId="11492" xr:uid="{00000000-0005-0000-0000-00008C290000}"/>
    <cellStyle name="Normal 3 2 2 5 13" xfId="11493" xr:uid="{00000000-0005-0000-0000-00008D290000}"/>
    <cellStyle name="Normal 3 2 2 5 14" xfId="11494" xr:uid="{00000000-0005-0000-0000-00008E290000}"/>
    <cellStyle name="Normal 3 2 2 5 15" xfId="11495" xr:uid="{00000000-0005-0000-0000-00008F290000}"/>
    <cellStyle name="Normal 3 2 2 5 16" xfId="11496" xr:uid="{00000000-0005-0000-0000-000090290000}"/>
    <cellStyle name="Normal 3 2 2 5 17" xfId="11497" xr:uid="{00000000-0005-0000-0000-000091290000}"/>
    <cellStyle name="Normal 3 2 2 5 18" xfId="11498" xr:uid="{00000000-0005-0000-0000-000092290000}"/>
    <cellStyle name="Normal 3 2 2 5 19" xfId="11499" xr:uid="{00000000-0005-0000-0000-000093290000}"/>
    <cellStyle name="Normal 3 2 2 5 2" xfId="11500" xr:uid="{00000000-0005-0000-0000-000094290000}"/>
    <cellStyle name="Normal 3 2 2 5 2 10" xfId="11501" xr:uid="{00000000-0005-0000-0000-000095290000}"/>
    <cellStyle name="Normal 3 2 2 5 2 11" xfId="11502" xr:uid="{00000000-0005-0000-0000-000096290000}"/>
    <cellStyle name="Normal 3 2 2 5 2 12" xfId="11503" xr:uid="{00000000-0005-0000-0000-000097290000}"/>
    <cellStyle name="Normal 3 2 2 5 2 13" xfId="11504" xr:uid="{00000000-0005-0000-0000-000098290000}"/>
    <cellStyle name="Normal 3 2 2 5 2 14" xfId="11505" xr:uid="{00000000-0005-0000-0000-000099290000}"/>
    <cellStyle name="Normal 3 2 2 5 2 15" xfId="11506" xr:uid="{00000000-0005-0000-0000-00009A290000}"/>
    <cellStyle name="Normal 3 2 2 5 2 2" xfId="11507" xr:uid="{00000000-0005-0000-0000-00009B290000}"/>
    <cellStyle name="Normal 3 2 2 5 2 3" xfId="11508" xr:uid="{00000000-0005-0000-0000-00009C290000}"/>
    <cellStyle name="Normal 3 2 2 5 2 4" xfId="11509" xr:uid="{00000000-0005-0000-0000-00009D290000}"/>
    <cellStyle name="Normal 3 2 2 5 2 5" xfId="11510" xr:uid="{00000000-0005-0000-0000-00009E290000}"/>
    <cellStyle name="Normal 3 2 2 5 2 6" xfId="11511" xr:uid="{00000000-0005-0000-0000-00009F290000}"/>
    <cellStyle name="Normal 3 2 2 5 2 7" xfId="11512" xr:uid="{00000000-0005-0000-0000-0000A0290000}"/>
    <cellStyle name="Normal 3 2 2 5 2 8" xfId="11513" xr:uid="{00000000-0005-0000-0000-0000A1290000}"/>
    <cellStyle name="Normal 3 2 2 5 2 9" xfId="11514" xr:uid="{00000000-0005-0000-0000-0000A2290000}"/>
    <cellStyle name="Normal 3 2 2 5 3" xfId="11515" xr:uid="{00000000-0005-0000-0000-0000A3290000}"/>
    <cellStyle name="Normal 3 2 2 5 3 10" xfId="11516" xr:uid="{00000000-0005-0000-0000-0000A4290000}"/>
    <cellStyle name="Normal 3 2 2 5 3 11" xfId="11517" xr:uid="{00000000-0005-0000-0000-0000A5290000}"/>
    <cellStyle name="Normal 3 2 2 5 3 12" xfId="11518" xr:uid="{00000000-0005-0000-0000-0000A6290000}"/>
    <cellStyle name="Normal 3 2 2 5 3 13" xfId="11519" xr:uid="{00000000-0005-0000-0000-0000A7290000}"/>
    <cellStyle name="Normal 3 2 2 5 3 14" xfId="11520" xr:uid="{00000000-0005-0000-0000-0000A8290000}"/>
    <cellStyle name="Normal 3 2 2 5 3 15" xfId="11521" xr:uid="{00000000-0005-0000-0000-0000A9290000}"/>
    <cellStyle name="Normal 3 2 2 5 3 2" xfId="11522" xr:uid="{00000000-0005-0000-0000-0000AA290000}"/>
    <cellStyle name="Normal 3 2 2 5 3 3" xfId="11523" xr:uid="{00000000-0005-0000-0000-0000AB290000}"/>
    <cellStyle name="Normal 3 2 2 5 3 4" xfId="11524" xr:uid="{00000000-0005-0000-0000-0000AC290000}"/>
    <cellStyle name="Normal 3 2 2 5 3 5" xfId="11525" xr:uid="{00000000-0005-0000-0000-0000AD290000}"/>
    <cellStyle name="Normal 3 2 2 5 3 6" xfId="11526" xr:uid="{00000000-0005-0000-0000-0000AE290000}"/>
    <cellStyle name="Normal 3 2 2 5 3 7" xfId="11527" xr:uid="{00000000-0005-0000-0000-0000AF290000}"/>
    <cellStyle name="Normal 3 2 2 5 3 8" xfId="11528" xr:uid="{00000000-0005-0000-0000-0000B0290000}"/>
    <cellStyle name="Normal 3 2 2 5 3 9" xfId="11529" xr:uid="{00000000-0005-0000-0000-0000B1290000}"/>
    <cellStyle name="Normal 3 2 2 5 4" xfId="11530" xr:uid="{00000000-0005-0000-0000-0000B2290000}"/>
    <cellStyle name="Normal 3 2 2 5 4 10" xfId="11531" xr:uid="{00000000-0005-0000-0000-0000B3290000}"/>
    <cellStyle name="Normal 3 2 2 5 4 11" xfId="11532" xr:uid="{00000000-0005-0000-0000-0000B4290000}"/>
    <cellStyle name="Normal 3 2 2 5 4 12" xfId="11533" xr:uid="{00000000-0005-0000-0000-0000B5290000}"/>
    <cellStyle name="Normal 3 2 2 5 4 13" xfId="11534" xr:uid="{00000000-0005-0000-0000-0000B6290000}"/>
    <cellStyle name="Normal 3 2 2 5 4 14" xfId="11535" xr:uid="{00000000-0005-0000-0000-0000B7290000}"/>
    <cellStyle name="Normal 3 2 2 5 4 15" xfId="11536" xr:uid="{00000000-0005-0000-0000-0000B8290000}"/>
    <cellStyle name="Normal 3 2 2 5 4 2" xfId="11537" xr:uid="{00000000-0005-0000-0000-0000B9290000}"/>
    <cellStyle name="Normal 3 2 2 5 4 3" xfId="11538" xr:uid="{00000000-0005-0000-0000-0000BA290000}"/>
    <cellStyle name="Normal 3 2 2 5 4 4" xfId="11539" xr:uid="{00000000-0005-0000-0000-0000BB290000}"/>
    <cellStyle name="Normal 3 2 2 5 4 5" xfId="11540" xr:uid="{00000000-0005-0000-0000-0000BC290000}"/>
    <cellStyle name="Normal 3 2 2 5 4 6" xfId="11541" xr:uid="{00000000-0005-0000-0000-0000BD290000}"/>
    <cellStyle name="Normal 3 2 2 5 4 7" xfId="11542" xr:uid="{00000000-0005-0000-0000-0000BE290000}"/>
    <cellStyle name="Normal 3 2 2 5 4 8" xfId="11543" xr:uid="{00000000-0005-0000-0000-0000BF290000}"/>
    <cellStyle name="Normal 3 2 2 5 4 9" xfId="11544" xr:uid="{00000000-0005-0000-0000-0000C0290000}"/>
    <cellStyle name="Normal 3 2 2 5 5" xfId="11545" xr:uid="{00000000-0005-0000-0000-0000C1290000}"/>
    <cellStyle name="Normal 3 2 2 5 5 10" xfId="11546" xr:uid="{00000000-0005-0000-0000-0000C2290000}"/>
    <cellStyle name="Normal 3 2 2 5 5 11" xfId="11547" xr:uid="{00000000-0005-0000-0000-0000C3290000}"/>
    <cellStyle name="Normal 3 2 2 5 5 12" xfId="11548" xr:uid="{00000000-0005-0000-0000-0000C4290000}"/>
    <cellStyle name="Normal 3 2 2 5 5 13" xfId="11549" xr:uid="{00000000-0005-0000-0000-0000C5290000}"/>
    <cellStyle name="Normal 3 2 2 5 5 14" xfId="11550" xr:uid="{00000000-0005-0000-0000-0000C6290000}"/>
    <cellStyle name="Normal 3 2 2 5 5 15" xfId="11551" xr:uid="{00000000-0005-0000-0000-0000C7290000}"/>
    <cellStyle name="Normal 3 2 2 5 5 2" xfId="11552" xr:uid="{00000000-0005-0000-0000-0000C8290000}"/>
    <cellStyle name="Normal 3 2 2 5 5 3" xfId="11553" xr:uid="{00000000-0005-0000-0000-0000C9290000}"/>
    <cellStyle name="Normal 3 2 2 5 5 4" xfId="11554" xr:uid="{00000000-0005-0000-0000-0000CA290000}"/>
    <cellStyle name="Normal 3 2 2 5 5 5" xfId="11555" xr:uid="{00000000-0005-0000-0000-0000CB290000}"/>
    <cellStyle name="Normal 3 2 2 5 5 6" xfId="11556" xr:uid="{00000000-0005-0000-0000-0000CC290000}"/>
    <cellStyle name="Normal 3 2 2 5 5 7" xfId="11557" xr:uid="{00000000-0005-0000-0000-0000CD290000}"/>
    <cellStyle name="Normal 3 2 2 5 5 8" xfId="11558" xr:uid="{00000000-0005-0000-0000-0000CE290000}"/>
    <cellStyle name="Normal 3 2 2 5 5 9" xfId="11559" xr:uid="{00000000-0005-0000-0000-0000CF290000}"/>
    <cellStyle name="Normal 3 2 2 5 6" xfId="11560" xr:uid="{00000000-0005-0000-0000-0000D0290000}"/>
    <cellStyle name="Normal 3 2 2 5 7" xfId="11561" xr:uid="{00000000-0005-0000-0000-0000D1290000}"/>
    <cellStyle name="Normal 3 2 2 5 8" xfId="11562" xr:uid="{00000000-0005-0000-0000-0000D2290000}"/>
    <cellStyle name="Normal 3 2 2 5 9" xfId="11563" xr:uid="{00000000-0005-0000-0000-0000D3290000}"/>
    <cellStyle name="Normal 3 2 2 6" xfId="11564" xr:uid="{00000000-0005-0000-0000-0000D4290000}"/>
    <cellStyle name="Normal 3 2 2 6 10" xfId="11565" xr:uid="{00000000-0005-0000-0000-0000D5290000}"/>
    <cellStyle name="Normal 3 2 2 6 11" xfId="11566" xr:uid="{00000000-0005-0000-0000-0000D6290000}"/>
    <cellStyle name="Normal 3 2 2 6 12" xfId="11567" xr:uid="{00000000-0005-0000-0000-0000D7290000}"/>
    <cellStyle name="Normal 3 2 2 6 13" xfId="11568" xr:uid="{00000000-0005-0000-0000-0000D8290000}"/>
    <cellStyle name="Normal 3 2 2 6 14" xfId="11569" xr:uid="{00000000-0005-0000-0000-0000D9290000}"/>
    <cellStyle name="Normal 3 2 2 6 15" xfId="11570" xr:uid="{00000000-0005-0000-0000-0000DA290000}"/>
    <cellStyle name="Normal 3 2 2 6 16" xfId="11571" xr:uid="{00000000-0005-0000-0000-0000DB290000}"/>
    <cellStyle name="Normal 3 2 2 6 17" xfId="11572" xr:uid="{00000000-0005-0000-0000-0000DC290000}"/>
    <cellStyle name="Normal 3 2 2 6 18" xfId="11573" xr:uid="{00000000-0005-0000-0000-0000DD290000}"/>
    <cellStyle name="Normal 3 2 2 6 19" xfId="11574" xr:uid="{00000000-0005-0000-0000-0000DE290000}"/>
    <cellStyle name="Normal 3 2 2 6 2" xfId="11575" xr:uid="{00000000-0005-0000-0000-0000DF290000}"/>
    <cellStyle name="Normal 3 2 2 6 2 10" xfId="11576" xr:uid="{00000000-0005-0000-0000-0000E0290000}"/>
    <cellStyle name="Normal 3 2 2 6 2 11" xfId="11577" xr:uid="{00000000-0005-0000-0000-0000E1290000}"/>
    <cellStyle name="Normal 3 2 2 6 2 12" xfId="11578" xr:uid="{00000000-0005-0000-0000-0000E2290000}"/>
    <cellStyle name="Normal 3 2 2 6 2 13" xfId="11579" xr:uid="{00000000-0005-0000-0000-0000E3290000}"/>
    <cellStyle name="Normal 3 2 2 6 2 14" xfId="11580" xr:uid="{00000000-0005-0000-0000-0000E4290000}"/>
    <cellStyle name="Normal 3 2 2 6 2 15" xfId="11581" xr:uid="{00000000-0005-0000-0000-0000E5290000}"/>
    <cellStyle name="Normal 3 2 2 6 2 2" xfId="11582" xr:uid="{00000000-0005-0000-0000-0000E6290000}"/>
    <cellStyle name="Normal 3 2 2 6 2 3" xfId="11583" xr:uid="{00000000-0005-0000-0000-0000E7290000}"/>
    <cellStyle name="Normal 3 2 2 6 2 4" xfId="11584" xr:uid="{00000000-0005-0000-0000-0000E8290000}"/>
    <cellStyle name="Normal 3 2 2 6 2 5" xfId="11585" xr:uid="{00000000-0005-0000-0000-0000E9290000}"/>
    <cellStyle name="Normal 3 2 2 6 2 6" xfId="11586" xr:uid="{00000000-0005-0000-0000-0000EA290000}"/>
    <cellStyle name="Normal 3 2 2 6 2 7" xfId="11587" xr:uid="{00000000-0005-0000-0000-0000EB290000}"/>
    <cellStyle name="Normal 3 2 2 6 2 8" xfId="11588" xr:uid="{00000000-0005-0000-0000-0000EC290000}"/>
    <cellStyle name="Normal 3 2 2 6 2 9" xfId="11589" xr:uid="{00000000-0005-0000-0000-0000ED290000}"/>
    <cellStyle name="Normal 3 2 2 6 3" xfId="11590" xr:uid="{00000000-0005-0000-0000-0000EE290000}"/>
    <cellStyle name="Normal 3 2 2 6 3 10" xfId="11591" xr:uid="{00000000-0005-0000-0000-0000EF290000}"/>
    <cellStyle name="Normal 3 2 2 6 3 11" xfId="11592" xr:uid="{00000000-0005-0000-0000-0000F0290000}"/>
    <cellStyle name="Normal 3 2 2 6 3 12" xfId="11593" xr:uid="{00000000-0005-0000-0000-0000F1290000}"/>
    <cellStyle name="Normal 3 2 2 6 3 13" xfId="11594" xr:uid="{00000000-0005-0000-0000-0000F2290000}"/>
    <cellStyle name="Normal 3 2 2 6 3 14" xfId="11595" xr:uid="{00000000-0005-0000-0000-0000F3290000}"/>
    <cellStyle name="Normal 3 2 2 6 3 15" xfId="11596" xr:uid="{00000000-0005-0000-0000-0000F4290000}"/>
    <cellStyle name="Normal 3 2 2 6 3 2" xfId="11597" xr:uid="{00000000-0005-0000-0000-0000F5290000}"/>
    <cellStyle name="Normal 3 2 2 6 3 3" xfId="11598" xr:uid="{00000000-0005-0000-0000-0000F6290000}"/>
    <cellStyle name="Normal 3 2 2 6 3 4" xfId="11599" xr:uid="{00000000-0005-0000-0000-0000F7290000}"/>
    <cellStyle name="Normal 3 2 2 6 3 5" xfId="11600" xr:uid="{00000000-0005-0000-0000-0000F8290000}"/>
    <cellStyle name="Normal 3 2 2 6 3 6" xfId="11601" xr:uid="{00000000-0005-0000-0000-0000F9290000}"/>
    <cellStyle name="Normal 3 2 2 6 3 7" xfId="11602" xr:uid="{00000000-0005-0000-0000-0000FA290000}"/>
    <cellStyle name="Normal 3 2 2 6 3 8" xfId="11603" xr:uid="{00000000-0005-0000-0000-0000FB290000}"/>
    <cellStyle name="Normal 3 2 2 6 3 9" xfId="11604" xr:uid="{00000000-0005-0000-0000-0000FC290000}"/>
    <cellStyle name="Normal 3 2 2 6 4" xfId="11605" xr:uid="{00000000-0005-0000-0000-0000FD290000}"/>
    <cellStyle name="Normal 3 2 2 6 4 10" xfId="11606" xr:uid="{00000000-0005-0000-0000-0000FE290000}"/>
    <cellStyle name="Normal 3 2 2 6 4 11" xfId="11607" xr:uid="{00000000-0005-0000-0000-0000FF290000}"/>
    <cellStyle name="Normal 3 2 2 6 4 12" xfId="11608" xr:uid="{00000000-0005-0000-0000-0000002A0000}"/>
    <cellStyle name="Normal 3 2 2 6 4 13" xfId="11609" xr:uid="{00000000-0005-0000-0000-0000012A0000}"/>
    <cellStyle name="Normal 3 2 2 6 4 14" xfId="11610" xr:uid="{00000000-0005-0000-0000-0000022A0000}"/>
    <cellStyle name="Normal 3 2 2 6 4 15" xfId="11611" xr:uid="{00000000-0005-0000-0000-0000032A0000}"/>
    <cellStyle name="Normal 3 2 2 6 4 2" xfId="11612" xr:uid="{00000000-0005-0000-0000-0000042A0000}"/>
    <cellStyle name="Normal 3 2 2 6 4 3" xfId="11613" xr:uid="{00000000-0005-0000-0000-0000052A0000}"/>
    <cellStyle name="Normal 3 2 2 6 4 4" xfId="11614" xr:uid="{00000000-0005-0000-0000-0000062A0000}"/>
    <cellStyle name="Normal 3 2 2 6 4 5" xfId="11615" xr:uid="{00000000-0005-0000-0000-0000072A0000}"/>
    <cellStyle name="Normal 3 2 2 6 4 6" xfId="11616" xr:uid="{00000000-0005-0000-0000-0000082A0000}"/>
    <cellStyle name="Normal 3 2 2 6 4 7" xfId="11617" xr:uid="{00000000-0005-0000-0000-0000092A0000}"/>
    <cellStyle name="Normal 3 2 2 6 4 8" xfId="11618" xr:uid="{00000000-0005-0000-0000-00000A2A0000}"/>
    <cellStyle name="Normal 3 2 2 6 4 9" xfId="11619" xr:uid="{00000000-0005-0000-0000-00000B2A0000}"/>
    <cellStyle name="Normal 3 2 2 6 5" xfId="11620" xr:uid="{00000000-0005-0000-0000-00000C2A0000}"/>
    <cellStyle name="Normal 3 2 2 6 5 10" xfId="11621" xr:uid="{00000000-0005-0000-0000-00000D2A0000}"/>
    <cellStyle name="Normal 3 2 2 6 5 11" xfId="11622" xr:uid="{00000000-0005-0000-0000-00000E2A0000}"/>
    <cellStyle name="Normal 3 2 2 6 5 12" xfId="11623" xr:uid="{00000000-0005-0000-0000-00000F2A0000}"/>
    <cellStyle name="Normal 3 2 2 6 5 13" xfId="11624" xr:uid="{00000000-0005-0000-0000-0000102A0000}"/>
    <cellStyle name="Normal 3 2 2 6 5 14" xfId="11625" xr:uid="{00000000-0005-0000-0000-0000112A0000}"/>
    <cellStyle name="Normal 3 2 2 6 5 15" xfId="11626" xr:uid="{00000000-0005-0000-0000-0000122A0000}"/>
    <cellStyle name="Normal 3 2 2 6 5 2" xfId="11627" xr:uid="{00000000-0005-0000-0000-0000132A0000}"/>
    <cellStyle name="Normal 3 2 2 6 5 3" xfId="11628" xr:uid="{00000000-0005-0000-0000-0000142A0000}"/>
    <cellStyle name="Normal 3 2 2 6 5 4" xfId="11629" xr:uid="{00000000-0005-0000-0000-0000152A0000}"/>
    <cellStyle name="Normal 3 2 2 6 5 5" xfId="11630" xr:uid="{00000000-0005-0000-0000-0000162A0000}"/>
    <cellStyle name="Normal 3 2 2 6 5 6" xfId="11631" xr:uid="{00000000-0005-0000-0000-0000172A0000}"/>
    <cellStyle name="Normal 3 2 2 6 5 7" xfId="11632" xr:uid="{00000000-0005-0000-0000-0000182A0000}"/>
    <cellStyle name="Normal 3 2 2 6 5 8" xfId="11633" xr:uid="{00000000-0005-0000-0000-0000192A0000}"/>
    <cellStyle name="Normal 3 2 2 6 5 9" xfId="11634" xr:uid="{00000000-0005-0000-0000-00001A2A0000}"/>
    <cellStyle name="Normal 3 2 2 6 6" xfId="11635" xr:uid="{00000000-0005-0000-0000-00001B2A0000}"/>
    <cellStyle name="Normal 3 2 2 6 7" xfId="11636" xr:uid="{00000000-0005-0000-0000-00001C2A0000}"/>
    <cellStyle name="Normal 3 2 2 6 8" xfId="11637" xr:uid="{00000000-0005-0000-0000-00001D2A0000}"/>
    <cellStyle name="Normal 3 2 2 6 9" xfId="11638" xr:uid="{00000000-0005-0000-0000-00001E2A0000}"/>
    <cellStyle name="Normal 3 2 2 7" xfId="11639" xr:uid="{00000000-0005-0000-0000-00001F2A0000}"/>
    <cellStyle name="Normal 3 2 2 7 10" xfId="11640" xr:uid="{00000000-0005-0000-0000-0000202A0000}"/>
    <cellStyle name="Normal 3 2 2 7 11" xfId="11641" xr:uid="{00000000-0005-0000-0000-0000212A0000}"/>
    <cellStyle name="Normal 3 2 2 7 12" xfId="11642" xr:uid="{00000000-0005-0000-0000-0000222A0000}"/>
    <cellStyle name="Normal 3 2 2 7 13" xfId="11643" xr:uid="{00000000-0005-0000-0000-0000232A0000}"/>
    <cellStyle name="Normal 3 2 2 7 14" xfId="11644" xr:uid="{00000000-0005-0000-0000-0000242A0000}"/>
    <cellStyle name="Normal 3 2 2 7 15" xfId="11645" xr:uid="{00000000-0005-0000-0000-0000252A0000}"/>
    <cellStyle name="Normal 3 2 2 7 16" xfId="11646" xr:uid="{00000000-0005-0000-0000-0000262A0000}"/>
    <cellStyle name="Normal 3 2 2 7 17" xfId="11647" xr:uid="{00000000-0005-0000-0000-0000272A0000}"/>
    <cellStyle name="Normal 3 2 2 7 18" xfId="11648" xr:uid="{00000000-0005-0000-0000-0000282A0000}"/>
    <cellStyle name="Normal 3 2 2 7 19" xfId="11649" xr:uid="{00000000-0005-0000-0000-0000292A0000}"/>
    <cellStyle name="Normal 3 2 2 7 2" xfId="11650" xr:uid="{00000000-0005-0000-0000-00002A2A0000}"/>
    <cellStyle name="Normal 3 2 2 7 2 10" xfId="11651" xr:uid="{00000000-0005-0000-0000-00002B2A0000}"/>
    <cellStyle name="Normal 3 2 2 7 2 11" xfId="11652" xr:uid="{00000000-0005-0000-0000-00002C2A0000}"/>
    <cellStyle name="Normal 3 2 2 7 2 12" xfId="11653" xr:uid="{00000000-0005-0000-0000-00002D2A0000}"/>
    <cellStyle name="Normal 3 2 2 7 2 13" xfId="11654" xr:uid="{00000000-0005-0000-0000-00002E2A0000}"/>
    <cellStyle name="Normal 3 2 2 7 2 14" xfId="11655" xr:uid="{00000000-0005-0000-0000-00002F2A0000}"/>
    <cellStyle name="Normal 3 2 2 7 2 15" xfId="11656" xr:uid="{00000000-0005-0000-0000-0000302A0000}"/>
    <cellStyle name="Normal 3 2 2 7 2 2" xfId="11657" xr:uid="{00000000-0005-0000-0000-0000312A0000}"/>
    <cellStyle name="Normal 3 2 2 7 2 3" xfId="11658" xr:uid="{00000000-0005-0000-0000-0000322A0000}"/>
    <cellStyle name="Normal 3 2 2 7 2 4" xfId="11659" xr:uid="{00000000-0005-0000-0000-0000332A0000}"/>
    <cellStyle name="Normal 3 2 2 7 2 5" xfId="11660" xr:uid="{00000000-0005-0000-0000-0000342A0000}"/>
    <cellStyle name="Normal 3 2 2 7 2 6" xfId="11661" xr:uid="{00000000-0005-0000-0000-0000352A0000}"/>
    <cellStyle name="Normal 3 2 2 7 2 7" xfId="11662" xr:uid="{00000000-0005-0000-0000-0000362A0000}"/>
    <cellStyle name="Normal 3 2 2 7 2 8" xfId="11663" xr:uid="{00000000-0005-0000-0000-0000372A0000}"/>
    <cellStyle name="Normal 3 2 2 7 2 9" xfId="11664" xr:uid="{00000000-0005-0000-0000-0000382A0000}"/>
    <cellStyle name="Normal 3 2 2 7 3" xfId="11665" xr:uid="{00000000-0005-0000-0000-0000392A0000}"/>
    <cellStyle name="Normal 3 2 2 7 3 10" xfId="11666" xr:uid="{00000000-0005-0000-0000-00003A2A0000}"/>
    <cellStyle name="Normal 3 2 2 7 3 11" xfId="11667" xr:uid="{00000000-0005-0000-0000-00003B2A0000}"/>
    <cellStyle name="Normal 3 2 2 7 3 12" xfId="11668" xr:uid="{00000000-0005-0000-0000-00003C2A0000}"/>
    <cellStyle name="Normal 3 2 2 7 3 13" xfId="11669" xr:uid="{00000000-0005-0000-0000-00003D2A0000}"/>
    <cellStyle name="Normal 3 2 2 7 3 14" xfId="11670" xr:uid="{00000000-0005-0000-0000-00003E2A0000}"/>
    <cellStyle name="Normal 3 2 2 7 3 15" xfId="11671" xr:uid="{00000000-0005-0000-0000-00003F2A0000}"/>
    <cellStyle name="Normal 3 2 2 7 3 2" xfId="11672" xr:uid="{00000000-0005-0000-0000-0000402A0000}"/>
    <cellStyle name="Normal 3 2 2 7 3 3" xfId="11673" xr:uid="{00000000-0005-0000-0000-0000412A0000}"/>
    <cellStyle name="Normal 3 2 2 7 3 4" xfId="11674" xr:uid="{00000000-0005-0000-0000-0000422A0000}"/>
    <cellStyle name="Normal 3 2 2 7 3 5" xfId="11675" xr:uid="{00000000-0005-0000-0000-0000432A0000}"/>
    <cellStyle name="Normal 3 2 2 7 3 6" xfId="11676" xr:uid="{00000000-0005-0000-0000-0000442A0000}"/>
    <cellStyle name="Normal 3 2 2 7 3 7" xfId="11677" xr:uid="{00000000-0005-0000-0000-0000452A0000}"/>
    <cellStyle name="Normal 3 2 2 7 3 8" xfId="11678" xr:uid="{00000000-0005-0000-0000-0000462A0000}"/>
    <cellStyle name="Normal 3 2 2 7 3 9" xfId="11679" xr:uid="{00000000-0005-0000-0000-0000472A0000}"/>
    <cellStyle name="Normal 3 2 2 7 4" xfId="11680" xr:uid="{00000000-0005-0000-0000-0000482A0000}"/>
    <cellStyle name="Normal 3 2 2 7 4 10" xfId="11681" xr:uid="{00000000-0005-0000-0000-0000492A0000}"/>
    <cellStyle name="Normal 3 2 2 7 4 11" xfId="11682" xr:uid="{00000000-0005-0000-0000-00004A2A0000}"/>
    <cellStyle name="Normal 3 2 2 7 4 12" xfId="11683" xr:uid="{00000000-0005-0000-0000-00004B2A0000}"/>
    <cellStyle name="Normal 3 2 2 7 4 13" xfId="11684" xr:uid="{00000000-0005-0000-0000-00004C2A0000}"/>
    <cellStyle name="Normal 3 2 2 7 4 14" xfId="11685" xr:uid="{00000000-0005-0000-0000-00004D2A0000}"/>
    <cellStyle name="Normal 3 2 2 7 4 15" xfId="11686" xr:uid="{00000000-0005-0000-0000-00004E2A0000}"/>
    <cellStyle name="Normal 3 2 2 7 4 2" xfId="11687" xr:uid="{00000000-0005-0000-0000-00004F2A0000}"/>
    <cellStyle name="Normal 3 2 2 7 4 3" xfId="11688" xr:uid="{00000000-0005-0000-0000-0000502A0000}"/>
    <cellStyle name="Normal 3 2 2 7 4 4" xfId="11689" xr:uid="{00000000-0005-0000-0000-0000512A0000}"/>
    <cellStyle name="Normal 3 2 2 7 4 5" xfId="11690" xr:uid="{00000000-0005-0000-0000-0000522A0000}"/>
    <cellStyle name="Normal 3 2 2 7 4 6" xfId="11691" xr:uid="{00000000-0005-0000-0000-0000532A0000}"/>
    <cellStyle name="Normal 3 2 2 7 4 7" xfId="11692" xr:uid="{00000000-0005-0000-0000-0000542A0000}"/>
    <cellStyle name="Normal 3 2 2 7 4 8" xfId="11693" xr:uid="{00000000-0005-0000-0000-0000552A0000}"/>
    <cellStyle name="Normal 3 2 2 7 4 9" xfId="11694" xr:uid="{00000000-0005-0000-0000-0000562A0000}"/>
    <cellStyle name="Normal 3 2 2 7 5" xfId="11695" xr:uid="{00000000-0005-0000-0000-0000572A0000}"/>
    <cellStyle name="Normal 3 2 2 7 5 10" xfId="11696" xr:uid="{00000000-0005-0000-0000-0000582A0000}"/>
    <cellStyle name="Normal 3 2 2 7 5 11" xfId="11697" xr:uid="{00000000-0005-0000-0000-0000592A0000}"/>
    <cellStyle name="Normal 3 2 2 7 5 12" xfId="11698" xr:uid="{00000000-0005-0000-0000-00005A2A0000}"/>
    <cellStyle name="Normal 3 2 2 7 5 13" xfId="11699" xr:uid="{00000000-0005-0000-0000-00005B2A0000}"/>
    <cellStyle name="Normal 3 2 2 7 5 14" xfId="11700" xr:uid="{00000000-0005-0000-0000-00005C2A0000}"/>
    <cellStyle name="Normal 3 2 2 7 5 15" xfId="11701" xr:uid="{00000000-0005-0000-0000-00005D2A0000}"/>
    <cellStyle name="Normal 3 2 2 7 5 2" xfId="11702" xr:uid="{00000000-0005-0000-0000-00005E2A0000}"/>
    <cellStyle name="Normal 3 2 2 7 5 3" xfId="11703" xr:uid="{00000000-0005-0000-0000-00005F2A0000}"/>
    <cellStyle name="Normal 3 2 2 7 5 4" xfId="11704" xr:uid="{00000000-0005-0000-0000-0000602A0000}"/>
    <cellStyle name="Normal 3 2 2 7 5 5" xfId="11705" xr:uid="{00000000-0005-0000-0000-0000612A0000}"/>
    <cellStyle name="Normal 3 2 2 7 5 6" xfId="11706" xr:uid="{00000000-0005-0000-0000-0000622A0000}"/>
    <cellStyle name="Normal 3 2 2 7 5 7" xfId="11707" xr:uid="{00000000-0005-0000-0000-0000632A0000}"/>
    <cellStyle name="Normal 3 2 2 7 5 8" xfId="11708" xr:uid="{00000000-0005-0000-0000-0000642A0000}"/>
    <cellStyle name="Normal 3 2 2 7 5 9" xfId="11709" xr:uid="{00000000-0005-0000-0000-0000652A0000}"/>
    <cellStyle name="Normal 3 2 2 7 6" xfId="11710" xr:uid="{00000000-0005-0000-0000-0000662A0000}"/>
    <cellStyle name="Normal 3 2 2 7 7" xfId="11711" xr:uid="{00000000-0005-0000-0000-0000672A0000}"/>
    <cellStyle name="Normal 3 2 2 7 8" xfId="11712" xr:uid="{00000000-0005-0000-0000-0000682A0000}"/>
    <cellStyle name="Normal 3 2 2 7 9" xfId="11713" xr:uid="{00000000-0005-0000-0000-0000692A0000}"/>
    <cellStyle name="Normal 3 2 2 8" xfId="11714" xr:uid="{00000000-0005-0000-0000-00006A2A0000}"/>
    <cellStyle name="Normal 3 2 2 8 10" xfId="11715" xr:uid="{00000000-0005-0000-0000-00006B2A0000}"/>
    <cellStyle name="Normal 3 2 2 8 11" xfId="11716" xr:uid="{00000000-0005-0000-0000-00006C2A0000}"/>
    <cellStyle name="Normal 3 2 2 8 12" xfId="11717" xr:uid="{00000000-0005-0000-0000-00006D2A0000}"/>
    <cellStyle name="Normal 3 2 2 8 13" xfId="11718" xr:uid="{00000000-0005-0000-0000-00006E2A0000}"/>
    <cellStyle name="Normal 3 2 2 8 14" xfId="11719" xr:uid="{00000000-0005-0000-0000-00006F2A0000}"/>
    <cellStyle name="Normal 3 2 2 8 15" xfId="11720" xr:uid="{00000000-0005-0000-0000-0000702A0000}"/>
    <cellStyle name="Normal 3 2 2 8 16" xfId="11721" xr:uid="{00000000-0005-0000-0000-0000712A0000}"/>
    <cellStyle name="Normal 3 2 2 8 17" xfId="11722" xr:uid="{00000000-0005-0000-0000-0000722A0000}"/>
    <cellStyle name="Normal 3 2 2 8 18" xfId="11723" xr:uid="{00000000-0005-0000-0000-0000732A0000}"/>
    <cellStyle name="Normal 3 2 2 8 19" xfId="11724" xr:uid="{00000000-0005-0000-0000-0000742A0000}"/>
    <cellStyle name="Normal 3 2 2 8 2" xfId="11725" xr:uid="{00000000-0005-0000-0000-0000752A0000}"/>
    <cellStyle name="Normal 3 2 2 8 2 10" xfId="11726" xr:uid="{00000000-0005-0000-0000-0000762A0000}"/>
    <cellStyle name="Normal 3 2 2 8 2 11" xfId="11727" xr:uid="{00000000-0005-0000-0000-0000772A0000}"/>
    <cellStyle name="Normal 3 2 2 8 2 12" xfId="11728" xr:uid="{00000000-0005-0000-0000-0000782A0000}"/>
    <cellStyle name="Normal 3 2 2 8 2 13" xfId="11729" xr:uid="{00000000-0005-0000-0000-0000792A0000}"/>
    <cellStyle name="Normal 3 2 2 8 2 14" xfId="11730" xr:uid="{00000000-0005-0000-0000-00007A2A0000}"/>
    <cellStyle name="Normal 3 2 2 8 2 15" xfId="11731" xr:uid="{00000000-0005-0000-0000-00007B2A0000}"/>
    <cellStyle name="Normal 3 2 2 8 2 2" xfId="11732" xr:uid="{00000000-0005-0000-0000-00007C2A0000}"/>
    <cellStyle name="Normal 3 2 2 8 2 3" xfId="11733" xr:uid="{00000000-0005-0000-0000-00007D2A0000}"/>
    <cellStyle name="Normal 3 2 2 8 2 4" xfId="11734" xr:uid="{00000000-0005-0000-0000-00007E2A0000}"/>
    <cellStyle name="Normal 3 2 2 8 2 5" xfId="11735" xr:uid="{00000000-0005-0000-0000-00007F2A0000}"/>
    <cellStyle name="Normal 3 2 2 8 2 6" xfId="11736" xr:uid="{00000000-0005-0000-0000-0000802A0000}"/>
    <cellStyle name="Normal 3 2 2 8 2 7" xfId="11737" xr:uid="{00000000-0005-0000-0000-0000812A0000}"/>
    <cellStyle name="Normal 3 2 2 8 2 8" xfId="11738" xr:uid="{00000000-0005-0000-0000-0000822A0000}"/>
    <cellStyle name="Normal 3 2 2 8 2 9" xfId="11739" xr:uid="{00000000-0005-0000-0000-0000832A0000}"/>
    <cellStyle name="Normal 3 2 2 8 3" xfId="11740" xr:uid="{00000000-0005-0000-0000-0000842A0000}"/>
    <cellStyle name="Normal 3 2 2 8 3 10" xfId="11741" xr:uid="{00000000-0005-0000-0000-0000852A0000}"/>
    <cellStyle name="Normal 3 2 2 8 3 11" xfId="11742" xr:uid="{00000000-0005-0000-0000-0000862A0000}"/>
    <cellStyle name="Normal 3 2 2 8 3 12" xfId="11743" xr:uid="{00000000-0005-0000-0000-0000872A0000}"/>
    <cellStyle name="Normal 3 2 2 8 3 13" xfId="11744" xr:uid="{00000000-0005-0000-0000-0000882A0000}"/>
    <cellStyle name="Normal 3 2 2 8 3 14" xfId="11745" xr:uid="{00000000-0005-0000-0000-0000892A0000}"/>
    <cellStyle name="Normal 3 2 2 8 3 15" xfId="11746" xr:uid="{00000000-0005-0000-0000-00008A2A0000}"/>
    <cellStyle name="Normal 3 2 2 8 3 2" xfId="11747" xr:uid="{00000000-0005-0000-0000-00008B2A0000}"/>
    <cellStyle name="Normal 3 2 2 8 3 3" xfId="11748" xr:uid="{00000000-0005-0000-0000-00008C2A0000}"/>
    <cellStyle name="Normal 3 2 2 8 3 4" xfId="11749" xr:uid="{00000000-0005-0000-0000-00008D2A0000}"/>
    <cellStyle name="Normal 3 2 2 8 3 5" xfId="11750" xr:uid="{00000000-0005-0000-0000-00008E2A0000}"/>
    <cellStyle name="Normal 3 2 2 8 3 6" xfId="11751" xr:uid="{00000000-0005-0000-0000-00008F2A0000}"/>
    <cellStyle name="Normal 3 2 2 8 3 7" xfId="11752" xr:uid="{00000000-0005-0000-0000-0000902A0000}"/>
    <cellStyle name="Normal 3 2 2 8 3 8" xfId="11753" xr:uid="{00000000-0005-0000-0000-0000912A0000}"/>
    <cellStyle name="Normal 3 2 2 8 3 9" xfId="11754" xr:uid="{00000000-0005-0000-0000-0000922A0000}"/>
    <cellStyle name="Normal 3 2 2 8 4" xfId="11755" xr:uid="{00000000-0005-0000-0000-0000932A0000}"/>
    <cellStyle name="Normal 3 2 2 8 4 10" xfId="11756" xr:uid="{00000000-0005-0000-0000-0000942A0000}"/>
    <cellStyle name="Normal 3 2 2 8 4 11" xfId="11757" xr:uid="{00000000-0005-0000-0000-0000952A0000}"/>
    <cellStyle name="Normal 3 2 2 8 4 12" xfId="11758" xr:uid="{00000000-0005-0000-0000-0000962A0000}"/>
    <cellStyle name="Normal 3 2 2 8 4 13" xfId="11759" xr:uid="{00000000-0005-0000-0000-0000972A0000}"/>
    <cellStyle name="Normal 3 2 2 8 4 14" xfId="11760" xr:uid="{00000000-0005-0000-0000-0000982A0000}"/>
    <cellStyle name="Normal 3 2 2 8 4 15" xfId="11761" xr:uid="{00000000-0005-0000-0000-0000992A0000}"/>
    <cellStyle name="Normal 3 2 2 8 4 2" xfId="11762" xr:uid="{00000000-0005-0000-0000-00009A2A0000}"/>
    <cellStyle name="Normal 3 2 2 8 4 3" xfId="11763" xr:uid="{00000000-0005-0000-0000-00009B2A0000}"/>
    <cellStyle name="Normal 3 2 2 8 4 4" xfId="11764" xr:uid="{00000000-0005-0000-0000-00009C2A0000}"/>
    <cellStyle name="Normal 3 2 2 8 4 5" xfId="11765" xr:uid="{00000000-0005-0000-0000-00009D2A0000}"/>
    <cellStyle name="Normal 3 2 2 8 4 6" xfId="11766" xr:uid="{00000000-0005-0000-0000-00009E2A0000}"/>
    <cellStyle name="Normal 3 2 2 8 4 7" xfId="11767" xr:uid="{00000000-0005-0000-0000-00009F2A0000}"/>
    <cellStyle name="Normal 3 2 2 8 4 8" xfId="11768" xr:uid="{00000000-0005-0000-0000-0000A02A0000}"/>
    <cellStyle name="Normal 3 2 2 8 4 9" xfId="11769" xr:uid="{00000000-0005-0000-0000-0000A12A0000}"/>
    <cellStyle name="Normal 3 2 2 8 5" xfId="11770" xr:uid="{00000000-0005-0000-0000-0000A22A0000}"/>
    <cellStyle name="Normal 3 2 2 8 5 10" xfId="11771" xr:uid="{00000000-0005-0000-0000-0000A32A0000}"/>
    <cellStyle name="Normal 3 2 2 8 5 11" xfId="11772" xr:uid="{00000000-0005-0000-0000-0000A42A0000}"/>
    <cellStyle name="Normal 3 2 2 8 5 12" xfId="11773" xr:uid="{00000000-0005-0000-0000-0000A52A0000}"/>
    <cellStyle name="Normal 3 2 2 8 5 13" xfId="11774" xr:uid="{00000000-0005-0000-0000-0000A62A0000}"/>
    <cellStyle name="Normal 3 2 2 8 5 14" xfId="11775" xr:uid="{00000000-0005-0000-0000-0000A72A0000}"/>
    <cellStyle name="Normal 3 2 2 8 5 15" xfId="11776" xr:uid="{00000000-0005-0000-0000-0000A82A0000}"/>
    <cellStyle name="Normal 3 2 2 8 5 2" xfId="11777" xr:uid="{00000000-0005-0000-0000-0000A92A0000}"/>
    <cellStyle name="Normal 3 2 2 8 5 3" xfId="11778" xr:uid="{00000000-0005-0000-0000-0000AA2A0000}"/>
    <cellStyle name="Normal 3 2 2 8 5 4" xfId="11779" xr:uid="{00000000-0005-0000-0000-0000AB2A0000}"/>
    <cellStyle name="Normal 3 2 2 8 5 5" xfId="11780" xr:uid="{00000000-0005-0000-0000-0000AC2A0000}"/>
    <cellStyle name="Normal 3 2 2 8 5 6" xfId="11781" xr:uid="{00000000-0005-0000-0000-0000AD2A0000}"/>
    <cellStyle name="Normal 3 2 2 8 5 7" xfId="11782" xr:uid="{00000000-0005-0000-0000-0000AE2A0000}"/>
    <cellStyle name="Normal 3 2 2 8 5 8" xfId="11783" xr:uid="{00000000-0005-0000-0000-0000AF2A0000}"/>
    <cellStyle name="Normal 3 2 2 8 5 9" xfId="11784" xr:uid="{00000000-0005-0000-0000-0000B02A0000}"/>
    <cellStyle name="Normal 3 2 2 8 6" xfId="11785" xr:uid="{00000000-0005-0000-0000-0000B12A0000}"/>
    <cellStyle name="Normal 3 2 2 8 7" xfId="11786" xr:uid="{00000000-0005-0000-0000-0000B22A0000}"/>
    <cellStyle name="Normal 3 2 2 8 8" xfId="11787" xr:uid="{00000000-0005-0000-0000-0000B32A0000}"/>
    <cellStyle name="Normal 3 2 2 8 9" xfId="11788" xr:uid="{00000000-0005-0000-0000-0000B42A0000}"/>
    <cellStyle name="Normal 3 2 2 9" xfId="11789" xr:uid="{00000000-0005-0000-0000-0000B52A0000}"/>
    <cellStyle name="Normal 3 2 2 9 10" xfId="11790" xr:uid="{00000000-0005-0000-0000-0000B62A0000}"/>
    <cellStyle name="Normal 3 2 2 9 11" xfId="11791" xr:uid="{00000000-0005-0000-0000-0000B72A0000}"/>
    <cellStyle name="Normal 3 2 2 9 12" xfId="11792" xr:uid="{00000000-0005-0000-0000-0000B82A0000}"/>
    <cellStyle name="Normal 3 2 2 9 13" xfId="11793" xr:uid="{00000000-0005-0000-0000-0000B92A0000}"/>
    <cellStyle name="Normal 3 2 2 9 14" xfId="11794" xr:uid="{00000000-0005-0000-0000-0000BA2A0000}"/>
    <cellStyle name="Normal 3 2 2 9 15" xfId="11795" xr:uid="{00000000-0005-0000-0000-0000BB2A0000}"/>
    <cellStyle name="Normal 3 2 2 9 16" xfId="11796" xr:uid="{00000000-0005-0000-0000-0000BC2A0000}"/>
    <cellStyle name="Normal 3 2 2 9 17" xfId="11797" xr:uid="{00000000-0005-0000-0000-0000BD2A0000}"/>
    <cellStyle name="Normal 3 2 2 9 18" xfId="11798" xr:uid="{00000000-0005-0000-0000-0000BE2A0000}"/>
    <cellStyle name="Normal 3 2 2 9 19" xfId="11799" xr:uid="{00000000-0005-0000-0000-0000BF2A0000}"/>
    <cellStyle name="Normal 3 2 2 9 2" xfId="11800" xr:uid="{00000000-0005-0000-0000-0000C02A0000}"/>
    <cellStyle name="Normal 3 2 2 9 2 10" xfId="11801" xr:uid="{00000000-0005-0000-0000-0000C12A0000}"/>
    <cellStyle name="Normal 3 2 2 9 2 11" xfId="11802" xr:uid="{00000000-0005-0000-0000-0000C22A0000}"/>
    <cellStyle name="Normal 3 2 2 9 2 12" xfId="11803" xr:uid="{00000000-0005-0000-0000-0000C32A0000}"/>
    <cellStyle name="Normal 3 2 2 9 2 13" xfId="11804" xr:uid="{00000000-0005-0000-0000-0000C42A0000}"/>
    <cellStyle name="Normal 3 2 2 9 2 14" xfId="11805" xr:uid="{00000000-0005-0000-0000-0000C52A0000}"/>
    <cellStyle name="Normal 3 2 2 9 2 15" xfId="11806" xr:uid="{00000000-0005-0000-0000-0000C62A0000}"/>
    <cellStyle name="Normal 3 2 2 9 2 2" xfId="11807" xr:uid="{00000000-0005-0000-0000-0000C72A0000}"/>
    <cellStyle name="Normal 3 2 2 9 2 3" xfId="11808" xr:uid="{00000000-0005-0000-0000-0000C82A0000}"/>
    <cellStyle name="Normal 3 2 2 9 2 4" xfId="11809" xr:uid="{00000000-0005-0000-0000-0000C92A0000}"/>
    <cellStyle name="Normal 3 2 2 9 2 5" xfId="11810" xr:uid="{00000000-0005-0000-0000-0000CA2A0000}"/>
    <cellStyle name="Normal 3 2 2 9 2 6" xfId="11811" xr:uid="{00000000-0005-0000-0000-0000CB2A0000}"/>
    <cellStyle name="Normal 3 2 2 9 2 7" xfId="11812" xr:uid="{00000000-0005-0000-0000-0000CC2A0000}"/>
    <cellStyle name="Normal 3 2 2 9 2 8" xfId="11813" xr:uid="{00000000-0005-0000-0000-0000CD2A0000}"/>
    <cellStyle name="Normal 3 2 2 9 2 9" xfId="11814" xr:uid="{00000000-0005-0000-0000-0000CE2A0000}"/>
    <cellStyle name="Normal 3 2 2 9 3" xfId="11815" xr:uid="{00000000-0005-0000-0000-0000CF2A0000}"/>
    <cellStyle name="Normal 3 2 2 9 3 10" xfId="11816" xr:uid="{00000000-0005-0000-0000-0000D02A0000}"/>
    <cellStyle name="Normal 3 2 2 9 3 11" xfId="11817" xr:uid="{00000000-0005-0000-0000-0000D12A0000}"/>
    <cellStyle name="Normal 3 2 2 9 3 12" xfId="11818" xr:uid="{00000000-0005-0000-0000-0000D22A0000}"/>
    <cellStyle name="Normal 3 2 2 9 3 13" xfId="11819" xr:uid="{00000000-0005-0000-0000-0000D32A0000}"/>
    <cellStyle name="Normal 3 2 2 9 3 14" xfId="11820" xr:uid="{00000000-0005-0000-0000-0000D42A0000}"/>
    <cellStyle name="Normal 3 2 2 9 3 15" xfId="11821" xr:uid="{00000000-0005-0000-0000-0000D52A0000}"/>
    <cellStyle name="Normal 3 2 2 9 3 2" xfId="11822" xr:uid="{00000000-0005-0000-0000-0000D62A0000}"/>
    <cellStyle name="Normal 3 2 2 9 3 3" xfId="11823" xr:uid="{00000000-0005-0000-0000-0000D72A0000}"/>
    <cellStyle name="Normal 3 2 2 9 3 4" xfId="11824" xr:uid="{00000000-0005-0000-0000-0000D82A0000}"/>
    <cellStyle name="Normal 3 2 2 9 3 5" xfId="11825" xr:uid="{00000000-0005-0000-0000-0000D92A0000}"/>
    <cellStyle name="Normal 3 2 2 9 3 6" xfId="11826" xr:uid="{00000000-0005-0000-0000-0000DA2A0000}"/>
    <cellStyle name="Normal 3 2 2 9 3 7" xfId="11827" xr:uid="{00000000-0005-0000-0000-0000DB2A0000}"/>
    <cellStyle name="Normal 3 2 2 9 3 8" xfId="11828" xr:uid="{00000000-0005-0000-0000-0000DC2A0000}"/>
    <cellStyle name="Normal 3 2 2 9 3 9" xfId="11829" xr:uid="{00000000-0005-0000-0000-0000DD2A0000}"/>
    <cellStyle name="Normal 3 2 2 9 4" xfId="11830" xr:uid="{00000000-0005-0000-0000-0000DE2A0000}"/>
    <cellStyle name="Normal 3 2 2 9 4 10" xfId="11831" xr:uid="{00000000-0005-0000-0000-0000DF2A0000}"/>
    <cellStyle name="Normal 3 2 2 9 4 11" xfId="11832" xr:uid="{00000000-0005-0000-0000-0000E02A0000}"/>
    <cellStyle name="Normal 3 2 2 9 4 12" xfId="11833" xr:uid="{00000000-0005-0000-0000-0000E12A0000}"/>
    <cellStyle name="Normal 3 2 2 9 4 13" xfId="11834" xr:uid="{00000000-0005-0000-0000-0000E22A0000}"/>
    <cellStyle name="Normal 3 2 2 9 4 14" xfId="11835" xr:uid="{00000000-0005-0000-0000-0000E32A0000}"/>
    <cellStyle name="Normal 3 2 2 9 4 15" xfId="11836" xr:uid="{00000000-0005-0000-0000-0000E42A0000}"/>
    <cellStyle name="Normal 3 2 2 9 4 2" xfId="11837" xr:uid="{00000000-0005-0000-0000-0000E52A0000}"/>
    <cellStyle name="Normal 3 2 2 9 4 3" xfId="11838" xr:uid="{00000000-0005-0000-0000-0000E62A0000}"/>
    <cellStyle name="Normal 3 2 2 9 4 4" xfId="11839" xr:uid="{00000000-0005-0000-0000-0000E72A0000}"/>
    <cellStyle name="Normal 3 2 2 9 4 5" xfId="11840" xr:uid="{00000000-0005-0000-0000-0000E82A0000}"/>
    <cellStyle name="Normal 3 2 2 9 4 6" xfId="11841" xr:uid="{00000000-0005-0000-0000-0000E92A0000}"/>
    <cellStyle name="Normal 3 2 2 9 4 7" xfId="11842" xr:uid="{00000000-0005-0000-0000-0000EA2A0000}"/>
    <cellStyle name="Normal 3 2 2 9 4 8" xfId="11843" xr:uid="{00000000-0005-0000-0000-0000EB2A0000}"/>
    <cellStyle name="Normal 3 2 2 9 4 9" xfId="11844" xr:uid="{00000000-0005-0000-0000-0000EC2A0000}"/>
    <cellStyle name="Normal 3 2 2 9 5" xfId="11845" xr:uid="{00000000-0005-0000-0000-0000ED2A0000}"/>
    <cellStyle name="Normal 3 2 2 9 5 10" xfId="11846" xr:uid="{00000000-0005-0000-0000-0000EE2A0000}"/>
    <cellStyle name="Normal 3 2 2 9 5 11" xfId="11847" xr:uid="{00000000-0005-0000-0000-0000EF2A0000}"/>
    <cellStyle name="Normal 3 2 2 9 5 12" xfId="11848" xr:uid="{00000000-0005-0000-0000-0000F02A0000}"/>
    <cellStyle name="Normal 3 2 2 9 5 13" xfId="11849" xr:uid="{00000000-0005-0000-0000-0000F12A0000}"/>
    <cellStyle name="Normal 3 2 2 9 5 14" xfId="11850" xr:uid="{00000000-0005-0000-0000-0000F22A0000}"/>
    <cellStyle name="Normal 3 2 2 9 5 15" xfId="11851" xr:uid="{00000000-0005-0000-0000-0000F32A0000}"/>
    <cellStyle name="Normal 3 2 2 9 5 2" xfId="11852" xr:uid="{00000000-0005-0000-0000-0000F42A0000}"/>
    <cellStyle name="Normal 3 2 2 9 5 3" xfId="11853" xr:uid="{00000000-0005-0000-0000-0000F52A0000}"/>
    <cellStyle name="Normal 3 2 2 9 5 4" xfId="11854" xr:uid="{00000000-0005-0000-0000-0000F62A0000}"/>
    <cellStyle name="Normal 3 2 2 9 5 5" xfId="11855" xr:uid="{00000000-0005-0000-0000-0000F72A0000}"/>
    <cellStyle name="Normal 3 2 2 9 5 6" xfId="11856" xr:uid="{00000000-0005-0000-0000-0000F82A0000}"/>
    <cellStyle name="Normal 3 2 2 9 5 7" xfId="11857" xr:uid="{00000000-0005-0000-0000-0000F92A0000}"/>
    <cellStyle name="Normal 3 2 2 9 5 8" xfId="11858" xr:uid="{00000000-0005-0000-0000-0000FA2A0000}"/>
    <cellStyle name="Normal 3 2 2 9 5 9" xfId="11859" xr:uid="{00000000-0005-0000-0000-0000FB2A0000}"/>
    <cellStyle name="Normal 3 2 2 9 6" xfId="11860" xr:uid="{00000000-0005-0000-0000-0000FC2A0000}"/>
    <cellStyle name="Normal 3 2 2 9 7" xfId="11861" xr:uid="{00000000-0005-0000-0000-0000FD2A0000}"/>
    <cellStyle name="Normal 3 2 2 9 8" xfId="11862" xr:uid="{00000000-0005-0000-0000-0000FE2A0000}"/>
    <cellStyle name="Normal 3 2 2 9 9" xfId="11863" xr:uid="{00000000-0005-0000-0000-0000FF2A0000}"/>
    <cellStyle name="Normal 3 2 20" xfId="11864" xr:uid="{00000000-0005-0000-0000-0000002B0000}"/>
    <cellStyle name="Normal 3 2 20 10" xfId="11865" xr:uid="{00000000-0005-0000-0000-0000012B0000}"/>
    <cellStyle name="Normal 3 2 20 11" xfId="11866" xr:uid="{00000000-0005-0000-0000-0000022B0000}"/>
    <cellStyle name="Normal 3 2 20 12" xfId="11867" xr:uid="{00000000-0005-0000-0000-0000032B0000}"/>
    <cellStyle name="Normal 3 2 20 13" xfId="11868" xr:uid="{00000000-0005-0000-0000-0000042B0000}"/>
    <cellStyle name="Normal 3 2 20 14" xfId="11869" xr:uid="{00000000-0005-0000-0000-0000052B0000}"/>
    <cellStyle name="Normal 3 2 20 15" xfId="11870" xr:uid="{00000000-0005-0000-0000-0000062B0000}"/>
    <cellStyle name="Normal 3 2 20 2" xfId="11871" xr:uid="{00000000-0005-0000-0000-0000072B0000}"/>
    <cellStyle name="Normal 3 2 20 3" xfId="11872" xr:uid="{00000000-0005-0000-0000-0000082B0000}"/>
    <cellStyle name="Normal 3 2 20 4" xfId="11873" xr:uid="{00000000-0005-0000-0000-0000092B0000}"/>
    <cellStyle name="Normal 3 2 20 5" xfId="11874" xr:uid="{00000000-0005-0000-0000-00000A2B0000}"/>
    <cellStyle name="Normal 3 2 20 6" xfId="11875" xr:uid="{00000000-0005-0000-0000-00000B2B0000}"/>
    <cellStyle name="Normal 3 2 20 7" xfId="11876" xr:uid="{00000000-0005-0000-0000-00000C2B0000}"/>
    <cellStyle name="Normal 3 2 20 8" xfId="11877" xr:uid="{00000000-0005-0000-0000-00000D2B0000}"/>
    <cellStyle name="Normal 3 2 20 9" xfId="11878" xr:uid="{00000000-0005-0000-0000-00000E2B0000}"/>
    <cellStyle name="Normal 3 2 21" xfId="11879" xr:uid="{00000000-0005-0000-0000-00000F2B0000}"/>
    <cellStyle name="Normal 3 2 21 10" xfId="11880" xr:uid="{00000000-0005-0000-0000-0000102B0000}"/>
    <cellStyle name="Normal 3 2 21 11" xfId="11881" xr:uid="{00000000-0005-0000-0000-0000112B0000}"/>
    <cellStyle name="Normal 3 2 21 12" xfId="11882" xr:uid="{00000000-0005-0000-0000-0000122B0000}"/>
    <cellStyle name="Normal 3 2 21 13" xfId="11883" xr:uid="{00000000-0005-0000-0000-0000132B0000}"/>
    <cellStyle name="Normal 3 2 21 14" xfId="11884" xr:uid="{00000000-0005-0000-0000-0000142B0000}"/>
    <cellStyle name="Normal 3 2 21 15" xfId="11885" xr:uid="{00000000-0005-0000-0000-0000152B0000}"/>
    <cellStyle name="Normal 3 2 21 2" xfId="11886" xr:uid="{00000000-0005-0000-0000-0000162B0000}"/>
    <cellStyle name="Normal 3 2 21 3" xfId="11887" xr:uid="{00000000-0005-0000-0000-0000172B0000}"/>
    <cellStyle name="Normal 3 2 21 4" xfId="11888" xr:uid="{00000000-0005-0000-0000-0000182B0000}"/>
    <cellStyle name="Normal 3 2 21 5" xfId="11889" xr:uid="{00000000-0005-0000-0000-0000192B0000}"/>
    <cellStyle name="Normal 3 2 21 6" xfId="11890" xr:uid="{00000000-0005-0000-0000-00001A2B0000}"/>
    <cellStyle name="Normal 3 2 21 7" xfId="11891" xr:uid="{00000000-0005-0000-0000-00001B2B0000}"/>
    <cellStyle name="Normal 3 2 21 8" xfId="11892" xr:uid="{00000000-0005-0000-0000-00001C2B0000}"/>
    <cellStyle name="Normal 3 2 21 9" xfId="11893" xr:uid="{00000000-0005-0000-0000-00001D2B0000}"/>
    <cellStyle name="Normal 3 2 22" xfId="11894" xr:uid="{00000000-0005-0000-0000-00001E2B0000}"/>
    <cellStyle name="Normal 3 2 22 10" xfId="11895" xr:uid="{00000000-0005-0000-0000-00001F2B0000}"/>
    <cellStyle name="Normal 3 2 22 11" xfId="11896" xr:uid="{00000000-0005-0000-0000-0000202B0000}"/>
    <cellStyle name="Normal 3 2 22 12" xfId="11897" xr:uid="{00000000-0005-0000-0000-0000212B0000}"/>
    <cellStyle name="Normal 3 2 22 13" xfId="11898" xr:uid="{00000000-0005-0000-0000-0000222B0000}"/>
    <cellStyle name="Normal 3 2 22 14" xfId="11899" xr:uid="{00000000-0005-0000-0000-0000232B0000}"/>
    <cellStyle name="Normal 3 2 22 15" xfId="11900" xr:uid="{00000000-0005-0000-0000-0000242B0000}"/>
    <cellStyle name="Normal 3 2 22 2" xfId="11901" xr:uid="{00000000-0005-0000-0000-0000252B0000}"/>
    <cellStyle name="Normal 3 2 22 3" xfId="11902" xr:uid="{00000000-0005-0000-0000-0000262B0000}"/>
    <cellStyle name="Normal 3 2 22 4" xfId="11903" xr:uid="{00000000-0005-0000-0000-0000272B0000}"/>
    <cellStyle name="Normal 3 2 22 5" xfId="11904" xr:uid="{00000000-0005-0000-0000-0000282B0000}"/>
    <cellStyle name="Normal 3 2 22 6" xfId="11905" xr:uid="{00000000-0005-0000-0000-0000292B0000}"/>
    <cellStyle name="Normal 3 2 22 7" xfId="11906" xr:uid="{00000000-0005-0000-0000-00002A2B0000}"/>
    <cellStyle name="Normal 3 2 22 8" xfId="11907" xr:uid="{00000000-0005-0000-0000-00002B2B0000}"/>
    <cellStyle name="Normal 3 2 22 9" xfId="11908" xr:uid="{00000000-0005-0000-0000-00002C2B0000}"/>
    <cellStyle name="Normal 3 2 23" xfId="11909" xr:uid="{00000000-0005-0000-0000-00002D2B0000}"/>
    <cellStyle name="Normal 3 2 23 10" xfId="11910" xr:uid="{00000000-0005-0000-0000-00002E2B0000}"/>
    <cellStyle name="Normal 3 2 23 11" xfId="11911" xr:uid="{00000000-0005-0000-0000-00002F2B0000}"/>
    <cellStyle name="Normal 3 2 23 12" xfId="11912" xr:uid="{00000000-0005-0000-0000-0000302B0000}"/>
    <cellStyle name="Normal 3 2 23 13" xfId="11913" xr:uid="{00000000-0005-0000-0000-0000312B0000}"/>
    <cellStyle name="Normal 3 2 23 14" xfId="11914" xr:uid="{00000000-0005-0000-0000-0000322B0000}"/>
    <cellStyle name="Normal 3 2 23 15" xfId="11915" xr:uid="{00000000-0005-0000-0000-0000332B0000}"/>
    <cellStyle name="Normal 3 2 23 2" xfId="11916" xr:uid="{00000000-0005-0000-0000-0000342B0000}"/>
    <cellStyle name="Normal 3 2 23 3" xfId="11917" xr:uid="{00000000-0005-0000-0000-0000352B0000}"/>
    <cellStyle name="Normal 3 2 23 4" xfId="11918" xr:uid="{00000000-0005-0000-0000-0000362B0000}"/>
    <cellStyle name="Normal 3 2 23 5" xfId="11919" xr:uid="{00000000-0005-0000-0000-0000372B0000}"/>
    <cellStyle name="Normal 3 2 23 6" xfId="11920" xr:uid="{00000000-0005-0000-0000-0000382B0000}"/>
    <cellStyle name="Normal 3 2 23 7" xfId="11921" xr:uid="{00000000-0005-0000-0000-0000392B0000}"/>
    <cellStyle name="Normal 3 2 23 8" xfId="11922" xr:uid="{00000000-0005-0000-0000-00003A2B0000}"/>
    <cellStyle name="Normal 3 2 23 9" xfId="11923" xr:uid="{00000000-0005-0000-0000-00003B2B0000}"/>
    <cellStyle name="Normal 3 2 24" xfId="11924" xr:uid="{00000000-0005-0000-0000-00003C2B0000}"/>
    <cellStyle name="Normal 3 2 24 10" xfId="11925" xr:uid="{00000000-0005-0000-0000-00003D2B0000}"/>
    <cellStyle name="Normal 3 2 24 11" xfId="11926" xr:uid="{00000000-0005-0000-0000-00003E2B0000}"/>
    <cellStyle name="Normal 3 2 24 12" xfId="11927" xr:uid="{00000000-0005-0000-0000-00003F2B0000}"/>
    <cellStyle name="Normal 3 2 24 13" xfId="11928" xr:uid="{00000000-0005-0000-0000-0000402B0000}"/>
    <cellStyle name="Normal 3 2 24 14" xfId="11929" xr:uid="{00000000-0005-0000-0000-0000412B0000}"/>
    <cellStyle name="Normal 3 2 24 15" xfId="11930" xr:uid="{00000000-0005-0000-0000-0000422B0000}"/>
    <cellStyle name="Normal 3 2 24 2" xfId="11931" xr:uid="{00000000-0005-0000-0000-0000432B0000}"/>
    <cellStyle name="Normal 3 2 24 3" xfId="11932" xr:uid="{00000000-0005-0000-0000-0000442B0000}"/>
    <cellStyle name="Normal 3 2 24 4" xfId="11933" xr:uid="{00000000-0005-0000-0000-0000452B0000}"/>
    <cellStyle name="Normal 3 2 24 5" xfId="11934" xr:uid="{00000000-0005-0000-0000-0000462B0000}"/>
    <cellStyle name="Normal 3 2 24 6" xfId="11935" xr:uid="{00000000-0005-0000-0000-0000472B0000}"/>
    <cellStyle name="Normal 3 2 24 7" xfId="11936" xr:uid="{00000000-0005-0000-0000-0000482B0000}"/>
    <cellStyle name="Normal 3 2 24 8" xfId="11937" xr:uid="{00000000-0005-0000-0000-0000492B0000}"/>
    <cellStyle name="Normal 3 2 24 9" xfId="11938" xr:uid="{00000000-0005-0000-0000-00004A2B0000}"/>
    <cellStyle name="Normal 3 2 25" xfId="11939" xr:uid="{00000000-0005-0000-0000-00004B2B0000}"/>
    <cellStyle name="Normal 3 2 25 10" xfId="11940" xr:uid="{00000000-0005-0000-0000-00004C2B0000}"/>
    <cellStyle name="Normal 3 2 25 11" xfId="11941" xr:uid="{00000000-0005-0000-0000-00004D2B0000}"/>
    <cellStyle name="Normal 3 2 25 12" xfId="11942" xr:uid="{00000000-0005-0000-0000-00004E2B0000}"/>
    <cellStyle name="Normal 3 2 25 13" xfId="11943" xr:uid="{00000000-0005-0000-0000-00004F2B0000}"/>
    <cellStyle name="Normal 3 2 25 14" xfId="11944" xr:uid="{00000000-0005-0000-0000-0000502B0000}"/>
    <cellStyle name="Normal 3 2 25 15" xfId="11945" xr:uid="{00000000-0005-0000-0000-0000512B0000}"/>
    <cellStyle name="Normal 3 2 25 2" xfId="11946" xr:uid="{00000000-0005-0000-0000-0000522B0000}"/>
    <cellStyle name="Normal 3 2 25 3" xfId="11947" xr:uid="{00000000-0005-0000-0000-0000532B0000}"/>
    <cellStyle name="Normal 3 2 25 4" xfId="11948" xr:uid="{00000000-0005-0000-0000-0000542B0000}"/>
    <cellStyle name="Normal 3 2 25 5" xfId="11949" xr:uid="{00000000-0005-0000-0000-0000552B0000}"/>
    <cellStyle name="Normal 3 2 25 6" xfId="11950" xr:uid="{00000000-0005-0000-0000-0000562B0000}"/>
    <cellStyle name="Normal 3 2 25 7" xfId="11951" xr:uid="{00000000-0005-0000-0000-0000572B0000}"/>
    <cellStyle name="Normal 3 2 25 8" xfId="11952" xr:uid="{00000000-0005-0000-0000-0000582B0000}"/>
    <cellStyle name="Normal 3 2 25 9" xfId="11953" xr:uid="{00000000-0005-0000-0000-0000592B0000}"/>
    <cellStyle name="Normal 3 2 26" xfId="11954" xr:uid="{00000000-0005-0000-0000-00005A2B0000}"/>
    <cellStyle name="Normal 3 2 26 10" xfId="11955" xr:uid="{00000000-0005-0000-0000-00005B2B0000}"/>
    <cellStyle name="Normal 3 2 26 11" xfId="11956" xr:uid="{00000000-0005-0000-0000-00005C2B0000}"/>
    <cellStyle name="Normal 3 2 26 12" xfId="11957" xr:uid="{00000000-0005-0000-0000-00005D2B0000}"/>
    <cellStyle name="Normal 3 2 26 13" xfId="11958" xr:uid="{00000000-0005-0000-0000-00005E2B0000}"/>
    <cellStyle name="Normal 3 2 26 14" xfId="11959" xr:uid="{00000000-0005-0000-0000-00005F2B0000}"/>
    <cellStyle name="Normal 3 2 26 15" xfId="11960" xr:uid="{00000000-0005-0000-0000-0000602B0000}"/>
    <cellStyle name="Normal 3 2 26 2" xfId="11961" xr:uid="{00000000-0005-0000-0000-0000612B0000}"/>
    <cellStyle name="Normal 3 2 26 3" xfId="11962" xr:uid="{00000000-0005-0000-0000-0000622B0000}"/>
    <cellStyle name="Normal 3 2 26 4" xfId="11963" xr:uid="{00000000-0005-0000-0000-0000632B0000}"/>
    <cellStyle name="Normal 3 2 26 5" xfId="11964" xr:uid="{00000000-0005-0000-0000-0000642B0000}"/>
    <cellStyle name="Normal 3 2 26 6" xfId="11965" xr:uid="{00000000-0005-0000-0000-0000652B0000}"/>
    <cellStyle name="Normal 3 2 26 7" xfId="11966" xr:uid="{00000000-0005-0000-0000-0000662B0000}"/>
    <cellStyle name="Normal 3 2 26 8" xfId="11967" xr:uid="{00000000-0005-0000-0000-0000672B0000}"/>
    <cellStyle name="Normal 3 2 26 9" xfId="11968" xr:uid="{00000000-0005-0000-0000-0000682B0000}"/>
    <cellStyle name="Normal 3 2 27" xfId="11969" xr:uid="{00000000-0005-0000-0000-0000692B0000}"/>
    <cellStyle name="Normal 3 2 27 10" xfId="11970" xr:uid="{00000000-0005-0000-0000-00006A2B0000}"/>
    <cellStyle name="Normal 3 2 27 11" xfId="11971" xr:uid="{00000000-0005-0000-0000-00006B2B0000}"/>
    <cellStyle name="Normal 3 2 27 12" xfId="11972" xr:uid="{00000000-0005-0000-0000-00006C2B0000}"/>
    <cellStyle name="Normal 3 2 27 13" xfId="11973" xr:uid="{00000000-0005-0000-0000-00006D2B0000}"/>
    <cellStyle name="Normal 3 2 27 14" xfId="11974" xr:uid="{00000000-0005-0000-0000-00006E2B0000}"/>
    <cellStyle name="Normal 3 2 27 15" xfId="11975" xr:uid="{00000000-0005-0000-0000-00006F2B0000}"/>
    <cellStyle name="Normal 3 2 27 2" xfId="11976" xr:uid="{00000000-0005-0000-0000-0000702B0000}"/>
    <cellStyle name="Normal 3 2 27 3" xfId="11977" xr:uid="{00000000-0005-0000-0000-0000712B0000}"/>
    <cellStyle name="Normal 3 2 27 4" xfId="11978" xr:uid="{00000000-0005-0000-0000-0000722B0000}"/>
    <cellStyle name="Normal 3 2 27 5" xfId="11979" xr:uid="{00000000-0005-0000-0000-0000732B0000}"/>
    <cellStyle name="Normal 3 2 27 6" xfId="11980" xr:uid="{00000000-0005-0000-0000-0000742B0000}"/>
    <cellStyle name="Normal 3 2 27 7" xfId="11981" xr:uid="{00000000-0005-0000-0000-0000752B0000}"/>
    <cellStyle name="Normal 3 2 27 8" xfId="11982" xr:uid="{00000000-0005-0000-0000-0000762B0000}"/>
    <cellStyle name="Normal 3 2 27 9" xfId="11983" xr:uid="{00000000-0005-0000-0000-0000772B0000}"/>
    <cellStyle name="Normal 3 2 28" xfId="11984" xr:uid="{00000000-0005-0000-0000-0000782B0000}"/>
    <cellStyle name="Normal 3 2 28 10" xfId="11985" xr:uid="{00000000-0005-0000-0000-0000792B0000}"/>
    <cellStyle name="Normal 3 2 28 11" xfId="11986" xr:uid="{00000000-0005-0000-0000-00007A2B0000}"/>
    <cellStyle name="Normal 3 2 28 12" xfId="11987" xr:uid="{00000000-0005-0000-0000-00007B2B0000}"/>
    <cellStyle name="Normal 3 2 28 13" xfId="11988" xr:uid="{00000000-0005-0000-0000-00007C2B0000}"/>
    <cellStyle name="Normal 3 2 28 14" xfId="11989" xr:uid="{00000000-0005-0000-0000-00007D2B0000}"/>
    <cellStyle name="Normal 3 2 28 15" xfId="11990" xr:uid="{00000000-0005-0000-0000-00007E2B0000}"/>
    <cellStyle name="Normal 3 2 28 2" xfId="11991" xr:uid="{00000000-0005-0000-0000-00007F2B0000}"/>
    <cellStyle name="Normal 3 2 28 3" xfId="11992" xr:uid="{00000000-0005-0000-0000-0000802B0000}"/>
    <cellStyle name="Normal 3 2 28 4" xfId="11993" xr:uid="{00000000-0005-0000-0000-0000812B0000}"/>
    <cellStyle name="Normal 3 2 28 5" xfId="11994" xr:uid="{00000000-0005-0000-0000-0000822B0000}"/>
    <cellStyle name="Normal 3 2 28 6" xfId="11995" xr:uid="{00000000-0005-0000-0000-0000832B0000}"/>
    <cellStyle name="Normal 3 2 28 7" xfId="11996" xr:uid="{00000000-0005-0000-0000-0000842B0000}"/>
    <cellStyle name="Normal 3 2 28 8" xfId="11997" xr:uid="{00000000-0005-0000-0000-0000852B0000}"/>
    <cellStyle name="Normal 3 2 28 9" xfId="11998" xr:uid="{00000000-0005-0000-0000-0000862B0000}"/>
    <cellStyle name="Normal 3 2 29" xfId="11999" xr:uid="{00000000-0005-0000-0000-0000872B0000}"/>
    <cellStyle name="Normal 3 2 29 10" xfId="12000" xr:uid="{00000000-0005-0000-0000-0000882B0000}"/>
    <cellStyle name="Normal 3 2 29 11" xfId="12001" xr:uid="{00000000-0005-0000-0000-0000892B0000}"/>
    <cellStyle name="Normal 3 2 29 12" xfId="12002" xr:uid="{00000000-0005-0000-0000-00008A2B0000}"/>
    <cellStyle name="Normal 3 2 29 13" xfId="12003" xr:uid="{00000000-0005-0000-0000-00008B2B0000}"/>
    <cellStyle name="Normal 3 2 29 14" xfId="12004" xr:uid="{00000000-0005-0000-0000-00008C2B0000}"/>
    <cellStyle name="Normal 3 2 29 15" xfId="12005" xr:uid="{00000000-0005-0000-0000-00008D2B0000}"/>
    <cellStyle name="Normal 3 2 29 2" xfId="12006" xr:uid="{00000000-0005-0000-0000-00008E2B0000}"/>
    <cellStyle name="Normal 3 2 29 3" xfId="12007" xr:uid="{00000000-0005-0000-0000-00008F2B0000}"/>
    <cellStyle name="Normal 3 2 29 4" xfId="12008" xr:uid="{00000000-0005-0000-0000-0000902B0000}"/>
    <cellStyle name="Normal 3 2 29 5" xfId="12009" xr:uid="{00000000-0005-0000-0000-0000912B0000}"/>
    <cellStyle name="Normal 3 2 29 6" xfId="12010" xr:uid="{00000000-0005-0000-0000-0000922B0000}"/>
    <cellStyle name="Normal 3 2 29 7" xfId="12011" xr:uid="{00000000-0005-0000-0000-0000932B0000}"/>
    <cellStyle name="Normal 3 2 29 8" xfId="12012" xr:uid="{00000000-0005-0000-0000-0000942B0000}"/>
    <cellStyle name="Normal 3 2 29 9" xfId="12013" xr:uid="{00000000-0005-0000-0000-0000952B0000}"/>
    <cellStyle name="Normal 3 2 3" xfId="110" xr:uid="{00000000-0005-0000-0000-00000C000000}"/>
    <cellStyle name="Normal 3 2 3 10" xfId="12015" xr:uid="{00000000-0005-0000-0000-0000972B0000}"/>
    <cellStyle name="Normal 3 2 3 10 10" xfId="12016" xr:uid="{00000000-0005-0000-0000-0000982B0000}"/>
    <cellStyle name="Normal 3 2 3 10 11" xfId="12017" xr:uid="{00000000-0005-0000-0000-0000992B0000}"/>
    <cellStyle name="Normal 3 2 3 10 12" xfId="12018" xr:uid="{00000000-0005-0000-0000-00009A2B0000}"/>
    <cellStyle name="Normal 3 2 3 10 13" xfId="12019" xr:uid="{00000000-0005-0000-0000-00009B2B0000}"/>
    <cellStyle name="Normal 3 2 3 10 14" xfId="12020" xr:uid="{00000000-0005-0000-0000-00009C2B0000}"/>
    <cellStyle name="Normal 3 2 3 10 15" xfId="12021" xr:uid="{00000000-0005-0000-0000-00009D2B0000}"/>
    <cellStyle name="Normal 3 2 3 10 2" xfId="12022" xr:uid="{00000000-0005-0000-0000-00009E2B0000}"/>
    <cellStyle name="Normal 3 2 3 10 3" xfId="12023" xr:uid="{00000000-0005-0000-0000-00009F2B0000}"/>
    <cellStyle name="Normal 3 2 3 10 4" xfId="12024" xr:uid="{00000000-0005-0000-0000-0000A02B0000}"/>
    <cellStyle name="Normal 3 2 3 10 5" xfId="12025" xr:uid="{00000000-0005-0000-0000-0000A12B0000}"/>
    <cellStyle name="Normal 3 2 3 10 6" xfId="12026" xr:uid="{00000000-0005-0000-0000-0000A22B0000}"/>
    <cellStyle name="Normal 3 2 3 10 7" xfId="12027" xr:uid="{00000000-0005-0000-0000-0000A32B0000}"/>
    <cellStyle name="Normal 3 2 3 10 8" xfId="12028" xr:uid="{00000000-0005-0000-0000-0000A42B0000}"/>
    <cellStyle name="Normal 3 2 3 10 9" xfId="12029" xr:uid="{00000000-0005-0000-0000-0000A52B0000}"/>
    <cellStyle name="Normal 3 2 3 11" xfId="12030" xr:uid="{00000000-0005-0000-0000-0000A62B0000}"/>
    <cellStyle name="Normal 3 2 3 11 10" xfId="12031" xr:uid="{00000000-0005-0000-0000-0000A72B0000}"/>
    <cellStyle name="Normal 3 2 3 11 11" xfId="12032" xr:uid="{00000000-0005-0000-0000-0000A82B0000}"/>
    <cellStyle name="Normal 3 2 3 11 12" xfId="12033" xr:uid="{00000000-0005-0000-0000-0000A92B0000}"/>
    <cellStyle name="Normal 3 2 3 11 13" xfId="12034" xr:uid="{00000000-0005-0000-0000-0000AA2B0000}"/>
    <cellStyle name="Normal 3 2 3 11 14" xfId="12035" xr:uid="{00000000-0005-0000-0000-0000AB2B0000}"/>
    <cellStyle name="Normal 3 2 3 11 15" xfId="12036" xr:uid="{00000000-0005-0000-0000-0000AC2B0000}"/>
    <cellStyle name="Normal 3 2 3 11 2" xfId="12037" xr:uid="{00000000-0005-0000-0000-0000AD2B0000}"/>
    <cellStyle name="Normal 3 2 3 11 3" xfId="12038" xr:uid="{00000000-0005-0000-0000-0000AE2B0000}"/>
    <cellStyle name="Normal 3 2 3 11 4" xfId="12039" xr:uid="{00000000-0005-0000-0000-0000AF2B0000}"/>
    <cellStyle name="Normal 3 2 3 11 5" xfId="12040" xr:uid="{00000000-0005-0000-0000-0000B02B0000}"/>
    <cellStyle name="Normal 3 2 3 11 6" xfId="12041" xr:uid="{00000000-0005-0000-0000-0000B12B0000}"/>
    <cellStyle name="Normal 3 2 3 11 7" xfId="12042" xr:uid="{00000000-0005-0000-0000-0000B22B0000}"/>
    <cellStyle name="Normal 3 2 3 11 8" xfId="12043" xr:uid="{00000000-0005-0000-0000-0000B32B0000}"/>
    <cellStyle name="Normal 3 2 3 11 9" xfId="12044" xr:uid="{00000000-0005-0000-0000-0000B42B0000}"/>
    <cellStyle name="Normal 3 2 3 12" xfId="12045" xr:uid="{00000000-0005-0000-0000-0000B52B0000}"/>
    <cellStyle name="Normal 3 2 3 13" xfId="12046" xr:uid="{00000000-0005-0000-0000-0000B62B0000}"/>
    <cellStyle name="Normal 3 2 3 14" xfId="12047" xr:uid="{00000000-0005-0000-0000-0000B72B0000}"/>
    <cellStyle name="Normal 3 2 3 15" xfId="12048" xr:uid="{00000000-0005-0000-0000-0000B82B0000}"/>
    <cellStyle name="Normal 3 2 3 16" xfId="12049" xr:uid="{00000000-0005-0000-0000-0000B92B0000}"/>
    <cellStyle name="Normal 3 2 3 17" xfId="12050" xr:uid="{00000000-0005-0000-0000-0000BA2B0000}"/>
    <cellStyle name="Normal 3 2 3 18" xfId="12051" xr:uid="{00000000-0005-0000-0000-0000BB2B0000}"/>
    <cellStyle name="Normal 3 2 3 19" xfId="12052" xr:uid="{00000000-0005-0000-0000-0000BC2B0000}"/>
    <cellStyle name="Normal 3 2 3 2" xfId="12053" xr:uid="{00000000-0005-0000-0000-0000BD2B0000}"/>
    <cellStyle name="Normal 3 2 3 2 10" xfId="12054" xr:uid="{00000000-0005-0000-0000-0000BE2B0000}"/>
    <cellStyle name="Normal 3 2 3 2 11" xfId="12055" xr:uid="{00000000-0005-0000-0000-0000BF2B0000}"/>
    <cellStyle name="Normal 3 2 3 2 12" xfId="12056" xr:uid="{00000000-0005-0000-0000-0000C02B0000}"/>
    <cellStyle name="Normal 3 2 3 2 13" xfId="12057" xr:uid="{00000000-0005-0000-0000-0000C12B0000}"/>
    <cellStyle name="Normal 3 2 3 2 14" xfId="12058" xr:uid="{00000000-0005-0000-0000-0000C22B0000}"/>
    <cellStyle name="Normal 3 2 3 2 15" xfId="12059" xr:uid="{00000000-0005-0000-0000-0000C32B0000}"/>
    <cellStyle name="Normal 3 2 3 2 16" xfId="12060" xr:uid="{00000000-0005-0000-0000-0000C42B0000}"/>
    <cellStyle name="Normal 3 2 3 2 17" xfId="12061" xr:uid="{00000000-0005-0000-0000-0000C52B0000}"/>
    <cellStyle name="Normal 3 2 3 2 18" xfId="12062" xr:uid="{00000000-0005-0000-0000-0000C62B0000}"/>
    <cellStyle name="Normal 3 2 3 2 19" xfId="12063" xr:uid="{00000000-0005-0000-0000-0000C72B0000}"/>
    <cellStyle name="Normal 3 2 3 2 2" xfId="12064" xr:uid="{00000000-0005-0000-0000-0000C82B0000}"/>
    <cellStyle name="Normal 3 2 3 2 2 10" xfId="12065" xr:uid="{00000000-0005-0000-0000-0000C92B0000}"/>
    <cellStyle name="Normal 3 2 3 2 2 11" xfId="12066" xr:uid="{00000000-0005-0000-0000-0000CA2B0000}"/>
    <cellStyle name="Normal 3 2 3 2 2 12" xfId="12067" xr:uid="{00000000-0005-0000-0000-0000CB2B0000}"/>
    <cellStyle name="Normal 3 2 3 2 2 13" xfId="12068" xr:uid="{00000000-0005-0000-0000-0000CC2B0000}"/>
    <cellStyle name="Normal 3 2 3 2 2 14" xfId="12069" xr:uid="{00000000-0005-0000-0000-0000CD2B0000}"/>
    <cellStyle name="Normal 3 2 3 2 2 15" xfId="12070" xr:uid="{00000000-0005-0000-0000-0000CE2B0000}"/>
    <cellStyle name="Normal 3 2 3 2 2 2" xfId="12071" xr:uid="{00000000-0005-0000-0000-0000CF2B0000}"/>
    <cellStyle name="Normal 3 2 3 2 2 3" xfId="12072" xr:uid="{00000000-0005-0000-0000-0000D02B0000}"/>
    <cellStyle name="Normal 3 2 3 2 2 4" xfId="12073" xr:uid="{00000000-0005-0000-0000-0000D12B0000}"/>
    <cellStyle name="Normal 3 2 3 2 2 5" xfId="12074" xr:uid="{00000000-0005-0000-0000-0000D22B0000}"/>
    <cellStyle name="Normal 3 2 3 2 2 6" xfId="12075" xr:uid="{00000000-0005-0000-0000-0000D32B0000}"/>
    <cellStyle name="Normal 3 2 3 2 2 7" xfId="12076" xr:uid="{00000000-0005-0000-0000-0000D42B0000}"/>
    <cellStyle name="Normal 3 2 3 2 2 8" xfId="12077" xr:uid="{00000000-0005-0000-0000-0000D52B0000}"/>
    <cellStyle name="Normal 3 2 3 2 2 9" xfId="12078" xr:uid="{00000000-0005-0000-0000-0000D62B0000}"/>
    <cellStyle name="Normal 3 2 3 2 3" xfId="12079" xr:uid="{00000000-0005-0000-0000-0000D72B0000}"/>
    <cellStyle name="Normal 3 2 3 2 3 10" xfId="12080" xr:uid="{00000000-0005-0000-0000-0000D82B0000}"/>
    <cellStyle name="Normal 3 2 3 2 3 11" xfId="12081" xr:uid="{00000000-0005-0000-0000-0000D92B0000}"/>
    <cellStyle name="Normal 3 2 3 2 3 12" xfId="12082" xr:uid="{00000000-0005-0000-0000-0000DA2B0000}"/>
    <cellStyle name="Normal 3 2 3 2 3 13" xfId="12083" xr:uid="{00000000-0005-0000-0000-0000DB2B0000}"/>
    <cellStyle name="Normal 3 2 3 2 3 14" xfId="12084" xr:uid="{00000000-0005-0000-0000-0000DC2B0000}"/>
    <cellStyle name="Normal 3 2 3 2 3 15" xfId="12085" xr:uid="{00000000-0005-0000-0000-0000DD2B0000}"/>
    <cellStyle name="Normal 3 2 3 2 3 2" xfId="12086" xr:uid="{00000000-0005-0000-0000-0000DE2B0000}"/>
    <cellStyle name="Normal 3 2 3 2 3 3" xfId="12087" xr:uid="{00000000-0005-0000-0000-0000DF2B0000}"/>
    <cellStyle name="Normal 3 2 3 2 3 4" xfId="12088" xr:uid="{00000000-0005-0000-0000-0000E02B0000}"/>
    <cellStyle name="Normal 3 2 3 2 3 5" xfId="12089" xr:uid="{00000000-0005-0000-0000-0000E12B0000}"/>
    <cellStyle name="Normal 3 2 3 2 3 6" xfId="12090" xr:uid="{00000000-0005-0000-0000-0000E22B0000}"/>
    <cellStyle name="Normal 3 2 3 2 3 7" xfId="12091" xr:uid="{00000000-0005-0000-0000-0000E32B0000}"/>
    <cellStyle name="Normal 3 2 3 2 3 8" xfId="12092" xr:uid="{00000000-0005-0000-0000-0000E42B0000}"/>
    <cellStyle name="Normal 3 2 3 2 3 9" xfId="12093" xr:uid="{00000000-0005-0000-0000-0000E52B0000}"/>
    <cellStyle name="Normal 3 2 3 2 4" xfId="12094" xr:uid="{00000000-0005-0000-0000-0000E62B0000}"/>
    <cellStyle name="Normal 3 2 3 2 4 10" xfId="12095" xr:uid="{00000000-0005-0000-0000-0000E72B0000}"/>
    <cellStyle name="Normal 3 2 3 2 4 11" xfId="12096" xr:uid="{00000000-0005-0000-0000-0000E82B0000}"/>
    <cellStyle name="Normal 3 2 3 2 4 12" xfId="12097" xr:uid="{00000000-0005-0000-0000-0000E92B0000}"/>
    <cellStyle name="Normal 3 2 3 2 4 13" xfId="12098" xr:uid="{00000000-0005-0000-0000-0000EA2B0000}"/>
    <cellStyle name="Normal 3 2 3 2 4 14" xfId="12099" xr:uid="{00000000-0005-0000-0000-0000EB2B0000}"/>
    <cellStyle name="Normal 3 2 3 2 4 15" xfId="12100" xr:uid="{00000000-0005-0000-0000-0000EC2B0000}"/>
    <cellStyle name="Normal 3 2 3 2 4 2" xfId="12101" xr:uid="{00000000-0005-0000-0000-0000ED2B0000}"/>
    <cellStyle name="Normal 3 2 3 2 4 3" xfId="12102" xr:uid="{00000000-0005-0000-0000-0000EE2B0000}"/>
    <cellStyle name="Normal 3 2 3 2 4 4" xfId="12103" xr:uid="{00000000-0005-0000-0000-0000EF2B0000}"/>
    <cellStyle name="Normal 3 2 3 2 4 5" xfId="12104" xr:uid="{00000000-0005-0000-0000-0000F02B0000}"/>
    <cellStyle name="Normal 3 2 3 2 4 6" xfId="12105" xr:uid="{00000000-0005-0000-0000-0000F12B0000}"/>
    <cellStyle name="Normal 3 2 3 2 4 7" xfId="12106" xr:uid="{00000000-0005-0000-0000-0000F22B0000}"/>
    <cellStyle name="Normal 3 2 3 2 4 8" xfId="12107" xr:uid="{00000000-0005-0000-0000-0000F32B0000}"/>
    <cellStyle name="Normal 3 2 3 2 4 9" xfId="12108" xr:uid="{00000000-0005-0000-0000-0000F42B0000}"/>
    <cellStyle name="Normal 3 2 3 2 5" xfId="12109" xr:uid="{00000000-0005-0000-0000-0000F52B0000}"/>
    <cellStyle name="Normal 3 2 3 2 5 10" xfId="12110" xr:uid="{00000000-0005-0000-0000-0000F62B0000}"/>
    <cellStyle name="Normal 3 2 3 2 5 11" xfId="12111" xr:uid="{00000000-0005-0000-0000-0000F72B0000}"/>
    <cellStyle name="Normal 3 2 3 2 5 12" xfId="12112" xr:uid="{00000000-0005-0000-0000-0000F82B0000}"/>
    <cellStyle name="Normal 3 2 3 2 5 13" xfId="12113" xr:uid="{00000000-0005-0000-0000-0000F92B0000}"/>
    <cellStyle name="Normal 3 2 3 2 5 14" xfId="12114" xr:uid="{00000000-0005-0000-0000-0000FA2B0000}"/>
    <cellStyle name="Normal 3 2 3 2 5 15" xfId="12115" xr:uid="{00000000-0005-0000-0000-0000FB2B0000}"/>
    <cellStyle name="Normal 3 2 3 2 5 2" xfId="12116" xr:uid="{00000000-0005-0000-0000-0000FC2B0000}"/>
    <cellStyle name="Normal 3 2 3 2 5 3" xfId="12117" xr:uid="{00000000-0005-0000-0000-0000FD2B0000}"/>
    <cellStyle name="Normal 3 2 3 2 5 4" xfId="12118" xr:uid="{00000000-0005-0000-0000-0000FE2B0000}"/>
    <cellStyle name="Normal 3 2 3 2 5 5" xfId="12119" xr:uid="{00000000-0005-0000-0000-0000FF2B0000}"/>
    <cellStyle name="Normal 3 2 3 2 5 6" xfId="12120" xr:uid="{00000000-0005-0000-0000-0000002C0000}"/>
    <cellStyle name="Normal 3 2 3 2 5 7" xfId="12121" xr:uid="{00000000-0005-0000-0000-0000012C0000}"/>
    <cellStyle name="Normal 3 2 3 2 5 8" xfId="12122" xr:uid="{00000000-0005-0000-0000-0000022C0000}"/>
    <cellStyle name="Normal 3 2 3 2 5 9" xfId="12123" xr:uid="{00000000-0005-0000-0000-0000032C0000}"/>
    <cellStyle name="Normal 3 2 3 2 6" xfId="12124" xr:uid="{00000000-0005-0000-0000-0000042C0000}"/>
    <cellStyle name="Normal 3 2 3 2 7" xfId="12125" xr:uid="{00000000-0005-0000-0000-0000052C0000}"/>
    <cellStyle name="Normal 3 2 3 2 8" xfId="12126" xr:uid="{00000000-0005-0000-0000-0000062C0000}"/>
    <cellStyle name="Normal 3 2 3 2 9" xfId="12127" xr:uid="{00000000-0005-0000-0000-0000072C0000}"/>
    <cellStyle name="Normal 3 2 3 20" xfId="12128" xr:uid="{00000000-0005-0000-0000-0000082C0000}"/>
    <cellStyle name="Normal 3 2 3 21" xfId="12129" xr:uid="{00000000-0005-0000-0000-0000092C0000}"/>
    <cellStyle name="Normal 3 2 3 22" xfId="12130" xr:uid="{00000000-0005-0000-0000-00000A2C0000}"/>
    <cellStyle name="Normal 3 2 3 23" xfId="12131" xr:uid="{00000000-0005-0000-0000-00000B2C0000}"/>
    <cellStyle name="Normal 3 2 3 24" xfId="12132" xr:uid="{00000000-0005-0000-0000-00000C2C0000}"/>
    <cellStyle name="Normal 3 2 3 25" xfId="12133" xr:uid="{00000000-0005-0000-0000-00000D2C0000}"/>
    <cellStyle name="Normal 3 2 3 26" xfId="14" xr:uid="{00000000-0005-0000-0000-00002C000000}"/>
    <cellStyle name="Normal 3 2 3 27" xfId="12014" xr:uid="{00000000-0005-0000-0000-0000962B0000}"/>
    <cellStyle name="Normal 3 2 3 3" xfId="12134" xr:uid="{00000000-0005-0000-0000-00000F2C0000}"/>
    <cellStyle name="Normal 3 2 3 3 10" xfId="12135" xr:uid="{00000000-0005-0000-0000-0000102C0000}"/>
    <cellStyle name="Normal 3 2 3 3 11" xfId="12136" xr:uid="{00000000-0005-0000-0000-0000112C0000}"/>
    <cellStyle name="Normal 3 2 3 3 12" xfId="12137" xr:uid="{00000000-0005-0000-0000-0000122C0000}"/>
    <cellStyle name="Normal 3 2 3 3 13" xfId="12138" xr:uid="{00000000-0005-0000-0000-0000132C0000}"/>
    <cellStyle name="Normal 3 2 3 3 14" xfId="12139" xr:uid="{00000000-0005-0000-0000-0000142C0000}"/>
    <cellStyle name="Normal 3 2 3 3 15" xfId="12140" xr:uid="{00000000-0005-0000-0000-0000152C0000}"/>
    <cellStyle name="Normal 3 2 3 3 16" xfId="12141" xr:uid="{00000000-0005-0000-0000-0000162C0000}"/>
    <cellStyle name="Normal 3 2 3 3 17" xfId="12142" xr:uid="{00000000-0005-0000-0000-0000172C0000}"/>
    <cellStyle name="Normal 3 2 3 3 18" xfId="12143" xr:uid="{00000000-0005-0000-0000-0000182C0000}"/>
    <cellStyle name="Normal 3 2 3 3 19" xfId="12144" xr:uid="{00000000-0005-0000-0000-0000192C0000}"/>
    <cellStyle name="Normal 3 2 3 3 2" xfId="12145" xr:uid="{00000000-0005-0000-0000-00001A2C0000}"/>
    <cellStyle name="Normal 3 2 3 3 2 10" xfId="12146" xr:uid="{00000000-0005-0000-0000-00001B2C0000}"/>
    <cellStyle name="Normal 3 2 3 3 2 11" xfId="12147" xr:uid="{00000000-0005-0000-0000-00001C2C0000}"/>
    <cellStyle name="Normal 3 2 3 3 2 12" xfId="12148" xr:uid="{00000000-0005-0000-0000-00001D2C0000}"/>
    <cellStyle name="Normal 3 2 3 3 2 13" xfId="12149" xr:uid="{00000000-0005-0000-0000-00001E2C0000}"/>
    <cellStyle name="Normal 3 2 3 3 2 14" xfId="12150" xr:uid="{00000000-0005-0000-0000-00001F2C0000}"/>
    <cellStyle name="Normal 3 2 3 3 2 15" xfId="12151" xr:uid="{00000000-0005-0000-0000-0000202C0000}"/>
    <cellStyle name="Normal 3 2 3 3 2 2" xfId="12152" xr:uid="{00000000-0005-0000-0000-0000212C0000}"/>
    <cellStyle name="Normal 3 2 3 3 2 3" xfId="12153" xr:uid="{00000000-0005-0000-0000-0000222C0000}"/>
    <cellStyle name="Normal 3 2 3 3 2 4" xfId="12154" xr:uid="{00000000-0005-0000-0000-0000232C0000}"/>
    <cellStyle name="Normal 3 2 3 3 2 5" xfId="12155" xr:uid="{00000000-0005-0000-0000-0000242C0000}"/>
    <cellStyle name="Normal 3 2 3 3 2 6" xfId="12156" xr:uid="{00000000-0005-0000-0000-0000252C0000}"/>
    <cellStyle name="Normal 3 2 3 3 2 7" xfId="12157" xr:uid="{00000000-0005-0000-0000-0000262C0000}"/>
    <cellStyle name="Normal 3 2 3 3 2 8" xfId="12158" xr:uid="{00000000-0005-0000-0000-0000272C0000}"/>
    <cellStyle name="Normal 3 2 3 3 2 9" xfId="12159" xr:uid="{00000000-0005-0000-0000-0000282C0000}"/>
    <cellStyle name="Normal 3 2 3 3 3" xfId="12160" xr:uid="{00000000-0005-0000-0000-0000292C0000}"/>
    <cellStyle name="Normal 3 2 3 3 3 10" xfId="12161" xr:uid="{00000000-0005-0000-0000-00002A2C0000}"/>
    <cellStyle name="Normal 3 2 3 3 3 11" xfId="12162" xr:uid="{00000000-0005-0000-0000-00002B2C0000}"/>
    <cellStyle name="Normal 3 2 3 3 3 12" xfId="12163" xr:uid="{00000000-0005-0000-0000-00002C2C0000}"/>
    <cellStyle name="Normal 3 2 3 3 3 13" xfId="12164" xr:uid="{00000000-0005-0000-0000-00002D2C0000}"/>
    <cellStyle name="Normal 3 2 3 3 3 14" xfId="12165" xr:uid="{00000000-0005-0000-0000-00002E2C0000}"/>
    <cellStyle name="Normal 3 2 3 3 3 15" xfId="12166" xr:uid="{00000000-0005-0000-0000-00002F2C0000}"/>
    <cellStyle name="Normal 3 2 3 3 3 2" xfId="12167" xr:uid="{00000000-0005-0000-0000-0000302C0000}"/>
    <cellStyle name="Normal 3 2 3 3 3 3" xfId="12168" xr:uid="{00000000-0005-0000-0000-0000312C0000}"/>
    <cellStyle name="Normal 3 2 3 3 3 4" xfId="12169" xr:uid="{00000000-0005-0000-0000-0000322C0000}"/>
    <cellStyle name="Normal 3 2 3 3 3 5" xfId="12170" xr:uid="{00000000-0005-0000-0000-0000332C0000}"/>
    <cellStyle name="Normal 3 2 3 3 3 6" xfId="12171" xr:uid="{00000000-0005-0000-0000-0000342C0000}"/>
    <cellStyle name="Normal 3 2 3 3 3 7" xfId="12172" xr:uid="{00000000-0005-0000-0000-0000352C0000}"/>
    <cellStyle name="Normal 3 2 3 3 3 8" xfId="12173" xr:uid="{00000000-0005-0000-0000-0000362C0000}"/>
    <cellStyle name="Normal 3 2 3 3 3 9" xfId="12174" xr:uid="{00000000-0005-0000-0000-0000372C0000}"/>
    <cellStyle name="Normal 3 2 3 3 4" xfId="12175" xr:uid="{00000000-0005-0000-0000-0000382C0000}"/>
    <cellStyle name="Normal 3 2 3 3 4 10" xfId="12176" xr:uid="{00000000-0005-0000-0000-0000392C0000}"/>
    <cellStyle name="Normal 3 2 3 3 4 11" xfId="12177" xr:uid="{00000000-0005-0000-0000-00003A2C0000}"/>
    <cellStyle name="Normal 3 2 3 3 4 12" xfId="12178" xr:uid="{00000000-0005-0000-0000-00003B2C0000}"/>
    <cellStyle name="Normal 3 2 3 3 4 13" xfId="12179" xr:uid="{00000000-0005-0000-0000-00003C2C0000}"/>
    <cellStyle name="Normal 3 2 3 3 4 14" xfId="12180" xr:uid="{00000000-0005-0000-0000-00003D2C0000}"/>
    <cellStyle name="Normal 3 2 3 3 4 15" xfId="12181" xr:uid="{00000000-0005-0000-0000-00003E2C0000}"/>
    <cellStyle name="Normal 3 2 3 3 4 2" xfId="12182" xr:uid="{00000000-0005-0000-0000-00003F2C0000}"/>
    <cellStyle name="Normal 3 2 3 3 4 3" xfId="12183" xr:uid="{00000000-0005-0000-0000-0000402C0000}"/>
    <cellStyle name="Normal 3 2 3 3 4 4" xfId="12184" xr:uid="{00000000-0005-0000-0000-0000412C0000}"/>
    <cellStyle name="Normal 3 2 3 3 4 5" xfId="12185" xr:uid="{00000000-0005-0000-0000-0000422C0000}"/>
    <cellStyle name="Normal 3 2 3 3 4 6" xfId="12186" xr:uid="{00000000-0005-0000-0000-0000432C0000}"/>
    <cellStyle name="Normal 3 2 3 3 4 7" xfId="12187" xr:uid="{00000000-0005-0000-0000-0000442C0000}"/>
    <cellStyle name="Normal 3 2 3 3 4 8" xfId="12188" xr:uid="{00000000-0005-0000-0000-0000452C0000}"/>
    <cellStyle name="Normal 3 2 3 3 4 9" xfId="12189" xr:uid="{00000000-0005-0000-0000-0000462C0000}"/>
    <cellStyle name="Normal 3 2 3 3 5" xfId="12190" xr:uid="{00000000-0005-0000-0000-0000472C0000}"/>
    <cellStyle name="Normal 3 2 3 3 5 10" xfId="12191" xr:uid="{00000000-0005-0000-0000-0000482C0000}"/>
    <cellStyle name="Normal 3 2 3 3 5 11" xfId="12192" xr:uid="{00000000-0005-0000-0000-0000492C0000}"/>
    <cellStyle name="Normal 3 2 3 3 5 12" xfId="12193" xr:uid="{00000000-0005-0000-0000-00004A2C0000}"/>
    <cellStyle name="Normal 3 2 3 3 5 13" xfId="12194" xr:uid="{00000000-0005-0000-0000-00004B2C0000}"/>
    <cellStyle name="Normal 3 2 3 3 5 14" xfId="12195" xr:uid="{00000000-0005-0000-0000-00004C2C0000}"/>
    <cellStyle name="Normal 3 2 3 3 5 15" xfId="12196" xr:uid="{00000000-0005-0000-0000-00004D2C0000}"/>
    <cellStyle name="Normal 3 2 3 3 5 2" xfId="12197" xr:uid="{00000000-0005-0000-0000-00004E2C0000}"/>
    <cellStyle name="Normal 3 2 3 3 5 3" xfId="12198" xr:uid="{00000000-0005-0000-0000-00004F2C0000}"/>
    <cellStyle name="Normal 3 2 3 3 5 4" xfId="12199" xr:uid="{00000000-0005-0000-0000-0000502C0000}"/>
    <cellStyle name="Normal 3 2 3 3 5 5" xfId="12200" xr:uid="{00000000-0005-0000-0000-0000512C0000}"/>
    <cellStyle name="Normal 3 2 3 3 5 6" xfId="12201" xr:uid="{00000000-0005-0000-0000-0000522C0000}"/>
    <cellStyle name="Normal 3 2 3 3 5 7" xfId="12202" xr:uid="{00000000-0005-0000-0000-0000532C0000}"/>
    <cellStyle name="Normal 3 2 3 3 5 8" xfId="12203" xr:uid="{00000000-0005-0000-0000-0000542C0000}"/>
    <cellStyle name="Normal 3 2 3 3 5 9" xfId="12204" xr:uid="{00000000-0005-0000-0000-0000552C0000}"/>
    <cellStyle name="Normal 3 2 3 3 6" xfId="12205" xr:uid="{00000000-0005-0000-0000-0000562C0000}"/>
    <cellStyle name="Normal 3 2 3 3 7" xfId="12206" xr:uid="{00000000-0005-0000-0000-0000572C0000}"/>
    <cellStyle name="Normal 3 2 3 3 8" xfId="12207" xr:uid="{00000000-0005-0000-0000-0000582C0000}"/>
    <cellStyle name="Normal 3 2 3 3 9" xfId="12208" xr:uid="{00000000-0005-0000-0000-0000592C0000}"/>
    <cellStyle name="Normal 3 2 3 4" xfId="12209" xr:uid="{00000000-0005-0000-0000-00005A2C0000}"/>
    <cellStyle name="Normal 3 2 3 4 10" xfId="12210" xr:uid="{00000000-0005-0000-0000-00005B2C0000}"/>
    <cellStyle name="Normal 3 2 3 4 11" xfId="12211" xr:uid="{00000000-0005-0000-0000-00005C2C0000}"/>
    <cellStyle name="Normal 3 2 3 4 12" xfId="12212" xr:uid="{00000000-0005-0000-0000-00005D2C0000}"/>
    <cellStyle name="Normal 3 2 3 4 13" xfId="12213" xr:uid="{00000000-0005-0000-0000-00005E2C0000}"/>
    <cellStyle name="Normal 3 2 3 4 14" xfId="12214" xr:uid="{00000000-0005-0000-0000-00005F2C0000}"/>
    <cellStyle name="Normal 3 2 3 4 15" xfId="12215" xr:uid="{00000000-0005-0000-0000-0000602C0000}"/>
    <cellStyle name="Normal 3 2 3 4 16" xfId="12216" xr:uid="{00000000-0005-0000-0000-0000612C0000}"/>
    <cellStyle name="Normal 3 2 3 4 17" xfId="12217" xr:uid="{00000000-0005-0000-0000-0000622C0000}"/>
    <cellStyle name="Normal 3 2 3 4 18" xfId="12218" xr:uid="{00000000-0005-0000-0000-0000632C0000}"/>
    <cellStyle name="Normal 3 2 3 4 19" xfId="12219" xr:uid="{00000000-0005-0000-0000-0000642C0000}"/>
    <cellStyle name="Normal 3 2 3 4 2" xfId="12220" xr:uid="{00000000-0005-0000-0000-0000652C0000}"/>
    <cellStyle name="Normal 3 2 3 4 2 10" xfId="12221" xr:uid="{00000000-0005-0000-0000-0000662C0000}"/>
    <cellStyle name="Normal 3 2 3 4 2 11" xfId="12222" xr:uid="{00000000-0005-0000-0000-0000672C0000}"/>
    <cellStyle name="Normal 3 2 3 4 2 12" xfId="12223" xr:uid="{00000000-0005-0000-0000-0000682C0000}"/>
    <cellStyle name="Normal 3 2 3 4 2 13" xfId="12224" xr:uid="{00000000-0005-0000-0000-0000692C0000}"/>
    <cellStyle name="Normal 3 2 3 4 2 14" xfId="12225" xr:uid="{00000000-0005-0000-0000-00006A2C0000}"/>
    <cellStyle name="Normal 3 2 3 4 2 15" xfId="12226" xr:uid="{00000000-0005-0000-0000-00006B2C0000}"/>
    <cellStyle name="Normal 3 2 3 4 2 2" xfId="12227" xr:uid="{00000000-0005-0000-0000-00006C2C0000}"/>
    <cellStyle name="Normal 3 2 3 4 2 3" xfId="12228" xr:uid="{00000000-0005-0000-0000-00006D2C0000}"/>
    <cellStyle name="Normal 3 2 3 4 2 4" xfId="12229" xr:uid="{00000000-0005-0000-0000-00006E2C0000}"/>
    <cellStyle name="Normal 3 2 3 4 2 5" xfId="12230" xr:uid="{00000000-0005-0000-0000-00006F2C0000}"/>
    <cellStyle name="Normal 3 2 3 4 2 6" xfId="12231" xr:uid="{00000000-0005-0000-0000-0000702C0000}"/>
    <cellStyle name="Normal 3 2 3 4 2 7" xfId="12232" xr:uid="{00000000-0005-0000-0000-0000712C0000}"/>
    <cellStyle name="Normal 3 2 3 4 2 8" xfId="12233" xr:uid="{00000000-0005-0000-0000-0000722C0000}"/>
    <cellStyle name="Normal 3 2 3 4 2 9" xfId="12234" xr:uid="{00000000-0005-0000-0000-0000732C0000}"/>
    <cellStyle name="Normal 3 2 3 4 3" xfId="12235" xr:uid="{00000000-0005-0000-0000-0000742C0000}"/>
    <cellStyle name="Normal 3 2 3 4 3 10" xfId="12236" xr:uid="{00000000-0005-0000-0000-0000752C0000}"/>
    <cellStyle name="Normal 3 2 3 4 3 11" xfId="12237" xr:uid="{00000000-0005-0000-0000-0000762C0000}"/>
    <cellStyle name="Normal 3 2 3 4 3 12" xfId="12238" xr:uid="{00000000-0005-0000-0000-0000772C0000}"/>
    <cellStyle name="Normal 3 2 3 4 3 13" xfId="12239" xr:uid="{00000000-0005-0000-0000-0000782C0000}"/>
    <cellStyle name="Normal 3 2 3 4 3 14" xfId="12240" xr:uid="{00000000-0005-0000-0000-0000792C0000}"/>
    <cellStyle name="Normal 3 2 3 4 3 15" xfId="12241" xr:uid="{00000000-0005-0000-0000-00007A2C0000}"/>
    <cellStyle name="Normal 3 2 3 4 3 2" xfId="12242" xr:uid="{00000000-0005-0000-0000-00007B2C0000}"/>
    <cellStyle name="Normal 3 2 3 4 3 3" xfId="12243" xr:uid="{00000000-0005-0000-0000-00007C2C0000}"/>
    <cellStyle name="Normal 3 2 3 4 3 4" xfId="12244" xr:uid="{00000000-0005-0000-0000-00007D2C0000}"/>
    <cellStyle name="Normal 3 2 3 4 3 5" xfId="12245" xr:uid="{00000000-0005-0000-0000-00007E2C0000}"/>
    <cellStyle name="Normal 3 2 3 4 3 6" xfId="12246" xr:uid="{00000000-0005-0000-0000-00007F2C0000}"/>
    <cellStyle name="Normal 3 2 3 4 3 7" xfId="12247" xr:uid="{00000000-0005-0000-0000-0000802C0000}"/>
    <cellStyle name="Normal 3 2 3 4 3 8" xfId="12248" xr:uid="{00000000-0005-0000-0000-0000812C0000}"/>
    <cellStyle name="Normal 3 2 3 4 3 9" xfId="12249" xr:uid="{00000000-0005-0000-0000-0000822C0000}"/>
    <cellStyle name="Normal 3 2 3 4 4" xfId="12250" xr:uid="{00000000-0005-0000-0000-0000832C0000}"/>
    <cellStyle name="Normal 3 2 3 4 4 10" xfId="12251" xr:uid="{00000000-0005-0000-0000-0000842C0000}"/>
    <cellStyle name="Normal 3 2 3 4 4 11" xfId="12252" xr:uid="{00000000-0005-0000-0000-0000852C0000}"/>
    <cellStyle name="Normal 3 2 3 4 4 12" xfId="12253" xr:uid="{00000000-0005-0000-0000-0000862C0000}"/>
    <cellStyle name="Normal 3 2 3 4 4 13" xfId="12254" xr:uid="{00000000-0005-0000-0000-0000872C0000}"/>
    <cellStyle name="Normal 3 2 3 4 4 14" xfId="12255" xr:uid="{00000000-0005-0000-0000-0000882C0000}"/>
    <cellStyle name="Normal 3 2 3 4 4 15" xfId="12256" xr:uid="{00000000-0005-0000-0000-0000892C0000}"/>
    <cellStyle name="Normal 3 2 3 4 4 2" xfId="12257" xr:uid="{00000000-0005-0000-0000-00008A2C0000}"/>
    <cellStyle name="Normal 3 2 3 4 4 3" xfId="12258" xr:uid="{00000000-0005-0000-0000-00008B2C0000}"/>
    <cellStyle name="Normal 3 2 3 4 4 4" xfId="12259" xr:uid="{00000000-0005-0000-0000-00008C2C0000}"/>
    <cellStyle name="Normal 3 2 3 4 4 5" xfId="12260" xr:uid="{00000000-0005-0000-0000-00008D2C0000}"/>
    <cellStyle name="Normal 3 2 3 4 4 6" xfId="12261" xr:uid="{00000000-0005-0000-0000-00008E2C0000}"/>
    <cellStyle name="Normal 3 2 3 4 4 7" xfId="12262" xr:uid="{00000000-0005-0000-0000-00008F2C0000}"/>
    <cellStyle name="Normal 3 2 3 4 4 8" xfId="12263" xr:uid="{00000000-0005-0000-0000-0000902C0000}"/>
    <cellStyle name="Normal 3 2 3 4 4 9" xfId="12264" xr:uid="{00000000-0005-0000-0000-0000912C0000}"/>
    <cellStyle name="Normal 3 2 3 4 5" xfId="12265" xr:uid="{00000000-0005-0000-0000-0000922C0000}"/>
    <cellStyle name="Normal 3 2 3 4 5 10" xfId="12266" xr:uid="{00000000-0005-0000-0000-0000932C0000}"/>
    <cellStyle name="Normal 3 2 3 4 5 11" xfId="12267" xr:uid="{00000000-0005-0000-0000-0000942C0000}"/>
    <cellStyle name="Normal 3 2 3 4 5 12" xfId="12268" xr:uid="{00000000-0005-0000-0000-0000952C0000}"/>
    <cellStyle name="Normal 3 2 3 4 5 13" xfId="12269" xr:uid="{00000000-0005-0000-0000-0000962C0000}"/>
    <cellStyle name="Normal 3 2 3 4 5 14" xfId="12270" xr:uid="{00000000-0005-0000-0000-0000972C0000}"/>
    <cellStyle name="Normal 3 2 3 4 5 15" xfId="12271" xr:uid="{00000000-0005-0000-0000-0000982C0000}"/>
    <cellStyle name="Normal 3 2 3 4 5 2" xfId="12272" xr:uid="{00000000-0005-0000-0000-0000992C0000}"/>
    <cellStyle name="Normal 3 2 3 4 5 3" xfId="12273" xr:uid="{00000000-0005-0000-0000-00009A2C0000}"/>
    <cellStyle name="Normal 3 2 3 4 5 4" xfId="12274" xr:uid="{00000000-0005-0000-0000-00009B2C0000}"/>
    <cellStyle name="Normal 3 2 3 4 5 5" xfId="12275" xr:uid="{00000000-0005-0000-0000-00009C2C0000}"/>
    <cellStyle name="Normal 3 2 3 4 5 6" xfId="12276" xr:uid="{00000000-0005-0000-0000-00009D2C0000}"/>
    <cellStyle name="Normal 3 2 3 4 5 7" xfId="12277" xr:uid="{00000000-0005-0000-0000-00009E2C0000}"/>
    <cellStyle name="Normal 3 2 3 4 5 8" xfId="12278" xr:uid="{00000000-0005-0000-0000-00009F2C0000}"/>
    <cellStyle name="Normal 3 2 3 4 5 9" xfId="12279" xr:uid="{00000000-0005-0000-0000-0000A02C0000}"/>
    <cellStyle name="Normal 3 2 3 4 6" xfId="12280" xr:uid="{00000000-0005-0000-0000-0000A12C0000}"/>
    <cellStyle name="Normal 3 2 3 4 7" xfId="12281" xr:uid="{00000000-0005-0000-0000-0000A22C0000}"/>
    <cellStyle name="Normal 3 2 3 4 8" xfId="12282" xr:uid="{00000000-0005-0000-0000-0000A32C0000}"/>
    <cellStyle name="Normal 3 2 3 4 9" xfId="12283" xr:uid="{00000000-0005-0000-0000-0000A42C0000}"/>
    <cellStyle name="Normal 3 2 3 5" xfId="12284" xr:uid="{00000000-0005-0000-0000-0000A52C0000}"/>
    <cellStyle name="Normal 3 2 3 5 10" xfId="12285" xr:uid="{00000000-0005-0000-0000-0000A62C0000}"/>
    <cellStyle name="Normal 3 2 3 5 11" xfId="12286" xr:uid="{00000000-0005-0000-0000-0000A72C0000}"/>
    <cellStyle name="Normal 3 2 3 5 12" xfId="12287" xr:uid="{00000000-0005-0000-0000-0000A82C0000}"/>
    <cellStyle name="Normal 3 2 3 5 13" xfId="12288" xr:uid="{00000000-0005-0000-0000-0000A92C0000}"/>
    <cellStyle name="Normal 3 2 3 5 14" xfId="12289" xr:uid="{00000000-0005-0000-0000-0000AA2C0000}"/>
    <cellStyle name="Normal 3 2 3 5 15" xfId="12290" xr:uid="{00000000-0005-0000-0000-0000AB2C0000}"/>
    <cellStyle name="Normal 3 2 3 5 2" xfId="12291" xr:uid="{00000000-0005-0000-0000-0000AC2C0000}"/>
    <cellStyle name="Normal 3 2 3 5 3" xfId="12292" xr:uid="{00000000-0005-0000-0000-0000AD2C0000}"/>
    <cellStyle name="Normal 3 2 3 5 4" xfId="12293" xr:uid="{00000000-0005-0000-0000-0000AE2C0000}"/>
    <cellStyle name="Normal 3 2 3 5 5" xfId="12294" xr:uid="{00000000-0005-0000-0000-0000AF2C0000}"/>
    <cellStyle name="Normal 3 2 3 5 6" xfId="12295" xr:uid="{00000000-0005-0000-0000-0000B02C0000}"/>
    <cellStyle name="Normal 3 2 3 5 7" xfId="12296" xr:uid="{00000000-0005-0000-0000-0000B12C0000}"/>
    <cellStyle name="Normal 3 2 3 5 8" xfId="12297" xr:uid="{00000000-0005-0000-0000-0000B22C0000}"/>
    <cellStyle name="Normal 3 2 3 5 9" xfId="12298" xr:uid="{00000000-0005-0000-0000-0000B32C0000}"/>
    <cellStyle name="Normal 3 2 3 6" xfId="12299" xr:uid="{00000000-0005-0000-0000-0000B42C0000}"/>
    <cellStyle name="Normal 3 2 3 6 10" xfId="12300" xr:uid="{00000000-0005-0000-0000-0000B52C0000}"/>
    <cellStyle name="Normal 3 2 3 6 11" xfId="12301" xr:uid="{00000000-0005-0000-0000-0000B62C0000}"/>
    <cellStyle name="Normal 3 2 3 6 12" xfId="12302" xr:uid="{00000000-0005-0000-0000-0000B72C0000}"/>
    <cellStyle name="Normal 3 2 3 6 13" xfId="12303" xr:uid="{00000000-0005-0000-0000-0000B82C0000}"/>
    <cellStyle name="Normal 3 2 3 6 14" xfId="12304" xr:uid="{00000000-0005-0000-0000-0000B92C0000}"/>
    <cellStyle name="Normal 3 2 3 6 15" xfId="12305" xr:uid="{00000000-0005-0000-0000-0000BA2C0000}"/>
    <cellStyle name="Normal 3 2 3 6 2" xfId="12306" xr:uid="{00000000-0005-0000-0000-0000BB2C0000}"/>
    <cellStyle name="Normal 3 2 3 6 3" xfId="12307" xr:uid="{00000000-0005-0000-0000-0000BC2C0000}"/>
    <cellStyle name="Normal 3 2 3 6 4" xfId="12308" xr:uid="{00000000-0005-0000-0000-0000BD2C0000}"/>
    <cellStyle name="Normal 3 2 3 6 5" xfId="12309" xr:uid="{00000000-0005-0000-0000-0000BE2C0000}"/>
    <cellStyle name="Normal 3 2 3 6 6" xfId="12310" xr:uid="{00000000-0005-0000-0000-0000BF2C0000}"/>
    <cellStyle name="Normal 3 2 3 6 7" xfId="12311" xr:uid="{00000000-0005-0000-0000-0000C02C0000}"/>
    <cellStyle name="Normal 3 2 3 6 8" xfId="12312" xr:uid="{00000000-0005-0000-0000-0000C12C0000}"/>
    <cellStyle name="Normal 3 2 3 6 9" xfId="12313" xr:uid="{00000000-0005-0000-0000-0000C22C0000}"/>
    <cellStyle name="Normal 3 2 3 7" xfId="12314" xr:uid="{00000000-0005-0000-0000-0000C32C0000}"/>
    <cellStyle name="Normal 3 2 3 7 10" xfId="12315" xr:uid="{00000000-0005-0000-0000-0000C42C0000}"/>
    <cellStyle name="Normal 3 2 3 7 11" xfId="12316" xr:uid="{00000000-0005-0000-0000-0000C52C0000}"/>
    <cellStyle name="Normal 3 2 3 7 12" xfId="12317" xr:uid="{00000000-0005-0000-0000-0000C62C0000}"/>
    <cellStyle name="Normal 3 2 3 7 13" xfId="12318" xr:uid="{00000000-0005-0000-0000-0000C72C0000}"/>
    <cellStyle name="Normal 3 2 3 7 14" xfId="12319" xr:uid="{00000000-0005-0000-0000-0000C82C0000}"/>
    <cellStyle name="Normal 3 2 3 7 15" xfId="12320" xr:uid="{00000000-0005-0000-0000-0000C92C0000}"/>
    <cellStyle name="Normal 3 2 3 7 2" xfId="12321" xr:uid="{00000000-0005-0000-0000-0000CA2C0000}"/>
    <cellStyle name="Normal 3 2 3 7 3" xfId="12322" xr:uid="{00000000-0005-0000-0000-0000CB2C0000}"/>
    <cellStyle name="Normal 3 2 3 7 4" xfId="12323" xr:uid="{00000000-0005-0000-0000-0000CC2C0000}"/>
    <cellStyle name="Normal 3 2 3 7 5" xfId="12324" xr:uid="{00000000-0005-0000-0000-0000CD2C0000}"/>
    <cellStyle name="Normal 3 2 3 7 6" xfId="12325" xr:uid="{00000000-0005-0000-0000-0000CE2C0000}"/>
    <cellStyle name="Normal 3 2 3 7 7" xfId="12326" xr:uid="{00000000-0005-0000-0000-0000CF2C0000}"/>
    <cellStyle name="Normal 3 2 3 7 8" xfId="12327" xr:uid="{00000000-0005-0000-0000-0000D02C0000}"/>
    <cellStyle name="Normal 3 2 3 7 9" xfId="12328" xr:uid="{00000000-0005-0000-0000-0000D12C0000}"/>
    <cellStyle name="Normal 3 2 3 8" xfId="12329" xr:uid="{00000000-0005-0000-0000-0000D22C0000}"/>
    <cellStyle name="Normal 3 2 3 8 10" xfId="12330" xr:uid="{00000000-0005-0000-0000-0000D32C0000}"/>
    <cellStyle name="Normal 3 2 3 8 11" xfId="12331" xr:uid="{00000000-0005-0000-0000-0000D42C0000}"/>
    <cellStyle name="Normal 3 2 3 8 12" xfId="12332" xr:uid="{00000000-0005-0000-0000-0000D52C0000}"/>
    <cellStyle name="Normal 3 2 3 8 13" xfId="12333" xr:uid="{00000000-0005-0000-0000-0000D62C0000}"/>
    <cellStyle name="Normal 3 2 3 8 14" xfId="12334" xr:uid="{00000000-0005-0000-0000-0000D72C0000}"/>
    <cellStyle name="Normal 3 2 3 8 15" xfId="12335" xr:uid="{00000000-0005-0000-0000-0000D82C0000}"/>
    <cellStyle name="Normal 3 2 3 8 2" xfId="12336" xr:uid="{00000000-0005-0000-0000-0000D92C0000}"/>
    <cellStyle name="Normal 3 2 3 8 3" xfId="12337" xr:uid="{00000000-0005-0000-0000-0000DA2C0000}"/>
    <cellStyle name="Normal 3 2 3 8 4" xfId="12338" xr:uid="{00000000-0005-0000-0000-0000DB2C0000}"/>
    <cellStyle name="Normal 3 2 3 8 5" xfId="12339" xr:uid="{00000000-0005-0000-0000-0000DC2C0000}"/>
    <cellStyle name="Normal 3 2 3 8 6" xfId="12340" xr:uid="{00000000-0005-0000-0000-0000DD2C0000}"/>
    <cellStyle name="Normal 3 2 3 8 7" xfId="12341" xr:uid="{00000000-0005-0000-0000-0000DE2C0000}"/>
    <cellStyle name="Normal 3 2 3 8 8" xfId="12342" xr:uid="{00000000-0005-0000-0000-0000DF2C0000}"/>
    <cellStyle name="Normal 3 2 3 8 9" xfId="12343" xr:uid="{00000000-0005-0000-0000-0000E02C0000}"/>
    <cellStyle name="Normal 3 2 3 9" xfId="12344" xr:uid="{00000000-0005-0000-0000-0000E12C0000}"/>
    <cellStyle name="Normal 3 2 3 9 10" xfId="12345" xr:uid="{00000000-0005-0000-0000-0000E22C0000}"/>
    <cellStyle name="Normal 3 2 3 9 11" xfId="12346" xr:uid="{00000000-0005-0000-0000-0000E32C0000}"/>
    <cellStyle name="Normal 3 2 3 9 12" xfId="12347" xr:uid="{00000000-0005-0000-0000-0000E42C0000}"/>
    <cellStyle name="Normal 3 2 3 9 13" xfId="12348" xr:uid="{00000000-0005-0000-0000-0000E52C0000}"/>
    <cellStyle name="Normal 3 2 3 9 14" xfId="12349" xr:uid="{00000000-0005-0000-0000-0000E62C0000}"/>
    <cellStyle name="Normal 3 2 3 9 15" xfId="12350" xr:uid="{00000000-0005-0000-0000-0000E72C0000}"/>
    <cellStyle name="Normal 3 2 3 9 2" xfId="12351" xr:uid="{00000000-0005-0000-0000-0000E82C0000}"/>
    <cellStyle name="Normal 3 2 3 9 3" xfId="12352" xr:uid="{00000000-0005-0000-0000-0000E92C0000}"/>
    <cellStyle name="Normal 3 2 3 9 4" xfId="12353" xr:uid="{00000000-0005-0000-0000-0000EA2C0000}"/>
    <cellStyle name="Normal 3 2 3 9 5" xfId="12354" xr:uid="{00000000-0005-0000-0000-0000EB2C0000}"/>
    <cellStyle name="Normal 3 2 3 9 6" xfId="12355" xr:uid="{00000000-0005-0000-0000-0000EC2C0000}"/>
    <cellStyle name="Normal 3 2 3 9 7" xfId="12356" xr:uid="{00000000-0005-0000-0000-0000ED2C0000}"/>
    <cellStyle name="Normal 3 2 3 9 8" xfId="12357" xr:uid="{00000000-0005-0000-0000-0000EE2C0000}"/>
    <cellStyle name="Normal 3 2 3 9 9" xfId="12358" xr:uid="{00000000-0005-0000-0000-0000EF2C0000}"/>
    <cellStyle name="Normal 3 2 30" xfId="12359" xr:uid="{00000000-0005-0000-0000-0000F02C0000}"/>
    <cellStyle name="Normal 3 2 30 2" xfId="12360" xr:uid="{00000000-0005-0000-0000-0000F12C0000}"/>
    <cellStyle name="Normal 3 2 30 3" xfId="12361" xr:uid="{00000000-0005-0000-0000-0000F22C0000}"/>
    <cellStyle name="Normal 3 2 31" xfId="12362" xr:uid="{00000000-0005-0000-0000-0000F32C0000}"/>
    <cellStyle name="Normal 3 2 32" xfId="12363" xr:uid="{00000000-0005-0000-0000-0000F42C0000}"/>
    <cellStyle name="Normal 3 2 33" xfId="12364" xr:uid="{00000000-0005-0000-0000-0000F52C0000}"/>
    <cellStyle name="Normal 3 2 34" xfId="12365" xr:uid="{00000000-0005-0000-0000-0000F62C0000}"/>
    <cellStyle name="Normal 3 2 35" xfId="12366" xr:uid="{00000000-0005-0000-0000-0000F72C0000}"/>
    <cellStyle name="Normal 3 2 36" xfId="12367" xr:uid="{00000000-0005-0000-0000-0000F82C0000}"/>
    <cellStyle name="Normal 3 2 37" xfId="12368" xr:uid="{00000000-0005-0000-0000-0000F92C0000}"/>
    <cellStyle name="Normal 3 2 38" xfId="12369" xr:uid="{00000000-0005-0000-0000-0000FA2C0000}"/>
    <cellStyle name="Normal 3 2 39" xfId="12370" xr:uid="{00000000-0005-0000-0000-0000FB2C0000}"/>
    <cellStyle name="Normal 3 2 4" xfId="12371" xr:uid="{00000000-0005-0000-0000-0000FC2C0000}"/>
    <cellStyle name="Normal 3 2 4 10" xfId="12372" xr:uid="{00000000-0005-0000-0000-0000FD2C0000}"/>
    <cellStyle name="Normal 3 2 4 11" xfId="12373" xr:uid="{00000000-0005-0000-0000-0000FE2C0000}"/>
    <cellStyle name="Normal 3 2 4 12" xfId="12374" xr:uid="{00000000-0005-0000-0000-0000FF2C0000}"/>
    <cellStyle name="Normal 3 2 4 13" xfId="12375" xr:uid="{00000000-0005-0000-0000-0000002D0000}"/>
    <cellStyle name="Normal 3 2 4 14" xfId="12376" xr:uid="{00000000-0005-0000-0000-0000012D0000}"/>
    <cellStyle name="Normal 3 2 4 15" xfId="12377" xr:uid="{00000000-0005-0000-0000-0000022D0000}"/>
    <cellStyle name="Normal 3 2 4 16" xfId="12378" xr:uid="{00000000-0005-0000-0000-0000032D0000}"/>
    <cellStyle name="Normal 3 2 4 17" xfId="12379" xr:uid="{00000000-0005-0000-0000-0000042D0000}"/>
    <cellStyle name="Normal 3 2 4 18" xfId="12380" xr:uid="{00000000-0005-0000-0000-0000052D0000}"/>
    <cellStyle name="Normal 3 2 4 19" xfId="12381" xr:uid="{00000000-0005-0000-0000-0000062D0000}"/>
    <cellStyle name="Normal 3 2 4 2" xfId="12382" xr:uid="{00000000-0005-0000-0000-0000072D0000}"/>
    <cellStyle name="Normal 3 2 4 2 10" xfId="12383" xr:uid="{00000000-0005-0000-0000-0000082D0000}"/>
    <cellStyle name="Normal 3 2 4 2 11" xfId="12384" xr:uid="{00000000-0005-0000-0000-0000092D0000}"/>
    <cellStyle name="Normal 3 2 4 2 12" xfId="12385" xr:uid="{00000000-0005-0000-0000-00000A2D0000}"/>
    <cellStyle name="Normal 3 2 4 2 13" xfId="12386" xr:uid="{00000000-0005-0000-0000-00000B2D0000}"/>
    <cellStyle name="Normal 3 2 4 2 14" xfId="12387" xr:uid="{00000000-0005-0000-0000-00000C2D0000}"/>
    <cellStyle name="Normal 3 2 4 2 15" xfId="12388" xr:uid="{00000000-0005-0000-0000-00000D2D0000}"/>
    <cellStyle name="Normal 3 2 4 2 16" xfId="12389" xr:uid="{00000000-0005-0000-0000-00000E2D0000}"/>
    <cellStyle name="Normal 3 2 4 2 17" xfId="12390" xr:uid="{00000000-0005-0000-0000-00000F2D0000}"/>
    <cellStyle name="Normal 3 2 4 2 18" xfId="12391" xr:uid="{00000000-0005-0000-0000-0000102D0000}"/>
    <cellStyle name="Normal 3 2 4 2 19" xfId="12392" xr:uid="{00000000-0005-0000-0000-0000112D0000}"/>
    <cellStyle name="Normal 3 2 4 2 2" xfId="12393" xr:uid="{00000000-0005-0000-0000-0000122D0000}"/>
    <cellStyle name="Normal 3 2 4 2 2 10" xfId="12394" xr:uid="{00000000-0005-0000-0000-0000132D0000}"/>
    <cellStyle name="Normal 3 2 4 2 2 11" xfId="12395" xr:uid="{00000000-0005-0000-0000-0000142D0000}"/>
    <cellStyle name="Normal 3 2 4 2 2 12" xfId="12396" xr:uid="{00000000-0005-0000-0000-0000152D0000}"/>
    <cellStyle name="Normal 3 2 4 2 2 13" xfId="12397" xr:uid="{00000000-0005-0000-0000-0000162D0000}"/>
    <cellStyle name="Normal 3 2 4 2 2 14" xfId="12398" xr:uid="{00000000-0005-0000-0000-0000172D0000}"/>
    <cellStyle name="Normal 3 2 4 2 2 15" xfId="12399" xr:uid="{00000000-0005-0000-0000-0000182D0000}"/>
    <cellStyle name="Normal 3 2 4 2 2 2" xfId="12400" xr:uid="{00000000-0005-0000-0000-0000192D0000}"/>
    <cellStyle name="Normal 3 2 4 2 2 3" xfId="12401" xr:uid="{00000000-0005-0000-0000-00001A2D0000}"/>
    <cellStyle name="Normal 3 2 4 2 2 4" xfId="12402" xr:uid="{00000000-0005-0000-0000-00001B2D0000}"/>
    <cellStyle name="Normal 3 2 4 2 2 5" xfId="12403" xr:uid="{00000000-0005-0000-0000-00001C2D0000}"/>
    <cellStyle name="Normal 3 2 4 2 2 6" xfId="12404" xr:uid="{00000000-0005-0000-0000-00001D2D0000}"/>
    <cellStyle name="Normal 3 2 4 2 2 7" xfId="12405" xr:uid="{00000000-0005-0000-0000-00001E2D0000}"/>
    <cellStyle name="Normal 3 2 4 2 2 8" xfId="12406" xr:uid="{00000000-0005-0000-0000-00001F2D0000}"/>
    <cellStyle name="Normal 3 2 4 2 2 9" xfId="12407" xr:uid="{00000000-0005-0000-0000-0000202D0000}"/>
    <cellStyle name="Normal 3 2 4 2 3" xfId="12408" xr:uid="{00000000-0005-0000-0000-0000212D0000}"/>
    <cellStyle name="Normal 3 2 4 2 3 10" xfId="12409" xr:uid="{00000000-0005-0000-0000-0000222D0000}"/>
    <cellStyle name="Normal 3 2 4 2 3 11" xfId="12410" xr:uid="{00000000-0005-0000-0000-0000232D0000}"/>
    <cellStyle name="Normal 3 2 4 2 3 12" xfId="12411" xr:uid="{00000000-0005-0000-0000-0000242D0000}"/>
    <cellStyle name="Normal 3 2 4 2 3 13" xfId="12412" xr:uid="{00000000-0005-0000-0000-0000252D0000}"/>
    <cellStyle name="Normal 3 2 4 2 3 14" xfId="12413" xr:uid="{00000000-0005-0000-0000-0000262D0000}"/>
    <cellStyle name="Normal 3 2 4 2 3 15" xfId="12414" xr:uid="{00000000-0005-0000-0000-0000272D0000}"/>
    <cellStyle name="Normal 3 2 4 2 3 2" xfId="12415" xr:uid="{00000000-0005-0000-0000-0000282D0000}"/>
    <cellStyle name="Normal 3 2 4 2 3 3" xfId="12416" xr:uid="{00000000-0005-0000-0000-0000292D0000}"/>
    <cellStyle name="Normal 3 2 4 2 3 4" xfId="12417" xr:uid="{00000000-0005-0000-0000-00002A2D0000}"/>
    <cellStyle name="Normal 3 2 4 2 3 5" xfId="12418" xr:uid="{00000000-0005-0000-0000-00002B2D0000}"/>
    <cellStyle name="Normal 3 2 4 2 3 6" xfId="12419" xr:uid="{00000000-0005-0000-0000-00002C2D0000}"/>
    <cellStyle name="Normal 3 2 4 2 3 7" xfId="12420" xr:uid="{00000000-0005-0000-0000-00002D2D0000}"/>
    <cellStyle name="Normal 3 2 4 2 3 8" xfId="12421" xr:uid="{00000000-0005-0000-0000-00002E2D0000}"/>
    <cellStyle name="Normal 3 2 4 2 3 9" xfId="12422" xr:uid="{00000000-0005-0000-0000-00002F2D0000}"/>
    <cellStyle name="Normal 3 2 4 2 4" xfId="12423" xr:uid="{00000000-0005-0000-0000-0000302D0000}"/>
    <cellStyle name="Normal 3 2 4 2 4 10" xfId="12424" xr:uid="{00000000-0005-0000-0000-0000312D0000}"/>
    <cellStyle name="Normal 3 2 4 2 4 11" xfId="12425" xr:uid="{00000000-0005-0000-0000-0000322D0000}"/>
    <cellStyle name="Normal 3 2 4 2 4 12" xfId="12426" xr:uid="{00000000-0005-0000-0000-0000332D0000}"/>
    <cellStyle name="Normal 3 2 4 2 4 13" xfId="12427" xr:uid="{00000000-0005-0000-0000-0000342D0000}"/>
    <cellStyle name="Normal 3 2 4 2 4 14" xfId="12428" xr:uid="{00000000-0005-0000-0000-0000352D0000}"/>
    <cellStyle name="Normal 3 2 4 2 4 15" xfId="12429" xr:uid="{00000000-0005-0000-0000-0000362D0000}"/>
    <cellStyle name="Normal 3 2 4 2 4 2" xfId="12430" xr:uid="{00000000-0005-0000-0000-0000372D0000}"/>
    <cellStyle name="Normal 3 2 4 2 4 3" xfId="12431" xr:uid="{00000000-0005-0000-0000-0000382D0000}"/>
    <cellStyle name="Normal 3 2 4 2 4 4" xfId="12432" xr:uid="{00000000-0005-0000-0000-0000392D0000}"/>
    <cellStyle name="Normal 3 2 4 2 4 5" xfId="12433" xr:uid="{00000000-0005-0000-0000-00003A2D0000}"/>
    <cellStyle name="Normal 3 2 4 2 4 6" xfId="12434" xr:uid="{00000000-0005-0000-0000-00003B2D0000}"/>
    <cellStyle name="Normal 3 2 4 2 4 7" xfId="12435" xr:uid="{00000000-0005-0000-0000-00003C2D0000}"/>
    <cellStyle name="Normal 3 2 4 2 4 8" xfId="12436" xr:uid="{00000000-0005-0000-0000-00003D2D0000}"/>
    <cellStyle name="Normal 3 2 4 2 4 9" xfId="12437" xr:uid="{00000000-0005-0000-0000-00003E2D0000}"/>
    <cellStyle name="Normal 3 2 4 2 5" xfId="12438" xr:uid="{00000000-0005-0000-0000-00003F2D0000}"/>
    <cellStyle name="Normal 3 2 4 2 5 10" xfId="12439" xr:uid="{00000000-0005-0000-0000-0000402D0000}"/>
    <cellStyle name="Normal 3 2 4 2 5 11" xfId="12440" xr:uid="{00000000-0005-0000-0000-0000412D0000}"/>
    <cellStyle name="Normal 3 2 4 2 5 12" xfId="12441" xr:uid="{00000000-0005-0000-0000-0000422D0000}"/>
    <cellStyle name="Normal 3 2 4 2 5 13" xfId="12442" xr:uid="{00000000-0005-0000-0000-0000432D0000}"/>
    <cellStyle name="Normal 3 2 4 2 5 14" xfId="12443" xr:uid="{00000000-0005-0000-0000-0000442D0000}"/>
    <cellStyle name="Normal 3 2 4 2 5 15" xfId="12444" xr:uid="{00000000-0005-0000-0000-0000452D0000}"/>
    <cellStyle name="Normal 3 2 4 2 5 2" xfId="12445" xr:uid="{00000000-0005-0000-0000-0000462D0000}"/>
    <cellStyle name="Normal 3 2 4 2 5 3" xfId="12446" xr:uid="{00000000-0005-0000-0000-0000472D0000}"/>
    <cellStyle name="Normal 3 2 4 2 5 4" xfId="12447" xr:uid="{00000000-0005-0000-0000-0000482D0000}"/>
    <cellStyle name="Normal 3 2 4 2 5 5" xfId="12448" xr:uid="{00000000-0005-0000-0000-0000492D0000}"/>
    <cellStyle name="Normal 3 2 4 2 5 6" xfId="12449" xr:uid="{00000000-0005-0000-0000-00004A2D0000}"/>
    <cellStyle name="Normal 3 2 4 2 5 7" xfId="12450" xr:uid="{00000000-0005-0000-0000-00004B2D0000}"/>
    <cellStyle name="Normal 3 2 4 2 5 8" xfId="12451" xr:uid="{00000000-0005-0000-0000-00004C2D0000}"/>
    <cellStyle name="Normal 3 2 4 2 5 9" xfId="12452" xr:uid="{00000000-0005-0000-0000-00004D2D0000}"/>
    <cellStyle name="Normal 3 2 4 2 6" xfId="12453" xr:uid="{00000000-0005-0000-0000-00004E2D0000}"/>
    <cellStyle name="Normal 3 2 4 2 7" xfId="12454" xr:uid="{00000000-0005-0000-0000-00004F2D0000}"/>
    <cellStyle name="Normal 3 2 4 2 8" xfId="12455" xr:uid="{00000000-0005-0000-0000-0000502D0000}"/>
    <cellStyle name="Normal 3 2 4 2 9" xfId="12456" xr:uid="{00000000-0005-0000-0000-0000512D0000}"/>
    <cellStyle name="Normal 3 2 4 20" xfId="12457" xr:uid="{00000000-0005-0000-0000-0000522D0000}"/>
    <cellStyle name="Normal 3 2 4 21" xfId="12458" xr:uid="{00000000-0005-0000-0000-0000532D0000}"/>
    <cellStyle name="Normal 3 2 4 22" xfId="12459" xr:uid="{00000000-0005-0000-0000-0000542D0000}"/>
    <cellStyle name="Normal 3 2 4 3" xfId="12460" xr:uid="{00000000-0005-0000-0000-0000552D0000}"/>
    <cellStyle name="Normal 3 2 4 3 10" xfId="12461" xr:uid="{00000000-0005-0000-0000-0000562D0000}"/>
    <cellStyle name="Normal 3 2 4 3 11" xfId="12462" xr:uid="{00000000-0005-0000-0000-0000572D0000}"/>
    <cellStyle name="Normal 3 2 4 3 12" xfId="12463" xr:uid="{00000000-0005-0000-0000-0000582D0000}"/>
    <cellStyle name="Normal 3 2 4 3 13" xfId="12464" xr:uid="{00000000-0005-0000-0000-0000592D0000}"/>
    <cellStyle name="Normal 3 2 4 3 14" xfId="12465" xr:uid="{00000000-0005-0000-0000-00005A2D0000}"/>
    <cellStyle name="Normal 3 2 4 3 15" xfId="12466" xr:uid="{00000000-0005-0000-0000-00005B2D0000}"/>
    <cellStyle name="Normal 3 2 4 3 16" xfId="12467" xr:uid="{00000000-0005-0000-0000-00005C2D0000}"/>
    <cellStyle name="Normal 3 2 4 3 17" xfId="12468" xr:uid="{00000000-0005-0000-0000-00005D2D0000}"/>
    <cellStyle name="Normal 3 2 4 3 18" xfId="12469" xr:uid="{00000000-0005-0000-0000-00005E2D0000}"/>
    <cellStyle name="Normal 3 2 4 3 19" xfId="12470" xr:uid="{00000000-0005-0000-0000-00005F2D0000}"/>
    <cellStyle name="Normal 3 2 4 3 2" xfId="12471" xr:uid="{00000000-0005-0000-0000-0000602D0000}"/>
    <cellStyle name="Normal 3 2 4 3 2 10" xfId="12472" xr:uid="{00000000-0005-0000-0000-0000612D0000}"/>
    <cellStyle name="Normal 3 2 4 3 2 11" xfId="12473" xr:uid="{00000000-0005-0000-0000-0000622D0000}"/>
    <cellStyle name="Normal 3 2 4 3 2 12" xfId="12474" xr:uid="{00000000-0005-0000-0000-0000632D0000}"/>
    <cellStyle name="Normal 3 2 4 3 2 13" xfId="12475" xr:uid="{00000000-0005-0000-0000-0000642D0000}"/>
    <cellStyle name="Normal 3 2 4 3 2 14" xfId="12476" xr:uid="{00000000-0005-0000-0000-0000652D0000}"/>
    <cellStyle name="Normal 3 2 4 3 2 15" xfId="12477" xr:uid="{00000000-0005-0000-0000-0000662D0000}"/>
    <cellStyle name="Normal 3 2 4 3 2 2" xfId="12478" xr:uid="{00000000-0005-0000-0000-0000672D0000}"/>
    <cellStyle name="Normal 3 2 4 3 2 3" xfId="12479" xr:uid="{00000000-0005-0000-0000-0000682D0000}"/>
    <cellStyle name="Normal 3 2 4 3 2 4" xfId="12480" xr:uid="{00000000-0005-0000-0000-0000692D0000}"/>
    <cellStyle name="Normal 3 2 4 3 2 5" xfId="12481" xr:uid="{00000000-0005-0000-0000-00006A2D0000}"/>
    <cellStyle name="Normal 3 2 4 3 2 6" xfId="12482" xr:uid="{00000000-0005-0000-0000-00006B2D0000}"/>
    <cellStyle name="Normal 3 2 4 3 2 7" xfId="12483" xr:uid="{00000000-0005-0000-0000-00006C2D0000}"/>
    <cellStyle name="Normal 3 2 4 3 2 8" xfId="12484" xr:uid="{00000000-0005-0000-0000-00006D2D0000}"/>
    <cellStyle name="Normal 3 2 4 3 2 9" xfId="12485" xr:uid="{00000000-0005-0000-0000-00006E2D0000}"/>
    <cellStyle name="Normal 3 2 4 3 3" xfId="12486" xr:uid="{00000000-0005-0000-0000-00006F2D0000}"/>
    <cellStyle name="Normal 3 2 4 3 3 10" xfId="12487" xr:uid="{00000000-0005-0000-0000-0000702D0000}"/>
    <cellStyle name="Normal 3 2 4 3 3 11" xfId="12488" xr:uid="{00000000-0005-0000-0000-0000712D0000}"/>
    <cellStyle name="Normal 3 2 4 3 3 12" xfId="12489" xr:uid="{00000000-0005-0000-0000-0000722D0000}"/>
    <cellStyle name="Normal 3 2 4 3 3 13" xfId="12490" xr:uid="{00000000-0005-0000-0000-0000732D0000}"/>
    <cellStyle name="Normal 3 2 4 3 3 14" xfId="12491" xr:uid="{00000000-0005-0000-0000-0000742D0000}"/>
    <cellStyle name="Normal 3 2 4 3 3 15" xfId="12492" xr:uid="{00000000-0005-0000-0000-0000752D0000}"/>
    <cellStyle name="Normal 3 2 4 3 3 2" xfId="12493" xr:uid="{00000000-0005-0000-0000-0000762D0000}"/>
    <cellStyle name="Normal 3 2 4 3 3 3" xfId="12494" xr:uid="{00000000-0005-0000-0000-0000772D0000}"/>
    <cellStyle name="Normal 3 2 4 3 3 4" xfId="12495" xr:uid="{00000000-0005-0000-0000-0000782D0000}"/>
    <cellStyle name="Normal 3 2 4 3 3 5" xfId="12496" xr:uid="{00000000-0005-0000-0000-0000792D0000}"/>
    <cellStyle name="Normal 3 2 4 3 3 6" xfId="12497" xr:uid="{00000000-0005-0000-0000-00007A2D0000}"/>
    <cellStyle name="Normal 3 2 4 3 3 7" xfId="12498" xr:uid="{00000000-0005-0000-0000-00007B2D0000}"/>
    <cellStyle name="Normal 3 2 4 3 3 8" xfId="12499" xr:uid="{00000000-0005-0000-0000-00007C2D0000}"/>
    <cellStyle name="Normal 3 2 4 3 3 9" xfId="12500" xr:uid="{00000000-0005-0000-0000-00007D2D0000}"/>
    <cellStyle name="Normal 3 2 4 3 4" xfId="12501" xr:uid="{00000000-0005-0000-0000-00007E2D0000}"/>
    <cellStyle name="Normal 3 2 4 3 4 10" xfId="12502" xr:uid="{00000000-0005-0000-0000-00007F2D0000}"/>
    <cellStyle name="Normal 3 2 4 3 4 11" xfId="12503" xr:uid="{00000000-0005-0000-0000-0000802D0000}"/>
    <cellStyle name="Normal 3 2 4 3 4 12" xfId="12504" xr:uid="{00000000-0005-0000-0000-0000812D0000}"/>
    <cellStyle name="Normal 3 2 4 3 4 13" xfId="12505" xr:uid="{00000000-0005-0000-0000-0000822D0000}"/>
    <cellStyle name="Normal 3 2 4 3 4 14" xfId="12506" xr:uid="{00000000-0005-0000-0000-0000832D0000}"/>
    <cellStyle name="Normal 3 2 4 3 4 15" xfId="12507" xr:uid="{00000000-0005-0000-0000-0000842D0000}"/>
    <cellStyle name="Normal 3 2 4 3 4 2" xfId="12508" xr:uid="{00000000-0005-0000-0000-0000852D0000}"/>
    <cellStyle name="Normal 3 2 4 3 4 3" xfId="12509" xr:uid="{00000000-0005-0000-0000-0000862D0000}"/>
    <cellStyle name="Normal 3 2 4 3 4 4" xfId="12510" xr:uid="{00000000-0005-0000-0000-0000872D0000}"/>
    <cellStyle name="Normal 3 2 4 3 4 5" xfId="12511" xr:uid="{00000000-0005-0000-0000-0000882D0000}"/>
    <cellStyle name="Normal 3 2 4 3 4 6" xfId="12512" xr:uid="{00000000-0005-0000-0000-0000892D0000}"/>
    <cellStyle name="Normal 3 2 4 3 4 7" xfId="12513" xr:uid="{00000000-0005-0000-0000-00008A2D0000}"/>
    <cellStyle name="Normal 3 2 4 3 4 8" xfId="12514" xr:uid="{00000000-0005-0000-0000-00008B2D0000}"/>
    <cellStyle name="Normal 3 2 4 3 4 9" xfId="12515" xr:uid="{00000000-0005-0000-0000-00008C2D0000}"/>
    <cellStyle name="Normal 3 2 4 3 5" xfId="12516" xr:uid="{00000000-0005-0000-0000-00008D2D0000}"/>
    <cellStyle name="Normal 3 2 4 3 5 10" xfId="12517" xr:uid="{00000000-0005-0000-0000-00008E2D0000}"/>
    <cellStyle name="Normal 3 2 4 3 5 11" xfId="12518" xr:uid="{00000000-0005-0000-0000-00008F2D0000}"/>
    <cellStyle name="Normal 3 2 4 3 5 12" xfId="12519" xr:uid="{00000000-0005-0000-0000-0000902D0000}"/>
    <cellStyle name="Normal 3 2 4 3 5 13" xfId="12520" xr:uid="{00000000-0005-0000-0000-0000912D0000}"/>
    <cellStyle name="Normal 3 2 4 3 5 14" xfId="12521" xr:uid="{00000000-0005-0000-0000-0000922D0000}"/>
    <cellStyle name="Normal 3 2 4 3 5 15" xfId="12522" xr:uid="{00000000-0005-0000-0000-0000932D0000}"/>
    <cellStyle name="Normal 3 2 4 3 5 2" xfId="12523" xr:uid="{00000000-0005-0000-0000-0000942D0000}"/>
    <cellStyle name="Normal 3 2 4 3 5 3" xfId="12524" xr:uid="{00000000-0005-0000-0000-0000952D0000}"/>
    <cellStyle name="Normal 3 2 4 3 5 4" xfId="12525" xr:uid="{00000000-0005-0000-0000-0000962D0000}"/>
    <cellStyle name="Normal 3 2 4 3 5 5" xfId="12526" xr:uid="{00000000-0005-0000-0000-0000972D0000}"/>
    <cellStyle name="Normal 3 2 4 3 5 6" xfId="12527" xr:uid="{00000000-0005-0000-0000-0000982D0000}"/>
    <cellStyle name="Normal 3 2 4 3 5 7" xfId="12528" xr:uid="{00000000-0005-0000-0000-0000992D0000}"/>
    <cellStyle name="Normal 3 2 4 3 5 8" xfId="12529" xr:uid="{00000000-0005-0000-0000-00009A2D0000}"/>
    <cellStyle name="Normal 3 2 4 3 5 9" xfId="12530" xr:uid="{00000000-0005-0000-0000-00009B2D0000}"/>
    <cellStyle name="Normal 3 2 4 3 6" xfId="12531" xr:uid="{00000000-0005-0000-0000-00009C2D0000}"/>
    <cellStyle name="Normal 3 2 4 3 7" xfId="12532" xr:uid="{00000000-0005-0000-0000-00009D2D0000}"/>
    <cellStyle name="Normal 3 2 4 3 8" xfId="12533" xr:uid="{00000000-0005-0000-0000-00009E2D0000}"/>
    <cellStyle name="Normal 3 2 4 3 9" xfId="12534" xr:uid="{00000000-0005-0000-0000-00009F2D0000}"/>
    <cellStyle name="Normal 3 2 4 4" xfId="12535" xr:uid="{00000000-0005-0000-0000-0000A02D0000}"/>
    <cellStyle name="Normal 3 2 4 4 10" xfId="12536" xr:uid="{00000000-0005-0000-0000-0000A12D0000}"/>
    <cellStyle name="Normal 3 2 4 4 11" xfId="12537" xr:uid="{00000000-0005-0000-0000-0000A22D0000}"/>
    <cellStyle name="Normal 3 2 4 4 12" xfId="12538" xr:uid="{00000000-0005-0000-0000-0000A32D0000}"/>
    <cellStyle name="Normal 3 2 4 4 13" xfId="12539" xr:uid="{00000000-0005-0000-0000-0000A42D0000}"/>
    <cellStyle name="Normal 3 2 4 4 14" xfId="12540" xr:uid="{00000000-0005-0000-0000-0000A52D0000}"/>
    <cellStyle name="Normal 3 2 4 4 15" xfId="12541" xr:uid="{00000000-0005-0000-0000-0000A62D0000}"/>
    <cellStyle name="Normal 3 2 4 4 16" xfId="12542" xr:uid="{00000000-0005-0000-0000-0000A72D0000}"/>
    <cellStyle name="Normal 3 2 4 4 17" xfId="12543" xr:uid="{00000000-0005-0000-0000-0000A82D0000}"/>
    <cellStyle name="Normal 3 2 4 4 18" xfId="12544" xr:uid="{00000000-0005-0000-0000-0000A92D0000}"/>
    <cellStyle name="Normal 3 2 4 4 19" xfId="12545" xr:uid="{00000000-0005-0000-0000-0000AA2D0000}"/>
    <cellStyle name="Normal 3 2 4 4 2" xfId="12546" xr:uid="{00000000-0005-0000-0000-0000AB2D0000}"/>
    <cellStyle name="Normal 3 2 4 4 2 10" xfId="12547" xr:uid="{00000000-0005-0000-0000-0000AC2D0000}"/>
    <cellStyle name="Normal 3 2 4 4 2 11" xfId="12548" xr:uid="{00000000-0005-0000-0000-0000AD2D0000}"/>
    <cellStyle name="Normal 3 2 4 4 2 12" xfId="12549" xr:uid="{00000000-0005-0000-0000-0000AE2D0000}"/>
    <cellStyle name="Normal 3 2 4 4 2 13" xfId="12550" xr:uid="{00000000-0005-0000-0000-0000AF2D0000}"/>
    <cellStyle name="Normal 3 2 4 4 2 14" xfId="12551" xr:uid="{00000000-0005-0000-0000-0000B02D0000}"/>
    <cellStyle name="Normal 3 2 4 4 2 15" xfId="12552" xr:uid="{00000000-0005-0000-0000-0000B12D0000}"/>
    <cellStyle name="Normal 3 2 4 4 2 2" xfId="12553" xr:uid="{00000000-0005-0000-0000-0000B22D0000}"/>
    <cellStyle name="Normal 3 2 4 4 2 3" xfId="12554" xr:uid="{00000000-0005-0000-0000-0000B32D0000}"/>
    <cellStyle name="Normal 3 2 4 4 2 4" xfId="12555" xr:uid="{00000000-0005-0000-0000-0000B42D0000}"/>
    <cellStyle name="Normal 3 2 4 4 2 5" xfId="12556" xr:uid="{00000000-0005-0000-0000-0000B52D0000}"/>
    <cellStyle name="Normal 3 2 4 4 2 6" xfId="12557" xr:uid="{00000000-0005-0000-0000-0000B62D0000}"/>
    <cellStyle name="Normal 3 2 4 4 2 7" xfId="12558" xr:uid="{00000000-0005-0000-0000-0000B72D0000}"/>
    <cellStyle name="Normal 3 2 4 4 2 8" xfId="12559" xr:uid="{00000000-0005-0000-0000-0000B82D0000}"/>
    <cellStyle name="Normal 3 2 4 4 2 9" xfId="12560" xr:uid="{00000000-0005-0000-0000-0000B92D0000}"/>
    <cellStyle name="Normal 3 2 4 4 3" xfId="12561" xr:uid="{00000000-0005-0000-0000-0000BA2D0000}"/>
    <cellStyle name="Normal 3 2 4 4 3 10" xfId="12562" xr:uid="{00000000-0005-0000-0000-0000BB2D0000}"/>
    <cellStyle name="Normal 3 2 4 4 3 11" xfId="12563" xr:uid="{00000000-0005-0000-0000-0000BC2D0000}"/>
    <cellStyle name="Normal 3 2 4 4 3 12" xfId="12564" xr:uid="{00000000-0005-0000-0000-0000BD2D0000}"/>
    <cellStyle name="Normal 3 2 4 4 3 13" xfId="12565" xr:uid="{00000000-0005-0000-0000-0000BE2D0000}"/>
    <cellStyle name="Normal 3 2 4 4 3 14" xfId="12566" xr:uid="{00000000-0005-0000-0000-0000BF2D0000}"/>
    <cellStyle name="Normal 3 2 4 4 3 15" xfId="12567" xr:uid="{00000000-0005-0000-0000-0000C02D0000}"/>
    <cellStyle name="Normal 3 2 4 4 3 2" xfId="12568" xr:uid="{00000000-0005-0000-0000-0000C12D0000}"/>
    <cellStyle name="Normal 3 2 4 4 3 3" xfId="12569" xr:uid="{00000000-0005-0000-0000-0000C22D0000}"/>
    <cellStyle name="Normal 3 2 4 4 3 4" xfId="12570" xr:uid="{00000000-0005-0000-0000-0000C32D0000}"/>
    <cellStyle name="Normal 3 2 4 4 3 5" xfId="12571" xr:uid="{00000000-0005-0000-0000-0000C42D0000}"/>
    <cellStyle name="Normal 3 2 4 4 3 6" xfId="12572" xr:uid="{00000000-0005-0000-0000-0000C52D0000}"/>
    <cellStyle name="Normal 3 2 4 4 3 7" xfId="12573" xr:uid="{00000000-0005-0000-0000-0000C62D0000}"/>
    <cellStyle name="Normal 3 2 4 4 3 8" xfId="12574" xr:uid="{00000000-0005-0000-0000-0000C72D0000}"/>
    <cellStyle name="Normal 3 2 4 4 3 9" xfId="12575" xr:uid="{00000000-0005-0000-0000-0000C82D0000}"/>
    <cellStyle name="Normal 3 2 4 4 4" xfId="12576" xr:uid="{00000000-0005-0000-0000-0000C92D0000}"/>
    <cellStyle name="Normal 3 2 4 4 4 10" xfId="12577" xr:uid="{00000000-0005-0000-0000-0000CA2D0000}"/>
    <cellStyle name="Normal 3 2 4 4 4 11" xfId="12578" xr:uid="{00000000-0005-0000-0000-0000CB2D0000}"/>
    <cellStyle name="Normal 3 2 4 4 4 12" xfId="12579" xr:uid="{00000000-0005-0000-0000-0000CC2D0000}"/>
    <cellStyle name="Normal 3 2 4 4 4 13" xfId="12580" xr:uid="{00000000-0005-0000-0000-0000CD2D0000}"/>
    <cellStyle name="Normal 3 2 4 4 4 14" xfId="12581" xr:uid="{00000000-0005-0000-0000-0000CE2D0000}"/>
    <cellStyle name="Normal 3 2 4 4 4 15" xfId="12582" xr:uid="{00000000-0005-0000-0000-0000CF2D0000}"/>
    <cellStyle name="Normal 3 2 4 4 4 2" xfId="12583" xr:uid="{00000000-0005-0000-0000-0000D02D0000}"/>
    <cellStyle name="Normal 3 2 4 4 4 3" xfId="12584" xr:uid="{00000000-0005-0000-0000-0000D12D0000}"/>
    <cellStyle name="Normal 3 2 4 4 4 4" xfId="12585" xr:uid="{00000000-0005-0000-0000-0000D22D0000}"/>
    <cellStyle name="Normal 3 2 4 4 4 5" xfId="12586" xr:uid="{00000000-0005-0000-0000-0000D32D0000}"/>
    <cellStyle name="Normal 3 2 4 4 4 6" xfId="12587" xr:uid="{00000000-0005-0000-0000-0000D42D0000}"/>
    <cellStyle name="Normal 3 2 4 4 4 7" xfId="12588" xr:uid="{00000000-0005-0000-0000-0000D52D0000}"/>
    <cellStyle name="Normal 3 2 4 4 4 8" xfId="12589" xr:uid="{00000000-0005-0000-0000-0000D62D0000}"/>
    <cellStyle name="Normal 3 2 4 4 4 9" xfId="12590" xr:uid="{00000000-0005-0000-0000-0000D72D0000}"/>
    <cellStyle name="Normal 3 2 4 4 5" xfId="12591" xr:uid="{00000000-0005-0000-0000-0000D82D0000}"/>
    <cellStyle name="Normal 3 2 4 4 5 10" xfId="12592" xr:uid="{00000000-0005-0000-0000-0000D92D0000}"/>
    <cellStyle name="Normal 3 2 4 4 5 11" xfId="12593" xr:uid="{00000000-0005-0000-0000-0000DA2D0000}"/>
    <cellStyle name="Normal 3 2 4 4 5 12" xfId="12594" xr:uid="{00000000-0005-0000-0000-0000DB2D0000}"/>
    <cellStyle name="Normal 3 2 4 4 5 13" xfId="12595" xr:uid="{00000000-0005-0000-0000-0000DC2D0000}"/>
    <cellStyle name="Normal 3 2 4 4 5 14" xfId="12596" xr:uid="{00000000-0005-0000-0000-0000DD2D0000}"/>
    <cellStyle name="Normal 3 2 4 4 5 15" xfId="12597" xr:uid="{00000000-0005-0000-0000-0000DE2D0000}"/>
    <cellStyle name="Normal 3 2 4 4 5 2" xfId="12598" xr:uid="{00000000-0005-0000-0000-0000DF2D0000}"/>
    <cellStyle name="Normal 3 2 4 4 5 3" xfId="12599" xr:uid="{00000000-0005-0000-0000-0000E02D0000}"/>
    <cellStyle name="Normal 3 2 4 4 5 4" xfId="12600" xr:uid="{00000000-0005-0000-0000-0000E12D0000}"/>
    <cellStyle name="Normal 3 2 4 4 5 5" xfId="12601" xr:uid="{00000000-0005-0000-0000-0000E22D0000}"/>
    <cellStyle name="Normal 3 2 4 4 5 6" xfId="12602" xr:uid="{00000000-0005-0000-0000-0000E32D0000}"/>
    <cellStyle name="Normal 3 2 4 4 5 7" xfId="12603" xr:uid="{00000000-0005-0000-0000-0000E42D0000}"/>
    <cellStyle name="Normal 3 2 4 4 5 8" xfId="12604" xr:uid="{00000000-0005-0000-0000-0000E52D0000}"/>
    <cellStyle name="Normal 3 2 4 4 5 9" xfId="12605" xr:uid="{00000000-0005-0000-0000-0000E62D0000}"/>
    <cellStyle name="Normal 3 2 4 4 6" xfId="12606" xr:uid="{00000000-0005-0000-0000-0000E72D0000}"/>
    <cellStyle name="Normal 3 2 4 4 7" xfId="12607" xr:uid="{00000000-0005-0000-0000-0000E82D0000}"/>
    <cellStyle name="Normal 3 2 4 4 8" xfId="12608" xr:uid="{00000000-0005-0000-0000-0000E92D0000}"/>
    <cellStyle name="Normal 3 2 4 4 9" xfId="12609" xr:uid="{00000000-0005-0000-0000-0000EA2D0000}"/>
    <cellStyle name="Normal 3 2 4 5" xfId="12610" xr:uid="{00000000-0005-0000-0000-0000EB2D0000}"/>
    <cellStyle name="Normal 3 2 4 5 10" xfId="12611" xr:uid="{00000000-0005-0000-0000-0000EC2D0000}"/>
    <cellStyle name="Normal 3 2 4 5 11" xfId="12612" xr:uid="{00000000-0005-0000-0000-0000ED2D0000}"/>
    <cellStyle name="Normal 3 2 4 5 12" xfId="12613" xr:uid="{00000000-0005-0000-0000-0000EE2D0000}"/>
    <cellStyle name="Normal 3 2 4 5 13" xfId="12614" xr:uid="{00000000-0005-0000-0000-0000EF2D0000}"/>
    <cellStyle name="Normal 3 2 4 5 14" xfId="12615" xr:uid="{00000000-0005-0000-0000-0000F02D0000}"/>
    <cellStyle name="Normal 3 2 4 5 15" xfId="12616" xr:uid="{00000000-0005-0000-0000-0000F12D0000}"/>
    <cellStyle name="Normal 3 2 4 5 2" xfId="12617" xr:uid="{00000000-0005-0000-0000-0000F22D0000}"/>
    <cellStyle name="Normal 3 2 4 5 3" xfId="12618" xr:uid="{00000000-0005-0000-0000-0000F32D0000}"/>
    <cellStyle name="Normal 3 2 4 5 4" xfId="12619" xr:uid="{00000000-0005-0000-0000-0000F42D0000}"/>
    <cellStyle name="Normal 3 2 4 5 5" xfId="12620" xr:uid="{00000000-0005-0000-0000-0000F52D0000}"/>
    <cellStyle name="Normal 3 2 4 5 6" xfId="12621" xr:uid="{00000000-0005-0000-0000-0000F62D0000}"/>
    <cellStyle name="Normal 3 2 4 5 7" xfId="12622" xr:uid="{00000000-0005-0000-0000-0000F72D0000}"/>
    <cellStyle name="Normal 3 2 4 5 8" xfId="12623" xr:uid="{00000000-0005-0000-0000-0000F82D0000}"/>
    <cellStyle name="Normal 3 2 4 5 9" xfId="12624" xr:uid="{00000000-0005-0000-0000-0000F92D0000}"/>
    <cellStyle name="Normal 3 2 4 6" xfId="12625" xr:uid="{00000000-0005-0000-0000-0000FA2D0000}"/>
    <cellStyle name="Normal 3 2 4 6 10" xfId="12626" xr:uid="{00000000-0005-0000-0000-0000FB2D0000}"/>
    <cellStyle name="Normal 3 2 4 6 11" xfId="12627" xr:uid="{00000000-0005-0000-0000-0000FC2D0000}"/>
    <cellStyle name="Normal 3 2 4 6 12" xfId="12628" xr:uid="{00000000-0005-0000-0000-0000FD2D0000}"/>
    <cellStyle name="Normal 3 2 4 6 13" xfId="12629" xr:uid="{00000000-0005-0000-0000-0000FE2D0000}"/>
    <cellStyle name="Normal 3 2 4 6 14" xfId="12630" xr:uid="{00000000-0005-0000-0000-0000FF2D0000}"/>
    <cellStyle name="Normal 3 2 4 6 15" xfId="12631" xr:uid="{00000000-0005-0000-0000-0000002E0000}"/>
    <cellStyle name="Normal 3 2 4 6 2" xfId="12632" xr:uid="{00000000-0005-0000-0000-0000012E0000}"/>
    <cellStyle name="Normal 3 2 4 6 3" xfId="12633" xr:uid="{00000000-0005-0000-0000-0000022E0000}"/>
    <cellStyle name="Normal 3 2 4 6 4" xfId="12634" xr:uid="{00000000-0005-0000-0000-0000032E0000}"/>
    <cellStyle name="Normal 3 2 4 6 5" xfId="12635" xr:uid="{00000000-0005-0000-0000-0000042E0000}"/>
    <cellStyle name="Normal 3 2 4 6 6" xfId="12636" xr:uid="{00000000-0005-0000-0000-0000052E0000}"/>
    <cellStyle name="Normal 3 2 4 6 7" xfId="12637" xr:uid="{00000000-0005-0000-0000-0000062E0000}"/>
    <cellStyle name="Normal 3 2 4 6 8" xfId="12638" xr:uid="{00000000-0005-0000-0000-0000072E0000}"/>
    <cellStyle name="Normal 3 2 4 6 9" xfId="12639" xr:uid="{00000000-0005-0000-0000-0000082E0000}"/>
    <cellStyle name="Normal 3 2 4 7" xfId="12640" xr:uid="{00000000-0005-0000-0000-0000092E0000}"/>
    <cellStyle name="Normal 3 2 4 7 10" xfId="12641" xr:uid="{00000000-0005-0000-0000-00000A2E0000}"/>
    <cellStyle name="Normal 3 2 4 7 11" xfId="12642" xr:uid="{00000000-0005-0000-0000-00000B2E0000}"/>
    <cellStyle name="Normal 3 2 4 7 12" xfId="12643" xr:uid="{00000000-0005-0000-0000-00000C2E0000}"/>
    <cellStyle name="Normal 3 2 4 7 13" xfId="12644" xr:uid="{00000000-0005-0000-0000-00000D2E0000}"/>
    <cellStyle name="Normal 3 2 4 7 14" xfId="12645" xr:uid="{00000000-0005-0000-0000-00000E2E0000}"/>
    <cellStyle name="Normal 3 2 4 7 15" xfId="12646" xr:uid="{00000000-0005-0000-0000-00000F2E0000}"/>
    <cellStyle name="Normal 3 2 4 7 2" xfId="12647" xr:uid="{00000000-0005-0000-0000-0000102E0000}"/>
    <cellStyle name="Normal 3 2 4 7 3" xfId="12648" xr:uid="{00000000-0005-0000-0000-0000112E0000}"/>
    <cellStyle name="Normal 3 2 4 7 4" xfId="12649" xr:uid="{00000000-0005-0000-0000-0000122E0000}"/>
    <cellStyle name="Normal 3 2 4 7 5" xfId="12650" xr:uid="{00000000-0005-0000-0000-0000132E0000}"/>
    <cellStyle name="Normal 3 2 4 7 6" xfId="12651" xr:uid="{00000000-0005-0000-0000-0000142E0000}"/>
    <cellStyle name="Normal 3 2 4 7 7" xfId="12652" xr:uid="{00000000-0005-0000-0000-0000152E0000}"/>
    <cellStyle name="Normal 3 2 4 7 8" xfId="12653" xr:uid="{00000000-0005-0000-0000-0000162E0000}"/>
    <cellStyle name="Normal 3 2 4 7 9" xfId="12654" xr:uid="{00000000-0005-0000-0000-0000172E0000}"/>
    <cellStyle name="Normal 3 2 4 8" xfId="12655" xr:uid="{00000000-0005-0000-0000-0000182E0000}"/>
    <cellStyle name="Normal 3 2 4 9" xfId="12656" xr:uid="{00000000-0005-0000-0000-0000192E0000}"/>
    <cellStyle name="Normal 3 2 40" xfId="12657" xr:uid="{00000000-0005-0000-0000-00001A2E0000}"/>
    <cellStyle name="Normal 3 2 41" xfId="12658" xr:uid="{00000000-0005-0000-0000-00001B2E0000}"/>
    <cellStyle name="Normal 3 2 42" xfId="12659" xr:uid="{00000000-0005-0000-0000-00001C2E0000}"/>
    <cellStyle name="Normal 3 2 43" xfId="12660" xr:uid="{00000000-0005-0000-0000-00001D2E0000}"/>
    <cellStyle name="Normal 3 2 44" xfId="12661" xr:uid="{00000000-0005-0000-0000-00001E2E0000}"/>
    <cellStyle name="Normal 3 2 45" xfId="12662" xr:uid="{00000000-0005-0000-0000-00001F2E0000}"/>
    <cellStyle name="Normal 3 2 46" xfId="12663" xr:uid="{00000000-0005-0000-0000-0000202E0000}"/>
    <cellStyle name="Normal 3 2 5" xfId="12664" xr:uid="{00000000-0005-0000-0000-0000212E0000}"/>
    <cellStyle name="Normal 3 2 5 10" xfId="12665" xr:uid="{00000000-0005-0000-0000-0000222E0000}"/>
    <cellStyle name="Normal 3 2 5 11" xfId="12666" xr:uid="{00000000-0005-0000-0000-0000232E0000}"/>
    <cellStyle name="Normal 3 2 5 12" xfId="12667" xr:uid="{00000000-0005-0000-0000-0000242E0000}"/>
    <cellStyle name="Normal 3 2 5 13" xfId="12668" xr:uid="{00000000-0005-0000-0000-0000252E0000}"/>
    <cellStyle name="Normal 3 2 5 14" xfId="12669" xr:uid="{00000000-0005-0000-0000-0000262E0000}"/>
    <cellStyle name="Normal 3 2 5 15" xfId="12670" xr:uid="{00000000-0005-0000-0000-0000272E0000}"/>
    <cellStyle name="Normal 3 2 5 16" xfId="12671" xr:uid="{00000000-0005-0000-0000-0000282E0000}"/>
    <cellStyle name="Normal 3 2 5 17" xfId="12672" xr:uid="{00000000-0005-0000-0000-0000292E0000}"/>
    <cellStyle name="Normal 3 2 5 18" xfId="12673" xr:uid="{00000000-0005-0000-0000-00002A2E0000}"/>
    <cellStyle name="Normal 3 2 5 2" xfId="12674" xr:uid="{00000000-0005-0000-0000-00002B2E0000}"/>
    <cellStyle name="Normal 3 2 5 2 10" xfId="12675" xr:uid="{00000000-0005-0000-0000-00002C2E0000}"/>
    <cellStyle name="Normal 3 2 5 2 11" xfId="12676" xr:uid="{00000000-0005-0000-0000-00002D2E0000}"/>
    <cellStyle name="Normal 3 2 5 2 12" xfId="12677" xr:uid="{00000000-0005-0000-0000-00002E2E0000}"/>
    <cellStyle name="Normal 3 2 5 2 13" xfId="12678" xr:uid="{00000000-0005-0000-0000-00002F2E0000}"/>
    <cellStyle name="Normal 3 2 5 2 14" xfId="12679" xr:uid="{00000000-0005-0000-0000-0000302E0000}"/>
    <cellStyle name="Normal 3 2 5 2 15" xfId="12680" xr:uid="{00000000-0005-0000-0000-0000312E0000}"/>
    <cellStyle name="Normal 3 2 5 2 16" xfId="12681" xr:uid="{00000000-0005-0000-0000-0000322E0000}"/>
    <cellStyle name="Normal 3 2 5 2 17" xfId="12682" xr:uid="{00000000-0005-0000-0000-0000332E0000}"/>
    <cellStyle name="Normal 3 2 5 2 18" xfId="12683" xr:uid="{00000000-0005-0000-0000-0000342E0000}"/>
    <cellStyle name="Normal 3 2 5 2 19" xfId="12684" xr:uid="{00000000-0005-0000-0000-0000352E0000}"/>
    <cellStyle name="Normal 3 2 5 2 2" xfId="12685" xr:uid="{00000000-0005-0000-0000-0000362E0000}"/>
    <cellStyle name="Normal 3 2 5 2 2 10" xfId="12686" xr:uid="{00000000-0005-0000-0000-0000372E0000}"/>
    <cellStyle name="Normal 3 2 5 2 2 11" xfId="12687" xr:uid="{00000000-0005-0000-0000-0000382E0000}"/>
    <cellStyle name="Normal 3 2 5 2 2 12" xfId="12688" xr:uid="{00000000-0005-0000-0000-0000392E0000}"/>
    <cellStyle name="Normal 3 2 5 2 2 13" xfId="12689" xr:uid="{00000000-0005-0000-0000-00003A2E0000}"/>
    <cellStyle name="Normal 3 2 5 2 2 14" xfId="12690" xr:uid="{00000000-0005-0000-0000-00003B2E0000}"/>
    <cellStyle name="Normal 3 2 5 2 2 15" xfId="12691" xr:uid="{00000000-0005-0000-0000-00003C2E0000}"/>
    <cellStyle name="Normal 3 2 5 2 2 2" xfId="12692" xr:uid="{00000000-0005-0000-0000-00003D2E0000}"/>
    <cellStyle name="Normal 3 2 5 2 2 3" xfId="12693" xr:uid="{00000000-0005-0000-0000-00003E2E0000}"/>
    <cellStyle name="Normal 3 2 5 2 2 4" xfId="12694" xr:uid="{00000000-0005-0000-0000-00003F2E0000}"/>
    <cellStyle name="Normal 3 2 5 2 2 5" xfId="12695" xr:uid="{00000000-0005-0000-0000-0000402E0000}"/>
    <cellStyle name="Normal 3 2 5 2 2 6" xfId="12696" xr:uid="{00000000-0005-0000-0000-0000412E0000}"/>
    <cellStyle name="Normal 3 2 5 2 2 7" xfId="12697" xr:uid="{00000000-0005-0000-0000-0000422E0000}"/>
    <cellStyle name="Normal 3 2 5 2 2 8" xfId="12698" xr:uid="{00000000-0005-0000-0000-0000432E0000}"/>
    <cellStyle name="Normal 3 2 5 2 2 9" xfId="12699" xr:uid="{00000000-0005-0000-0000-0000442E0000}"/>
    <cellStyle name="Normal 3 2 5 2 3" xfId="12700" xr:uid="{00000000-0005-0000-0000-0000452E0000}"/>
    <cellStyle name="Normal 3 2 5 2 3 10" xfId="12701" xr:uid="{00000000-0005-0000-0000-0000462E0000}"/>
    <cellStyle name="Normal 3 2 5 2 3 11" xfId="12702" xr:uid="{00000000-0005-0000-0000-0000472E0000}"/>
    <cellStyle name="Normal 3 2 5 2 3 12" xfId="12703" xr:uid="{00000000-0005-0000-0000-0000482E0000}"/>
    <cellStyle name="Normal 3 2 5 2 3 13" xfId="12704" xr:uid="{00000000-0005-0000-0000-0000492E0000}"/>
    <cellStyle name="Normal 3 2 5 2 3 14" xfId="12705" xr:uid="{00000000-0005-0000-0000-00004A2E0000}"/>
    <cellStyle name="Normal 3 2 5 2 3 15" xfId="12706" xr:uid="{00000000-0005-0000-0000-00004B2E0000}"/>
    <cellStyle name="Normal 3 2 5 2 3 2" xfId="12707" xr:uid="{00000000-0005-0000-0000-00004C2E0000}"/>
    <cellStyle name="Normal 3 2 5 2 3 3" xfId="12708" xr:uid="{00000000-0005-0000-0000-00004D2E0000}"/>
    <cellStyle name="Normal 3 2 5 2 3 4" xfId="12709" xr:uid="{00000000-0005-0000-0000-00004E2E0000}"/>
    <cellStyle name="Normal 3 2 5 2 3 5" xfId="12710" xr:uid="{00000000-0005-0000-0000-00004F2E0000}"/>
    <cellStyle name="Normal 3 2 5 2 3 6" xfId="12711" xr:uid="{00000000-0005-0000-0000-0000502E0000}"/>
    <cellStyle name="Normal 3 2 5 2 3 7" xfId="12712" xr:uid="{00000000-0005-0000-0000-0000512E0000}"/>
    <cellStyle name="Normal 3 2 5 2 3 8" xfId="12713" xr:uid="{00000000-0005-0000-0000-0000522E0000}"/>
    <cellStyle name="Normal 3 2 5 2 3 9" xfId="12714" xr:uid="{00000000-0005-0000-0000-0000532E0000}"/>
    <cellStyle name="Normal 3 2 5 2 4" xfId="12715" xr:uid="{00000000-0005-0000-0000-0000542E0000}"/>
    <cellStyle name="Normal 3 2 5 2 4 10" xfId="12716" xr:uid="{00000000-0005-0000-0000-0000552E0000}"/>
    <cellStyle name="Normal 3 2 5 2 4 11" xfId="12717" xr:uid="{00000000-0005-0000-0000-0000562E0000}"/>
    <cellStyle name="Normal 3 2 5 2 4 12" xfId="12718" xr:uid="{00000000-0005-0000-0000-0000572E0000}"/>
    <cellStyle name="Normal 3 2 5 2 4 13" xfId="12719" xr:uid="{00000000-0005-0000-0000-0000582E0000}"/>
    <cellStyle name="Normal 3 2 5 2 4 14" xfId="12720" xr:uid="{00000000-0005-0000-0000-0000592E0000}"/>
    <cellStyle name="Normal 3 2 5 2 4 15" xfId="12721" xr:uid="{00000000-0005-0000-0000-00005A2E0000}"/>
    <cellStyle name="Normal 3 2 5 2 4 2" xfId="12722" xr:uid="{00000000-0005-0000-0000-00005B2E0000}"/>
    <cellStyle name="Normal 3 2 5 2 4 3" xfId="12723" xr:uid="{00000000-0005-0000-0000-00005C2E0000}"/>
    <cellStyle name="Normal 3 2 5 2 4 4" xfId="12724" xr:uid="{00000000-0005-0000-0000-00005D2E0000}"/>
    <cellStyle name="Normal 3 2 5 2 4 5" xfId="12725" xr:uid="{00000000-0005-0000-0000-00005E2E0000}"/>
    <cellStyle name="Normal 3 2 5 2 4 6" xfId="12726" xr:uid="{00000000-0005-0000-0000-00005F2E0000}"/>
    <cellStyle name="Normal 3 2 5 2 4 7" xfId="12727" xr:uid="{00000000-0005-0000-0000-0000602E0000}"/>
    <cellStyle name="Normal 3 2 5 2 4 8" xfId="12728" xr:uid="{00000000-0005-0000-0000-0000612E0000}"/>
    <cellStyle name="Normal 3 2 5 2 4 9" xfId="12729" xr:uid="{00000000-0005-0000-0000-0000622E0000}"/>
    <cellStyle name="Normal 3 2 5 2 5" xfId="12730" xr:uid="{00000000-0005-0000-0000-0000632E0000}"/>
    <cellStyle name="Normal 3 2 5 2 5 10" xfId="12731" xr:uid="{00000000-0005-0000-0000-0000642E0000}"/>
    <cellStyle name="Normal 3 2 5 2 5 11" xfId="12732" xr:uid="{00000000-0005-0000-0000-0000652E0000}"/>
    <cellStyle name="Normal 3 2 5 2 5 12" xfId="12733" xr:uid="{00000000-0005-0000-0000-0000662E0000}"/>
    <cellStyle name="Normal 3 2 5 2 5 13" xfId="12734" xr:uid="{00000000-0005-0000-0000-0000672E0000}"/>
    <cellStyle name="Normal 3 2 5 2 5 14" xfId="12735" xr:uid="{00000000-0005-0000-0000-0000682E0000}"/>
    <cellStyle name="Normal 3 2 5 2 5 15" xfId="12736" xr:uid="{00000000-0005-0000-0000-0000692E0000}"/>
    <cellStyle name="Normal 3 2 5 2 5 2" xfId="12737" xr:uid="{00000000-0005-0000-0000-00006A2E0000}"/>
    <cellStyle name="Normal 3 2 5 2 5 3" xfId="12738" xr:uid="{00000000-0005-0000-0000-00006B2E0000}"/>
    <cellStyle name="Normal 3 2 5 2 5 4" xfId="12739" xr:uid="{00000000-0005-0000-0000-00006C2E0000}"/>
    <cellStyle name="Normal 3 2 5 2 5 5" xfId="12740" xr:uid="{00000000-0005-0000-0000-00006D2E0000}"/>
    <cellStyle name="Normal 3 2 5 2 5 6" xfId="12741" xr:uid="{00000000-0005-0000-0000-00006E2E0000}"/>
    <cellStyle name="Normal 3 2 5 2 5 7" xfId="12742" xr:uid="{00000000-0005-0000-0000-00006F2E0000}"/>
    <cellStyle name="Normal 3 2 5 2 5 8" xfId="12743" xr:uid="{00000000-0005-0000-0000-0000702E0000}"/>
    <cellStyle name="Normal 3 2 5 2 5 9" xfId="12744" xr:uid="{00000000-0005-0000-0000-0000712E0000}"/>
    <cellStyle name="Normal 3 2 5 2 6" xfId="12745" xr:uid="{00000000-0005-0000-0000-0000722E0000}"/>
    <cellStyle name="Normal 3 2 5 2 7" xfId="12746" xr:uid="{00000000-0005-0000-0000-0000732E0000}"/>
    <cellStyle name="Normal 3 2 5 2 8" xfId="12747" xr:uid="{00000000-0005-0000-0000-0000742E0000}"/>
    <cellStyle name="Normal 3 2 5 2 9" xfId="12748" xr:uid="{00000000-0005-0000-0000-0000752E0000}"/>
    <cellStyle name="Normal 3 2 5 3" xfId="12749" xr:uid="{00000000-0005-0000-0000-0000762E0000}"/>
    <cellStyle name="Normal 3 2 5 3 10" xfId="12750" xr:uid="{00000000-0005-0000-0000-0000772E0000}"/>
    <cellStyle name="Normal 3 2 5 3 11" xfId="12751" xr:uid="{00000000-0005-0000-0000-0000782E0000}"/>
    <cellStyle name="Normal 3 2 5 3 12" xfId="12752" xr:uid="{00000000-0005-0000-0000-0000792E0000}"/>
    <cellStyle name="Normal 3 2 5 3 13" xfId="12753" xr:uid="{00000000-0005-0000-0000-00007A2E0000}"/>
    <cellStyle name="Normal 3 2 5 3 14" xfId="12754" xr:uid="{00000000-0005-0000-0000-00007B2E0000}"/>
    <cellStyle name="Normal 3 2 5 3 15" xfId="12755" xr:uid="{00000000-0005-0000-0000-00007C2E0000}"/>
    <cellStyle name="Normal 3 2 5 3 16" xfId="12756" xr:uid="{00000000-0005-0000-0000-00007D2E0000}"/>
    <cellStyle name="Normal 3 2 5 3 17" xfId="12757" xr:uid="{00000000-0005-0000-0000-00007E2E0000}"/>
    <cellStyle name="Normal 3 2 5 3 18" xfId="12758" xr:uid="{00000000-0005-0000-0000-00007F2E0000}"/>
    <cellStyle name="Normal 3 2 5 3 19" xfId="12759" xr:uid="{00000000-0005-0000-0000-0000802E0000}"/>
    <cellStyle name="Normal 3 2 5 3 2" xfId="12760" xr:uid="{00000000-0005-0000-0000-0000812E0000}"/>
    <cellStyle name="Normal 3 2 5 3 2 10" xfId="12761" xr:uid="{00000000-0005-0000-0000-0000822E0000}"/>
    <cellStyle name="Normal 3 2 5 3 2 11" xfId="12762" xr:uid="{00000000-0005-0000-0000-0000832E0000}"/>
    <cellStyle name="Normal 3 2 5 3 2 12" xfId="12763" xr:uid="{00000000-0005-0000-0000-0000842E0000}"/>
    <cellStyle name="Normal 3 2 5 3 2 13" xfId="12764" xr:uid="{00000000-0005-0000-0000-0000852E0000}"/>
    <cellStyle name="Normal 3 2 5 3 2 14" xfId="12765" xr:uid="{00000000-0005-0000-0000-0000862E0000}"/>
    <cellStyle name="Normal 3 2 5 3 2 15" xfId="12766" xr:uid="{00000000-0005-0000-0000-0000872E0000}"/>
    <cellStyle name="Normal 3 2 5 3 2 2" xfId="12767" xr:uid="{00000000-0005-0000-0000-0000882E0000}"/>
    <cellStyle name="Normal 3 2 5 3 2 3" xfId="12768" xr:uid="{00000000-0005-0000-0000-0000892E0000}"/>
    <cellStyle name="Normal 3 2 5 3 2 4" xfId="12769" xr:uid="{00000000-0005-0000-0000-00008A2E0000}"/>
    <cellStyle name="Normal 3 2 5 3 2 5" xfId="12770" xr:uid="{00000000-0005-0000-0000-00008B2E0000}"/>
    <cellStyle name="Normal 3 2 5 3 2 6" xfId="12771" xr:uid="{00000000-0005-0000-0000-00008C2E0000}"/>
    <cellStyle name="Normal 3 2 5 3 2 7" xfId="12772" xr:uid="{00000000-0005-0000-0000-00008D2E0000}"/>
    <cellStyle name="Normal 3 2 5 3 2 8" xfId="12773" xr:uid="{00000000-0005-0000-0000-00008E2E0000}"/>
    <cellStyle name="Normal 3 2 5 3 2 9" xfId="12774" xr:uid="{00000000-0005-0000-0000-00008F2E0000}"/>
    <cellStyle name="Normal 3 2 5 3 3" xfId="12775" xr:uid="{00000000-0005-0000-0000-0000902E0000}"/>
    <cellStyle name="Normal 3 2 5 3 3 10" xfId="12776" xr:uid="{00000000-0005-0000-0000-0000912E0000}"/>
    <cellStyle name="Normal 3 2 5 3 3 11" xfId="12777" xr:uid="{00000000-0005-0000-0000-0000922E0000}"/>
    <cellStyle name="Normal 3 2 5 3 3 12" xfId="12778" xr:uid="{00000000-0005-0000-0000-0000932E0000}"/>
    <cellStyle name="Normal 3 2 5 3 3 13" xfId="12779" xr:uid="{00000000-0005-0000-0000-0000942E0000}"/>
    <cellStyle name="Normal 3 2 5 3 3 14" xfId="12780" xr:uid="{00000000-0005-0000-0000-0000952E0000}"/>
    <cellStyle name="Normal 3 2 5 3 3 15" xfId="12781" xr:uid="{00000000-0005-0000-0000-0000962E0000}"/>
    <cellStyle name="Normal 3 2 5 3 3 2" xfId="12782" xr:uid="{00000000-0005-0000-0000-0000972E0000}"/>
    <cellStyle name="Normal 3 2 5 3 3 3" xfId="12783" xr:uid="{00000000-0005-0000-0000-0000982E0000}"/>
    <cellStyle name="Normal 3 2 5 3 3 4" xfId="12784" xr:uid="{00000000-0005-0000-0000-0000992E0000}"/>
    <cellStyle name="Normal 3 2 5 3 3 5" xfId="12785" xr:uid="{00000000-0005-0000-0000-00009A2E0000}"/>
    <cellStyle name="Normal 3 2 5 3 3 6" xfId="12786" xr:uid="{00000000-0005-0000-0000-00009B2E0000}"/>
    <cellStyle name="Normal 3 2 5 3 3 7" xfId="12787" xr:uid="{00000000-0005-0000-0000-00009C2E0000}"/>
    <cellStyle name="Normal 3 2 5 3 3 8" xfId="12788" xr:uid="{00000000-0005-0000-0000-00009D2E0000}"/>
    <cellStyle name="Normal 3 2 5 3 3 9" xfId="12789" xr:uid="{00000000-0005-0000-0000-00009E2E0000}"/>
    <cellStyle name="Normal 3 2 5 3 4" xfId="12790" xr:uid="{00000000-0005-0000-0000-00009F2E0000}"/>
    <cellStyle name="Normal 3 2 5 3 4 10" xfId="12791" xr:uid="{00000000-0005-0000-0000-0000A02E0000}"/>
    <cellStyle name="Normal 3 2 5 3 4 11" xfId="12792" xr:uid="{00000000-0005-0000-0000-0000A12E0000}"/>
    <cellStyle name="Normal 3 2 5 3 4 12" xfId="12793" xr:uid="{00000000-0005-0000-0000-0000A22E0000}"/>
    <cellStyle name="Normal 3 2 5 3 4 13" xfId="12794" xr:uid="{00000000-0005-0000-0000-0000A32E0000}"/>
    <cellStyle name="Normal 3 2 5 3 4 14" xfId="12795" xr:uid="{00000000-0005-0000-0000-0000A42E0000}"/>
    <cellStyle name="Normal 3 2 5 3 4 15" xfId="12796" xr:uid="{00000000-0005-0000-0000-0000A52E0000}"/>
    <cellStyle name="Normal 3 2 5 3 4 2" xfId="12797" xr:uid="{00000000-0005-0000-0000-0000A62E0000}"/>
    <cellStyle name="Normal 3 2 5 3 4 3" xfId="12798" xr:uid="{00000000-0005-0000-0000-0000A72E0000}"/>
    <cellStyle name="Normal 3 2 5 3 4 4" xfId="12799" xr:uid="{00000000-0005-0000-0000-0000A82E0000}"/>
    <cellStyle name="Normal 3 2 5 3 4 5" xfId="12800" xr:uid="{00000000-0005-0000-0000-0000A92E0000}"/>
    <cellStyle name="Normal 3 2 5 3 4 6" xfId="12801" xr:uid="{00000000-0005-0000-0000-0000AA2E0000}"/>
    <cellStyle name="Normal 3 2 5 3 4 7" xfId="12802" xr:uid="{00000000-0005-0000-0000-0000AB2E0000}"/>
    <cellStyle name="Normal 3 2 5 3 4 8" xfId="12803" xr:uid="{00000000-0005-0000-0000-0000AC2E0000}"/>
    <cellStyle name="Normal 3 2 5 3 4 9" xfId="12804" xr:uid="{00000000-0005-0000-0000-0000AD2E0000}"/>
    <cellStyle name="Normal 3 2 5 3 5" xfId="12805" xr:uid="{00000000-0005-0000-0000-0000AE2E0000}"/>
    <cellStyle name="Normal 3 2 5 3 5 10" xfId="12806" xr:uid="{00000000-0005-0000-0000-0000AF2E0000}"/>
    <cellStyle name="Normal 3 2 5 3 5 11" xfId="12807" xr:uid="{00000000-0005-0000-0000-0000B02E0000}"/>
    <cellStyle name="Normal 3 2 5 3 5 12" xfId="12808" xr:uid="{00000000-0005-0000-0000-0000B12E0000}"/>
    <cellStyle name="Normal 3 2 5 3 5 13" xfId="12809" xr:uid="{00000000-0005-0000-0000-0000B22E0000}"/>
    <cellStyle name="Normal 3 2 5 3 5 14" xfId="12810" xr:uid="{00000000-0005-0000-0000-0000B32E0000}"/>
    <cellStyle name="Normal 3 2 5 3 5 15" xfId="12811" xr:uid="{00000000-0005-0000-0000-0000B42E0000}"/>
    <cellStyle name="Normal 3 2 5 3 5 2" xfId="12812" xr:uid="{00000000-0005-0000-0000-0000B52E0000}"/>
    <cellStyle name="Normal 3 2 5 3 5 3" xfId="12813" xr:uid="{00000000-0005-0000-0000-0000B62E0000}"/>
    <cellStyle name="Normal 3 2 5 3 5 4" xfId="12814" xr:uid="{00000000-0005-0000-0000-0000B72E0000}"/>
    <cellStyle name="Normal 3 2 5 3 5 5" xfId="12815" xr:uid="{00000000-0005-0000-0000-0000B82E0000}"/>
    <cellStyle name="Normal 3 2 5 3 5 6" xfId="12816" xr:uid="{00000000-0005-0000-0000-0000B92E0000}"/>
    <cellStyle name="Normal 3 2 5 3 5 7" xfId="12817" xr:uid="{00000000-0005-0000-0000-0000BA2E0000}"/>
    <cellStyle name="Normal 3 2 5 3 5 8" xfId="12818" xr:uid="{00000000-0005-0000-0000-0000BB2E0000}"/>
    <cellStyle name="Normal 3 2 5 3 5 9" xfId="12819" xr:uid="{00000000-0005-0000-0000-0000BC2E0000}"/>
    <cellStyle name="Normal 3 2 5 3 6" xfId="12820" xr:uid="{00000000-0005-0000-0000-0000BD2E0000}"/>
    <cellStyle name="Normal 3 2 5 3 7" xfId="12821" xr:uid="{00000000-0005-0000-0000-0000BE2E0000}"/>
    <cellStyle name="Normal 3 2 5 3 8" xfId="12822" xr:uid="{00000000-0005-0000-0000-0000BF2E0000}"/>
    <cellStyle name="Normal 3 2 5 3 9" xfId="12823" xr:uid="{00000000-0005-0000-0000-0000C02E0000}"/>
    <cellStyle name="Normal 3 2 5 4" xfId="12824" xr:uid="{00000000-0005-0000-0000-0000C12E0000}"/>
    <cellStyle name="Normal 3 2 5 4 10" xfId="12825" xr:uid="{00000000-0005-0000-0000-0000C22E0000}"/>
    <cellStyle name="Normal 3 2 5 4 11" xfId="12826" xr:uid="{00000000-0005-0000-0000-0000C32E0000}"/>
    <cellStyle name="Normal 3 2 5 4 12" xfId="12827" xr:uid="{00000000-0005-0000-0000-0000C42E0000}"/>
    <cellStyle name="Normal 3 2 5 4 13" xfId="12828" xr:uid="{00000000-0005-0000-0000-0000C52E0000}"/>
    <cellStyle name="Normal 3 2 5 4 14" xfId="12829" xr:uid="{00000000-0005-0000-0000-0000C62E0000}"/>
    <cellStyle name="Normal 3 2 5 4 15" xfId="12830" xr:uid="{00000000-0005-0000-0000-0000C72E0000}"/>
    <cellStyle name="Normal 3 2 5 4 16" xfId="12831" xr:uid="{00000000-0005-0000-0000-0000C82E0000}"/>
    <cellStyle name="Normal 3 2 5 4 17" xfId="12832" xr:uid="{00000000-0005-0000-0000-0000C92E0000}"/>
    <cellStyle name="Normal 3 2 5 4 18" xfId="12833" xr:uid="{00000000-0005-0000-0000-0000CA2E0000}"/>
    <cellStyle name="Normal 3 2 5 4 19" xfId="12834" xr:uid="{00000000-0005-0000-0000-0000CB2E0000}"/>
    <cellStyle name="Normal 3 2 5 4 2" xfId="12835" xr:uid="{00000000-0005-0000-0000-0000CC2E0000}"/>
    <cellStyle name="Normal 3 2 5 4 2 10" xfId="12836" xr:uid="{00000000-0005-0000-0000-0000CD2E0000}"/>
    <cellStyle name="Normal 3 2 5 4 2 11" xfId="12837" xr:uid="{00000000-0005-0000-0000-0000CE2E0000}"/>
    <cellStyle name="Normal 3 2 5 4 2 12" xfId="12838" xr:uid="{00000000-0005-0000-0000-0000CF2E0000}"/>
    <cellStyle name="Normal 3 2 5 4 2 13" xfId="12839" xr:uid="{00000000-0005-0000-0000-0000D02E0000}"/>
    <cellStyle name="Normal 3 2 5 4 2 14" xfId="12840" xr:uid="{00000000-0005-0000-0000-0000D12E0000}"/>
    <cellStyle name="Normal 3 2 5 4 2 15" xfId="12841" xr:uid="{00000000-0005-0000-0000-0000D22E0000}"/>
    <cellStyle name="Normal 3 2 5 4 2 2" xfId="12842" xr:uid="{00000000-0005-0000-0000-0000D32E0000}"/>
    <cellStyle name="Normal 3 2 5 4 2 3" xfId="12843" xr:uid="{00000000-0005-0000-0000-0000D42E0000}"/>
    <cellStyle name="Normal 3 2 5 4 2 4" xfId="12844" xr:uid="{00000000-0005-0000-0000-0000D52E0000}"/>
    <cellStyle name="Normal 3 2 5 4 2 5" xfId="12845" xr:uid="{00000000-0005-0000-0000-0000D62E0000}"/>
    <cellStyle name="Normal 3 2 5 4 2 6" xfId="12846" xr:uid="{00000000-0005-0000-0000-0000D72E0000}"/>
    <cellStyle name="Normal 3 2 5 4 2 7" xfId="12847" xr:uid="{00000000-0005-0000-0000-0000D82E0000}"/>
    <cellStyle name="Normal 3 2 5 4 2 8" xfId="12848" xr:uid="{00000000-0005-0000-0000-0000D92E0000}"/>
    <cellStyle name="Normal 3 2 5 4 2 9" xfId="12849" xr:uid="{00000000-0005-0000-0000-0000DA2E0000}"/>
    <cellStyle name="Normal 3 2 5 4 3" xfId="12850" xr:uid="{00000000-0005-0000-0000-0000DB2E0000}"/>
    <cellStyle name="Normal 3 2 5 4 3 10" xfId="12851" xr:uid="{00000000-0005-0000-0000-0000DC2E0000}"/>
    <cellStyle name="Normal 3 2 5 4 3 11" xfId="12852" xr:uid="{00000000-0005-0000-0000-0000DD2E0000}"/>
    <cellStyle name="Normal 3 2 5 4 3 12" xfId="12853" xr:uid="{00000000-0005-0000-0000-0000DE2E0000}"/>
    <cellStyle name="Normal 3 2 5 4 3 13" xfId="12854" xr:uid="{00000000-0005-0000-0000-0000DF2E0000}"/>
    <cellStyle name="Normal 3 2 5 4 3 14" xfId="12855" xr:uid="{00000000-0005-0000-0000-0000E02E0000}"/>
    <cellStyle name="Normal 3 2 5 4 3 15" xfId="12856" xr:uid="{00000000-0005-0000-0000-0000E12E0000}"/>
    <cellStyle name="Normal 3 2 5 4 3 2" xfId="12857" xr:uid="{00000000-0005-0000-0000-0000E22E0000}"/>
    <cellStyle name="Normal 3 2 5 4 3 3" xfId="12858" xr:uid="{00000000-0005-0000-0000-0000E32E0000}"/>
    <cellStyle name="Normal 3 2 5 4 3 4" xfId="12859" xr:uid="{00000000-0005-0000-0000-0000E42E0000}"/>
    <cellStyle name="Normal 3 2 5 4 3 5" xfId="12860" xr:uid="{00000000-0005-0000-0000-0000E52E0000}"/>
    <cellStyle name="Normal 3 2 5 4 3 6" xfId="12861" xr:uid="{00000000-0005-0000-0000-0000E62E0000}"/>
    <cellStyle name="Normal 3 2 5 4 3 7" xfId="12862" xr:uid="{00000000-0005-0000-0000-0000E72E0000}"/>
    <cellStyle name="Normal 3 2 5 4 3 8" xfId="12863" xr:uid="{00000000-0005-0000-0000-0000E82E0000}"/>
    <cellStyle name="Normal 3 2 5 4 3 9" xfId="12864" xr:uid="{00000000-0005-0000-0000-0000E92E0000}"/>
    <cellStyle name="Normal 3 2 5 4 4" xfId="12865" xr:uid="{00000000-0005-0000-0000-0000EA2E0000}"/>
    <cellStyle name="Normal 3 2 5 4 4 10" xfId="12866" xr:uid="{00000000-0005-0000-0000-0000EB2E0000}"/>
    <cellStyle name="Normal 3 2 5 4 4 11" xfId="12867" xr:uid="{00000000-0005-0000-0000-0000EC2E0000}"/>
    <cellStyle name="Normal 3 2 5 4 4 12" xfId="12868" xr:uid="{00000000-0005-0000-0000-0000ED2E0000}"/>
    <cellStyle name="Normal 3 2 5 4 4 13" xfId="12869" xr:uid="{00000000-0005-0000-0000-0000EE2E0000}"/>
    <cellStyle name="Normal 3 2 5 4 4 14" xfId="12870" xr:uid="{00000000-0005-0000-0000-0000EF2E0000}"/>
    <cellStyle name="Normal 3 2 5 4 4 15" xfId="12871" xr:uid="{00000000-0005-0000-0000-0000F02E0000}"/>
    <cellStyle name="Normal 3 2 5 4 4 2" xfId="12872" xr:uid="{00000000-0005-0000-0000-0000F12E0000}"/>
    <cellStyle name="Normal 3 2 5 4 4 3" xfId="12873" xr:uid="{00000000-0005-0000-0000-0000F22E0000}"/>
    <cellStyle name="Normal 3 2 5 4 4 4" xfId="12874" xr:uid="{00000000-0005-0000-0000-0000F32E0000}"/>
    <cellStyle name="Normal 3 2 5 4 4 5" xfId="12875" xr:uid="{00000000-0005-0000-0000-0000F42E0000}"/>
    <cellStyle name="Normal 3 2 5 4 4 6" xfId="12876" xr:uid="{00000000-0005-0000-0000-0000F52E0000}"/>
    <cellStyle name="Normal 3 2 5 4 4 7" xfId="12877" xr:uid="{00000000-0005-0000-0000-0000F62E0000}"/>
    <cellStyle name="Normal 3 2 5 4 4 8" xfId="12878" xr:uid="{00000000-0005-0000-0000-0000F72E0000}"/>
    <cellStyle name="Normal 3 2 5 4 4 9" xfId="12879" xr:uid="{00000000-0005-0000-0000-0000F82E0000}"/>
    <cellStyle name="Normal 3 2 5 4 5" xfId="12880" xr:uid="{00000000-0005-0000-0000-0000F92E0000}"/>
    <cellStyle name="Normal 3 2 5 4 5 10" xfId="12881" xr:uid="{00000000-0005-0000-0000-0000FA2E0000}"/>
    <cellStyle name="Normal 3 2 5 4 5 11" xfId="12882" xr:uid="{00000000-0005-0000-0000-0000FB2E0000}"/>
    <cellStyle name="Normal 3 2 5 4 5 12" xfId="12883" xr:uid="{00000000-0005-0000-0000-0000FC2E0000}"/>
    <cellStyle name="Normal 3 2 5 4 5 13" xfId="12884" xr:uid="{00000000-0005-0000-0000-0000FD2E0000}"/>
    <cellStyle name="Normal 3 2 5 4 5 14" xfId="12885" xr:uid="{00000000-0005-0000-0000-0000FE2E0000}"/>
    <cellStyle name="Normal 3 2 5 4 5 15" xfId="12886" xr:uid="{00000000-0005-0000-0000-0000FF2E0000}"/>
    <cellStyle name="Normal 3 2 5 4 5 2" xfId="12887" xr:uid="{00000000-0005-0000-0000-0000002F0000}"/>
    <cellStyle name="Normal 3 2 5 4 5 3" xfId="12888" xr:uid="{00000000-0005-0000-0000-0000012F0000}"/>
    <cellStyle name="Normal 3 2 5 4 5 4" xfId="12889" xr:uid="{00000000-0005-0000-0000-0000022F0000}"/>
    <cellStyle name="Normal 3 2 5 4 5 5" xfId="12890" xr:uid="{00000000-0005-0000-0000-0000032F0000}"/>
    <cellStyle name="Normal 3 2 5 4 5 6" xfId="12891" xr:uid="{00000000-0005-0000-0000-0000042F0000}"/>
    <cellStyle name="Normal 3 2 5 4 5 7" xfId="12892" xr:uid="{00000000-0005-0000-0000-0000052F0000}"/>
    <cellStyle name="Normal 3 2 5 4 5 8" xfId="12893" xr:uid="{00000000-0005-0000-0000-0000062F0000}"/>
    <cellStyle name="Normal 3 2 5 4 5 9" xfId="12894" xr:uid="{00000000-0005-0000-0000-0000072F0000}"/>
    <cellStyle name="Normal 3 2 5 4 6" xfId="12895" xr:uid="{00000000-0005-0000-0000-0000082F0000}"/>
    <cellStyle name="Normal 3 2 5 4 7" xfId="12896" xr:uid="{00000000-0005-0000-0000-0000092F0000}"/>
    <cellStyle name="Normal 3 2 5 4 8" xfId="12897" xr:uid="{00000000-0005-0000-0000-00000A2F0000}"/>
    <cellStyle name="Normal 3 2 5 4 9" xfId="12898" xr:uid="{00000000-0005-0000-0000-00000B2F0000}"/>
    <cellStyle name="Normal 3 2 5 5" xfId="12899" xr:uid="{00000000-0005-0000-0000-00000C2F0000}"/>
    <cellStyle name="Normal 3 2 5 6" xfId="12900" xr:uid="{00000000-0005-0000-0000-00000D2F0000}"/>
    <cellStyle name="Normal 3 2 5 7" xfId="12901" xr:uid="{00000000-0005-0000-0000-00000E2F0000}"/>
    <cellStyle name="Normal 3 2 5 8" xfId="12902" xr:uid="{00000000-0005-0000-0000-00000F2F0000}"/>
    <cellStyle name="Normal 3 2 5 9" xfId="12903" xr:uid="{00000000-0005-0000-0000-0000102F0000}"/>
    <cellStyle name="Normal 3 2 6" xfId="12904" xr:uid="{00000000-0005-0000-0000-0000112F0000}"/>
    <cellStyle name="Normal 3 2 6 10" xfId="12905" xr:uid="{00000000-0005-0000-0000-0000122F0000}"/>
    <cellStyle name="Normal 3 2 6 11" xfId="12906" xr:uid="{00000000-0005-0000-0000-0000132F0000}"/>
    <cellStyle name="Normal 3 2 6 12" xfId="12907" xr:uid="{00000000-0005-0000-0000-0000142F0000}"/>
    <cellStyle name="Normal 3 2 6 13" xfId="12908" xr:uid="{00000000-0005-0000-0000-0000152F0000}"/>
    <cellStyle name="Normal 3 2 6 14" xfId="12909" xr:uid="{00000000-0005-0000-0000-0000162F0000}"/>
    <cellStyle name="Normal 3 2 6 15" xfId="12910" xr:uid="{00000000-0005-0000-0000-0000172F0000}"/>
    <cellStyle name="Normal 3 2 6 16" xfId="12911" xr:uid="{00000000-0005-0000-0000-0000182F0000}"/>
    <cellStyle name="Normal 3 2 6 17" xfId="12912" xr:uid="{00000000-0005-0000-0000-0000192F0000}"/>
    <cellStyle name="Normal 3 2 6 18" xfId="12913" xr:uid="{00000000-0005-0000-0000-00001A2F0000}"/>
    <cellStyle name="Normal 3 2 6 19" xfId="12914" xr:uid="{00000000-0005-0000-0000-00001B2F0000}"/>
    <cellStyle name="Normal 3 2 6 2" xfId="12915" xr:uid="{00000000-0005-0000-0000-00001C2F0000}"/>
    <cellStyle name="Normal 3 2 6 2 10" xfId="12916" xr:uid="{00000000-0005-0000-0000-00001D2F0000}"/>
    <cellStyle name="Normal 3 2 6 2 11" xfId="12917" xr:uid="{00000000-0005-0000-0000-00001E2F0000}"/>
    <cellStyle name="Normal 3 2 6 2 12" xfId="12918" xr:uid="{00000000-0005-0000-0000-00001F2F0000}"/>
    <cellStyle name="Normal 3 2 6 2 13" xfId="12919" xr:uid="{00000000-0005-0000-0000-0000202F0000}"/>
    <cellStyle name="Normal 3 2 6 2 14" xfId="12920" xr:uid="{00000000-0005-0000-0000-0000212F0000}"/>
    <cellStyle name="Normal 3 2 6 2 15" xfId="12921" xr:uid="{00000000-0005-0000-0000-0000222F0000}"/>
    <cellStyle name="Normal 3 2 6 2 2" xfId="12922" xr:uid="{00000000-0005-0000-0000-0000232F0000}"/>
    <cellStyle name="Normal 3 2 6 2 3" xfId="12923" xr:uid="{00000000-0005-0000-0000-0000242F0000}"/>
    <cellStyle name="Normal 3 2 6 2 4" xfId="12924" xr:uid="{00000000-0005-0000-0000-0000252F0000}"/>
    <cellStyle name="Normal 3 2 6 2 5" xfId="12925" xr:uid="{00000000-0005-0000-0000-0000262F0000}"/>
    <cellStyle name="Normal 3 2 6 2 6" xfId="12926" xr:uid="{00000000-0005-0000-0000-0000272F0000}"/>
    <cellStyle name="Normal 3 2 6 2 7" xfId="12927" xr:uid="{00000000-0005-0000-0000-0000282F0000}"/>
    <cellStyle name="Normal 3 2 6 2 8" xfId="12928" xr:uid="{00000000-0005-0000-0000-0000292F0000}"/>
    <cellStyle name="Normal 3 2 6 2 9" xfId="12929" xr:uid="{00000000-0005-0000-0000-00002A2F0000}"/>
    <cellStyle name="Normal 3 2 6 3" xfId="12930" xr:uid="{00000000-0005-0000-0000-00002B2F0000}"/>
    <cellStyle name="Normal 3 2 6 3 10" xfId="12931" xr:uid="{00000000-0005-0000-0000-00002C2F0000}"/>
    <cellStyle name="Normal 3 2 6 3 11" xfId="12932" xr:uid="{00000000-0005-0000-0000-00002D2F0000}"/>
    <cellStyle name="Normal 3 2 6 3 12" xfId="12933" xr:uid="{00000000-0005-0000-0000-00002E2F0000}"/>
    <cellStyle name="Normal 3 2 6 3 13" xfId="12934" xr:uid="{00000000-0005-0000-0000-00002F2F0000}"/>
    <cellStyle name="Normal 3 2 6 3 14" xfId="12935" xr:uid="{00000000-0005-0000-0000-0000302F0000}"/>
    <cellStyle name="Normal 3 2 6 3 15" xfId="12936" xr:uid="{00000000-0005-0000-0000-0000312F0000}"/>
    <cellStyle name="Normal 3 2 6 3 2" xfId="12937" xr:uid="{00000000-0005-0000-0000-0000322F0000}"/>
    <cellStyle name="Normal 3 2 6 3 3" xfId="12938" xr:uid="{00000000-0005-0000-0000-0000332F0000}"/>
    <cellStyle name="Normal 3 2 6 3 4" xfId="12939" xr:uid="{00000000-0005-0000-0000-0000342F0000}"/>
    <cellStyle name="Normal 3 2 6 3 5" xfId="12940" xr:uid="{00000000-0005-0000-0000-0000352F0000}"/>
    <cellStyle name="Normal 3 2 6 3 6" xfId="12941" xr:uid="{00000000-0005-0000-0000-0000362F0000}"/>
    <cellStyle name="Normal 3 2 6 3 7" xfId="12942" xr:uid="{00000000-0005-0000-0000-0000372F0000}"/>
    <cellStyle name="Normal 3 2 6 3 8" xfId="12943" xr:uid="{00000000-0005-0000-0000-0000382F0000}"/>
    <cellStyle name="Normal 3 2 6 3 9" xfId="12944" xr:uid="{00000000-0005-0000-0000-0000392F0000}"/>
    <cellStyle name="Normal 3 2 6 4" xfId="12945" xr:uid="{00000000-0005-0000-0000-00003A2F0000}"/>
    <cellStyle name="Normal 3 2 6 4 10" xfId="12946" xr:uid="{00000000-0005-0000-0000-00003B2F0000}"/>
    <cellStyle name="Normal 3 2 6 4 11" xfId="12947" xr:uid="{00000000-0005-0000-0000-00003C2F0000}"/>
    <cellStyle name="Normal 3 2 6 4 12" xfId="12948" xr:uid="{00000000-0005-0000-0000-00003D2F0000}"/>
    <cellStyle name="Normal 3 2 6 4 13" xfId="12949" xr:uid="{00000000-0005-0000-0000-00003E2F0000}"/>
    <cellStyle name="Normal 3 2 6 4 14" xfId="12950" xr:uid="{00000000-0005-0000-0000-00003F2F0000}"/>
    <cellStyle name="Normal 3 2 6 4 15" xfId="12951" xr:uid="{00000000-0005-0000-0000-0000402F0000}"/>
    <cellStyle name="Normal 3 2 6 4 2" xfId="12952" xr:uid="{00000000-0005-0000-0000-0000412F0000}"/>
    <cellStyle name="Normal 3 2 6 4 3" xfId="12953" xr:uid="{00000000-0005-0000-0000-0000422F0000}"/>
    <cellStyle name="Normal 3 2 6 4 4" xfId="12954" xr:uid="{00000000-0005-0000-0000-0000432F0000}"/>
    <cellStyle name="Normal 3 2 6 4 5" xfId="12955" xr:uid="{00000000-0005-0000-0000-0000442F0000}"/>
    <cellStyle name="Normal 3 2 6 4 6" xfId="12956" xr:uid="{00000000-0005-0000-0000-0000452F0000}"/>
    <cellStyle name="Normal 3 2 6 4 7" xfId="12957" xr:uid="{00000000-0005-0000-0000-0000462F0000}"/>
    <cellStyle name="Normal 3 2 6 4 8" xfId="12958" xr:uid="{00000000-0005-0000-0000-0000472F0000}"/>
    <cellStyle name="Normal 3 2 6 4 9" xfId="12959" xr:uid="{00000000-0005-0000-0000-0000482F0000}"/>
    <cellStyle name="Normal 3 2 6 5" xfId="12960" xr:uid="{00000000-0005-0000-0000-0000492F0000}"/>
    <cellStyle name="Normal 3 2 6 5 10" xfId="12961" xr:uid="{00000000-0005-0000-0000-00004A2F0000}"/>
    <cellStyle name="Normal 3 2 6 5 11" xfId="12962" xr:uid="{00000000-0005-0000-0000-00004B2F0000}"/>
    <cellStyle name="Normal 3 2 6 5 12" xfId="12963" xr:uid="{00000000-0005-0000-0000-00004C2F0000}"/>
    <cellStyle name="Normal 3 2 6 5 13" xfId="12964" xr:uid="{00000000-0005-0000-0000-00004D2F0000}"/>
    <cellStyle name="Normal 3 2 6 5 14" xfId="12965" xr:uid="{00000000-0005-0000-0000-00004E2F0000}"/>
    <cellStyle name="Normal 3 2 6 5 15" xfId="12966" xr:uid="{00000000-0005-0000-0000-00004F2F0000}"/>
    <cellStyle name="Normal 3 2 6 5 2" xfId="12967" xr:uid="{00000000-0005-0000-0000-0000502F0000}"/>
    <cellStyle name="Normal 3 2 6 5 3" xfId="12968" xr:uid="{00000000-0005-0000-0000-0000512F0000}"/>
    <cellStyle name="Normal 3 2 6 5 4" xfId="12969" xr:uid="{00000000-0005-0000-0000-0000522F0000}"/>
    <cellStyle name="Normal 3 2 6 5 5" xfId="12970" xr:uid="{00000000-0005-0000-0000-0000532F0000}"/>
    <cellStyle name="Normal 3 2 6 5 6" xfId="12971" xr:uid="{00000000-0005-0000-0000-0000542F0000}"/>
    <cellStyle name="Normal 3 2 6 5 7" xfId="12972" xr:uid="{00000000-0005-0000-0000-0000552F0000}"/>
    <cellStyle name="Normal 3 2 6 5 8" xfId="12973" xr:uid="{00000000-0005-0000-0000-0000562F0000}"/>
    <cellStyle name="Normal 3 2 6 5 9" xfId="12974" xr:uid="{00000000-0005-0000-0000-0000572F0000}"/>
    <cellStyle name="Normal 3 2 6 6" xfId="12975" xr:uid="{00000000-0005-0000-0000-0000582F0000}"/>
    <cellStyle name="Normal 3 2 6 7" xfId="12976" xr:uid="{00000000-0005-0000-0000-0000592F0000}"/>
    <cellStyle name="Normal 3 2 6 8" xfId="12977" xr:uid="{00000000-0005-0000-0000-00005A2F0000}"/>
    <cellStyle name="Normal 3 2 6 9" xfId="12978" xr:uid="{00000000-0005-0000-0000-00005B2F0000}"/>
    <cellStyle name="Normal 3 2 7" xfId="12979" xr:uid="{00000000-0005-0000-0000-00005C2F0000}"/>
    <cellStyle name="Normal 3 2 7 10" xfId="12980" xr:uid="{00000000-0005-0000-0000-00005D2F0000}"/>
    <cellStyle name="Normal 3 2 7 11" xfId="12981" xr:uid="{00000000-0005-0000-0000-00005E2F0000}"/>
    <cellStyle name="Normal 3 2 7 12" xfId="12982" xr:uid="{00000000-0005-0000-0000-00005F2F0000}"/>
    <cellStyle name="Normal 3 2 7 13" xfId="12983" xr:uid="{00000000-0005-0000-0000-0000602F0000}"/>
    <cellStyle name="Normal 3 2 7 14" xfId="12984" xr:uid="{00000000-0005-0000-0000-0000612F0000}"/>
    <cellStyle name="Normal 3 2 7 15" xfId="12985" xr:uid="{00000000-0005-0000-0000-0000622F0000}"/>
    <cellStyle name="Normal 3 2 7 16" xfId="12986" xr:uid="{00000000-0005-0000-0000-0000632F0000}"/>
    <cellStyle name="Normal 3 2 7 17" xfId="12987" xr:uid="{00000000-0005-0000-0000-0000642F0000}"/>
    <cellStyle name="Normal 3 2 7 18" xfId="12988" xr:uid="{00000000-0005-0000-0000-0000652F0000}"/>
    <cellStyle name="Normal 3 2 7 19" xfId="12989" xr:uid="{00000000-0005-0000-0000-0000662F0000}"/>
    <cellStyle name="Normal 3 2 7 2" xfId="12990" xr:uid="{00000000-0005-0000-0000-0000672F0000}"/>
    <cellStyle name="Normal 3 2 7 2 10" xfId="12991" xr:uid="{00000000-0005-0000-0000-0000682F0000}"/>
    <cellStyle name="Normal 3 2 7 2 11" xfId="12992" xr:uid="{00000000-0005-0000-0000-0000692F0000}"/>
    <cellStyle name="Normal 3 2 7 2 12" xfId="12993" xr:uid="{00000000-0005-0000-0000-00006A2F0000}"/>
    <cellStyle name="Normal 3 2 7 2 13" xfId="12994" xr:uid="{00000000-0005-0000-0000-00006B2F0000}"/>
    <cellStyle name="Normal 3 2 7 2 14" xfId="12995" xr:uid="{00000000-0005-0000-0000-00006C2F0000}"/>
    <cellStyle name="Normal 3 2 7 2 15" xfId="12996" xr:uid="{00000000-0005-0000-0000-00006D2F0000}"/>
    <cellStyle name="Normal 3 2 7 2 2" xfId="12997" xr:uid="{00000000-0005-0000-0000-00006E2F0000}"/>
    <cellStyle name="Normal 3 2 7 2 3" xfId="12998" xr:uid="{00000000-0005-0000-0000-00006F2F0000}"/>
    <cellStyle name="Normal 3 2 7 2 4" xfId="12999" xr:uid="{00000000-0005-0000-0000-0000702F0000}"/>
    <cellStyle name="Normal 3 2 7 2 5" xfId="13000" xr:uid="{00000000-0005-0000-0000-0000712F0000}"/>
    <cellStyle name="Normal 3 2 7 2 6" xfId="13001" xr:uid="{00000000-0005-0000-0000-0000722F0000}"/>
    <cellStyle name="Normal 3 2 7 2 7" xfId="13002" xr:uid="{00000000-0005-0000-0000-0000732F0000}"/>
    <cellStyle name="Normal 3 2 7 2 8" xfId="13003" xr:uid="{00000000-0005-0000-0000-0000742F0000}"/>
    <cellStyle name="Normal 3 2 7 2 9" xfId="13004" xr:uid="{00000000-0005-0000-0000-0000752F0000}"/>
    <cellStyle name="Normal 3 2 7 3" xfId="13005" xr:uid="{00000000-0005-0000-0000-0000762F0000}"/>
    <cellStyle name="Normal 3 2 7 3 10" xfId="13006" xr:uid="{00000000-0005-0000-0000-0000772F0000}"/>
    <cellStyle name="Normal 3 2 7 3 11" xfId="13007" xr:uid="{00000000-0005-0000-0000-0000782F0000}"/>
    <cellStyle name="Normal 3 2 7 3 12" xfId="13008" xr:uid="{00000000-0005-0000-0000-0000792F0000}"/>
    <cellStyle name="Normal 3 2 7 3 13" xfId="13009" xr:uid="{00000000-0005-0000-0000-00007A2F0000}"/>
    <cellStyle name="Normal 3 2 7 3 14" xfId="13010" xr:uid="{00000000-0005-0000-0000-00007B2F0000}"/>
    <cellStyle name="Normal 3 2 7 3 15" xfId="13011" xr:uid="{00000000-0005-0000-0000-00007C2F0000}"/>
    <cellStyle name="Normal 3 2 7 3 2" xfId="13012" xr:uid="{00000000-0005-0000-0000-00007D2F0000}"/>
    <cellStyle name="Normal 3 2 7 3 3" xfId="13013" xr:uid="{00000000-0005-0000-0000-00007E2F0000}"/>
    <cellStyle name="Normal 3 2 7 3 4" xfId="13014" xr:uid="{00000000-0005-0000-0000-00007F2F0000}"/>
    <cellStyle name="Normal 3 2 7 3 5" xfId="13015" xr:uid="{00000000-0005-0000-0000-0000802F0000}"/>
    <cellStyle name="Normal 3 2 7 3 6" xfId="13016" xr:uid="{00000000-0005-0000-0000-0000812F0000}"/>
    <cellStyle name="Normal 3 2 7 3 7" xfId="13017" xr:uid="{00000000-0005-0000-0000-0000822F0000}"/>
    <cellStyle name="Normal 3 2 7 3 8" xfId="13018" xr:uid="{00000000-0005-0000-0000-0000832F0000}"/>
    <cellStyle name="Normal 3 2 7 3 9" xfId="13019" xr:uid="{00000000-0005-0000-0000-0000842F0000}"/>
    <cellStyle name="Normal 3 2 7 4" xfId="13020" xr:uid="{00000000-0005-0000-0000-0000852F0000}"/>
    <cellStyle name="Normal 3 2 7 4 10" xfId="13021" xr:uid="{00000000-0005-0000-0000-0000862F0000}"/>
    <cellStyle name="Normal 3 2 7 4 11" xfId="13022" xr:uid="{00000000-0005-0000-0000-0000872F0000}"/>
    <cellStyle name="Normal 3 2 7 4 12" xfId="13023" xr:uid="{00000000-0005-0000-0000-0000882F0000}"/>
    <cellStyle name="Normal 3 2 7 4 13" xfId="13024" xr:uid="{00000000-0005-0000-0000-0000892F0000}"/>
    <cellStyle name="Normal 3 2 7 4 14" xfId="13025" xr:uid="{00000000-0005-0000-0000-00008A2F0000}"/>
    <cellStyle name="Normal 3 2 7 4 15" xfId="13026" xr:uid="{00000000-0005-0000-0000-00008B2F0000}"/>
    <cellStyle name="Normal 3 2 7 4 2" xfId="13027" xr:uid="{00000000-0005-0000-0000-00008C2F0000}"/>
    <cellStyle name="Normal 3 2 7 4 3" xfId="13028" xr:uid="{00000000-0005-0000-0000-00008D2F0000}"/>
    <cellStyle name="Normal 3 2 7 4 4" xfId="13029" xr:uid="{00000000-0005-0000-0000-00008E2F0000}"/>
    <cellStyle name="Normal 3 2 7 4 5" xfId="13030" xr:uid="{00000000-0005-0000-0000-00008F2F0000}"/>
    <cellStyle name="Normal 3 2 7 4 6" xfId="13031" xr:uid="{00000000-0005-0000-0000-0000902F0000}"/>
    <cellStyle name="Normal 3 2 7 4 7" xfId="13032" xr:uid="{00000000-0005-0000-0000-0000912F0000}"/>
    <cellStyle name="Normal 3 2 7 4 8" xfId="13033" xr:uid="{00000000-0005-0000-0000-0000922F0000}"/>
    <cellStyle name="Normal 3 2 7 4 9" xfId="13034" xr:uid="{00000000-0005-0000-0000-0000932F0000}"/>
    <cellStyle name="Normal 3 2 7 5" xfId="13035" xr:uid="{00000000-0005-0000-0000-0000942F0000}"/>
    <cellStyle name="Normal 3 2 7 5 10" xfId="13036" xr:uid="{00000000-0005-0000-0000-0000952F0000}"/>
    <cellStyle name="Normal 3 2 7 5 11" xfId="13037" xr:uid="{00000000-0005-0000-0000-0000962F0000}"/>
    <cellStyle name="Normal 3 2 7 5 12" xfId="13038" xr:uid="{00000000-0005-0000-0000-0000972F0000}"/>
    <cellStyle name="Normal 3 2 7 5 13" xfId="13039" xr:uid="{00000000-0005-0000-0000-0000982F0000}"/>
    <cellStyle name="Normal 3 2 7 5 14" xfId="13040" xr:uid="{00000000-0005-0000-0000-0000992F0000}"/>
    <cellStyle name="Normal 3 2 7 5 15" xfId="13041" xr:uid="{00000000-0005-0000-0000-00009A2F0000}"/>
    <cellStyle name="Normal 3 2 7 5 2" xfId="13042" xr:uid="{00000000-0005-0000-0000-00009B2F0000}"/>
    <cellStyle name="Normal 3 2 7 5 3" xfId="13043" xr:uid="{00000000-0005-0000-0000-00009C2F0000}"/>
    <cellStyle name="Normal 3 2 7 5 4" xfId="13044" xr:uid="{00000000-0005-0000-0000-00009D2F0000}"/>
    <cellStyle name="Normal 3 2 7 5 5" xfId="13045" xr:uid="{00000000-0005-0000-0000-00009E2F0000}"/>
    <cellStyle name="Normal 3 2 7 5 6" xfId="13046" xr:uid="{00000000-0005-0000-0000-00009F2F0000}"/>
    <cellStyle name="Normal 3 2 7 5 7" xfId="13047" xr:uid="{00000000-0005-0000-0000-0000A02F0000}"/>
    <cellStyle name="Normal 3 2 7 5 8" xfId="13048" xr:uid="{00000000-0005-0000-0000-0000A12F0000}"/>
    <cellStyle name="Normal 3 2 7 5 9" xfId="13049" xr:uid="{00000000-0005-0000-0000-0000A22F0000}"/>
    <cellStyle name="Normal 3 2 7 6" xfId="13050" xr:uid="{00000000-0005-0000-0000-0000A32F0000}"/>
    <cellStyle name="Normal 3 2 7 7" xfId="13051" xr:uid="{00000000-0005-0000-0000-0000A42F0000}"/>
    <cellStyle name="Normal 3 2 7 8" xfId="13052" xr:uid="{00000000-0005-0000-0000-0000A52F0000}"/>
    <cellStyle name="Normal 3 2 7 9" xfId="13053" xr:uid="{00000000-0005-0000-0000-0000A62F0000}"/>
    <cellStyle name="Normal 3 2 8" xfId="13054" xr:uid="{00000000-0005-0000-0000-0000A72F0000}"/>
    <cellStyle name="Normal 3 2 8 10" xfId="13055" xr:uid="{00000000-0005-0000-0000-0000A82F0000}"/>
    <cellStyle name="Normal 3 2 8 11" xfId="13056" xr:uid="{00000000-0005-0000-0000-0000A92F0000}"/>
    <cellStyle name="Normal 3 2 8 12" xfId="13057" xr:uid="{00000000-0005-0000-0000-0000AA2F0000}"/>
    <cellStyle name="Normal 3 2 8 13" xfId="13058" xr:uid="{00000000-0005-0000-0000-0000AB2F0000}"/>
    <cellStyle name="Normal 3 2 8 14" xfId="13059" xr:uid="{00000000-0005-0000-0000-0000AC2F0000}"/>
    <cellStyle name="Normal 3 2 8 15" xfId="13060" xr:uid="{00000000-0005-0000-0000-0000AD2F0000}"/>
    <cellStyle name="Normal 3 2 8 16" xfId="13061" xr:uid="{00000000-0005-0000-0000-0000AE2F0000}"/>
    <cellStyle name="Normal 3 2 8 17" xfId="13062" xr:uid="{00000000-0005-0000-0000-0000AF2F0000}"/>
    <cellStyle name="Normal 3 2 8 18" xfId="13063" xr:uid="{00000000-0005-0000-0000-0000B02F0000}"/>
    <cellStyle name="Normal 3 2 8 19" xfId="13064" xr:uid="{00000000-0005-0000-0000-0000B12F0000}"/>
    <cellStyle name="Normal 3 2 8 2" xfId="13065" xr:uid="{00000000-0005-0000-0000-0000B22F0000}"/>
    <cellStyle name="Normal 3 2 8 2 10" xfId="13066" xr:uid="{00000000-0005-0000-0000-0000B32F0000}"/>
    <cellStyle name="Normal 3 2 8 2 11" xfId="13067" xr:uid="{00000000-0005-0000-0000-0000B42F0000}"/>
    <cellStyle name="Normal 3 2 8 2 12" xfId="13068" xr:uid="{00000000-0005-0000-0000-0000B52F0000}"/>
    <cellStyle name="Normal 3 2 8 2 13" xfId="13069" xr:uid="{00000000-0005-0000-0000-0000B62F0000}"/>
    <cellStyle name="Normal 3 2 8 2 14" xfId="13070" xr:uid="{00000000-0005-0000-0000-0000B72F0000}"/>
    <cellStyle name="Normal 3 2 8 2 15" xfId="13071" xr:uid="{00000000-0005-0000-0000-0000B82F0000}"/>
    <cellStyle name="Normal 3 2 8 2 2" xfId="13072" xr:uid="{00000000-0005-0000-0000-0000B92F0000}"/>
    <cellStyle name="Normal 3 2 8 2 3" xfId="13073" xr:uid="{00000000-0005-0000-0000-0000BA2F0000}"/>
    <cellStyle name="Normal 3 2 8 2 4" xfId="13074" xr:uid="{00000000-0005-0000-0000-0000BB2F0000}"/>
    <cellStyle name="Normal 3 2 8 2 5" xfId="13075" xr:uid="{00000000-0005-0000-0000-0000BC2F0000}"/>
    <cellStyle name="Normal 3 2 8 2 6" xfId="13076" xr:uid="{00000000-0005-0000-0000-0000BD2F0000}"/>
    <cellStyle name="Normal 3 2 8 2 7" xfId="13077" xr:uid="{00000000-0005-0000-0000-0000BE2F0000}"/>
    <cellStyle name="Normal 3 2 8 2 8" xfId="13078" xr:uid="{00000000-0005-0000-0000-0000BF2F0000}"/>
    <cellStyle name="Normal 3 2 8 2 9" xfId="13079" xr:uid="{00000000-0005-0000-0000-0000C02F0000}"/>
    <cellStyle name="Normal 3 2 8 3" xfId="13080" xr:uid="{00000000-0005-0000-0000-0000C12F0000}"/>
    <cellStyle name="Normal 3 2 8 3 10" xfId="13081" xr:uid="{00000000-0005-0000-0000-0000C22F0000}"/>
    <cellStyle name="Normal 3 2 8 3 11" xfId="13082" xr:uid="{00000000-0005-0000-0000-0000C32F0000}"/>
    <cellStyle name="Normal 3 2 8 3 12" xfId="13083" xr:uid="{00000000-0005-0000-0000-0000C42F0000}"/>
    <cellStyle name="Normal 3 2 8 3 13" xfId="13084" xr:uid="{00000000-0005-0000-0000-0000C52F0000}"/>
    <cellStyle name="Normal 3 2 8 3 14" xfId="13085" xr:uid="{00000000-0005-0000-0000-0000C62F0000}"/>
    <cellStyle name="Normal 3 2 8 3 15" xfId="13086" xr:uid="{00000000-0005-0000-0000-0000C72F0000}"/>
    <cellStyle name="Normal 3 2 8 3 2" xfId="13087" xr:uid="{00000000-0005-0000-0000-0000C82F0000}"/>
    <cellStyle name="Normal 3 2 8 3 3" xfId="13088" xr:uid="{00000000-0005-0000-0000-0000C92F0000}"/>
    <cellStyle name="Normal 3 2 8 3 4" xfId="13089" xr:uid="{00000000-0005-0000-0000-0000CA2F0000}"/>
    <cellStyle name="Normal 3 2 8 3 5" xfId="13090" xr:uid="{00000000-0005-0000-0000-0000CB2F0000}"/>
    <cellStyle name="Normal 3 2 8 3 6" xfId="13091" xr:uid="{00000000-0005-0000-0000-0000CC2F0000}"/>
    <cellStyle name="Normal 3 2 8 3 7" xfId="13092" xr:uid="{00000000-0005-0000-0000-0000CD2F0000}"/>
    <cellStyle name="Normal 3 2 8 3 8" xfId="13093" xr:uid="{00000000-0005-0000-0000-0000CE2F0000}"/>
    <cellStyle name="Normal 3 2 8 3 9" xfId="13094" xr:uid="{00000000-0005-0000-0000-0000CF2F0000}"/>
    <cellStyle name="Normal 3 2 8 4" xfId="13095" xr:uid="{00000000-0005-0000-0000-0000D02F0000}"/>
    <cellStyle name="Normal 3 2 8 4 10" xfId="13096" xr:uid="{00000000-0005-0000-0000-0000D12F0000}"/>
    <cellStyle name="Normal 3 2 8 4 11" xfId="13097" xr:uid="{00000000-0005-0000-0000-0000D22F0000}"/>
    <cellStyle name="Normal 3 2 8 4 12" xfId="13098" xr:uid="{00000000-0005-0000-0000-0000D32F0000}"/>
    <cellStyle name="Normal 3 2 8 4 13" xfId="13099" xr:uid="{00000000-0005-0000-0000-0000D42F0000}"/>
    <cellStyle name="Normal 3 2 8 4 14" xfId="13100" xr:uid="{00000000-0005-0000-0000-0000D52F0000}"/>
    <cellStyle name="Normal 3 2 8 4 15" xfId="13101" xr:uid="{00000000-0005-0000-0000-0000D62F0000}"/>
    <cellStyle name="Normal 3 2 8 4 2" xfId="13102" xr:uid="{00000000-0005-0000-0000-0000D72F0000}"/>
    <cellStyle name="Normal 3 2 8 4 3" xfId="13103" xr:uid="{00000000-0005-0000-0000-0000D82F0000}"/>
    <cellStyle name="Normal 3 2 8 4 4" xfId="13104" xr:uid="{00000000-0005-0000-0000-0000D92F0000}"/>
    <cellStyle name="Normal 3 2 8 4 5" xfId="13105" xr:uid="{00000000-0005-0000-0000-0000DA2F0000}"/>
    <cellStyle name="Normal 3 2 8 4 6" xfId="13106" xr:uid="{00000000-0005-0000-0000-0000DB2F0000}"/>
    <cellStyle name="Normal 3 2 8 4 7" xfId="13107" xr:uid="{00000000-0005-0000-0000-0000DC2F0000}"/>
    <cellStyle name="Normal 3 2 8 4 8" xfId="13108" xr:uid="{00000000-0005-0000-0000-0000DD2F0000}"/>
    <cellStyle name="Normal 3 2 8 4 9" xfId="13109" xr:uid="{00000000-0005-0000-0000-0000DE2F0000}"/>
    <cellStyle name="Normal 3 2 8 5" xfId="13110" xr:uid="{00000000-0005-0000-0000-0000DF2F0000}"/>
    <cellStyle name="Normal 3 2 8 5 10" xfId="13111" xr:uid="{00000000-0005-0000-0000-0000E02F0000}"/>
    <cellStyle name="Normal 3 2 8 5 11" xfId="13112" xr:uid="{00000000-0005-0000-0000-0000E12F0000}"/>
    <cellStyle name="Normal 3 2 8 5 12" xfId="13113" xr:uid="{00000000-0005-0000-0000-0000E22F0000}"/>
    <cellStyle name="Normal 3 2 8 5 13" xfId="13114" xr:uid="{00000000-0005-0000-0000-0000E32F0000}"/>
    <cellStyle name="Normal 3 2 8 5 14" xfId="13115" xr:uid="{00000000-0005-0000-0000-0000E42F0000}"/>
    <cellStyle name="Normal 3 2 8 5 15" xfId="13116" xr:uid="{00000000-0005-0000-0000-0000E52F0000}"/>
    <cellStyle name="Normal 3 2 8 5 2" xfId="13117" xr:uid="{00000000-0005-0000-0000-0000E62F0000}"/>
    <cellStyle name="Normal 3 2 8 5 3" xfId="13118" xr:uid="{00000000-0005-0000-0000-0000E72F0000}"/>
    <cellStyle name="Normal 3 2 8 5 4" xfId="13119" xr:uid="{00000000-0005-0000-0000-0000E82F0000}"/>
    <cellStyle name="Normal 3 2 8 5 5" xfId="13120" xr:uid="{00000000-0005-0000-0000-0000E92F0000}"/>
    <cellStyle name="Normal 3 2 8 5 6" xfId="13121" xr:uid="{00000000-0005-0000-0000-0000EA2F0000}"/>
    <cellStyle name="Normal 3 2 8 5 7" xfId="13122" xr:uid="{00000000-0005-0000-0000-0000EB2F0000}"/>
    <cellStyle name="Normal 3 2 8 5 8" xfId="13123" xr:uid="{00000000-0005-0000-0000-0000EC2F0000}"/>
    <cellStyle name="Normal 3 2 8 5 9" xfId="13124" xr:uid="{00000000-0005-0000-0000-0000ED2F0000}"/>
    <cellStyle name="Normal 3 2 8 6" xfId="13125" xr:uid="{00000000-0005-0000-0000-0000EE2F0000}"/>
    <cellStyle name="Normal 3 2 8 7" xfId="13126" xr:uid="{00000000-0005-0000-0000-0000EF2F0000}"/>
    <cellStyle name="Normal 3 2 8 8" xfId="13127" xr:uid="{00000000-0005-0000-0000-0000F02F0000}"/>
    <cellStyle name="Normal 3 2 8 9" xfId="13128" xr:uid="{00000000-0005-0000-0000-0000F12F0000}"/>
    <cellStyle name="Normal 3 2 9" xfId="13129" xr:uid="{00000000-0005-0000-0000-0000F22F0000}"/>
    <cellStyle name="Normal 3 2 9 10" xfId="13130" xr:uid="{00000000-0005-0000-0000-0000F32F0000}"/>
    <cellStyle name="Normal 3 2 9 11" xfId="13131" xr:uid="{00000000-0005-0000-0000-0000F42F0000}"/>
    <cellStyle name="Normal 3 2 9 12" xfId="13132" xr:uid="{00000000-0005-0000-0000-0000F52F0000}"/>
    <cellStyle name="Normal 3 2 9 13" xfId="13133" xr:uid="{00000000-0005-0000-0000-0000F62F0000}"/>
    <cellStyle name="Normal 3 2 9 14" xfId="13134" xr:uid="{00000000-0005-0000-0000-0000F72F0000}"/>
    <cellStyle name="Normal 3 2 9 15" xfId="13135" xr:uid="{00000000-0005-0000-0000-0000F82F0000}"/>
    <cellStyle name="Normal 3 2 9 16" xfId="13136" xr:uid="{00000000-0005-0000-0000-0000F92F0000}"/>
    <cellStyle name="Normal 3 2 9 17" xfId="13137" xr:uid="{00000000-0005-0000-0000-0000FA2F0000}"/>
    <cellStyle name="Normal 3 2 9 18" xfId="13138" xr:uid="{00000000-0005-0000-0000-0000FB2F0000}"/>
    <cellStyle name="Normal 3 2 9 19" xfId="13139" xr:uid="{00000000-0005-0000-0000-0000FC2F0000}"/>
    <cellStyle name="Normal 3 2 9 2" xfId="13140" xr:uid="{00000000-0005-0000-0000-0000FD2F0000}"/>
    <cellStyle name="Normal 3 2 9 2 10" xfId="13141" xr:uid="{00000000-0005-0000-0000-0000FE2F0000}"/>
    <cellStyle name="Normal 3 2 9 2 11" xfId="13142" xr:uid="{00000000-0005-0000-0000-0000FF2F0000}"/>
    <cellStyle name="Normal 3 2 9 2 12" xfId="13143" xr:uid="{00000000-0005-0000-0000-000000300000}"/>
    <cellStyle name="Normal 3 2 9 2 13" xfId="13144" xr:uid="{00000000-0005-0000-0000-000001300000}"/>
    <cellStyle name="Normal 3 2 9 2 14" xfId="13145" xr:uid="{00000000-0005-0000-0000-000002300000}"/>
    <cellStyle name="Normal 3 2 9 2 15" xfId="13146" xr:uid="{00000000-0005-0000-0000-000003300000}"/>
    <cellStyle name="Normal 3 2 9 2 2" xfId="13147" xr:uid="{00000000-0005-0000-0000-000004300000}"/>
    <cellStyle name="Normal 3 2 9 2 3" xfId="13148" xr:uid="{00000000-0005-0000-0000-000005300000}"/>
    <cellStyle name="Normal 3 2 9 2 4" xfId="13149" xr:uid="{00000000-0005-0000-0000-000006300000}"/>
    <cellStyle name="Normal 3 2 9 2 5" xfId="13150" xr:uid="{00000000-0005-0000-0000-000007300000}"/>
    <cellStyle name="Normal 3 2 9 2 6" xfId="13151" xr:uid="{00000000-0005-0000-0000-000008300000}"/>
    <cellStyle name="Normal 3 2 9 2 7" xfId="13152" xr:uid="{00000000-0005-0000-0000-000009300000}"/>
    <cellStyle name="Normal 3 2 9 2 8" xfId="13153" xr:uid="{00000000-0005-0000-0000-00000A300000}"/>
    <cellStyle name="Normal 3 2 9 2 9" xfId="13154" xr:uid="{00000000-0005-0000-0000-00000B300000}"/>
    <cellStyle name="Normal 3 2 9 3" xfId="13155" xr:uid="{00000000-0005-0000-0000-00000C300000}"/>
    <cellStyle name="Normal 3 2 9 3 10" xfId="13156" xr:uid="{00000000-0005-0000-0000-00000D300000}"/>
    <cellStyle name="Normal 3 2 9 3 11" xfId="13157" xr:uid="{00000000-0005-0000-0000-00000E300000}"/>
    <cellStyle name="Normal 3 2 9 3 12" xfId="13158" xr:uid="{00000000-0005-0000-0000-00000F300000}"/>
    <cellStyle name="Normal 3 2 9 3 13" xfId="13159" xr:uid="{00000000-0005-0000-0000-000010300000}"/>
    <cellStyle name="Normal 3 2 9 3 14" xfId="13160" xr:uid="{00000000-0005-0000-0000-000011300000}"/>
    <cellStyle name="Normal 3 2 9 3 15" xfId="13161" xr:uid="{00000000-0005-0000-0000-000012300000}"/>
    <cellStyle name="Normal 3 2 9 3 2" xfId="13162" xr:uid="{00000000-0005-0000-0000-000013300000}"/>
    <cellStyle name="Normal 3 2 9 3 3" xfId="13163" xr:uid="{00000000-0005-0000-0000-000014300000}"/>
    <cellStyle name="Normal 3 2 9 3 4" xfId="13164" xr:uid="{00000000-0005-0000-0000-000015300000}"/>
    <cellStyle name="Normal 3 2 9 3 5" xfId="13165" xr:uid="{00000000-0005-0000-0000-000016300000}"/>
    <cellStyle name="Normal 3 2 9 3 6" xfId="13166" xr:uid="{00000000-0005-0000-0000-000017300000}"/>
    <cellStyle name="Normal 3 2 9 3 7" xfId="13167" xr:uid="{00000000-0005-0000-0000-000018300000}"/>
    <cellStyle name="Normal 3 2 9 3 8" xfId="13168" xr:uid="{00000000-0005-0000-0000-000019300000}"/>
    <cellStyle name="Normal 3 2 9 3 9" xfId="13169" xr:uid="{00000000-0005-0000-0000-00001A300000}"/>
    <cellStyle name="Normal 3 2 9 4" xfId="13170" xr:uid="{00000000-0005-0000-0000-00001B300000}"/>
    <cellStyle name="Normal 3 2 9 4 10" xfId="13171" xr:uid="{00000000-0005-0000-0000-00001C300000}"/>
    <cellStyle name="Normal 3 2 9 4 11" xfId="13172" xr:uid="{00000000-0005-0000-0000-00001D300000}"/>
    <cellStyle name="Normal 3 2 9 4 12" xfId="13173" xr:uid="{00000000-0005-0000-0000-00001E300000}"/>
    <cellStyle name="Normal 3 2 9 4 13" xfId="13174" xr:uid="{00000000-0005-0000-0000-00001F300000}"/>
    <cellStyle name="Normal 3 2 9 4 14" xfId="13175" xr:uid="{00000000-0005-0000-0000-000020300000}"/>
    <cellStyle name="Normal 3 2 9 4 15" xfId="13176" xr:uid="{00000000-0005-0000-0000-000021300000}"/>
    <cellStyle name="Normal 3 2 9 4 2" xfId="13177" xr:uid="{00000000-0005-0000-0000-000022300000}"/>
    <cellStyle name="Normal 3 2 9 4 3" xfId="13178" xr:uid="{00000000-0005-0000-0000-000023300000}"/>
    <cellStyle name="Normal 3 2 9 4 4" xfId="13179" xr:uid="{00000000-0005-0000-0000-000024300000}"/>
    <cellStyle name="Normal 3 2 9 4 5" xfId="13180" xr:uid="{00000000-0005-0000-0000-000025300000}"/>
    <cellStyle name="Normal 3 2 9 4 6" xfId="13181" xr:uid="{00000000-0005-0000-0000-000026300000}"/>
    <cellStyle name="Normal 3 2 9 4 7" xfId="13182" xr:uid="{00000000-0005-0000-0000-000027300000}"/>
    <cellStyle name="Normal 3 2 9 4 8" xfId="13183" xr:uid="{00000000-0005-0000-0000-000028300000}"/>
    <cellStyle name="Normal 3 2 9 4 9" xfId="13184" xr:uid="{00000000-0005-0000-0000-000029300000}"/>
    <cellStyle name="Normal 3 2 9 5" xfId="13185" xr:uid="{00000000-0005-0000-0000-00002A300000}"/>
    <cellStyle name="Normal 3 2 9 5 10" xfId="13186" xr:uid="{00000000-0005-0000-0000-00002B300000}"/>
    <cellStyle name="Normal 3 2 9 5 11" xfId="13187" xr:uid="{00000000-0005-0000-0000-00002C300000}"/>
    <cellStyle name="Normal 3 2 9 5 12" xfId="13188" xr:uid="{00000000-0005-0000-0000-00002D300000}"/>
    <cellStyle name="Normal 3 2 9 5 13" xfId="13189" xr:uid="{00000000-0005-0000-0000-00002E300000}"/>
    <cellStyle name="Normal 3 2 9 5 14" xfId="13190" xr:uid="{00000000-0005-0000-0000-00002F300000}"/>
    <cellStyle name="Normal 3 2 9 5 15" xfId="13191" xr:uid="{00000000-0005-0000-0000-000030300000}"/>
    <cellStyle name="Normal 3 2 9 5 2" xfId="13192" xr:uid="{00000000-0005-0000-0000-000031300000}"/>
    <cellStyle name="Normal 3 2 9 5 3" xfId="13193" xr:uid="{00000000-0005-0000-0000-000032300000}"/>
    <cellStyle name="Normal 3 2 9 5 4" xfId="13194" xr:uid="{00000000-0005-0000-0000-000033300000}"/>
    <cellStyle name="Normal 3 2 9 5 5" xfId="13195" xr:uid="{00000000-0005-0000-0000-000034300000}"/>
    <cellStyle name="Normal 3 2 9 5 6" xfId="13196" xr:uid="{00000000-0005-0000-0000-000035300000}"/>
    <cellStyle name="Normal 3 2 9 5 7" xfId="13197" xr:uid="{00000000-0005-0000-0000-000036300000}"/>
    <cellStyle name="Normal 3 2 9 5 8" xfId="13198" xr:uid="{00000000-0005-0000-0000-000037300000}"/>
    <cellStyle name="Normal 3 2 9 5 9" xfId="13199" xr:uid="{00000000-0005-0000-0000-000038300000}"/>
    <cellStyle name="Normal 3 2 9 6" xfId="13200" xr:uid="{00000000-0005-0000-0000-000039300000}"/>
    <cellStyle name="Normal 3 2 9 7" xfId="13201" xr:uid="{00000000-0005-0000-0000-00003A300000}"/>
    <cellStyle name="Normal 3 2 9 8" xfId="13202" xr:uid="{00000000-0005-0000-0000-00003B300000}"/>
    <cellStyle name="Normal 3 2 9 9" xfId="13203" xr:uid="{00000000-0005-0000-0000-00003C300000}"/>
    <cellStyle name="Normal 3 2_CORRECTED COPY OF rA 5" xfId="13204" xr:uid="{00000000-0005-0000-0000-00003D300000}"/>
    <cellStyle name="Normal 3 20" xfId="13205" xr:uid="{00000000-0005-0000-0000-00003E300000}"/>
    <cellStyle name="Normal 3 20 10" xfId="13206" xr:uid="{00000000-0005-0000-0000-00003F300000}"/>
    <cellStyle name="Normal 3 20 11" xfId="13207" xr:uid="{00000000-0005-0000-0000-000040300000}"/>
    <cellStyle name="Normal 3 20 12" xfId="13208" xr:uid="{00000000-0005-0000-0000-000041300000}"/>
    <cellStyle name="Normal 3 20 13" xfId="13209" xr:uid="{00000000-0005-0000-0000-000042300000}"/>
    <cellStyle name="Normal 3 20 14" xfId="13210" xr:uid="{00000000-0005-0000-0000-000043300000}"/>
    <cellStyle name="Normal 3 20 15" xfId="13211" xr:uid="{00000000-0005-0000-0000-000044300000}"/>
    <cellStyle name="Normal 3 20 16" xfId="13212" xr:uid="{00000000-0005-0000-0000-000045300000}"/>
    <cellStyle name="Normal 3 20 17" xfId="13213" xr:uid="{00000000-0005-0000-0000-000046300000}"/>
    <cellStyle name="Normal 3 20 18" xfId="13214" xr:uid="{00000000-0005-0000-0000-000047300000}"/>
    <cellStyle name="Normal 3 20 19" xfId="13215" xr:uid="{00000000-0005-0000-0000-000048300000}"/>
    <cellStyle name="Normal 3 20 2" xfId="13216" xr:uid="{00000000-0005-0000-0000-000049300000}"/>
    <cellStyle name="Normal 3 20 2 10" xfId="13217" xr:uid="{00000000-0005-0000-0000-00004A300000}"/>
    <cellStyle name="Normal 3 20 2 11" xfId="13218" xr:uid="{00000000-0005-0000-0000-00004B300000}"/>
    <cellStyle name="Normal 3 20 2 12" xfId="13219" xr:uid="{00000000-0005-0000-0000-00004C300000}"/>
    <cellStyle name="Normal 3 20 2 13" xfId="13220" xr:uid="{00000000-0005-0000-0000-00004D300000}"/>
    <cellStyle name="Normal 3 20 2 14" xfId="13221" xr:uid="{00000000-0005-0000-0000-00004E300000}"/>
    <cellStyle name="Normal 3 20 2 15" xfId="13222" xr:uid="{00000000-0005-0000-0000-00004F300000}"/>
    <cellStyle name="Normal 3 20 2 2" xfId="13223" xr:uid="{00000000-0005-0000-0000-000050300000}"/>
    <cellStyle name="Normal 3 20 2 3" xfId="13224" xr:uid="{00000000-0005-0000-0000-000051300000}"/>
    <cellStyle name="Normal 3 20 2 4" xfId="13225" xr:uid="{00000000-0005-0000-0000-000052300000}"/>
    <cellStyle name="Normal 3 20 2 5" xfId="13226" xr:uid="{00000000-0005-0000-0000-000053300000}"/>
    <cellStyle name="Normal 3 20 2 6" xfId="13227" xr:uid="{00000000-0005-0000-0000-000054300000}"/>
    <cellStyle name="Normal 3 20 2 7" xfId="13228" xr:uid="{00000000-0005-0000-0000-000055300000}"/>
    <cellStyle name="Normal 3 20 2 8" xfId="13229" xr:uid="{00000000-0005-0000-0000-000056300000}"/>
    <cellStyle name="Normal 3 20 2 9" xfId="13230" xr:uid="{00000000-0005-0000-0000-000057300000}"/>
    <cellStyle name="Normal 3 20 3" xfId="13231" xr:uid="{00000000-0005-0000-0000-000058300000}"/>
    <cellStyle name="Normal 3 20 3 10" xfId="13232" xr:uid="{00000000-0005-0000-0000-000059300000}"/>
    <cellStyle name="Normal 3 20 3 11" xfId="13233" xr:uid="{00000000-0005-0000-0000-00005A300000}"/>
    <cellStyle name="Normal 3 20 3 12" xfId="13234" xr:uid="{00000000-0005-0000-0000-00005B300000}"/>
    <cellStyle name="Normal 3 20 3 13" xfId="13235" xr:uid="{00000000-0005-0000-0000-00005C300000}"/>
    <cellStyle name="Normal 3 20 3 14" xfId="13236" xr:uid="{00000000-0005-0000-0000-00005D300000}"/>
    <cellStyle name="Normal 3 20 3 15" xfId="13237" xr:uid="{00000000-0005-0000-0000-00005E300000}"/>
    <cellStyle name="Normal 3 20 3 2" xfId="13238" xr:uid="{00000000-0005-0000-0000-00005F300000}"/>
    <cellStyle name="Normal 3 20 3 3" xfId="13239" xr:uid="{00000000-0005-0000-0000-000060300000}"/>
    <cellStyle name="Normal 3 20 3 4" xfId="13240" xr:uid="{00000000-0005-0000-0000-000061300000}"/>
    <cellStyle name="Normal 3 20 3 5" xfId="13241" xr:uid="{00000000-0005-0000-0000-000062300000}"/>
    <cellStyle name="Normal 3 20 3 6" xfId="13242" xr:uid="{00000000-0005-0000-0000-000063300000}"/>
    <cellStyle name="Normal 3 20 3 7" xfId="13243" xr:uid="{00000000-0005-0000-0000-000064300000}"/>
    <cellStyle name="Normal 3 20 3 8" xfId="13244" xr:uid="{00000000-0005-0000-0000-000065300000}"/>
    <cellStyle name="Normal 3 20 3 9" xfId="13245" xr:uid="{00000000-0005-0000-0000-000066300000}"/>
    <cellStyle name="Normal 3 20 4" xfId="13246" xr:uid="{00000000-0005-0000-0000-000067300000}"/>
    <cellStyle name="Normal 3 20 4 10" xfId="13247" xr:uid="{00000000-0005-0000-0000-000068300000}"/>
    <cellStyle name="Normal 3 20 4 11" xfId="13248" xr:uid="{00000000-0005-0000-0000-000069300000}"/>
    <cellStyle name="Normal 3 20 4 12" xfId="13249" xr:uid="{00000000-0005-0000-0000-00006A300000}"/>
    <cellStyle name="Normal 3 20 4 13" xfId="13250" xr:uid="{00000000-0005-0000-0000-00006B300000}"/>
    <cellStyle name="Normal 3 20 4 14" xfId="13251" xr:uid="{00000000-0005-0000-0000-00006C300000}"/>
    <cellStyle name="Normal 3 20 4 15" xfId="13252" xr:uid="{00000000-0005-0000-0000-00006D300000}"/>
    <cellStyle name="Normal 3 20 4 2" xfId="13253" xr:uid="{00000000-0005-0000-0000-00006E300000}"/>
    <cellStyle name="Normal 3 20 4 3" xfId="13254" xr:uid="{00000000-0005-0000-0000-00006F300000}"/>
    <cellStyle name="Normal 3 20 4 4" xfId="13255" xr:uid="{00000000-0005-0000-0000-000070300000}"/>
    <cellStyle name="Normal 3 20 4 5" xfId="13256" xr:uid="{00000000-0005-0000-0000-000071300000}"/>
    <cellStyle name="Normal 3 20 4 6" xfId="13257" xr:uid="{00000000-0005-0000-0000-000072300000}"/>
    <cellStyle name="Normal 3 20 4 7" xfId="13258" xr:uid="{00000000-0005-0000-0000-000073300000}"/>
    <cellStyle name="Normal 3 20 4 8" xfId="13259" xr:uid="{00000000-0005-0000-0000-000074300000}"/>
    <cellStyle name="Normal 3 20 4 9" xfId="13260" xr:uid="{00000000-0005-0000-0000-000075300000}"/>
    <cellStyle name="Normal 3 20 5" xfId="13261" xr:uid="{00000000-0005-0000-0000-000076300000}"/>
    <cellStyle name="Normal 3 20 5 10" xfId="13262" xr:uid="{00000000-0005-0000-0000-000077300000}"/>
    <cellStyle name="Normal 3 20 5 11" xfId="13263" xr:uid="{00000000-0005-0000-0000-000078300000}"/>
    <cellStyle name="Normal 3 20 5 12" xfId="13264" xr:uid="{00000000-0005-0000-0000-000079300000}"/>
    <cellStyle name="Normal 3 20 5 13" xfId="13265" xr:uid="{00000000-0005-0000-0000-00007A300000}"/>
    <cellStyle name="Normal 3 20 5 14" xfId="13266" xr:uid="{00000000-0005-0000-0000-00007B300000}"/>
    <cellStyle name="Normal 3 20 5 15" xfId="13267" xr:uid="{00000000-0005-0000-0000-00007C300000}"/>
    <cellStyle name="Normal 3 20 5 2" xfId="13268" xr:uid="{00000000-0005-0000-0000-00007D300000}"/>
    <cellStyle name="Normal 3 20 5 3" xfId="13269" xr:uid="{00000000-0005-0000-0000-00007E300000}"/>
    <cellStyle name="Normal 3 20 5 4" xfId="13270" xr:uid="{00000000-0005-0000-0000-00007F300000}"/>
    <cellStyle name="Normal 3 20 5 5" xfId="13271" xr:uid="{00000000-0005-0000-0000-000080300000}"/>
    <cellStyle name="Normal 3 20 5 6" xfId="13272" xr:uid="{00000000-0005-0000-0000-000081300000}"/>
    <cellStyle name="Normal 3 20 5 7" xfId="13273" xr:uid="{00000000-0005-0000-0000-000082300000}"/>
    <cellStyle name="Normal 3 20 5 8" xfId="13274" xr:uid="{00000000-0005-0000-0000-000083300000}"/>
    <cellStyle name="Normal 3 20 5 9" xfId="13275" xr:uid="{00000000-0005-0000-0000-000084300000}"/>
    <cellStyle name="Normal 3 20 6" xfId="13276" xr:uid="{00000000-0005-0000-0000-000085300000}"/>
    <cellStyle name="Normal 3 20 7" xfId="13277" xr:uid="{00000000-0005-0000-0000-000086300000}"/>
    <cellStyle name="Normal 3 20 8" xfId="13278" xr:uid="{00000000-0005-0000-0000-000087300000}"/>
    <cellStyle name="Normal 3 20 9" xfId="13279" xr:uid="{00000000-0005-0000-0000-000088300000}"/>
    <cellStyle name="Normal 3 21" xfId="13280" xr:uid="{00000000-0005-0000-0000-000089300000}"/>
    <cellStyle name="Normal 3 21 10" xfId="13281" xr:uid="{00000000-0005-0000-0000-00008A300000}"/>
    <cellStyle name="Normal 3 21 11" xfId="13282" xr:uid="{00000000-0005-0000-0000-00008B300000}"/>
    <cellStyle name="Normal 3 21 12" xfId="13283" xr:uid="{00000000-0005-0000-0000-00008C300000}"/>
    <cellStyle name="Normal 3 21 13" xfId="13284" xr:uid="{00000000-0005-0000-0000-00008D300000}"/>
    <cellStyle name="Normal 3 21 14" xfId="13285" xr:uid="{00000000-0005-0000-0000-00008E300000}"/>
    <cellStyle name="Normal 3 21 15" xfId="13286" xr:uid="{00000000-0005-0000-0000-00008F300000}"/>
    <cellStyle name="Normal 3 21 16" xfId="13287" xr:uid="{00000000-0005-0000-0000-000090300000}"/>
    <cellStyle name="Normal 3 21 17" xfId="13288" xr:uid="{00000000-0005-0000-0000-000091300000}"/>
    <cellStyle name="Normal 3 21 18" xfId="13289" xr:uid="{00000000-0005-0000-0000-000092300000}"/>
    <cellStyle name="Normal 3 21 19" xfId="13290" xr:uid="{00000000-0005-0000-0000-000093300000}"/>
    <cellStyle name="Normal 3 21 2" xfId="13291" xr:uid="{00000000-0005-0000-0000-000094300000}"/>
    <cellStyle name="Normal 3 21 2 10" xfId="13292" xr:uid="{00000000-0005-0000-0000-000095300000}"/>
    <cellStyle name="Normal 3 21 2 11" xfId="13293" xr:uid="{00000000-0005-0000-0000-000096300000}"/>
    <cellStyle name="Normal 3 21 2 12" xfId="13294" xr:uid="{00000000-0005-0000-0000-000097300000}"/>
    <cellStyle name="Normal 3 21 2 13" xfId="13295" xr:uid="{00000000-0005-0000-0000-000098300000}"/>
    <cellStyle name="Normal 3 21 2 14" xfId="13296" xr:uid="{00000000-0005-0000-0000-000099300000}"/>
    <cellStyle name="Normal 3 21 2 15" xfId="13297" xr:uid="{00000000-0005-0000-0000-00009A300000}"/>
    <cellStyle name="Normal 3 21 2 2" xfId="13298" xr:uid="{00000000-0005-0000-0000-00009B300000}"/>
    <cellStyle name="Normal 3 21 2 3" xfId="13299" xr:uid="{00000000-0005-0000-0000-00009C300000}"/>
    <cellStyle name="Normal 3 21 2 4" xfId="13300" xr:uid="{00000000-0005-0000-0000-00009D300000}"/>
    <cellStyle name="Normal 3 21 2 5" xfId="13301" xr:uid="{00000000-0005-0000-0000-00009E300000}"/>
    <cellStyle name="Normal 3 21 2 6" xfId="13302" xr:uid="{00000000-0005-0000-0000-00009F300000}"/>
    <cellStyle name="Normal 3 21 2 7" xfId="13303" xr:uid="{00000000-0005-0000-0000-0000A0300000}"/>
    <cellStyle name="Normal 3 21 2 8" xfId="13304" xr:uid="{00000000-0005-0000-0000-0000A1300000}"/>
    <cellStyle name="Normal 3 21 2 9" xfId="13305" xr:uid="{00000000-0005-0000-0000-0000A2300000}"/>
    <cellStyle name="Normal 3 21 3" xfId="13306" xr:uid="{00000000-0005-0000-0000-0000A3300000}"/>
    <cellStyle name="Normal 3 21 3 10" xfId="13307" xr:uid="{00000000-0005-0000-0000-0000A4300000}"/>
    <cellStyle name="Normal 3 21 3 11" xfId="13308" xr:uid="{00000000-0005-0000-0000-0000A5300000}"/>
    <cellStyle name="Normal 3 21 3 12" xfId="13309" xr:uid="{00000000-0005-0000-0000-0000A6300000}"/>
    <cellStyle name="Normal 3 21 3 13" xfId="13310" xr:uid="{00000000-0005-0000-0000-0000A7300000}"/>
    <cellStyle name="Normal 3 21 3 14" xfId="13311" xr:uid="{00000000-0005-0000-0000-0000A8300000}"/>
    <cellStyle name="Normal 3 21 3 15" xfId="13312" xr:uid="{00000000-0005-0000-0000-0000A9300000}"/>
    <cellStyle name="Normal 3 21 3 2" xfId="13313" xr:uid="{00000000-0005-0000-0000-0000AA300000}"/>
    <cellStyle name="Normal 3 21 3 3" xfId="13314" xr:uid="{00000000-0005-0000-0000-0000AB300000}"/>
    <cellStyle name="Normal 3 21 3 4" xfId="13315" xr:uid="{00000000-0005-0000-0000-0000AC300000}"/>
    <cellStyle name="Normal 3 21 3 5" xfId="13316" xr:uid="{00000000-0005-0000-0000-0000AD300000}"/>
    <cellStyle name="Normal 3 21 3 6" xfId="13317" xr:uid="{00000000-0005-0000-0000-0000AE300000}"/>
    <cellStyle name="Normal 3 21 3 7" xfId="13318" xr:uid="{00000000-0005-0000-0000-0000AF300000}"/>
    <cellStyle name="Normal 3 21 3 8" xfId="13319" xr:uid="{00000000-0005-0000-0000-0000B0300000}"/>
    <cellStyle name="Normal 3 21 3 9" xfId="13320" xr:uid="{00000000-0005-0000-0000-0000B1300000}"/>
    <cellStyle name="Normal 3 21 4" xfId="13321" xr:uid="{00000000-0005-0000-0000-0000B2300000}"/>
    <cellStyle name="Normal 3 21 4 10" xfId="13322" xr:uid="{00000000-0005-0000-0000-0000B3300000}"/>
    <cellStyle name="Normal 3 21 4 11" xfId="13323" xr:uid="{00000000-0005-0000-0000-0000B4300000}"/>
    <cellStyle name="Normal 3 21 4 12" xfId="13324" xr:uid="{00000000-0005-0000-0000-0000B5300000}"/>
    <cellStyle name="Normal 3 21 4 13" xfId="13325" xr:uid="{00000000-0005-0000-0000-0000B6300000}"/>
    <cellStyle name="Normal 3 21 4 14" xfId="13326" xr:uid="{00000000-0005-0000-0000-0000B7300000}"/>
    <cellStyle name="Normal 3 21 4 15" xfId="13327" xr:uid="{00000000-0005-0000-0000-0000B8300000}"/>
    <cellStyle name="Normal 3 21 4 2" xfId="13328" xr:uid="{00000000-0005-0000-0000-0000B9300000}"/>
    <cellStyle name="Normal 3 21 4 3" xfId="13329" xr:uid="{00000000-0005-0000-0000-0000BA300000}"/>
    <cellStyle name="Normal 3 21 4 4" xfId="13330" xr:uid="{00000000-0005-0000-0000-0000BB300000}"/>
    <cellStyle name="Normal 3 21 4 5" xfId="13331" xr:uid="{00000000-0005-0000-0000-0000BC300000}"/>
    <cellStyle name="Normal 3 21 4 6" xfId="13332" xr:uid="{00000000-0005-0000-0000-0000BD300000}"/>
    <cellStyle name="Normal 3 21 4 7" xfId="13333" xr:uid="{00000000-0005-0000-0000-0000BE300000}"/>
    <cellStyle name="Normal 3 21 4 8" xfId="13334" xr:uid="{00000000-0005-0000-0000-0000BF300000}"/>
    <cellStyle name="Normal 3 21 4 9" xfId="13335" xr:uid="{00000000-0005-0000-0000-0000C0300000}"/>
    <cellStyle name="Normal 3 21 5" xfId="13336" xr:uid="{00000000-0005-0000-0000-0000C1300000}"/>
    <cellStyle name="Normal 3 21 5 10" xfId="13337" xr:uid="{00000000-0005-0000-0000-0000C2300000}"/>
    <cellStyle name="Normal 3 21 5 11" xfId="13338" xr:uid="{00000000-0005-0000-0000-0000C3300000}"/>
    <cellStyle name="Normal 3 21 5 12" xfId="13339" xr:uid="{00000000-0005-0000-0000-0000C4300000}"/>
    <cellStyle name="Normal 3 21 5 13" xfId="13340" xr:uid="{00000000-0005-0000-0000-0000C5300000}"/>
    <cellStyle name="Normal 3 21 5 14" xfId="13341" xr:uid="{00000000-0005-0000-0000-0000C6300000}"/>
    <cellStyle name="Normal 3 21 5 15" xfId="13342" xr:uid="{00000000-0005-0000-0000-0000C7300000}"/>
    <cellStyle name="Normal 3 21 5 2" xfId="13343" xr:uid="{00000000-0005-0000-0000-0000C8300000}"/>
    <cellStyle name="Normal 3 21 5 3" xfId="13344" xr:uid="{00000000-0005-0000-0000-0000C9300000}"/>
    <cellStyle name="Normal 3 21 5 4" xfId="13345" xr:uid="{00000000-0005-0000-0000-0000CA300000}"/>
    <cellStyle name="Normal 3 21 5 5" xfId="13346" xr:uid="{00000000-0005-0000-0000-0000CB300000}"/>
    <cellStyle name="Normal 3 21 5 6" xfId="13347" xr:uid="{00000000-0005-0000-0000-0000CC300000}"/>
    <cellStyle name="Normal 3 21 5 7" xfId="13348" xr:uid="{00000000-0005-0000-0000-0000CD300000}"/>
    <cellStyle name="Normal 3 21 5 8" xfId="13349" xr:uid="{00000000-0005-0000-0000-0000CE300000}"/>
    <cellStyle name="Normal 3 21 5 9" xfId="13350" xr:uid="{00000000-0005-0000-0000-0000CF300000}"/>
    <cellStyle name="Normal 3 21 6" xfId="13351" xr:uid="{00000000-0005-0000-0000-0000D0300000}"/>
    <cellStyle name="Normal 3 21 7" xfId="13352" xr:uid="{00000000-0005-0000-0000-0000D1300000}"/>
    <cellStyle name="Normal 3 21 8" xfId="13353" xr:uid="{00000000-0005-0000-0000-0000D2300000}"/>
    <cellStyle name="Normal 3 21 9" xfId="13354" xr:uid="{00000000-0005-0000-0000-0000D3300000}"/>
    <cellStyle name="Normal 3 22" xfId="13355" xr:uid="{00000000-0005-0000-0000-0000D4300000}"/>
    <cellStyle name="Normal 3 22 10" xfId="13356" xr:uid="{00000000-0005-0000-0000-0000D5300000}"/>
    <cellStyle name="Normal 3 22 11" xfId="13357" xr:uid="{00000000-0005-0000-0000-0000D6300000}"/>
    <cellStyle name="Normal 3 22 12" xfId="13358" xr:uid="{00000000-0005-0000-0000-0000D7300000}"/>
    <cellStyle name="Normal 3 22 13" xfId="13359" xr:uid="{00000000-0005-0000-0000-0000D8300000}"/>
    <cellStyle name="Normal 3 22 14" xfId="13360" xr:uid="{00000000-0005-0000-0000-0000D9300000}"/>
    <cellStyle name="Normal 3 22 15" xfId="13361" xr:uid="{00000000-0005-0000-0000-0000DA300000}"/>
    <cellStyle name="Normal 3 22 16" xfId="13362" xr:uid="{00000000-0005-0000-0000-0000DB300000}"/>
    <cellStyle name="Normal 3 22 17" xfId="13363" xr:uid="{00000000-0005-0000-0000-0000DC300000}"/>
    <cellStyle name="Normal 3 22 18" xfId="13364" xr:uid="{00000000-0005-0000-0000-0000DD300000}"/>
    <cellStyle name="Normal 3 22 19" xfId="13365" xr:uid="{00000000-0005-0000-0000-0000DE300000}"/>
    <cellStyle name="Normal 3 22 2" xfId="13366" xr:uid="{00000000-0005-0000-0000-0000DF300000}"/>
    <cellStyle name="Normal 3 22 2 10" xfId="13367" xr:uid="{00000000-0005-0000-0000-0000E0300000}"/>
    <cellStyle name="Normal 3 22 2 11" xfId="13368" xr:uid="{00000000-0005-0000-0000-0000E1300000}"/>
    <cellStyle name="Normal 3 22 2 12" xfId="13369" xr:uid="{00000000-0005-0000-0000-0000E2300000}"/>
    <cellStyle name="Normal 3 22 2 13" xfId="13370" xr:uid="{00000000-0005-0000-0000-0000E3300000}"/>
    <cellStyle name="Normal 3 22 2 14" xfId="13371" xr:uid="{00000000-0005-0000-0000-0000E4300000}"/>
    <cellStyle name="Normal 3 22 2 15" xfId="13372" xr:uid="{00000000-0005-0000-0000-0000E5300000}"/>
    <cellStyle name="Normal 3 22 2 2" xfId="13373" xr:uid="{00000000-0005-0000-0000-0000E6300000}"/>
    <cellStyle name="Normal 3 22 2 3" xfId="13374" xr:uid="{00000000-0005-0000-0000-0000E7300000}"/>
    <cellStyle name="Normal 3 22 2 4" xfId="13375" xr:uid="{00000000-0005-0000-0000-0000E8300000}"/>
    <cellStyle name="Normal 3 22 2 5" xfId="13376" xr:uid="{00000000-0005-0000-0000-0000E9300000}"/>
    <cellStyle name="Normal 3 22 2 6" xfId="13377" xr:uid="{00000000-0005-0000-0000-0000EA300000}"/>
    <cellStyle name="Normal 3 22 2 7" xfId="13378" xr:uid="{00000000-0005-0000-0000-0000EB300000}"/>
    <cellStyle name="Normal 3 22 2 8" xfId="13379" xr:uid="{00000000-0005-0000-0000-0000EC300000}"/>
    <cellStyle name="Normal 3 22 2 9" xfId="13380" xr:uid="{00000000-0005-0000-0000-0000ED300000}"/>
    <cellStyle name="Normal 3 22 3" xfId="13381" xr:uid="{00000000-0005-0000-0000-0000EE300000}"/>
    <cellStyle name="Normal 3 22 3 10" xfId="13382" xr:uid="{00000000-0005-0000-0000-0000EF300000}"/>
    <cellStyle name="Normal 3 22 3 11" xfId="13383" xr:uid="{00000000-0005-0000-0000-0000F0300000}"/>
    <cellStyle name="Normal 3 22 3 12" xfId="13384" xr:uid="{00000000-0005-0000-0000-0000F1300000}"/>
    <cellStyle name="Normal 3 22 3 13" xfId="13385" xr:uid="{00000000-0005-0000-0000-0000F2300000}"/>
    <cellStyle name="Normal 3 22 3 14" xfId="13386" xr:uid="{00000000-0005-0000-0000-0000F3300000}"/>
    <cellStyle name="Normal 3 22 3 15" xfId="13387" xr:uid="{00000000-0005-0000-0000-0000F4300000}"/>
    <cellStyle name="Normal 3 22 3 2" xfId="13388" xr:uid="{00000000-0005-0000-0000-0000F5300000}"/>
    <cellStyle name="Normal 3 22 3 3" xfId="13389" xr:uid="{00000000-0005-0000-0000-0000F6300000}"/>
    <cellStyle name="Normal 3 22 3 4" xfId="13390" xr:uid="{00000000-0005-0000-0000-0000F7300000}"/>
    <cellStyle name="Normal 3 22 3 5" xfId="13391" xr:uid="{00000000-0005-0000-0000-0000F8300000}"/>
    <cellStyle name="Normal 3 22 3 6" xfId="13392" xr:uid="{00000000-0005-0000-0000-0000F9300000}"/>
    <cellStyle name="Normal 3 22 3 7" xfId="13393" xr:uid="{00000000-0005-0000-0000-0000FA300000}"/>
    <cellStyle name="Normal 3 22 3 8" xfId="13394" xr:uid="{00000000-0005-0000-0000-0000FB300000}"/>
    <cellStyle name="Normal 3 22 3 9" xfId="13395" xr:uid="{00000000-0005-0000-0000-0000FC300000}"/>
    <cellStyle name="Normal 3 22 4" xfId="13396" xr:uid="{00000000-0005-0000-0000-0000FD300000}"/>
    <cellStyle name="Normal 3 22 4 10" xfId="13397" xr:uid="{00000000-0005-0000-0000-0000FE300000}"/>
    <cellStyle name="Normal 3 22 4 11" xfId="13398" xr:uid="{00000000-0005-0000-0000-0000FF300000}"/>
    <cellStyle name="Normal 3 22 4 12" xfId="13399" xr:uid="{00000000-0005-0000-0000-000000310000}"/>
    <cellStyle name="Normal 3 22 4 13" xfId="13400" xr:uid="{00000000-0005-0000-0000-000001310000}"/>
    <cellStyle name="Normal 3 22 4 14" xfId="13401" xr:uid="{00000000-0005-0000-0000-000002310000}"/>
    <cellStyle name="Normal 3 22 4 15" xfId="13402" xr:uid="{00000000-0005-0000-0000-000003310000}"/>
    <cellStyle name="Normal 3 22 4 2" xfId="13403" xr:uid="{00000000-0005-0000-0000-000004310000}"/>
    <cellStyle name="Normal 3 22 4 3" xfId="13404" xr:uid="{00000000-0005-0000-0000-000005310000}"/>
    <cellStyle name="Normal 3 22 4 4" xfId="13405" xr:uid="{00000000-0005-0000-0000-000006310000}"/>
    <cellStyle name="Normal 3 22 4 5" xfId="13406" xr:uid="{00000000-0005-0000-0000-000007310000}"/>
    <cellStyle name="Normal 3 22 4 6" xfId="13407" xr:uid="{00000000-0005-0000-0000-000008310000}"/>
    <cellStyle name="Normal 3 22 4 7" xfId="13408" xr:uid="{00000000-0005-0000-0000-000009310000}"/>
    <cellStyle name="Normal 3 22 4 8" xfId="13409" xr:uid="{00000000-0005-0000-0000-00000A310000}"/>
    <cellStyle name="Normal 3 22 4 9" xfId="13410" xr:uid="{00000000-0005-0000-0000-00000B310000}"/>
    <cellStyle name="Normal 3 22 5" xfId="13411" xr:uid="{00000000-0005-0000-0000-00000C310000}"/>
    <cellStyle name="Normal 3 22 5 10" xfId="13412" xr:uid="{00000000-0005-0000-0000-00000D310000}"/>
    <cellStyle name="Normal 3 22 5 11" xfId="13413" xr:uid="{00000000-0005-0000-0000-00000E310000}"/>
    <cellStyle name="Normal 3 22 5 12" xfId="13414" xr:uid="{00000000-0005-0000-0000-00000F310000}"/>
    <cellStyle name="Normal 3 22 5 13" xfId="13415" xr:uid="{00000000-0005-0000-0000-000010310000}"/>
    <cellStyle name="Normal 3 22 5 14" xfId="13416" xr:uid="{00000000-0005-0000-0000-000011310000}"/>
    <cellStyle name="Normal 3 22 5 15" xfId="13417" xr:uid="{00000000-0005-0000-0000-000012310000}"/>
    <cellStyle name="Normal 3 22 5 2" xfId="13418" xr:uid="{00000000-0005-0000-0000-000013310000}"/>
    <cellStyle name="Normal 3 22 5 3" xfId="13419" xr:uid="{00000000-0005-0000-0000-000014310000}"/>
    <cellStyle name="Normal 3 22 5 4" xfId="13420" xr:uid="{00000000-0005-0000-0000-000015310000}"/>
    <cellStyle name="Normal 3 22 5 5" xfId="13421" xr:uid="{00000000-0005-0000-0000-000016310000}"/>
    <cellStyle name="Normal 3 22 5 6" xfId="13422" xr:uid="{00000000-0005-0000-0000-000017310000}"/>
    <cellStyle name="Normal 3 22 5 7" xfId="13423" xr:uid="{00000000-0005-0000-0000-000018310000}"/>
    <cellStyle name="Normal 3 22 5 8" xfId="13424" xr:uid="{00000000-0005-0000-0000-000019310000}"/>
    <cellStyle name="Normal 3 22 5 9" xfId="13425" xr:uid="{00000000-0005-0000-0000-00001A310000}"/>
    <cellStyle name="Normal 3 22 6" xfId="13426" xr:uid="{00000000-0005-0000-0000-00001B310000}"/>
    <cellStyle name="Normal 3 22 7" xfId="13427" xr:uid="{00000000-0005-0000-0000-00001C310000}"/>
    <cellStyle name="Normal 3 22 8" xfId="13428" xr:uid="{00000000-0005-0000-0000-00001D310000}"/>
    <cellStyle name="Normal 3 22 9" xfId="13429" xr:uid="{00000000-0005-0000-0000-00001E310000}"/>
    <cellStyle name="Normal 3 23" xfId="13430" xr:uid="{00000000-0005-0000-0000-00001F310000}"/>
    <cellStyle name="Normal 3 23 10" xfId="13431" xr:uid="{00000000-0005-0000-0000-000020310000}"/>
    <cellStyle name="Normal 3 23 11" xfId="13432" xr:uid="{00000000-0005-0000-0000-000021310000}"/>
    <cellStyle name="Normal 3 23 12" xfId="13433" xr:uid="{00000000-0005-0000-0000-000022310000}"/>
    <cellStyle name="Normal 3 23 13" xfId="13434" xr:uid="{00000000-0005-0000-0000-000023310000}"/>
    <cellStyle name="Normal 3 23 14" xfId="13435" xr:uid="{00000000-0005-0000-0000-000024310000}"/>
    <cellStyle name="Normal 3 23 15" xfId="13436" xr:uid="{00000000-0005-0000-0000-000025310000}"/>
    <cellStyle name="Normal 3 23 16" xfId="13437" xr:uid="{00000000-0005-0000-0000-000026310000}"/>
    <cellStyle name="Normal 3 23 17" xfId="13438" xr:uid="{00000000-0005-0000-0000-000027310000}"/>
    <cellStyle name="Normal 3 23 18" xfId="13439" xr:uid="{00000000-0005-0000-0000-000028310000}"/>
    <cellStyle name="Normal 3 23 19" xfId="13440" xr:uid="{00000000-0005-0000-0000-000029310000}"/>
    <cellStyle name="Normal 3 23 2" xfId="13441" xr:uid="{00000000-0005-0000-0000-00002A310000}"/>
    <cellStyle name="Normal 3 23 2 10" xfId="13442" xr:uid="{00000000-0005-0000-0000-00002B310000}"/>
    <cellStyle name="Normal 3 23 2 11" xfId="13443" xr:uid="{00000000-0005-0000-0000-00002C310000}"/>
    <cellStyle name="Normal 3 23 2 12" xfId="13444" xr:uid="{00000000-0005-0000-0000-00002D310000}"/>
    <cellStyle name="Normal 3 23 2 13" xfId="13445" xr:uid="{00000000-0005-0000-0000-00002E310000}"/>
    <cellStyle name="Normal 3 23 2 14" xfId="13446" xr:uid="{00000000-0005-0000-0000-00002F310000}"/>
    <cellStyle name="Normal 3 23 2 15" xfId="13447" xr:uid="{00000000-0005-0000-0000-000030310000}"/>
    <cellStyle name="Normal 3 23 2 2" xfId="13448" xr:uid="{00000000-0005-0000-0000-000031310000}"/>
    <cellStyle name="Normal 3 23 2 3" xfId="13449" xr:uid="{00000000-0005-0000-0000-000032310000}"/>
    <cellStyle name="Normal 3 23 2 4" xfId="13450" xr:uid="{00000000-0005-0000-0000-000033310000}"/>
    <cellStyle name="Normal 3 23 2 5" xfId="13451" xr:uid="{00000000-0005-0000-0000-000034310000}"/>
    <cellStyle name="Normal 3 23 2 6" xfId="13452" xr:uid="{00000000-0005-0000-0000-000035310000}"/>
    <cellStyle name="Normal 3 23 2 7" xfId="13453" xr:uid="{00000000-0005-0000-0000-000036310000}"/>
    <cellStyle name="Normal 3 23 2 8" xfId="13454" xr:uid="{00000000-0005-0000-0000-000037310000}"/>
    <cellStyle name="Normal 3 23 2 9" xfId="13455" xr:uid="{00000000-0005-0000-0000-000038310000}"/>
    <cellStyle name="Normal 3 23 3" xfId="13456" xr:uid="{00000000-0005-0000-0000-000039310000}"/>
    <cellStyle name="Normal 3 23 3 10" xfId="13457" xr:uid="{00000000-0005-0000-0000-00003A310000}"/>
    <cellStyle name="Normal 3 23 3 11" xfId="13458" xr:uid="{00000000-0005-0000-0000-00003B310000}"/>
    <cellStyle name="Normal 3 23 3 12" xfId="13459" xr:uid="{00000000-0005-0000-0000-00003C310000}"/>
    <cellStyle name="Normal 3 23 3 13" xfId="13460" xr:uid="{00000000-0005-0000-0000-00003D310000}"/>
    <cellStyle name="Normal 3 23 3 14" xfId="13461" xr:uid="{00000000-0005-0000-0000-00003E310000}"/>
    <cellStyle name="Normal 3 23 3 15" xfId="13462" xr:uid="{00000000-0005-0000-0000-00003F310000}"/>
    <cellStyle name="Normal 3 23 3 2" xfId="13463" xr:uid="{00000000-0005-0000-0000-000040310000}"/>
    <cellStyle name="Normal 3 23 3 3" xfId="13464" xr:uid="{00000000-0005-0000-0000-000041310000}"/>
    <cellStyle name="Normal 3 23 3 4" xfId="13465" xr:uid="{00000000-0005-0000-0000-000042310000}"/>
    <cellStyle name="Normal 3 23 3 5" xfId="13466" xr:uid="{00000000-0005-0000-0000-000043310000}"/>
    <cellStyle name="Normal 3 23 3 6" xfId="13467" xr:uid="{00000000-0005-0000-0000-000044310000}"/>
    <cellStyle name="Normal 3 23 3 7" xfId="13468" xr:uid="{00000000-0005-0000-0000-000045310000}"/>
    <cellStyle name="Normal 3 23 3 8" xfId="13469" xr:uid="{00000000-0005-0000-0000-000046310000}"/>
    <cellStyle name="Normal 3 23 3 9" xfId="13470" xr:uid="{00000000-0005-0000-0000-000047310000}"/>
    <cellStyle name="Normal 3 23 4" xfId="13471" xr:uid="{00000000-0005-0000-0000-000048310000}"/>
    <cellStyle name="Normal 3 23 4 10" xfId="13472" xr:uid="{00000000-0005-0000-0000-000049310000}"/>
    <cellStyle name="Normal 3 23 4 11" xfId="13473" xr:uid="{00000000-0005-0000-0000-00004A310000}"/>
    <cellStyle name="Normal 3 23 4 12" xfId="13474" xr:uid="{00000000-0005-0000-0000-00004B310000}"/>
    <cellStyle name="Normal 3 23 4 13" xfId="13475" xr:uid="{00000000-0005-0000-0000-00004C310000}"/>
    <cellStyle name="Normal 3 23 4 14" xfId="13476" xr:uid="{00000000-0005-0000-0000-00004D310000}"/>
    <cellStyle name="Normal 3 23 4 15" xfId="13477" xr:uid="{00000000-0005-0000-0000-00004E310000}"/>
    <cellStyle name="Normal 3 23 4 2" xfId="13478" xr:uid="{00000000-0005-0000-0000-00004F310000}"/>
    <cellStyle name="Normal 3 23 4 3" xfId="13479" xr:uid="{00000000-0005-0000-0000-000050310000}"/>
    <cellStyle name="Normal 3 23 4 4" xfId="13480" xr:uid="{00000000-0005-0000-0000-000051310000}"/>
    <cellStyle name="Normal 3 23 4 5" xfId="13481" xr:uid="{00000000-0005-0000-0000-000052310000}"/>
    <cellStyle name="Normal 3 23 4 6" xfId="13482" xr:uid="{00000000-0005-0000-0000-000053310000}"/>
    <cellStyle name="Normal 3 23 4 7" xfId="13483" xr:uid="{00000000-0005-0000-0000-000054310000}"/>
    <cellStyle name="Normal 3 23 4 8" xfId="13484" xr:uid="{00000000-0005-0000-0000-000055310000}"/>
    <cellStyle name="Normal 3 23 4 9" xfId="13485" xr:uid="{00000000-0005-0000-0000-000056310000}"/>
    <cellStyle name="Normal 3 23 5" xfId="13486" xr:uid="{00000000-0005-0000-0000-000057310000}"/>
    <cellStyle name="Normal 3 23 5 10" xfId="13487" xr:uid="{00000000-0005-0000-0000-000058310000}"/>
    <cellStyle name="Normal 3 23 5 11" xfId="13488" xr:uid="{00000000-0005-0000-0000-000059310000}"/>
    <cellStyle name="Normal 3 23 5 12" xfId="13489" xr:uid="{00000000-0005-0000-0000-00005A310000}"/>
    <cellStyle name="Normal 3 23 5 13" xfId="13490" xr:uid="{00000000-0005-0000-0000-00005B310000}"/>
    <cellStyle name="Normal 3 23 5 14" xfId="13491" xr:uid="{00000000-0005-0000-0000-00005C310000}"/>
    <cellStyle name="Normal 3 23 5 15" xfId="13492" xr:uid="{00000000-0005-0000-0000-00005D310000}"/>
    <cellStyle name="Normal 3 23 5 2" xfId="13493" xr:uid="{00000000-0005-0000-0000-00005E310000}"/>
    <cellStyle name="Normal 3 23 5 3" xfId="13494" xr:uid="{00000000-0005-0000-0000-00005F310000}"/>
    <cellStyle name="Normal 3 23 5 4" xfId="13495" xr:uid="{00000000-0005-0000-0000-000060310000}"/>
    <cellStyle name="Normal 3 23 5 5" xfId="13496" xr:uid="{00000000-0005-0000-0000-000061310000}"/>
    <cellStyle name="Normal 3 23 5 6" xfId="13497" xr:uid="{00000000-0005-0000-0000-000062310000}"/>
    <cellStyle name="Normal 3 23 5 7" xfId="13498" xr:uid="{00000000-0005-0000-0000-000063310000}"/>
    <cellStyle name="Normal 3 23 5 8" xfId="13499" xr:uid="{00000000-0005-0000-0000-000064310000}"/>
    <cellStyle name="Normal 3 23 5 9" xfId="13500" xr:uid="{00000000-0005-0000-0000-000065310000}"/>
    <cellStyle name="Normal 3 23 6" xfId="13501" xr:uid="{00000000-0005-0000-0000-000066310000}"/>
    <cellStyle name="Normal 3 23 7" xfId="13502" xr:uid="{00000000-0005-0000-0000-000067310000}"/>
    <cellStyle name="Normal 3 23 8" xfId="13503" xr:uid="{00000000-0005-0000-0000-000068310000}"/>
    <cellStyle name="Normal 3 23 9" xfId="13504" xr:uid="{00000000-0005-0000-0000-000069310000}"/>
    <cellStyle name="Normal 3 24" xfId="13505" xr:uid="{00000000-0005-0000-0000-00006A310000}"/>
    <cellStyle name="Normal 3 24 10" xfId="13506" xr:uid="{00000000-0005-0000-0000-00006B310000}"/>
    <cellStyle name="Normal 3 24 11" xfId="13507" xr:uid="{00000000-0005-0000-0000-00006C310000}"/>
    <cellStyle name="Normal 3 24 12" xfId="13508" xr:uid="{00000000-0005-0000-0000-00006D310000}"/>
    <cellStyle name="Normal 3 24 13" xfId="13509" xr:uid="{00000000-0005-0000-0000-00006E310000}"/>
    <cellStyle name="Normal 3 24 14" xfId="13510" xr:uid="{00000000-0005-0000-0000-00006F310000}"/>
    <cellStyle name="Normal 3 24 15" xfId="13511" xr:uid="{00000000-0005-0000-0000-000070310000}"/>
    <cellStyle name="Normal 3 24 16" xfId="13512" xr:uid="{00000000-0005-0000-0000-000071310000}"/>
    <cellStyle name="Normal 3 24 17" xfId="13513" xr:uid="{00000000-0005-0000-0000-000072310000}"/>
    <cellStyle name="Normal 3 24 18" xfId="13514" xr:uid="{00000000-0005-0000-0000-000073310000}"/>
    <cellStyle name="Normal 3 24 19" xfId="13515" xr:uid="{00000000-0005-0000-0000-000074310000}"/>
    <cellStyle name="Normal 3 24 2" xfId="13516" xr:uid="{00000000-0005-0000-0000-000075310000}"/>
    <cellStyle name="Normal 3 24 2 10" xfId="13517" xr:uid="{00000000-0005-0000-0000-000076310000}"/>
    <cellStyle name="Normal 3 24 2 11" xfId="13518" xr:uid="{00000000-0005-0000-0000-000077310000}"/>
    <cellStyle name="Normal 3 24 2 12" xfId="13519" xr:uid="{00000000-0005-0000-0000-000078310000}"/>
    <cellStyle name="Normal 3 24 2 13" xfId="13520" xr:uid="{00000000-0005-0000-0000-000079310000}"/>
    <cellStyle name="Normal 3 24 2 14" xfId="13521" xr:uid="{00000000-0005-0000-0000-00007A310000}"/>
    <cellStyle name="Normal 3 24 2 15" xfId="13522" xr:uid="{00000000-0005-0000-0000-00007B310000}"/>
    <cellStyle name="Normal 3 24 2 2" xfId="13523" xr:uid="{00000000-0005-0000-0000-00007C310000}"/>
    <cellStyle name="Normal 3 24 2 3" xfId="13524" xr:uid="{00000000-0005-0000-0000-00007D310000}"/>
    <cellStyle name="Normal 3 24 2 4" xfId="13525" xr:uid="{00000000-0005-0000-0000-00007E310000}"/>
    <cellStyle name="Normal 3 24 2 5" xfId="13526" xr:uid="{00000000-0005-0000-0000-00007F310000}"/>
    <cellStyle name="Normal 3 24 2 6" xfId="13527" xr:uid="{00000000-0005-0000-0000-000080310000}"/>
    <cellStyle name="Normal 3 24 2 7" xfId="13528" xr:uid="{00000000-0005-0000-0000-000081310000}"/>
    <cellStyle name="Normal 3 24 2 8" xfId="13529" xr:uid="{00000000-0005-0000-0000-000082310000}"/>
    <cellStyle name="Normal 3 24 2 9" xfId="13530" xr:uid="{00000000-0005-0000-0000-000083310000}"/>
    <cellStyle name="Normal 3 24 3" xfId="13531" xr:uid="{00000000-0005-0000-0000-000084310000}"/>
    <cellStyle name="Normal 3 24 3 10" xfId="13532" xr:uid="{00000000-0005-0000-0000-000085310000}"/>
    <cellStyle name="Normal 3 24 3 11" xfId="13533" xr:uid="{00000000-0005-0000-0000-000086310000}"/>
    <cellStyle name="Normal 3 24 3 12" xfId="13534" xr:uid="{00000000-0005-0000-0000-000087310000}"/>
    <cellStyle name="Normal 3 24 3 13" xfId="13535" xr:uid="{00000000-0005-0000-0000-000088310000}"/>
    <cellStyle name="Normal 3 24 3 14" xfId="13536" xr:uid="{00000000-0005-0000-0000-000089310000}"/>
    <cellStyle name="Normal 3 24 3 15" xfId="13537" xr:uid="{00000000-0005-0000-0000-00008A310000}"/>
    <cellStyle name="Normal 3 24 3 2" xfId="13538" xr:uid="{00000000-0005-0000-0000-00008B310000}"/>
    <cellStyle name="Normal 3 24 3 3" xfId="13539" xr:uid="{00000000-0005-0000-0000-00008C310000}"/>
    <cellStyle name="Normal 3 24 3 4" xfId="13540" xr:uid="{00000000-0005-0000-0000-00008D310000}"/>
    <cellStyle name="Normal 3 24 3 5" xfId="13541" xr:uid="{00000000-0005-0000-0000-00008E310000}"/>
    <cellStyle name="Normal 3 24 3 6" xfId="13542" xr:uid="{00000000-0005-0000-0000-00008F310000}"/>
    <cellStyle name="Normal 3 24 3 7" xfId="13543" xr:uid="{00000000-0005-0000-0000-000090310000}"/>
    <cellStyle name="Normal 3 24 3 8" xfId="13544" xr:uid="{00000000-0005-0000-0000-000091310000}"/>
    <cellStyle name="Normal 3 24 3 9" xfId="13545" xr:uid="{00000000-0005-0000-0000-000092310000}"/>
    <cellStyle name="Normal 3 24 4" xfId="13546" xr:uid="{00000000-0005-0000-0000-000093310000}"/>
    <cellStyle name="Normal 3 24 4 10" xfId="13547" xr:uid="{00000000-0005-0000-0000-000094310000}"/>
    <cellStyle name="Normal 3 24 4 11" xfId="13548" xr:uid="{00000000-0005-0000-0000-000095310000}"/>
    <cellStyle name="Normal 3 24 4 12" xfId="13549" xr:uid="{00000000-0005-0000-0000-000096310000}"/>
    <cellStyle name="Normal 3 24 4 13" xfId="13550" xr:uid="{00000000-0005-0000-0000-000097310000}"/>
    <cellStyle name="Normal 3 24 4 14" xfId="13551" xr:uid="{00000000-0005-0000-0000-000098310000}"/>
    <cellStyle name="Normal 3 24 4 15" xfId="13552" xr:uid="{00000000-0005-0000-0000-000099310000}"/>
    <cellStyle name="Normal 3 24 4 2" xfId="13553" xr:uid="{00000000-0005-0000-0000-00009A310000}"/>
    <cellStyle name="Normal 3 24 4 3" xfId="13554" xr:uid="{00000000-0005-0000-0000-00009B310000}"/>
    <cellStyle name="Normal 3 24 4 4" xfId="13555" xr:uid="{00000000-0005-0000-0000-00009C310000}"/>
    <cellStyle name="Normal 3 24 4 5" xfId="13556" xr:uid="{00000000-0005-0000-0000-00009D310000}"/>
    <cellStyle name="Normal 3 24 4 6" xfId="13557" xr:uid="{00000000-0005-0000-0000-00009E310000}"/>
    <cellStyle name="Normal 3 24 4 7" xfId="13558" xr:uid="{00000000-0005-0000-0000-00009F310000}"/>
    <cellStyle name="Normal 3 24 4 8" xfId="13559" xr:uid="{00000000-0005-0000-0000-0000A0310000}"/>
    <cellStyle name="Normal 3 24 4 9" xfId="13560" xr:uid="{00000000-0005-0000-0000-0000A1310000}"/>
    <cellStyle name="Normal 3 24 5" xfId="13561" xr:uid="{00000000-0005-0000-0000-0000A2310000}"/>
    <cellStyle name="Normal 3 24 5 10" xfId="13562" xr:uid="{00000000-0005-0000-0000-0000A3310000}"/>
    <cellStyle name="Normal 3 24 5 11" xfId="13563" xr:uid="{00000000-0005-0000-0000-0000A4310000}"/>
    <cellStyle name="Normal 3 24 5 12" xfId="13564" xr:uid="{00000000-0005-0000-0000-0000A5310000}"/>
    <cellStyle name="Normal 3 24 5 13" xfId="13565" xr:uid="{00000000-0005-0000-0000-0000A6310000}"/>
    <cellStyle name="Normal 3 24 5 14" xfId="13566" xr:uid="{00000000-0005-0000-0000-0000A7310000}"/>
    <cellStyle name="Normal 3 24 5 15" xfId="13567" xr:uid="{00000000-0005-0000-0000-0000A8310000}"/>
    <cellStyle name="Normal 3 24 5 2" xfId="13568" xr:uid="{00000000-0005-0000-0000-0000A9310000}"/>
    <cellStyle name="Normal 3 24 5 3" xfId="13569" xr:uid="{00000000-0005-0000-0000-0000AA310000}"/>
    <cellStyle name="Normal 3 24 5 4" xfId="13570" xr:uid="{00000000-0005-0000-0000-0000AB310000}"/>
    <cellStyle name="Normal 3 24 5 5" xfId="13571" xr:uid="{00000000-0005-0000-0000-0000AC310000}"/>
    <cellStyle name="Normal 3 24 5 6" xfId="13572" xr:uid="{00000000-0005-0000-0000-0000AD310000}"/>
    <cellStyle name="Normal 3 24 5 7" xfId="13573" xr:uid="{00000000-0005-0000-0000-0000AE310000}"/>
    <cellStyle name="Normal 3 24 5 8" xfId="13574" xr:uid="{00000000-0005-0000-0000-0000AF310000}"/>
    <cellStyle name="Normal 3 24 5 9" xfId="13575" xr:uid="{00000000-0005-0000-0000-0000B0310000}"/>
    <cellStyle name="Normal 3 24 6" xfId="13576" xr:uid="{00000000-0005-0000-0000-0000B1310000}"/>
    <cellStyle name="Normal 3 24 7" xfId="13577" xr:uid="{00000000-0005-0000-0000-0000B2310000}"/>
    <cellStyle name="Normal 3 24 8" xfId="13578" xr:uid="{00000000-0005-0000-0000-0000B3310000}"/>
    <cellStyle name="Normal 3 24 9" xfId="13579" xr:uid="{00000000-0005-0000-0000-0000B4310000}"/>
    <cellStyle name="Normal 3 25" xfId="13580" xr:uid="{00000000-0005-0000-0000-0000B5310000}"/>
    <cellStyle name="Normal 3 25 10" xfId="13581" xr:uid="{00000000-0005-0000-0000-0000B6310000}"/>
    <cellStyle name="Normal 3 25 11" xfId="13582" xr:uid="{00000000-0005-0000-0000-0000B7310000}"/>
    <cellStyle name="Normal 3 25 12" xfId="13583" xr:uid="{00000000-0005-0000-0000-0000B8310000}"/>
    <cellStyle name="Normal 3 25 13" xfId="13584" xr:uid="{00000000-0005-0000-0000-0000B9310000}"/>
    <cellStyle name="Normal 3 25 14" xfId="13585" xr:uid="{00000000-0005-0000-0000-0000BA310000}"/>
    <cellStyle name="Normal 3 25 15" xfId="13586" xr:uid="{00000000-0005-0000-0000-0000BB310000}"/>
    <cellStyle name="Normal 3 25 16" xfId="13587" xr:uid="{00000000-0005-0000-0000-0000BC310000}"/>
    <cellStyle name="Normal 3 25 17" xfId="13588" xr:uid="{00000000-0005-0000-0000-0000BD310000}"/>
    <cellStyle name="Normal 3 25 18" xfId="13589" xr:uid="{00000000-0005-0000-0000-0000BE310000}"/>
    <cellStyle name="Normal 3 25 19" xfId="13590" xr:uid="{00000000-0005-0000-0000-0000BF310000}"/>
    <cellStyle name="Normal 3 25 2" xfId="13591" xr:uid="{00000000-0005-0000-0000-0000C0310000}"/>
    <cellStyle name="Normal 3 25 2 10" xfId="13592" xr:uid="{00000000-0005-0000-0000-0000C1310000}"/>
    <cellStyle name="Normal 3 25 2 11" xfId="13593" xr:uid="{00000000-0005-0000-0000-0000C2310000}"/>
    <cellStyle name="Normal 3 25 2 12" xfId="13594" xr:uid="{00000000-0005-0000-0000-0000C3310000}"/>
    <cellStyle name="Normal 3 25 2 13" xfId="13595" xr:uid="{00000000-0005-0000-0000-0000C4310000}"/>
    <cellStyle name="Normal 3 25 2 14" xfId="13596" xr:uid="{00000000-0005-0000-0000-0000C5310000}"/>
    <cellStyle name="Normal 3 25 2 15" xfId="13597" xr:uid="{00000000-0005-0000-0000-0000C6310000}"/>
    <cellStyle name="Normal 3 25 2 2" xfId="13598" xr:uid="{00000000-0005-0000-0000-0000C7310000}"/>
    <cellStyle name="Normal 3 25 2 3" xfId="13599" xr:uid="{00000000-0005-0000-0000-0000C8310000}"/>
    <cellStyle name="Normal 3 25 2 4" xfId="13600" xr:uid="{00000000-0005-0000-0000-0000C9310000}"/>
    <cellStyle name="Normal 3 25 2 5" xfId="13601" xr:uid="{00000000-0005-0000-0000-0000CA310000}"/>
    <cellStyle name="Normal 3 25 2 6" xfId="13602" xr:uid="{00000000-0005-0000-0000-0000CB310000}"/>
    <cellStyle name="Normal 3 25 2 7" xfId="13603" xr:uid="{00000000-0005-0000-0000-0000CC310000}"/>
    <cellStyle name="Normal 3 25 2 8" xfId="13604" xr:uid="{00000000-0005-0000-0000-0000CD310000}"/>
    <cellStyle name="Normal 3 25 2 9" xfId="13605" xr:uid="{00000000-0005-0000-0000-0000CE310000}"/>
    <cellStyle name="Normal 3 25 3" xfId="13606" xr:uid="{00000000-0005-0000-0000-0000CF310000}"/>
    <cellStyle name="Normal 3 25 3 10" xfId="13607" xr:uid="{00000000-0005-0000-0000-0000D0310000}"/>
    <cellStyle name="Normal 3 25 3 11" xfId="13608" xr:uid="{00000000-0005-0000-0000-0000D1310000}"/>
    <cellStyle name="Normal 3 25 3 12" xfId="13609" xr:uid="{00000000-0005-0000-0000-0000D2310000}"/>
    <cellStyle name="Normal 3 25 3 13" xfId="13610" xr:uid="{00000000-0005-0000-0000-0000D3310000}"/>
    <cellStyle name="Normal 3 25 3 14" xfId="13611" xr:uid="{00000000-0005-0000-0000-0000D4310000}"/>
    <cellStyle name="Normal 3 25 3 15" xfId="13612" xr:uid="{00000000-0005-0000-0000-0000D5310000}"/>
    <cellStyle name="Normal 3 25 3 2" xfId="13613" xr:uid="{00000000-0005-0000-0000-0000D6310000}"/>
    <cellStyle name="Normal 3 25 3 3" xfId="13614" xr:uid="{00000000-0005-0000-0000-0000D7310000}"/>
    <cellStyle name="Normal 3 25 3 4" xfId="13615" xr:uid="{00000000-0005-0000-0000-0000D8310000}"/>
    <cellStyle name="Normal 3 25 3 5" xfId="13616" xr:uid="{00000000-0005-0000-0000-0000D9310000}"/>
    <cellStyle name="Normal 3 25 3 6" xfId="13617" xr:uid="{00000000-0005-0000-0000-0000DA310000}"/>
    <cellStyle name="Normal 3 25 3 7" xfId="13618" xr:uid="{00000000-0005-0000-0000-0000DB310000}"/>
    <cellStyle name="Normal 3 25 3 8" xfId="13619" xr:uid="{00000000-0005-0000-0000-0000DC310000}"/>
    <cellStyle name="Normal 3 25 3 9" xfId="13620" xr:uid="{00000000-0005-0000-0000-0000DD310000}"/>
    <cellStyle name="Normal 3 25 4" xfId="13621" xr:uid="{00000000-0005-0000-0000-0000DE310000}"/>
    <cellStyle name="Normal 3 25 4 10" xfId="13622" xr:uid="{00000000-0005-0000-0000-0000DF310000}"/>
    <cellStyle name="Normal 3 25 4 11" xfId="13623" xr:uid="{00000000-0005-0000-0000-0000E0310000}"/>
    <cellStyle name="Normal 3 25 4 12" xfId="13624" xr:uid="{00000000-0005-0000-0000-0000E1310000}"/>
    <cellStyle name="Normal 3 25 4 13" xfId="13625" xr:uid="{00000000-0005-0000-0000-0000E2310000}"/>
    <cellStyle name="Normal 3 25 4 14" xfId="13626" xr:uid="{00000000-0005-0000-0000-0000E3310000}"/>
    <cellStyle name="Normal 3 25 4 15" xfId="13627" xr:uid="{00000000-0005-0000-0000-0000E4310000}"/>
    <cellStyle name="Normal 3 25 4 2" xfId="13628" xr:uid="{00000000-0005-0000-0000-0000E5310000}"/>
    <cellStyle name="Normal 3 25 4 3" xfId="13629" xr:uid="{00000000-0005-0000-0000-0000E6310000}"/>
    <cellStyle name="Normal 3 25 4 4" xfId="13630" xr:uid="{00000000-0005-0000-0000-0000E7310000}"/>
    <cellStyle name="Normal 3 25 4 5" xfId="13631" xr:uid="{00000000-0005-0000-0000-0000E8310000}"/>
    <cellStyle name="Normal 3 25 4 6" xfId="13632" xr:uid="{00000000-0005-0000-0000-0000E9310000}"/>
    <cellStyle name="Normal 3 25 4 7" xfId="13633" xr:uid="{00000000-0005-0000-0000-0000EA310000}"/>
    <cellStyle name="Normal 3 25 4 8" xfId="13634" xr:uid="{00000000-0005-0000-0000-0000EB310000}"/>
    <cellStyle name="Normal 3 25 4 9" xfId="13635" xr:uid="{00000000-0005-0000-0000-0000EC310000}"/>
    <cellStyle name="Normal 3 25 5" xfId="13636" xr:uid="{00000000-0005-0000-0000-0000ED310000}"/>
    <cellStyle name="Normal 3 25 5 10" xfId="13637" xr:uid="{00000000-0005-0000-0000-0000EE310000}"/>
    <cellStyle name="Normal 3 25 5 11" xfId="13638" xr:uid="{00000000-0005-0000-0000-0000EF310000}"/>
    <cellStyle name="Normal 3 25 5 12" xfId="13639" xr:uid="{00000000-0005-0000-0000-0000F0310000}"/>
    <cellStyle name="Normal 3 25 5 13" xfId="13640" xr:uid="{00000000-0005-0000-0000-0000F1310000}"/>
    <cellStyle name="Normal 3 25 5 14" xfId="13641" xr:uid="{00000000-0005-0000-0000-0000F2310000}"/>
    <cellStyle name="Normal 3 25 5 15" xfId="13642" xr:uid="{00000000-0005-0000-0000-0000F3310000}"/>
    <cellStyle name="Normal 3 25 5 2" xfId="13643" xr:uid="{00000000-0005-0000-0000-0000F4310000}"/>
    <cellStyle name="Normal 3 25 5 3" xfId="13644" xr:uid="{00000000-0005-0000-0000-0000F5310000}"/>
    <cellStyle name="Normal 3 25 5 4" xfId="13645" xr:uid="{00000000-0005-0000-0000-0000F6310000}"/>
    <cellStyle name="Normal 3 25 5 5" xfId="13646" xr:uid="{00000000-0005-0000-0000-0000F7310000}"/>
    <cellStyle name="Normal 3 25 5 6" xfId="13647" xr:uid="{00000000-0005-0000-0000-0000F8310000}"/>
    <cellStyle name="Normal 3 25 5 7" xfId="13648" xr:uid="{00000000-0005-0000-0000-0000F9310000}"/>
    <cellStyle name="Normal 3 25 5 8" xfId="13649" xr:uid="{00000000-0005-0000-0000-0000FA310000}"/>
    <cellStyle name="Normal 3 25 5 9" xfId="13650" xr:uid="{00000000-0005-0000-0000-0000FB310000}"/>
    <cellStyle name="Normal 3 25 6" xfId="13651" xr:uid="{00000000-0005-0000-0000-0000FC310000}"/>
    <cellStyle name="Normal 3 25 7" xfId="13652" xr:uid="{00000000-0005-0000-0000-0000FD310000}"/>
    <cellStyle name="Normal 3 25 8" xfId="13653" xr:uid="{00000000-0005-0000-0000-0000FE310000}"/>
    <cellStyle name="Normal 3 25 9" xfId="13654" xr:uid="{00000000-0005-0000-0000-0000FF310000}"/>
    <cellStyle name="Normal 3 26" xfId="13655" xr:uid="{00000000-0005-0000-0000-000000320000}"/>
    <cellStyle name="Normal 3 26 10" xfId="13656" xr:uid="{00000000-0005-0000-0000-000001320000}"/>
    <cellStyle name="Normal 3 26 11" xfId="13657" xr:uid="{00000000-0005-0000-0000-000002320000}"/>
    <cellStyle name="Normal 3 26 12" xfId="13658" xr:uid="{00000000-0005-0000-0000-000003320000}"/>
    <cellStyle name="Normal 3 26 13" xfId="13659" xr:uid="{00000000-0005-0000-0000-000004320000}"/>
    <cellStyle name="Normal 3 26 14" xfId="13660" xr:uid="{00000000-0005-0000-0000-000005320000}"/>
    <cellStyle name="Normal 3 26 15" xfId="13661" xr:uid="{00000000-0005-0000-0000-000006320000}"/>
    <cellStyle name="Normal 3 26 16" xfId="13662" xr:uid="{00000000-0005-0000-0000-000007320000}"/>
    <cellStyle name="Normal 3 26 17" xfId="13663" xr:uid="{00000000-0005-0000-0000-000008320000}"/>
    <cellStyle name="Normal 3 26 18" xfId="13664" xr:uid="{00000000-0005-0000-0000-000009320000}"/>
    <cellStyle name="Normal 3 26 19" xfId="13665" xr:uid="{00000000-0005-0000-0000-00000A320000}"/>
    <cellStyle name="Normal 3 26 2" xfId="13666" xr:uid="{00000000-0005-0000-0000-00000B320000}"/>
    <cellStyle name="Normal 3 26 2 10" xfId="13667" xr:uid="{00000000-0005-0000-0000-00000C320000}"/>
    <cellStyle name="Normal 3 26 2 11" xfId="13668" xr:uid="{00000000-0005-0000-0000-00000D320000}"/>
    <cellStyle name="Normal 3 26 2 12" xfId="13669" xr:uid="{00000000-0005-0000-0000-00000E320000}"/>
    <cellStyle name="Normal 3 26 2 13" xfId="13670" xr:uid="{00000000-0005-0000-0000-00000F320000}"/>
    <cellStyle name="Normal 3 26 2 14" xfId="13671" xr:uid="{00000000-0005-0000-0000-000010320000}"/>
    <cellStyle name="Normal 3 26 2 15" xfId="13672" xr:uid="{00000000-0005-0000-0000-000011320000}"/>
    <cellStyle name="Normal 3 26 2 2" xfId="13673" xr:uid="{00000000-0005-0000-0000-000012320000}"/>
    <cellStyle name="Normal 3 26 2 3" xfId="13674" xr:uid="{00000000-0005-0000-0000-000013320000}"/>
    <cellStyle name="Normal 3 26 2 4" xfId="13675" xr:uid="{00000000-0005-0000-0000-000014320000}"/>
    <cellStyle name="Normal 3 26 2 5" xfId="13676" xr:uid="{00000000-0005-0000-0000-000015320000}"/>
    <cellStyle name="Normal 3 26 2 6" xfId="13677" xr:uid="{00000000-0005-0000-0000-000016320000}"/>
    <cellStyle name="Normal 3 26 2 7" xfId="13678" xr:uid="{00000000-0005-0000-0000-000017320000}"/>
    <cellStyle name="Normal 3 26 2 8" xfId="13679" xr:uid="{00000000-0005-0000-0000-000018320000}"/>
    <cellStyle name="Normal 3 26 2 9" xfId="13680" xr:uid="{00000000-0005-0000-0000-000019320000}"/>
    <cellStyle name="Normal 3 26 3" xfId="13681" xr:uid="{00000000-0005-0000-0000-00001A320000}"/>
    <cellStyle name="Normal 3 26 3 10" xfId="13682" xr:uid="{00000000-0005-0000-0000-00001B320000}"/>
    <cellStyle name="Normal 3 26 3 11" xfId="13683" xr:uid="{00000000-0005-0000-0000-00001C320000}"/>
    <cellStyle name="Normal 3 26 3 12" xfId="13684" xr:uid="{00000000-0005-0000-0000-00001D320000}"/>
    <cellStyle name="Normal 3 26 3 13" xfId="13685" xr:uid="{00000000-0005-0000-0000-00001E320000}"/>
    <cellStyle name="Normal 3 26 3 14" xfId="13686" xr:uid="{00000000-0005-0000-0000-00001F320000}"/>
    <cellStyle name="Normal 3 26 3 15" xfId="13687" xr:uid="{00000000-0005-0000-0000-000020320000}"/>
    <cellStyle name="Normal 3 26 3 2" xfId="13688" xr:uid="{00000000-0005-0000-0000-000021320000}"/>
    <cellStyle name="Normal 3 26 3 3" xfId="13689" xr:uid="{00000000-0005-0000-0000-000022320000}"/>
    <cellStyle name="Normal 3 26 3 4" xfId="13690" xr:uid="{00000000-0005-0000-0000-000023320000}"/>
    <cellStyle name="Normal 3 26 3 5" xfId="13691" xr:uid="{00000000-0005-0000-0000-000024320000}"/>
    <cellStyle name="Normal 3 26 3 6" xfId="13692" xr:uid="{00000000-0005-0000-0000-000025320000}"/>
    <cellStyle name="Normal 3 26 3 7" xfId="13693" xr:uid="{00000000-0005-0000-0000-000026320000}"/>
    <cellStyle name="Normal 3 26 3 8" xfId="13694" xr:uid="{00000000-0005-0000-0000-000027320000}"/>
    <cellStyle name="Normal 3 26 3 9" xfId="13695" xr:uid="{00000000-0005-0000-0000-000028320000}"/>
    <cellStyle name="Normal 3 26 4" xfId="13696" xr:uid="{00000000-0005-0000-0000-000029320000}"/>
    <cellStyle name="Normal 3 26 4 10" xfId="13697" xr:uid="{00000000-0005-0000-0000-00002A320000}"/>
    <cellStyle name="Normal 3 26 4 11" xfId="13698" xr:uid="{00000000-0005-0000-0000-00002B320000}"/>
    <cellStyle name="Normal 3 26 4 12" xfId="13699" xr:uid="{00000000-0005-0000-0000-00002C320000}"/>
    <cellStyle name="Normal 3 26 4 13" xfId="13700" xr:uid="{00000000-0005-0000-0000-00002D320000}"/>
    <cellStyle name="Normal 3 26 4 14" xfId="13701" xr:uid="{00000000-0005-0000-0000-00002E320000}"/>
    <cellStyle name="Normal 3 26 4 15" xfId="13702" xr:uid="{00000000-0005-0000-0000-00002F320000}"/>
    <cellStyle name="Normal 3 26 4 2" xfId="13703" xr:uid="{00000000-0005-0000-0000-000030320000}"/>
    <cellStyle name="Normal 3 26 4 3" xfId="13704" xr:uid="{00000000-0005-0000-0000-000031320000}"/>
    <cellStyle name="Normal 3 26 4 4" xfId="13705" xr:uid="{00000000-0005-0000-0000-000032320000}"/>
    <cellStyle name="Normal 3 26 4 5" xfId="13706" xr:uid="{00000000-0005-0000-0000-000033320000}"/>
    <cellStyle name="Normal 3 26 4 6" xfId="13707" xr:uid="{00000000-0005-0000-0000-000034320000}"/>
    <cellStyle name="Normal 3 26 4 7" xfId="13708" xr:uid="{00000000-0005-0000-0000-000035320000}"/>
    <cellStyle name="Normal 3 26 4 8" xfId="13709" xr:uid="{00000000-0005-0000-0000-000036320000}"/>
    <cellStyle name="Normal 3 26 4 9" xfId="13710" xr:uid="{00000000-0005-0000-0000-000037320000}"/>
    <cellStyle name="Normal 3 26 5" xfId="13711" xr:uid="{00000000-0005-0000-0000-000038320000}"/>
    <cellStyle name="Normal 3 26 5 10" xfId="13712" xr:uid="{00000000-0005-0000-0000-000039320000}"/>
    <cellStyle name="Normal 3 26 5 11" xfId="13713" xr:uid="{00000000-0005-0000-0000-00003A320000}"/>
    <cellStyle name="Normal 3 26 5 12" xfId="13714" xr:uid="{00000000-0005-0000-0000-00003B320000}"/>
    <cellStyle name="Normal 3 26 5 13" xfId="13715" xr:uid="{00000000-0005-0000-0000-00003C320000}"/>
    <cellStyle name="Normal 3 26 5 14" xfId="13716" xr:uid="{00000000-0005-0000-0000-00003D320000}"/>
    <cellStyle name="Normal 3 26 5 15" xfId="13717" xr:uid="{00000000-0005-0000-0000-00003E320000}"/>
    <cellStyle name="Normal 3 26 5 2" xfId="13718" xr:uid="{00000000-0005-0000-0000-00003F320000}"/>
    <cellStyle name="Normal 3 26 5 3" xfId="13719" xr:uid="{00000000-0005-0000-0000-000040320000}"/>
    <cellStyle name="Normal 3 26 5 4" xfId="13720" xr:uid="{00000000-0005-0000-0000-000041320000}"/>
    <cellStyle name="Normal 3 26 5 5" xfId="13721" xr:uid="{00000000-0005-0000-0000-000042320000}"/>
    <cellStyle name="Normal 3 26 5 6" xfId="13722" xr:uid="{00000000-0005-0000-0000-000043320000}"/>
    <cellStyle name="Normal 3 26 5 7" xfId="13723" xr:uid="{00000000-0005-0000-0000-000044320000}"/>
    <cellStyle name="Normal 3 26 5 8" xfId="13724" xr:uid="{00000000-0005-0000-0000-000045320000}"/>
    <cellStyle name="Normal 3 26 5 9" xfId="13725" xr:uid="{00000000-0005-0000-0000-000046320000}"/>
    <cellStyle name="Normal 3 26 6" xfId="13726" xr:uid="{00000000-0005-0000-0000-000047320000}"/>
    <cellStyle name="Normal 3 26 7" xfId="13727" xr:uid="{00000000-0005-0000-0000-000048320000}"/>
    <cellStyle name="Normal 3 26 8" xfId="13728" xr:uid="{00000000-0005-0000-0000-000049320000}"/>
    <cellStyle name="Normal 3 26 9" xfId="13729" xr:uid="{00000000-0005-0000-0000-00004A320000}"/>
    <cellStyle name="Normal 3 27" xfId="13730" xr:uid="{00000000-0005-0000-0000-00004B320000}"/>
    <cellStyle name="Normal 3 28" xfId="13731" xr:uid="{00000000-0005-0000-0000-00004C320000}"/>
    <cellStyle name="Normal 3 29" xfId="13732" xr:uid="{00000000-0005-0000-0000-00004D320000}"/>
    <cellStyle name="Normal 3 3" xfId="157" xr:uid="{00000000-0005-0000-0000-000039030000}"/>
    <cellStyle name="Normal 3 3 10" xfId="13733" xr:uid="{00000000-0005-0000-0000-00004F320000}"/>
    <cellStyle name="Normal 3 3 10 2" xfId="13734" xr:uid="{00000000-0005-0000-0000-000050320000}"/>
    <cellStyle name="Normal 3 3 10 3" xfId="13735" xr:uid="{00000000-0005-0000-0000-000051320000}"/>
    <cellStyle name="Normal 3 3 11" xfId="13736" xr:uid="{00000000-0005-0000-0000-000052320000}"/>
    <cellStyle name="Normal 3 3 12" xfId="13737" xr:uid="{00000000-0005-0000-0000-000053320000}"/>
    <cellStyle name="Normal 3 3 13" xfId="13738" xr:uid="{00000000-0005-0000-0000-000054320000}"/>
    <cellStyle name="Normal 3 3 14" xfId="13739" xr:uid="{00000000-0005-0000-0000-000055320000}"/>
    <cellStyle name="Normal 3 3 15" xfId="13740" xr:uid="{00000000-0005-0000-0000-000056320000}"/>
    <cellStyle name="Normal 3 3 16" xfId="13741" xr:uid="{00000000-0005-0000-0000-000057320000}"/>
    <cellStyle name="Normal 3 3 17" xfId="13742" xr:uid="{00000000-0005-0000-0000-000058320000}"/>
    <cellStyle name="Normal 3 3 18" xfId="13743" xr:uid="{00000000-0005-0000-0000-000059320000}"/>
    <cellStyle name="Normal 3 3 19" xfId="13744" xr:uid="{00000000-0005-0000-0000-00005A320000}"/>
    <cellStyle name="Normal 3 3 2" xfId="810" xr:uid="{00000000-0005-0000-0000-00003A030000}"/>
    <cellStyle name="Normal 3 3 2 10" xfId="13746" xr:uid="{00000000-0005-0000-0000-00005C320000}"/>
    <cellStyle name="Normal 3 3 2 11" xfId="13747" xr:uid="{00000000-0005-0000-0000-00005D320000}"/>
    <cellStyle name="Normal 3 3 2 12" xfId="13748" xr:uid="{00000000-0005-0000-0000-00005E320000}"/>
    <cellStyle name="Normal 3 3 2 13" xfId="13749" xr:uid="{00000000-0005-0000-0000-00005F320000}"/>
    <cellStyle name="Normal 3 3 2 14" xfId="13750" xr:uid="{00000000-0005-0000-0000-000060320000}"/>
    <cellStyle name="Normal 3 3 2 15" xfId="13751" xr:uid="{00000000-0005-0000-0000-000061320000}"/>
    <cellStyle name="Normal 3 3 2 16" xfId="13752" xr:uid="{00000000-0005-0000-0000-000062320000}"/>
    <cellStyle name="Normal 3 3 2 17" xfId="13753" xr:uid="{00000000-0005-0000-0000-000063320000}"/>
    <cellStyle name="Normal 3 3 2 18" xfId="13754" xr:uid="{00000000-0005-0000-0000-000064320000}"/>
    <cellStyle name="Normal 3 3 2 19" xfId="13755" xr:uid="{00000000-0005-0000-0000-000065320000}"/>
    <cellStyle name="Normal 3 3 2 2" xfId="13756" xr:uid="{00000000-0005-0000-0000-000066320000}"/>
    <cellStyle name="Normal 3 3 2 2 10" xfId="13757" xr:uid="{00000000-0005-0000-0000-000067320000}"/>
    <cellStyle name="Normal 3 3 2 2 11" xfId="13758" xr:uid="{00000000-0005-0000-0000-000068320000}"/>
    <cellStyle name="Normal 3 3 2 2 12" xfId="13759" xr:uid="{00000000-0005-0000-0000-000069320000}"/>
    <cellStyle name="Normal 3 3 2 2 13" xfId="13760" xr:uid="{00000000-0005-0000-0000-00006A320000}"/>
    <cellStyle name="Normal 3 3 2 2 14" xfId="13761" xr:uid="{00000000-0005-0000-0000-00006B320000}"/>
    <cellStyle name="Normal 3 3 2 2 15" xfId="13762" xr:uid="{00000000-0005-0000-0000-00006C320000}"/>
    <cellStyle name="Normal 3 3 2 2 16" xfId="13763" xr:uid="{00000000-0005-0000-0000-00006D320000}"/>
    <cellStyle name="Normal 3 3 2 2 2" xfId="13764" xr:uid="{00000000-0005-0000-0000-00006E320000}"/>
    <cellStyle name="Normal 3 3 2 2 3" xfId="13765" xr:uid="{00000000-0005-0000-0000-00006F320000}"/>
    <cellStyle name="Normal 3 3 2 2 4" xfId="13766" xr:uid="{00000000-0005-0000-0000-000070320000}"/>
    <cellStyle name="Normal 3 3 2 2 5" xfId="13767" xr:uid="{00000000-0005-0000-0000-000071320000}"/>
    <cellStyle name="Normal 3 3 2 2 6" xfId="13768" xr:uid="{00000000-0005-0000-0000-000072320000}"/>
    <cellStyle name="Normal 3 3 2 2 7" xfId="13769" xr:uid="{00000000-0005-0000-0000-000073320000}"/>
    <cellStyle name="Normal 3 3 2 2 8" xfId="13770" xr:uid="{00000000-0005-0000-0000-000074320000}"/>
    <cellStyle name="Normal 3 3 2 2 9" xfId="13771" xr:uid="{00000000-0005-0000-0000-000075320000}"/>
    <cellStyle name="Normal 3 3 2 20" xfId="13772" xr:uid="{00000000-0005-0000-0000-000076320000}"/>
    <cellStyle name="Normal 3 3 2 21" xfId="13773" xr:uid="{00000000-0005-0000-0000-000077320000}"/>
    <cellStyle name="Normal 3 3 2 22" xfId="13774" xr:uid="{00000000-0005-0000-0000-000078320000}"/>
    <cellStyle name="Normal 3 3 2 23" xfId="13775" xr:uid="{00000000-0005-0000-0000-000079320000}"/>
    <cellStyle name="Normal 3 3 2 24" xfId="13745" xr:uid="{00000000-0005-0000-0000-00005B320000}"/>
    <cellStyle name="Normal 3 3 2 3" xfId="13776" xr:uid="{00000000-0005-0000-0000-00007A320000}"/>
    <cellStyle name="Normal 3 3 2 3 10" xfId="13777" xr:uid="{00000000-0005-0000-0000-00007B320000}"/>
    <cellStyle name="Normal 3 3 2 3 11" xfId="13778" xr:uid="{00000000-0005-0000-0000-00007C320000}"/>
    <cellStyle name="Normal 3 3 2 3 12" xfId="13779" xr:uid="{00000000-0005-0000-0000-00007D320000}"/>
    <cellStyle name="Normal 3 3 2 3 13" xfId="13780" xr:uid="{00000000-0005-0000-0000-00007E320000}"/>
    <cellStyle name="Normal 3 3 2 3 14" xfId="13781" xr:uid="{00000000-0005-0000-0000-00007F320000}"/>
    <cellStyle name="Normal 3 3 2 3 15" xfId="13782" xr:uid="{00000000-0005-0000-0000-000080320000}"/>
    <cellStyle name="Normal 3 3 2 3 2" xfId="13783" xr:uid="{00000000-0005-0000-0000-000081320000}"/>
    <cellStyle name="Normal 3 3 2 3 3" xfId="13784" xr:uid="{00000000-0005-0000-0000-000082320000}"/>
    <cellStyle name="Normal 3 3 2 3 4" xfId="13785" xr:uid="{00000000-0005-0000-0000-000083320000}"/>
    <cellStyle name="Normal 3 3 2 3 5" xfId="13786" xr:uid="{00000000-0005-0000-0000-000084320000}"/>
    <cellStyle name="Normal 3 3 2 3 6" xfId="13787" xr:uid="{00000000-0005-0000-0000-000085320000}"/>
    <cellStyle name="Normal 3 3 2 3 7" xfId="13788" xr:uid="{00000000-0005-0000-0000-000086320000}"/>
    <cellStyle name="Normal 3 3 2 3 8" xfId="13789" xr:uid="{00000000-0005-0000-0000-000087320000}"/>
    <cellStyle name="Normal 3 3 2 3 9" xfId="13790" xr:uid="{00000000-0005-0000-0000-000088320000}"/>
    <cellStyle name="Normal 3 3 2 4" xfId="13791" xr:uid="{00000000-0005-0000-0000-000089320000}"/>
    <cellStyle name="Normal 3 3 2 4 10" xfId="13792" xr:uid="{00000000-0005-0000-0000-00008A320000}"/>
    <cellStyle name="Normal 3 3 2 4 11" xfId="13793" xr:uid="{00000000-0005-0000-0000-00008B320000}"/>
    <cellStyle name="Normal 3 3 2 4 12" xfId="13794" xr:uid="{00000000-0005-0000-0000-00008C320000}"/>
    <cellStyle name="Normal 3 3 2 4 13" xfId="13795" xr:uid="{00000000-0005-0000-0000-00008D320000}"/>
    <cellStyle name="Normal 3 3 2 4 14" xfId="13796" xr:uid="{00000000-0005-0000-0000-00008E320000}"/>
    <cellStyle name="Normal 3 3 2 4 15" xfId="13797" xr:uid="{00000000-0005-0000-0000-00008F320000}"/>
    <cellStyle name="Normal 3 3 2 4 2" xfId="13798" xr:uid="{00000000-0005-0000-0000-000090320000}"/>
    <cellStyle name="Normal 3 3 2 4 3" xfId="13799" xr:uid="{00000000-0005-0000-0000-000091320000}"/>
    <cellStyle name="Normal 3 3 2 4 4" xfId="13800" xr:uid="{00000000-0005-0000-0000-000092320000}"/>
    <cellStyle name="Normal 3 3 2 4 5" xfId="13801" xr:uid="{00000000-0005-0000-0000-000093320000}"/>
    <cellStyle name="Normal 3 3 2 4 6" xfId="13802" xr:uid="{00000000-0005-0000-0000-000094320000}"/>
    <cellStyle name="Normal 3 3 2 4 7" xfId="13803" xr:uid="{00000000-0005-0000-0000-000095320000}"/>
    <cellStyle name="Normal 3 3 2 4 8" xfId="13804" xr:uid="{00000000-0005-0000-0000-000096320000}"/>
    <cellStyle name="Normal 3 3 2 4 9" xfId="13805" xr:uid="{00000000-0005-0000-0000-000097320000}"/>
    <cellStyle name="Normal 3 3 2 5" xfId="13806" xr:uid="{00000000-0005-0000-0000-000098320000}"/>
    <cellStyle name="Normal 3 3 2 5 10" xfId="13807" xr:uid="{00000000-0005-0000-0000-000099320000}"/>
    <cellStyle name="Normal 3 3 2 5 11" xfId="13808" xr:uid="{00000000-0005-0000-0000-00009A320000}"/>
    <cellStyle name="Normal 3 3 2 5 12" xfId="13809" xr:uid="{00000000-0005-0000-0000-00009B320000}"/>
    <cellStyle name="Normal 3 3 2 5 13" xfId="13810" xr:uid="{00000000-0005-0000-0000-00009C320000}"/>
    <cellStyle name="Normal 3 3 2 5 14" xfId="13811" xr:uid="{00000000-0005-0000-0000-00009D320000}"/>
    <cellStyle name="Normal 3 3 2 5 15" xfId="13812" xr:uid="{00000000-0005-0000-0000-00009E320000}"/>
    <cellStyle name="Normal 3 3 2 5 2" xfId="13813" xr:uid="{00000000-0005-0000-0000-00009F320000}"/>
    <cellStyle name="Normal 3 3 2 5 3" xfId="13814" xr:uid="{00000000-0005-0000-0000-0000A0320000}"/>
    <cellStyle name="Normal 3 3 2 5 4" xfId="13815" xr:uid="{00000000-0005-0000-0000-0000A1320000}"/>
    <cellStyle name="Normal 3 3 2 5 5" xfId="13816" xr:uid="{00000000-0005-0000-0000-0000A2320000}"/>
    <cellStyle name="Normal 3 3 2 5 6" xfId="13817" xr:uid="{00000000-0005-0000-0000-0000A3320000}"/>
    <cellStyle name="Normal 3 3 2 5 7" xfId="13818" xr:uid="{00000000-0005-0000-0000-0000A4320000}"/>
    <cellStyle name="Normal 3 3 2 5 8" xfId="13819" xr:uid="{00000000-0005-0000-0000-0000A5320000}"/>
    <cellStyle name="Normal 3 3 2 5 9" xfId="13820" xr:uid="{00000000-0005-0000-0000-0000A6320000}"/>
    <cellStyle name="Normal 3 3 2 6" xfId="13821" xr:uid="{00000000-0005-0000-0000-0000A7320000}"/>
    <cellStyle name="Normal 3 3 2 6 10" xfId="13822" xr:uid="{00000000-0005-0000-0000-0000A8320000}"/>
    <cellStyle name="Normal 3 3 2 6 11" xfId="13823" xr:uid="{00000000-0005-0000-0000-0000A9320000}"/>
    <cellStyle name="Normal 3 3 2 6 12" xfId="13824" xr:uid="{00000000-0005-0000-0000-0000AA320000}"/>
    <cellStyle name="Normal 3 3 2 6 13" xfId="13825" xr:uid="{00000000-0005-0000-0000-0000AB320000}"/>
    <cellStyle name="Normal 3 3 2 6 14" xfId="13826" xr:uid="{00000000-0005-0000-0000-0000AC320000}"/>
    <cellStyle name="Normal 3 3 2 6 15" xfId="13827" xr:uid="{00000000-0005-0000-0000-0000AD320000}"/>
    <cellStyle name="Normal 3 3 2 6 2" xfId="13828" xr:uid="{00000000-0005-0000-0000-0000AE320000}"/>
    <cellStyle name="Normal 3 3 2 6 3" xfId="13829" xr:uid="{00000000-0005-0000-0000-0000AF320000}"/>
    <cellStyle name="Normal 3 3 2 6 4" xfId="13830" xr:uid="{00000000-0005-0000-0000-0000B0320000}"/>
    <cellStyle name="Normal 3 3 2 6 5" xfId="13831" xr:uid="{00000000-0005-0000-0000-0000B1320000}"/>
    <cellStyle name="Normal 3 3 2 6 6" xfId="13832" xr:uid="{00000000-0005-0000-0000-0000B2320000}"/>
    <cellStyle name="Normal 3 3 2 6 7" xfId="13833" xr:uid="{00000000-0005-0000-0000-0000B3320000}"/>
    <cellStyle name="Normal 3 3 2 6 8" xfId="13834" xr:uid="{00000000-0005-0000-0000-0000B4320000}"/>
    <cellStyle name="Normal 3 3 2 6 9" xfId="13835" xr:uid="{00000000-0005-0000-0000-0000B5320000}"/>
    <cellStyle name="Normal 3 3 2 7" xfId="13836" xr:uid="{00000000-0005-0000-0000-0000B6320000}"/>
    <cellStyle name="Normal 3 3 2 7 10" xfId="13837" xr:uid="{00000000-0005-0000-0000-0000B7320000}"/>
    <cellStyle name="Normal 3 3 2 7 11" xfId="13838" xr:uid="{00000000-0005-0000-0000-0000B8320000}"/>
    <cellStyle name="Normal 3 3 2 7 12" xfId="13839" xr:uid="{00000000-0005-0000-0000-0000B9320000}"/>
    <cellStyle name="Normal 3 3 2 7 13" xfId="13840" xr:uid="{00000000-0005-0000-0000-0000BA320000}"/>
    <cellStyle name="Normal 3 3 2 7 14" xfId="13841" xr:uid="{00000000-0005-0000-0000-0000BB320000}"/>
    <cellStyle name="Normal 3 3 2 7 15" xfId="13842" xr:uid="{00000000-0005-0000-0000-0000BC320000}"/>
    <cellStyle name="Normal 3 3 2 7 2" xfId="13843" xr:uid="{00000000-0005-0000-0000-0000BD320000}"/>
    <cellStyle name="Normal 3 3 2 7 3" xfId="13844" xr:uid="{00000000-0005-0000-0000-0000BE320000}"/>
    <cellStyle name="Normal 3 3 2 7 4" xfId="13845" xr:uid="{00000000-0005-0000-0000-0000BF320000}"/>
    <cellStyle name="Normal 3 3 2 7 5" xfId="13846" xr:uid="{00000000-0005-0000-0000-0000C0320000}"/>
    <cellStyle name="Normal 3 3 2 7 6" xfId="13847" xr:uid="{00000000-0005-0000-0000-0000C1320000}"/>
    <cellStyle name="Normal 3 3 2 7 7" xfId="13848" xr:uid="{00000000-0005-0000-0000-0000C2320000}"/>
    <cellStyle name="Normal 3 3 2 7 8" xfId="13849" xr:uid="{00000000-0005-0000-0000-0000C3320000}"/>
    <cellStyle name="Normal 3 3 2 7 9" xfId="13850" xr:uid="{00000000-0005-0000-0000-0000C4320000}"/>
    <cellStyle name="Normal 3 3 2 8" xfId="13851" xr:uid="{00000000-0005-0000-0000-0000C5320000}"/>
    <cellStyle name="Normal 3 3 2 8 10" xfId="13852" xr:uid="{00000000-0005-0000-0000-0000C6320000}"/>
    <cellStyle name="Normal 3 3 2 8 11" xfId="13853" xr:uid="{00000000-0005-0000-0000-0000C7320000}"/>
    <cellStyle name="Normal 3 3 2 8 12" xfId="13854" xr:uid="{00000000-0005-0000-0000-0000C8320000}"/>
    <cellStyle name="Normal 3 3 2 8 13" xfId="13855" xr:uid="{00000000-0005-0000-0000-0000C9320000}"/>
    <cellStyle name="Normal 3 3 2 8 14" xfId="13856" xr:uid="{00000000-0005-0000-0000-0000CA320000}"/>
    <cellStyle name="Normal 3 3 2 8 15" xfId="13857" xr:uid="{00000000-0005-0000-0000-0000CB320000}"/>
    <cellStyle name="Normal 3 3 2 8 2" xfId="13858" xr:uid="{00000000-0005-0000-0000-0000CC320000}"/>
    <cellStyle name="Normal 3 3 2 8 3" xfId="13859" xr:uid="{00000000-0005-0000-0000-0000CD320000}"/>
    <cellStyle name="Normal 3 3 2 8 4" xfId="13860" xr:uid="{00000000-0005-0000-0000-0000CE320000}"/>
    <cellStyle name="Normal 3 3 2 8 5" xfId="13861" xr:uid="{00000000-0005-0000-0000-0000CF320000}"/>
    <cellStyle name="Normal 3 3 2 8 6" xfId="13862" xr:uid="{00000000-0005-0000-0000-0000D0320000}"/>
    <cellStyle name="Normal 3 3 2 8 7" xfId="13863" xr:uid="{00000000-0005-0000-0000-0000D1320000}"/>
    <cellStyle name="Normal 3 3 2 8 8" xfId="13864" xr:uid="{00000000-0005-0000-0000-0000D2320000}"/>
    <cellStyle name="Normal 3 3 2 8 9" xfId="13865" xr:uid="{00000000-0005-0000-0000-0000D3320000}"/>
    <cellStyle name="Normal 3 3 2 9" xfId="13866" xr:uid="{00000000-0005-0000-0000-0000D4320000}"/>
    <cellStyle name="Normal 3 3 20" xfId="13867" xr:uid="{00000000-0005-0000-0000-0000D5320000}"/>
    <cellStyle name="Normal 3 3 21" xfId="13868" xr:uid="{00000000-0005-0000-0000-0000D6320000}"/>
    <cellStyle name="Normal 3 3 22" xfId="13869" xr:uid="{00000000-0005-0000-0000-0000D7320000}"/>
    <cellStyle name="Normal 3 3 23" xfId="13870" xr:uid="{00000000-0005-0000-0000-0000D8320000}"/>
    <cellStyle name="Normal 3 3 24" xfId="13871" xr:uid="{00000000-0005-0000-0000-0000D9320000}"/>
    <cellStyle name="Normal 3 3 25" xfId="13872" xr:uid="{00000000-0005-0000-0000-0000DA320000}"/>
    <cellStyle name="Normal 3 3 26" xfId="13873" xr:uid="{00000000-0005-0000-0000-0000DB320000}"/>
    <cellStyle name="Normal 3 3 3" xfId="13874" xr:uid="{00000000-0005-0000-0000-0000DC320000}"/>
    <cellStyle name="Normal 3 3 3 10" xfId="13875" xr:uid="{00000000-0005-0000-0000-0000DD320000}"/>
    <cellStyle name="Normal 3 3 3 11" xfId="13876" xr:uid="{00000000-0005-0000-0000-0000DE320000}"/>
    <cellStyle name="Normal 3 3 3 12" xfId="13877" xr:uid="{00000000-0005-0000-0000-0000DF320000}"/>
    <cellStyle name="Normal 3 3 3 13" xfId="13878" xr:uid="{00000000-0005-0000-0000-0000E0320000}"/>
    <cellStyle name="Normal 3 3 3 14" xfId="13879" xr:uid="{00000000-0005-0000-0000-0000E1320000}"/>
    <cellStyle name="Normal 3 3 3 15" xfId="13880" xr:uid="{00000000-0005-0000-0000-0000E2320000}"/>
    <cellStyle name="Normal 3 3 3 16" xfId="13881" xr:uid="{00000000-0005-0000-0000-0000E3320000}"/>
    <cellStyle name="Normal 3 3 3 17" xfId="13882" xr:uid="{00000000-0005-0000-0000-0000E4320000}"/>
    <cellStyle name="Normal 3 3 3 18" xfId="13883" xr:uid="{00000000-0005-0000-0000-0000E5320000}"/>
    <cellStyle name="Normal 3 3 3 19" xfId="13884" xr:uid="{00000000-0005-0000-0000-0000E6320000}"/>
    <cellStyle name="Normal 3 3 3 2" xfId="13885" xr:uid="{00000000-0005-0000-0000-0000E7320000}"/>
    <cellStyle name="Normal 3 3 3 2 10" xfId="13886" xr:uid="{00000000-0005-0000-0000-0000E8320000}"/>
    <cellStyle name="Normal 3 3 3 2 11" xfId="13887" xr:uid="{00000000-0005-0000-0000-0000E9320000}"/>
    <cellStyle name="Normal 3 3 3 2 12" xfId="13888" xr:uid="{00000000-0005-0000-0000-0000EA320000}"/>
    <cellStyle name="Normal 3 3 3 2 13" xfId="13889" xr:uid="{00000000-0005-0000-0000-0000EB320000}"/>
    <cellStyle name="Normal 3 3 3 2 14" xfId="13890" xr:uid="{00000000-0005-0000-0000-0000EC320000}"/>
    <cellStyle name="Normal 3 3 3 2 15" xfId="13891" xr:uid="{00000000-0005-0000-0000-0000ED320000}"/>
    <cellStyle name="Normal 3 3 3 2 2" xfId="13892" xr:uid="{00000000-0005-0000-0000-0000EE320000}"/>
    <cellStyle name="Normal 3 3 3 2 3" xfId="13893" xr:uid="{00000000-0005-0000-0000-0000EF320000}"/>
    <cellStyle name="Normal 3 3 3 2 4" xfId="13894" xr:uid="{00000000-0005-0000-0000-0000F0320000}"/>
    <cellStyle name="Normal 3 3 3 2 5" xfId="13895" xr:uid="{00000000-0005-0000-0000-0000F1320000}"/>
    <cellStyle name="Normal 3 3 3 2 6" xfId="13896" xr:uid="{00000000-0005-0000-0000-0000F2320000}"/>
    <cellStyle name="Normal 3 3 3 2 7" xfId="13897" xr:uid="{00000000-0005-0000-0000-0000F3320000}"/>
    <cellStyle name="Normal 3 3 3 2 8" xfId="13898" xr:uid="{00000000-0005-0000-0000-0000F4320000}"/>
    <cellStyle name="Normal 3 3 3 2 9" xfId="13899" xr:uid="{00000000-0005-0000-0000-0000F5320000}"/>
    <cellStyle name="Normal 3 3 3 20" xfId="13900" xr:uid="{00000000-0005-0000-0000-0000F6320000}"/>
    <cellStyle name="Normal 3 3 3 21" xfId="13901" xr:uid="{00000000-0005-0000-0000-0000F7320000}"/>
    <cellStyle name="Normal 3 3 3 22" xfId="13902" xr:uid="{00000000-0005-0000-0000-0000F8320000}"/>
    <cellStyle name="Normal 3 3 3 23" xfId="13903" xr:uid="{00000000-0005-0000-0000-0000F9320000}"/>
    <cellStyle name="Normal 3 3 3 3" xfId="13904" xr:uid="{00000000-0005-0000-0000-0000FA320000}"/>
    <cellStyle name="Normal 3 3 3 3 10" xfId="13905" xr:uid="{00000000-0005-0000-0000-0000FB320000}"/>
    <cellStyle name="Normal 3 3 3 3 11" xfId="13906" xr:uid="{00000000-0005-0000-0000-0000FC320000}"/>
    <cellStyle name="Normal 3 3 3 3 12" xfId="13907" xr:uid="{00000000-0005-0000-0000-0000FD320000}"/>
    <cellStyle name="Normal 3 3 3 3 13" xfId="13908" xr:uid="{00000000-0005-0000-0000-0000FE320000}"/>
    <cellStyle name="Normal 3 3 3 3 14" xfId="13909" xr:uid="{00000000-0005-0000-0000-0000FF320000}"/>
    <cellStyle name="Normal 3 3 3 3 15" xfId="13910" xr:uid="{00000000-0005-0000-0000-000000330000}"/>
    <cellStyle name="Normal 3 3 3 3 2" xfId="13911" xr:uid="{00000000-0005-0000-0000-000001330000}"/>
    <cellStyle name="Normal 3 3 3 3 3" xfId="13912" xr:uid="{00000000-0005-0000-0000-000002330000}"/>
    <cellStyle name="Normal 3 3 3 3 4" xfId="13913" xr:uid="{00000000-0005-0000-0000-000003330000}"/>
    <cellStyle name="Normal 3 3 3 3 5" xfId="13914" xr:uid="{00000000-0005-0000-0000-000004330000}"/>
    <cellStyle name="Normal 3 3 3 3 6" xfId="13915" xr:uid="{00000000-0005-0000-0000-000005330000}"/>
    <cellStyle name="Normal 3 3 3 3 7" xfId="13916" xr:uid="{00000000-0005-0000-0000-000006330000}"/>
    <cellStyle name="Normal 3 3 3 3 8" xfId="13917" xr:uid="{00000000-0005-0000-0000-000007330000}"/>
    <cellStyle name="Normal 3 3 3 3 9" xfId="13918" xr:uid="{00000000-0005-0000-0000-000008330000}"/>
    <cellStyle name="Normal 3 3 3 4" xfId="13919" xr:uid="{00000000-0005-0000-0000-000009330000}"/>
    <cellStyle name="Normal 3 3 3 4 10" xfId="13920" xr:uid="{00000000-0005-0000-0000-00000A330000}"/>
    <cellStyle name="Normal 3 3 3 4 11" xfId="13921" xr:uid="{00000000-0005-0000-0000-00000B330000}"/>
    <cellStyle name="Normal 3 3 3 4 12" xfId="13922" xr:uid="{00000000-0005-0000-0000-00000C330000}"/>
    <cellStyle name="Normal 3 3 3 4 13" xfId="13923" xr:uid="{00000000-0005-0000-0000-00000D330000}"/>
    <cellStyle name="Normal 3 3 3 4 14" xfId="13924" xr:uid="{00000000-0005-0000-0000-00000E330000}"/>
    <cellStyle name="Normal 3 3 3 4 15" xfId="13925" xr:uid="{00000000-0005-0000-0000-00000F330000}"/>
    <cellStyle name="Normal 3 3 3 4 2" xfId="13926" xr:uid="{00000000-0005-0000-0000-000010330000}"/>
    <cellStyle name="Normal 3 3 3 4 3" xfId="13927" xr:uid="{00000000-0005-0000-0000-000011330000}"/>
    <cellStyle name="Normal 3 3 3 4 4" xfId="13928" xr:uid="{00000000-0005-0000-0000-000012330000}"/>
    <cellStyle name="Normal 3 3 3 4 5" xfId="13929" xr:uid="{00000000-0005-0000-0000-000013330000}"/>
    <cellStyle name="Normal 3 3 3 4 6" xfId="13930" xr:uid="{00000000-0005-0000-0000-000014330000}"/>
    <cellStyle name="Normal 3 3 3 4 7" xfId="13931" xr:uid="{00000000-0005-0000-0000-000015330000}"/>
    <cellStyle name="Normal 3 3 3 4 8" xfId="13932" xr:uid="{00000000-0005-0000-0000-000016330000}"/>
    <cellStyle name="Normal 3 3 3 4 9" xfId="13933" xr:uid="{00000000-0005-0000-0000-000017330000}"/>
    <cellStyle name="Normal 3 3 3 5" xfId="13934" xr:uid="{00000000-0005-0000-0000-000018330000}"/>
    <cellStyle name="Normal 3 3 3 5 10" xfId="13935" xr:uid="{00000000-0005-0000-0000-000019330000}"/>
    <cellStyle name="Normal 3 3 3 5 11" xfId="13936" xr:uid="{00000000-0005-0000-0000-00001A330000}"/>
    <cellStyle name="Normal 3 3 3 5 12" xfId="13937" xr:uid="{00000000-0005-0000-0000-00001B330000}"/>
    <cellStyle name="Normal 3 3 3 5 13" xfId="13938" xr:uid="{00000000-0005-0000-0000-00001C330000}"/>
    <cellStyle name="Normal 3 3 3 5 14" xfId="13939" xr:uid="{00000000-0005-0000-0000-00001D330000}"/>
    <cellStyle name="Normal 3 3 3 5 15" xfId="13940" xr:uid="{00000000-0005-0000-0000-00001E330000}"/>
    <cellStyle name="Normal 3 3 3 5 2" xfId="13941" xr:uid="{00000000-0005-0000-0000-00001F330000}"/>
    <cellStyle name="Normal 3 3 3 5 3" xfId="13942" xr:uid="{00000000-0005-0000-0000-000020330000}"/>
    <cellStyle name="Normal 3 3 3 5 4" xfId="13943" xr:uid="{00000000-0005-0000-0000-000021330000}"/>
    <cellStyle name="Normal 3 3 3 5 5" xfId="13944" xr:uid="{00000000-0005-0000-0000-000022330000}"/>
    <cellStyle name="Normal 3 3 3 5 6" xfId="13945" xr:uid="{00000000-0005-0000-0000-000023330000}"/>
    <cellStyle name="Normal 3 3 3 5 7" xfId="13946" xr:uid="{00000000-0005-0000-0000-000024330000}"/>
    <cellStyle name="Normal 3 3 3 5 8" xfId="13947" xr:uid="{00000000-0005-0000-0000-000025330000}"/>
    <cellStyle name="Normal 3 3 3 5 9" xfId="13948" xr:uid="{00000000-0005-0000-0000-000026330000}"/>
    <cellStyle name="Normal 3 3 3 6" xfId="13949" xr:uid="{00000000-0005-0000-0000-000027330000}"/>
    <cellStyle name="Normal 3 3 3 6 10" xfId="13950" xr:uid="{00000000-0005-0000-0000-000028330000}"/>
    <cellStyle name="Normal 3 3 3 6 11" xfId="13951" xr:uid="{00000000-0005-0000-0000-000029330000}"/>
    <cellStyle name="Normal 3 3 3 6 12" xfId="13952" xr:uid="{00000000-0005-0000-0000-00002A330000}"/>
    <cellStyle name="Normal 3 3 3 6 13" xfId="13953" xr:uid="{00000000-0005-0000-0000-00002B330000}"/>
    <cellStyle name="Normal 3 3 3 6 14" xfId="13954" xr:uid="{00000000-0005-0000-0000-00002C330000}"/>
    <cellStyle name="Normal 3 3 3 6 15" xfId="13955" xr:uid="{00000000-0005-0000-0000-00002D330000}"/>
    <cellStyle name="Normal 3 3 3 6 2" xfId="13956" xr:uid="{00000000-0005-0000-0000-00002E330000}"/>
    <cellStyle name="Normal 3 3 3 6 3" xfId="13957" xr:uid="{00000000-0005-0000-0000-00002F330000}"/>
    <cellStyle name="Normal 3 3 3 6 4" xfId="13958" xr:uid="{00000000-0005-0000-0000-000030330000}"/>
    <cellStyle name="Normal 3 3 3 6 5" xfId="13959" xr:uid="{00000000-0005-0000-0000-000031330000}"/>
    <cellStyle name="Normal 3 3 3 6 6" xfId="13960" xr:uid="{00000000-0005-0000-0000-000032330000}"/>
    <cellStyle name="Normal 3 3 3 6 7" xfId="13961" xr:uid="{00000000-0005-0000-0000-000033330000}"/>
    <cellStyle name="Normal 3 3 3 6 8" xfId="13962" xr:uid="{00000000-0005-0000-0000-000034330000}"/>
    <cellStyle name="Normal 3 3 3 6 9" xfId="13963" xr:uid="{00000000-0005-0000-0000-000035330000}"/>
    <cellStyle name="Normal 3 3 3 7" xfId="13964" xr:uid="{00000000-0005-0000-0000-000036330000}"/>
    <cellStyle name="Normal 3 3 3 7 10" xfId="13965" xr:uid="{00000000-0005-0000-0000-000037330000}"/>
    <cellStyle name="Normal 3 3 3 7 11" xfId="13966" xr:uid="{00000000-0005-0000-0000-000038330000}"/>
    <cellStyle name="Normal 3 3 3 7 12" xfId="13967" xr:uid="{00000000-0005-0000-0000-000039330000}"/>
    <cellStyle name="Normal 3 3 3 7 13" xfId="13968" xr:uid="{00000000-0005-0000-0000-00003A330000}"/>
    <cellStyle name="Normal 3 3 3 7 14" xfId="13969" xr:uid="{00000000-0005-0000-0000-00003B330000}"/>
    <cellStyle name="Normal 3 3 3 7 15" xfId="13970" xr:uid="{00000000-0005-0000-0000-00003C330000}"/>
    <cellStyle name="Normal 3 3 3 7 2" xfId="13971" xr:uid="{00000000-0005-0000-0000-00003D330000}"/>
    <cellStyle name="Normal 3 3 3 7 3" xfId="13972" xr:uid="{00000000-0005-0000-0000-00003E330000}"/>
    <cellStyle name="Normal 3 3 3 7 4" xfId="13973" xr:uid="{00000000-0005-0000-0000-00003F330000}"/>
    <cellStyle name="Normal 3 3 3 7 5" xfId="13974" xr:uid="{00000000-0005-0000-0000-000040330000}"/>
    <cellStyle name="Normal 3 3 3 7 6" xfId="13975" xr:uid="{00000000-0005-0000-0000-000041330000}"/>
    <cellStyle name="Normal 3 3 3 7 7" xfId="13976" xr:uid="{00000000-0005-0000-0000-000042330000}"/>
    <cellStyle name="Normal 3 3 3 7 8" xfId="13977" xr:uid="{00000000-0005-0000-0000-000043330000}"/>
    <cellStyle name="Normal 3 3 3 7 9" xfId="13978" xr:uid="{00000000-0005-0000-0000-000044330000}"/>
    <cellStyle name="Normal 3 3 3 8" xfId="13979" xr:uid="{00000000-0005-0000-0000-000045330000}"/>
    <cellStyle name="Normal 3 3 3 8 10" xfId="13980" xr:uid="{00000000-0005-0000-0000-000046330000}"/>
    <cellStyle name="Normal 3 3 3 8 11" xfId="13981" xr:uid="{00000000-0005-0000-0000-000047330000}"/>
    <cellStyle name="Normal 3 3 3 8 12" xfId="13982" xr:uid="{00000000-0005-0000-0000-000048330000}"/>
    <cellStyle name="Normal 3 3 3 8 13" xfId="13983" xr:uid="{00000000-0005-0000-0000-000049330000}"/>
    <cellStyle name="Normal 3 3 3 8 14" xfId="13984" xr:uid="{00000000-0005-0000-0000-00004A330000}"/>
    <cellStyle name="Normal 3 3 3 8 15" xfId="13985" xr:uid="{00000000-0005-0000-0000-00004B330000}"/>
    <cellStyle name="Normal 3 3 3 8 2" xfId="13986" xr:uid="{00000000-0005-0000-0000-00004C330000}"/>
    <cellStyle name="Normal 3 3 3 8 3" xfId="13987" xr:uid="{00000000-0005-0000-0000-00004D330000}"/>
    <cellStyle name="Normal 3 3 3 8 4" xfId="13988" xr:uid="{00000000-0005-0000-0000-00004E330000}"/>
    <cellStyle name="Normal 3 3 3 8 5" xfId="13989" xr:uid="{00000000-0005-0000-0000-00004F330000}"/>
    <cellStyle name="Normal 3 3 3 8 6" xfId="13990" xr:uid="{00000000-0005-0000-0000-000050330000}"/>
    <cellStyle name="Normal 3 3 3 8 7" xfId="13991" xr:uid="{00000000-0005-0000-0000-000051330000}"/>
    <cellStyle name="Normal 3 3 3 8 8" xfId="13992" xr:uid="{00000000-0005-0000-0000-000052330000}"/>
    <cellStyle name="Normal 3 3 3 8 9" xfId="13993" xr:uid="{00000000-0005-0000-0000-000053330000}"/>
    <cellStyle name="Normal 3 3 3 9" xfId="13994" xr:uid="{00000000-0005-0000-0000-000054330000}"/>
    <cellStyle name="Normal 3 3 4" xfId="13995" xr:uid="{00000000-0005-0000-0000-000055330000}"/>
    <cellStyle name="Normal 3 3 4 10" xfId="13996" xr:uid="{00000000-0005-0000-0000-000056330000}"/>
    <cellStyle name="Normal 3 3 4 11" xfId="13997" xr:uid="{00000000-0005-0000-0000-000057330000}"/>
    <cellStyle name="Normal 3 3 4 12" xfId="13998" xr:uid="{00000000-0005-0000-0000-000058330000}"/>
    <cellStyle name="Normal 3 3 4 13" xfId="13999" xr:uid="{00000000-0005-0000-0000-000059330000}"/>
    <cellStyle name="Normal 3 3 4 14" xfId="14000" xr:uid="{00000000-0005-0000-0000-00005A330000}"/>
    <cellStyle name="Normal 3 3 4 15" xfId="14001" xr:uid="{00000000-0005-0000-0000-00005B330000}"/>
    <cellStyle name="Normal 3 3 4 16" xfId="14002" xr:uid="{00000000-0005-0000-0000-00005C330000}"/>
    <cellStyle name="Normal 3 3 4 17" xfId="14003" xr:uid="{00000000-0005-0000-0000-00005D330000}"/>
    <cellStyle name="Normal 3 3 4 18" xfId="14004" xr:uid="{00000000-0005-0000-0000-00005E330000}"/>
    <cellStyle name="Normal 3 3 4 19" xfId="14005" xr:uid="{00000000-0005-0000-0000-00005F330000}"/>
    <cellStyle name="Normal 3 3 4 2" xfId="14006" xr:uid="{00000000-0005-0000-0000-000060330000}"/>
    <cellStyle name="Normal 3 3 4 2 10" xfId="14007" xr:uid="{00000000-0005-0000-0000-000061330000}"/>
    <cellStyle name="Normal 3 3 4 2 11" xfId="14008" xr:uid="{00000000-0005-0000-0000-000062330000}"/>
    <cellStyle name="Normal 3 3 4 2 12" xfId="14009" xr:uid="{00000000-0005-0000-0000-000063330000}"/>
    <cellStyle name="Normal 3 3 4 2 13" xfId="14010" xr:uid="{00000000-0005-0000-0000-000064330000}"/>
    <cellStyle name="Normal 3 3 4 2 14" xfId="14011" xr:uid="{00000000-0005-0000-0000-000065330000}"/>
    <cellStyle name="Normal 3 3 4 2 15" xfId="14012" xr:uid="{00000000-0005-0000-0000-000066330000}"/>
    <cellStyle name="Normal 3 3 4 2 2" xfId="14013" xr:uid="{00000000-0005-0000-0000-000067330000}"/>
    <cellStyle name="Normal 3 3 4 2 3" xfId="14014" xr:uid="{00000000-0005-0000-0000-000068330000}"/>
    <cellStyle name="Normal 3 3 4 2 4" xfId="14015" xr:uid="{00000000-0005-0000-0000-000069330000}"/>
    <cellStyle name="Normal 3 3 4 2 5" xfId="14016" xr:uid="{00000000-0005-0000-0000-00006A330000}"/>
    <cellStyle name="Normal 3 3 4 2 6" xfId="14017" xr:uid="{00000000-0005-0000-0000-00006B330000}"/>
    <cellStyle name="Normal 3 3 4 2 7" xfId="14018" xr:uid="{00000000-0005-0000-0000-00006C330000}"/>
    <cellStyle name="Normal 3 3 4 2 8" xfId="14019" xr:uid="{00000000-0005-0000-0000-00006D330000}"/>
    <cellStyle name="Normal 3 3 4 2 9" xfId="14020" xr:uid="{00000000-0005-0000-0000-00006E330000}"/>
    <cellStyle name="Normal 3 3 4 3" xfId="14021" xr:uid="{00000000-0005-0000-0000-00006F330000}"/>
    <cellStyle name="Normal 3 3 4 3 10" xfId="14022" xr:uid="{00000000-0005-0000-0000-000070330000}"/>
    <cellStyle name="Normal 3 3 4 3 11" xfId="14023" xr:uid="{00000000-0005-0000-0000-000071330000}"/>
    <cellStyle name="Normal 3 3 4 3 12" xfId="14024" xr:uid="{00000000-0005-0000-0000-000072330000}"/>
    <cellStyle name="Normal 3 3 4 3 13" xfId="14025" xr:uid="{00000000-0005-0000-0000-000073330000}"/>
    <cellStyle name="Normal 3 3 4 3 14" xfId="14026" xr:uid="{00000000-0005-0000-0000-000074330000}"/>
    <cellStyle name="Normal 3 3 4 3 15" xfId="14027" xr:uid="{00000000-0005-0000-0000-000075330000}"/>
    <cellStyle name="Normal 3 3 4 3 2" xfId="14028" xr:uid="{00000000-0005-0000-0000-000076330000}"/>
    <cellStyle name="Normal 3 3 4 3 3" xfId="14029" xr:uid="{00000000-0005-0000-0000-000077330000}"/>
    <cellStyle name="Normal 3 3 4 3 4" xfId="14030" xr:uid="{00000000-0005-0000-0000-000078330000}"/>
    <cellStyle name="Normal 3 3 4 3 5" xfId="14031" xr:uid="{00000000-0005-0000-0000-000079330000}"/>
    <cellStyle name="Normal 3 3 4 3 6" xfId="14032" xr:uid="{00000000-0005-0000-0000-00007A330000}"/>
    <cellStyle name="Normal 3 3 4 3 7" xfId="14033" xr:uid="{00000000-0005-0000-0000-00007B330000}"/>
    <cellStyle name="Normal 3 3 4 3 8" xfId="14034" xr:uid="{00000000-0005-0000-0000-00007C330000}"/>
    <cellStyle name="Normal 3 3 4 3 9" xfId="14035" xr:uid="{00000000-0005-0000-0000-00007D330000}"/>
    <cellStyle name="Normal 3 3 4 4" xfId="14036" xr:uid="{00000000-0005-0000-0000-00007E330000}"/>
    <cellStyle name="Normal 3 3 4 4 10" xfId="14037" xr:uid="{00000000-0005-0000-0000-00007F330000}"/>
    <cellStyle name="Normal 3 3 4 4 11" xfId="14038" xr:uid="{00000000-0005-0000-0000-000080330000}"/>
    <cellStyle name="Normal 3 3 4 4 12" xfId="14039" xr:uid="{00000000-0005-0000-0000-000081330000}"/>
    <cellStyle name="Normal 3 3 4 4 13" xfId="14040" xr:uid="{00000000-0005-0000-0000-000082330000}"/>
    <cellStyle name="Normal 3 3 4 4 14" xfId="14041" xr:uid="{00000000-0005-0000-0000-000083330000}"/>
    <cellStyle name="Normal 3 3 4 4 15" xfId="14042" xr:uid="{00000000-0005-0000-0000-000084330000}"/>
    <cellStyle name="Normal 3 3 4 4 2" xfId="14043" xr:uid="{00000000-0005-0000-0000-000085330000}"/>
    <cellStyle name="Normal 3 3 4 4 3" xfId="14044" xr:uid="{00000000-0005-0000-0000-000086330000}"/>
    <cellStyle name="Normal 3 3 4 4 4" xfId="14045" xr:uid="{00000000-0005-0000-0000-000087330000}"/>
    <cellStyle name="Normal 3 3 4 4 5" xfId="14046" xr:uid="{00000000-0005-0000-0000-000088330000}"/>
    <cellStyle name="Normal 3 3 4 4 6" xfId="14047" xr:uid="{00000000-0005-0000-0000-000089330000}"/>
    <cellStyle name="Normal 3 3 4 4 7" xfId="14048" xr:uid="{00000000-0005-0000-0000-00008A330000}"/>
    <cellStyle name="Normal 3 3 4 4 8" xfId="14049" xr:uid="{00000000-0005-0000-0000-00008B330000}"/>
    <cellStyle name="Normal 3 3 4 4 9" xfId="14050" xr:uid="{00000000-0005-0000-0000-00008C330000}"/>
    <cellStyle name="Normal 3 3 4 5" xfId="14051" xr:uid="{00000000-0005-0000-0000-00008D330000}"/>
    <cellStyle name="Normal 3 3 4 5 10" xfId="14052" xr:uid="{00000000-0005-0000-0000-00008E330000}"/>
    <cellStyle name="Normal 3 3 4 5 11" xfId="14053" xr:uid="{00000000-0005-0000-0000-00008F330000}"/>
    <cellStyle name="Normal 3 3 4 5 12" xfId="14054" xr:uid="{00000000-0005-0000-0000-000090330000}"/>
    <cellStyle name="Normal 3 3 4 5 13" xfId="14055" xr:uid="{00000000-0005-0000-0000-000091330000}"/>
    <cellStyle name="Normal 3 3 4 5 14" xfId="14056" xr:uid="{00000000-0005-0000-0000-000092330000}"/>
    <cellStyle name="Normal 3 3 4 5 15" xfId="14057" xr:uid="{00000000-0005-0000-0000-000093330000}"/>
    <cellStyle name="Normal 3 3 4 5 2" xfId="14058" xr:uid="{00000000-0005-0000-0000-000094330000}"/>
    <cellStyle name="Normal 3 3 4 5 3" xfId="14059" xr:uid="{00000000-0005-0000-0000-000095330000}"/>
    <cellStyle name="Normal 3 3 4 5 4" xfId="14060" xr:uid="{00000000-0005-0000-0000-000096330000}"/>
    <cellStyle name="Normal 3 3 4 5 5" xfId="14061" xr:uid="{00000000-0005-0000-0000-000097330000}"/>
    <cellStyle name="Normal 3 3 4 5 6" xfId="14062" xr:uid="{00000000-0005-0000-0000-000098330000}"/>
    <cellStyle name="Normal 3 3 4 5 7" xfId="14063" xr:uid="{00000000-0005-0000-0000-000099330000}"/>
    <cellStyle name="Normal 3 3 4 5 8" xfId="14064" xr:uid="{00000000-0005-0000-0000-00009A330000}"/>
    <cellStyle name="Normal 3 3 4 5 9" xfId="14065" xr:uid="{00000000-0005-0000-0000-00009B330000}"/>
    <cellStyle name="Normal 3 3 4 6" xfId="14066" xr:uid="{00000000-0005-0000-0000-00009C330000}"/>
    <cellStyle name="Normal 3 3 4 7" xfId="14067" xr:uid="{00000000-0005-0000-0000-00009D330000}"/>
    <cellStyle name="Normal 3 3 4 8" xfId="14068" xr:uid="{00000000-0005-0000-0000-00009E330000}"/>
    <cellStyle name="Normal 3 3 4 9" xfId="14069" xr:uid="{00000000-0005-0000-0000-00009F330000}"/>
    <cellStyle name="Normal 3 3 5" xfId="14070" xr:uid="{00000000-0005-0000-0000-0000A0330000}"/>
    <cellStyle name="Normal 3 3 5 10" xfId="14071" xr:uid="{00000000-0005-0000-0000-0000A1330000}"/>
    <cellStyle name="Normal 3 3 5 11" xfId="14072" xr:uid="{00000000-0005-0000-0000-0000A2330000}"/>
    <cellStyle name="Normal 3 3 5 12" xfId="14073" xr:uid="{00000000-0005-0000-0000-0000A3330000}"/>
    <cellStyle name="Normal 3 3 5 13" xfId="14074" xr:uid="{00000000-0005-0000-0000-0000A4330000}"/>
    <cellStyle name="Normal 3 3 5 14" xfId="14075" xr:uid="{00000000-0005-0000-0000-0000A5330000}"/>
    <cellStyle name="Normal 3 3 5 15" xfId="14076" xr:uid="{00000000-0005-0000-0000-0000A6330000}"/>
    <cellStyle name="Normal 3 3 5 16" xfId="14077" xr:uid="{00000000-0005-0000-0000-0000A7330000}"/>
    <cellStyle name="Normal 3 3 5 17" xfId="14078" xr:uid="{00000000-0005-0000-0000-0000A8330000}"/>
    <cellStyle name="Normal 3 3 5 18" xfId="14079" xr:uid="{00000000-0005-0000-0000-0000A9330000}"/>
    <cellStyle name="Normal 3 3 5 19" xfId="14080" xr:uid="{00000000-0005-0000-0000-0000AA330000}"/>
    <cellStyle name="Normal 3 3 5 2" xfId="14081" xr:uid="{00000000-0005-0000-0000-0000AB330000}"/>
    <cellStyle name="Normal 3 3 5 2 10" xfId="14082" xr:uid="{00000000-0005-0000-0000-0000AC330000}"/>
    <cellStyle name="Normal 3 3 5 2 11" xfId="14083" xr:uid="{00000000-0005-0000-0000-0000AD330000}"/>
    <cellStyle name="Normal 3 3 5 2 12" xfId="14084" xr:uid="{00000000-0005-0000-0000-0000AE330000}"/>
    <cellStyle name="Normal 3 3 5 2 13" xfId="14085" xr:uid="{00000000-0005-0000-0000-0000AF330000}"/>
    <cellStyle name="Normal 3 3 5 2 14" xfId="14086" xr:uid="{00000000-0005-0000-0000-0000B0330000}"/>
    <cellStyle name="Normal 3 3 5 2 15" xfId="14087" xr:uid="{00000000-0005-0000-0000-0000B1330000}"/>
    <cellStyle name="Normal 3 3 5 2 2" xfId="14088" xr:uid="{00000000-0005-0000-0000-0000B2330000}"/>
    <cellStyle name="Normal 3 3 5 2 3" xfId="14089" xr:uid="{00000000-0005-0000-0000-0000B3330000}"/>
    <cellStyle name="Normal 3 3 5 2 4" xfId="14090" xr:uid="{00000000-0005-0000-0000-0000B4330000}"/>
    <cellStyle name="Normal 3 3 5 2 5" xfId="14091" xr:uid="{00000000-0005-0000-0000-0000B5330000}"/>
    <cellStyle name="Normal 3 3 5 2 6" xfId="14092" xr:uid="{00000000-0005-0000-0000-0000B6330000}"/>
    <cellStyle name="Normal 3 3 5 2 7" xfId="14093" xr:uid="{00000000-0005-0000-0000-0000B7330000}"/>
    <cellStyle name="Normal 3 3 5 2 8" xfId="14094" xr:uid="{00000000-0005-0000-0000-0000B8330000}"/>
    <cellStyle name="Normal 3 3 5 2 9" xfId="14095" xr:uid="{00000000-0005-0000-0000-0000B9330000}"/>
    <cellStyle name="Normal 3 3 5 3" xfId="14096" xr:uid="{00000000-0005-0000-0000-0000BA330000}"/>
    <cellStyle name="Normal 3 3 5 3 10" xfId="14097" xr:uid="{00000000-0005-0000-0000-0000BB330000}"/>
    <cellStyle name="Normal 3 3 5 3 11" xfId="14098" xr:uid="{00000000-0005-0000-0000-0000BC330000}"/>
    <cellStyle name="Normal 3 3 5 3 12" xfId="14099" xr:uid="{00000000-0005-0000-0000-0000BD330000}"/>
    <cellStyle name="Normal 3 3 5 3 13" xfId="14100" xr:uid="{00000000-0005-0000-0000-0000BE330000}"/>
    <cellStyle name="Normal 3 3 5 3 14" xfId="14101" xr:uid="{00000000-0005-0000-0000-0000BF330000}"/>
    <cellStyle name="Normal 3 3 5 3 15" xfId="14102" xr:uid="{00000000-0005-0000-0000-0000C0330000}"/>
    <cellStyle name="Normal 3 3 5 3 2" xfId="14103" xr:uid="{00000000-0005-0000-0000-0000C1330000}"/>
    <cellStyle name="Normal 3 3 5 3 3" xfId="14104" xr:uid="{00000000-0005-0000-0000-0000C2330000}"/>
    <cellStyle name="Normal 3 3 5 3 4" xfId="14105" xr:uid="{00000000-0005-0000-0000-0000C3330000}"/>
    <cellStyle name="Normal 3 3 5 3 5" xfId="14106" xr:uid="{00000000-0005-0000-0000-0000C4330000}"/>
    <cellStyle name="Normal 3 3 5 3 6" xfId="14107" xr:uid="{00000000-0005-0000-0000-0000C5330000}"/>
    <cellStyle name="Normal 3 3 5 3 7" xfId="14108" xr:uid="{00000000-0005-0000-0000-0000C6330000}"/>
    <cellStyle name="Normal 3 3 5 3 8" xfId="14109" xr:uid="{00000000-0005-0000-0000-0000C7330000}"/>
    <cellStyle name="Normal 3 3 5 3 9" xfId="14110" xr:uid="{00000000-0005-0000-0000-0000C8330000}"/>
    <cellStyle name="Normal 3 3 5 4" xfId="14111" xr:uid="{00000000-0005-0000-0000-0000C9330000}"/>
    <cellStyle name="Normal 3 3 5 4 10" xfId="14112" xr:uid="{00000000-0005-0000-0000-0000CA330000}"/>
    <cellStyle name="Normal 3 3 5 4 11" xfId="14113" xr:uid="{00000000-0005-0000-0000-0000CB330000}"/>
    <cellStyle name="Normal 3 3 5 4 12" xfId="14114" xr:uid="{00000000-0005-0000-0000-0000CC330000}"/>
    <cellStyle name="Normal 3 3 5 4 13" xfId="14115" xr:uid="{00000000-0005-0000-0000-0000CD330000}"/>
    <cellStyle name="Normal 3 3 5 4 14" xfId="14116" xr:uid="{00000000-0005-0000-0000-0000CE330000}"/>
    <cellStyle name="Normal 3 3 5 4 15" xfId="14117" xr:uid="{00000000-0005-0000-0000-0000CF330000}"/>
    <cellStyle name="Normal 3 3 5 4 2" xfId="14118" xr:uid="{00000000-0005-0000-0000-0000D0330000}"/>
    <cellStyle name="Normal 3 3 5 4 3" xfId="14119" xr:uid="{00000000-0005-0000-0000-0000D1330000}"/>
    <cellStyle name="Normal 3 3 5 4 4" xfId="14120" xr:uid="{00000000-0005-0000-0000-0000D2330000}"/>
    <cellStyle name="Normal 3 3 5 4 5" xfId="14121" xr:uid="{00000000-0005-0000-0000-0000D3330000}"/>
    <cellStyle name="Normal 3 3 5 4 6" xfId="14122" xr:uid="{00000000-0005-0000-0000-0000D4330000}"/>
    <cellStyle name="Normal 3 3 5 4 7" xfId="14123" xr:uid="{00000000-0005-0000-0000-0000D5330000}"/>
    <cellStyle name="Normal 3 3 5 4 8" xfId="14124" xr:uid="{00000000-0005-0000-0000-0000D6330000}"/>
    <cellStyle name="Normal 3 3 5 4 9" xfId="14125" xr:uid="{00000000-0005-0000-0000-0000D7330000}"/>
    <cellStyle name="Normal 3 3 5 5" xfId="14126" xr:uid="{00000000-0005-0000-0000-0000D8330000}"/>
    <cellStyle name="Normal 3 3 5 5 10" xfId="14127" xr:uid="{00000000-0005-0000-0000-0000D9330000}"/>
    <cellStyle name="Normal 3 3 5 5 11" xfId="14128" xr:uid="{00000000-0005-0000-0000-0000DA330000}"/>
    <cellStyle name="Normal 3 3 5 5 12" xfId="14129" xr:uid="{00000000-0005-0000-0000-0000DB330000}"/>
    <cellStyle name="Normal 3 3 5 5 13" xfId="14130" xr:uid="{00000000-0005-0000-0000-0000DC330000}"/>
    <cellStyle name="Normal 3 3 5 5 14" xfId="14131" xr:uid="{00000000-0005-0000-0000-0000DD330000}"/>
    <cellStyle name="Normal 3 3 5 5 15" xfId="14132" xr:uid="{00000000-0005-0000-0000-0000DE330000}"/>
    <cellStyle name="Normal 3 3 5 5 2" xfId="14133" xr:uid="{00000000-0005-0000-0000-0000DF330000}"/>
    <cellStyle name="Normal 3 3 5 5 3" xfId="14134" xr:uid="{00000000-0005-0000-0000-0000E0330000}"/>
    <cellStyle name="Normal 3 3 5 5 4" xfId="14135" xr:uid="{00000000-0005-0000-0000-0000E1330000}"/>
    <cellStyle name="Normal 3 3 5 5 5" xfId="14136" xr:uid="{00000000-0005-0000-0000-0000E2330000}"/>
    <cellStyle name="Normal 3 3 5 5 6" xfId="14137" xr:uid="{00000000-0005-0000-0000-0000E3330000}"/>
    <cellStyle name="Normal 3 3 5 5 7" xfId="14138" xr:uid="{00000000-0005-0000-0000-0000E4330000}"/>
    <cellStyle name="Normal 3 3 5 5 8" xfId="14139" xr:uid="{00000000-0005-0000-0000-0000E5330000}"/>
    <cellStyle name="Normal 3 3 5 5 9" xfId="14140" xr:uid="{00000000-0005-0000-0000-0000E6330000}"/>
    <cellStyle name="Normal 3 3 5 6" xfId="14141" xr:uid="{00000000-0005-0000-0000-0000E7330000}"/>
    <cellStyle name="Normal 3 3 5 7" xfId="14142" xr:uid="{00000000-0005-0000-0000-0000E8330000}"/>
    <cellStyle name="Normal 3 3 5 8" xfId="14143" xr:uid="{00000000-0005-0000-0000-0000E9330000}"/>
    <cellStyle name="Normal 3 3 5 9" xfId="14144" xr:uid="{00000000-0005-0000-0000-0000EA330000}"/>
    <cellStyle name="Normal 3 3 6" xfId="14145" xr:uid="{00000000-0005-0000-0000-0000EB330000}"/>
    <cellStyle name="Normal 3 3 6 10" xfId="14146" xr:uid="{00000000-0005-0000-0000-0000EC330000}"/>
    <cellStyle name="Normal 3 3 6 11" xfId="14147" xr:uid="{00000000-0005-0000-0000-0000ED330000}"/>
    <cellStyle name="Normal 3 3 6 12" xfId="14148" xr:uid="{00000000-0005-0000-0000-0000EE330000}"/>
    <cellStyle name="Normal 3 3 6 13" xfId="14149" xr:uid="{00000000-0005-0000-0000-0000EF330000}"/>
    <cellStyle name="Normal 3 3 6 14" xfId="14150" xr:uid="{00000000-0005-0000-0000-0000F0330000}"/>
    <cellStyle name="Normal 3 3 6 15" xfId="14151" xr:uid="{00000000-0005-0000-0000-0000F1330000}"/>
    <cellStyle name="Normal 3 3 6 16" xfId="14152" xr:uid="{00000000-0005-0000-0000-0000F2330000}"/>
    <cellStyle name="Normal 3 3 6 17" xfId="14153" xr:uid="{00000000-0005-0000-0000-0000F3330000}"/>
    <cellStyle name="Normal 3 3 6 18" xfId="14154" xr:uid="{00000000-0005-0000-0000-0000F4330000}"/>
    <cellStyle name="Normal 3 3 6 19" xfId="14155" xr:uid="{00000000-0005-0000-0000-0000F5330000}"/>
    <cellStyle name="Normal 3 3 6 2" xfId="14156" xr:uid="{00000000-0005-0000-0000-0000F6330000}"/>
    <cellStyle name="Normal 3 3 6 2 10" xfId="14157" xr:uid="{00000000-0005-0000-0000-0000F7330000}"/>
    <cellStyle name="Normal 3 3 6 2 11" xfId="14158" xr:uid="{00000000-0005-0000-0000-0000F8330000}"/>
    <cellStyle name="Normal 3 3 6 2 12" xfId="14159" xr:uid="{00000000-0005-0000-0000-0000F9330000}"/>
    <cellStyle name="Normal 3 3 6 2 13" xfId="14160" xr:uid="{00000000-0005-0000-0000-0000FA330000}"/>
    <cellStyle name="Normal 3 3 6 2 14" xfId="14161" xr:uid="{00000000-0005-0000-0000-0000FB330000}"/>
    <cellStyle name="Normal 3 3 6 2 15" xfId="14162" xr:uid="{00000000-0005-0000-0000-0000FC330000}"/>
    <cellStyle name="Normal 3 3 6 2 2" xfId="14163" xr:uid="{00000000-0005-0000-0000-0000FD330000}"/>
    <cellStyle name="Normal 3 3 6 2 3" xfId="14164" xr:uid="{00000000-0005-0000-0000-0000FE330000}"/>
    <cellStyle name="Normal 3 3 6 2 4" xfId="14165" xr:uid="{00000000-0005-0000-0000-0000FF330000}"/>
    <cellStyle name="Normal 3 3 6 2 5" xfId="14166" xr:uid="{00000000-0005-0000-0000-000000340000}"/>
    <cellStyle name="Normal 3 3 6 2 6" xfId="14167" xr:uid="{00000000-0005-0000-0000-000001340000}"/>
    <cellStyle name="Normal 3 3 6 2 7" xfId="14168" xr:uid="{00000000-0005-0000-0000-000002340000}"/>
    <cellStyle name="Normal 3 3 6 2 8" xfId="14169" xr:uid="{00000000-0005-0000-0000-000003340000}"/>
    <cellStyle name="Normal 3 3 6 2 9" xfId="14170" xr:uid="{00000000-0005-0000-0000-000004340000}"/>
    <cellStyle name="Normal 3 3 6 3" xfId="14171" xr:uid="{00000000-0005-0000-0000-000005340000}"/>
    <cellStyle name="Normal 3 3 6 3 10" xfId="14172" xr:uid="{00000000-0005-0000-0000-000006340000}"/>
    <cellStyle name="Normal 3 3 6 3 11" xfId="14173" xr:uid="{00000000-0005-0000-0000-000007340000}"/>
    <cellStyle name="Normal 3 3 6 3 12" xfId="14174" xr:uid="{00000000-0005-0000-0000-000008340000}"/>
    <cellStyle name="Normal 3 3 6 3 13" xfId="14175" xr:uid="{00000000-0005-0000-0000-000009340000}"/>
    <cellStyle name="Normal 3 3 6 3 14" xfId="14176" xr:uid="{00000000-0005-0000-0000-00000A340000}"/>
    <cellStyle name="Normal 3 3 6 3 15" xfId="14177" xr:uid="{00000000-0005-0000-0000-00000B340000}"/>
    <cellStyle name="Normal 3 3 6 3 2" xfId="14178" xr:uid="{00000000-0005-0000-0000-00000C340000}"/>
    <cellStyle name="Normal 3 3 6 3 3" xfId="14179" xr:uid="{00000000-0005-0000-0000-00000D340000}"/>
    <cellStyle name="Normal 3 3 6 3 4" xfId="14180" xr:uid="{00000000-0005-0000-0000-00000E340000}"/>
    <cellStyle name="Normal 3 3 6 3 5" xfId="14181" xr:uid="{00000000-0005-0000-0000-00000F340000}"/>
    <cellStyle name="Normal 3 3 6 3 6" xfId="14182" xr:uid="{00000000-0005-0000-0000-000010340000}"/>
    <cellStyle name="Normal 3 3 6 3 7" xfId="14183" xr:uid="{00000000-0005-0000-0000-000011340000}"/>
    <cellStyle name="Normal 3 3 6 3 8" xfId="14184" xr:uid="{00000000-0005-0000-0000-000012340000}"/>
    <cellStyle name="Normal 3 3 6 3 9" xfId="14185" xr:uid="{00000000-0005-0000-0000-000013340000}"/>
    <cellStyle name="Normal 3 3 6 4" xfId="14186" xr:uid="{00000000-0005-0000-0000-000014340000}"/>
    <cellStyle name="Normal 3 3 6 4 10" xfId="14187" xr:uid="{00000000-0005-0000-0000-000015340000}"/>
    <cellStyle name="Normal 3 3 6 4 11" xfId="14188" xr:uid="{00000000-0005-0000-0000-000016340000}"/>
    <cellStyle name="Normal 3 3 6 4 12" xfId="14189" xr:uid="{00000000-0005-0000-0000-000017340000}"/>
    <cellStyle name="Normal 3 3 6 4 13" xfId="14190" xr:uid="{00000000-0005-0000-0000-000018340000}"/>
    <cellStyle name="Normal 3 3 6 4 14" xfId="14191" xr:uid="{00000000-0005-0000-0000-000019340000}"/>
    <cellStyle name="Normal 3 3 6 4 15" xfId="14192" xr:uid="{00000000-0005-0000-0000-00001A340000}"/>
    <cellStyle name="Normal 3 3 6 4 2" xfId="14193" xr:uid="{00000000-0005-0000-0000-00001B340000}"/>
    <cellStyle name="Normal 3 3 6 4 3" xfId="14194" xr:uid="{00000000-0005-0000-0000-00001C340000}"/>
    <cellStyle name="Normal 3 3 6 4 4" xfId="14195" xr:uid="{00000000-0005-0000-0000-00001D340000}"/>
    <cellStyle name="Normal 3 3 6 4 5" xfId="14196" xr:uid="{00000000-0005-0000-0000-00001E340000}"/>
    <cellStyle name="Normal 3 3 6 4 6" xfId="14197" xr:uid="{00000000-0005-0000-0000-00001F340000}"/>
    <cellStyle name="Normal 3 3 6 4 7" xfId="14198" xr:uid="{00000000-0005-0000-0000-000020340000}"/>
    <cellStyle name="Normal 3 3 6 4 8" xfId="14199" xr:uid="{00000000-0005-0000-0000-000021340000}"/>
    <cellStyle name="Normal 3 3 6 4 9" xfId="14200" xr:uid="{00000000-0005-0000-0000-000022340000}"/>
    <cellStyle name="Normal 3 3 6 5" xfId="14201" xr:uid="{00000000-0005-0000-0000-000023340000}"/>
    <cellStyle name="Normal 3 3 6 5 10" xfId="14202" xr:uid="{00000000-0005-0000-0000-000024340000}"/>
    <cellStyle name="Normal 3 3 6 5 11" xfId="14203" xr:uid="{00000000-0005-0000-0000-000025340000}"/>
    <cellStyle name="Normal 3 3 6 5 12" xfId="14204" xr:uid="{00000000-0005-0000-0000-000026340000}"/>
    <cellStyle name="Normal 3 3 6 5 13" xfId="14205" xr:uid="{00000000-0005-0000-0000-000027340000}"/>
    <cellStyle name="Normal 3 3 6 5 14" xfId="14206" xr:uid="{00000000-0005-0000-0000-000028340000}"/>
    <cellStyle name="Normal 3 3 6 5 15" xfId="14207" xr:uid="{00000000-0005-0000-0000-000029340000}"/>
    <cellStyle name="Normal 3 3 6 5 2" xfId="14208" xr:uid="{00000000-0005-0000-0000-00002A340000}"/>
    <cellStyle name="Normal 3 3 6 5 3" xfId="14209" xr:uid="{00000000-0005-0000-0000-00002B340000}"/>
    <cellStyle name="Normal 3 3 6 5 4" xfId="14210" xr:uid="{00000000-0005-0000-0000-00002C340000}"/>
    <cellStyle name="Normal 3 3 6 5 5" xfId="14211" xr:uid="{00000000-0005-0000-0000-00002D340000}"/>
    <cellStyle name="Normal 3 3 6 5 6" xfId="14212" xr:uid="{00000000-0005-0000-0000-00002E340000}"/>
    <cellStyle name="Normal 3 3 6 5 7" xfId="14213" xr:uid="{00000000-0005-0000-0000-00002F340000}"/>
    <cellStyle name="Normal 3 3 6 5 8" xfId="14214" xr:uid="{00000000-0005-0000-0000-000030340000}"/>
    <cellStyle name="Normal 3 3 6 5 9" xfId="14215" xr:uid="{00000000-0005-0000-0000-000031340000}"/>
    <cellStyle name="Normal 3 3 6 6" xfId="14216" xr:uid="{00000000-0005-0000-0000-000032340000}"/>
    <cellStyle name="Normal 3 3 6 7" xfId="14217" xr:uid="{00000000-0005-0000-0000-000033340000}"/>
    <cellStyle name="Normal 3 3 6 8" xfId="14218" xr:uid="{00000000-0005-0000-0000-000034340000}"/>
    <cellStyle name="Normal 3 3 6 9" xfId="14219" xr:uid="{00000000-0005-0000-0000-000035340000}"/>
    <cellStyle name="Normal 3 3 7" xfId="14220" xr:uid="{00000000-0005-0000-0000-000036340000}"/>
    <cellStyle name="Normal 3 3 7 10" xfId="14221" xr:uid="{00000000-0005-0000-0000-000037340000}"/>
    <cellStyle name="Normal 3 3 7 11" xfId="14222" xr:uid="{00000000-0005-0000-0000-000038340000}"/>
    <cellStyle name="Normal 3 3 7 12" xfId="14223" xr:uid="{00000000-0005-0000-0000-000039340000}"/>
    <cellStyle name="Normal 3 3 7 13" xfId="14224" xr:uid="{00000000-0005-0000-0000-00003A340000}"/>
    <cellStyle name="Normal 3 3 7 14" xfId="14225" xr:uid="{00000000-0005-0000-0000-00003B340000}"/>
    <cellStyle name="Normal 3 3 7 15" xfId="14226" xr:uid="{00000000-0005-0000-0000-00003C340000}"/>
    <cellStyle name="Normal 3 3 7 2" xfId="14227" xr:uid="{00000000-0005-0000-0000-00003D340000}"/>
    <cellStyle name="Normal 3 3 7 3" xfId="14228" xr:uid="{00000000-0005-0000-0000-00003E340000}"/>
    <cellStyle name="Normal 3 3 7 4" xfId="14229" xr:uid="{00000000-0005-0000-0000-00003F340000}"/>
    <cellStyle name="Normal 3 3 7 5" xfId="14230" xr:uid="{00000000-0005-0000-0000-000040340000}"/>
    <cellStyle name="Normal 3 3 7 6" xfId="14231" xr:uid="{00000000-0005-0000-0000-000041340000}"/>
    <cellStyle name="Normal 3 3 7 7" xfId="14232" xr:uid="{00000000-0005-0000-0000-000042340000}"/>
    <cellStyle name="Normal 3 3 7 8" xfId="14233" xr:uid="{00000000-0005-0000-0000-000043340000}"/>
    <cellStyle name="Normal 3 3 7 9" xfId="14234" xr:uid="{00000000-0005-0000-0000-000044340000}"/>
    <cellStyle name="Normal 3 3 8" xfId="14235" xr:uid="{00000000-0005-0000-0000-000045340000}"/>
    <cellStyle name="Normal 3 3 8 10" xfId="14236" xr:uid="{00000000-0005-0000-0000-000046340000}"/>
    <cellStyle name="Normal 3 3 8 11" xfId="14237" xr:uid="{00000000-0005-0000-0000-000047340000}"/>
    <cellStyle name="Normal 3 3 8 12" xfId="14238" xr:uid="{00000000-0005-0000-0000-000048340000}"/>
    <cellStyle name="Normal 3 3 8 13" xfId="14239" xr:uid="{00000000-0005-0000-0000-000049340000}"/>
    <cellStyle name="Normal 3 3 8 14" xfId="14240" xr:uid="{00000000-0005-0000-0000-00004A340000}"/>
    <cellStyle name="Normal 3 3 8 15" xfId="14241" xr:uid="{00000000-0005-0000-0000-00004B340000}"/>
    <cellStyle name="Normal 3 3 8 2" xfId="14242" xr:uid="{00000000-0005-0000-0000-00004C340000}"/>
    <cellStyle name="Normal 3 3 8 3" xfId="14243" xr:uid="{00000000-0005-0000-0000-00004D340000}"/>
    <cellStyle name="Normal 3 3 8 4" xfId="14244" xr:uid="{00000000-0005-0000-0000-00004E340000}"/>
    <cellStyle name="Normal 3 3 8 5" xfId="14245" xr:uid="{00000000-0005-0000-0000-00004F340000}"/>
    <cellStyle name="Normal 3 3 8 6" xfId="14246" xr:uid="{00000000-0005-0000-0000-000050340000}"/>
    <cellStyle name="Normal 3 3 8 7" xfId="14247" xr:uid="{00000000-0005-0000-0000-000051340000}"/>
    <cellStyle name="Normal 3 3 8 8" xfId="14248" xr:uid="{00000000-0005-0000-0000-000052340000}"/>
    <cellStyle name="Normal 3 3 8 9" xfId="14249" xr:uid="{00000000-0005-0000-0000-000053340000}"/>
    <cellStyle name="Normal 3 3 9" xfId="14250" xr:uid="{00000000-0005-0000-0000-000054340000}"/>
    <cellStyle name="Normal 3 3 9 10" xfId="14251" xr:uid="{00000000-0005-0000-0000-000055340000}"/>
    <cellStyle name="Normal 3 3 9 11" xfId="14252" xr:uid="{00000000-0005-0000-0000-000056340000}"/>
    <cellStyle name="Normal 3 3 9 12" xfId="14253" xr:uid="{00000000-0005-0000-0000-000057340000}"/>
    <cellStyle name="Normal 3 3 9 13" xfId="14254" xr:uid="{00000000-0005-0000-0000-000058340000}"/>
    <cellStyle name="Normal 3 3 9 14" xfId="14255" xr:uid="{00000000-0005-0000-0000-000059340000}"/>
    <cellStyle name="Normal 3 3 9 15" xfId="14256" xr:uid="{00000000-0005-0000-0000-00005A340000}"/>
    <cellStyle name="Normal 3 3 9 2" xfId="14257" xr:uid="{00000000-0005-0000-0000-00005B340000}"/>
    <cellStyle name="Normal 3 3 9 3" xfId="14258" xr:uid="{00000000-0005-0000-0000-00005C340000}"/>
    <cellStyle name="Normal 3 3 9 4" xfId="14259" xr:uid="{00000000-0005-0000-0000-00005D340000}"/>
    <cellStyle name="Normal 3 3 9 5" xfId="14260" xr:uid="{00000000-0005-0000-0000-00005E340000}"/>
    <cellStyle name="Normal 3 3 9 6" xfId="14261" xr:uid="{00000000-0005-0000-0000-00005F340000}"/>
    <cellStyle name="Normal 3 3 9 7" xfId="14262" xr:uid="{00000000-0005-0000-0000-000060340000}"/>
    <cellStyle name="Normal 3 3 9 8" xfId="14263" xr:uid="{00000000-0005-0000-0000-000061340000}"/>
    <cellStyle name="Normal 3 3 9 9" xfId="14264" xr:uid="{00000000-0005-0000-0000-000062340000}"/>
    <cellStyle name="Normal 3 30" xfId="14265" xr:uid="{00000000-0005-0000-0000-000063340000}"/>
    <cellStyle name="Normal 3 31" xfId="14266" xr:uid="{00000000-0005-0000-0000-000064340000}"/>
    <cellStyle name="Normal 3 32" xfId="14267" xr:uid="{00000000-0005-0000-0000-000065340000}"/>
    <cellStyle name="Normal 3 33" xfId="14268" xr:uid="{00000000-0005-0000-0000-000066340000}"/>
    <cellStyle name="Normal 3 34" xfId="14269" xr:uid="{00000000-0005-0000-0000-000067340000}"/>
    <cellStyle name="Normal 3 35" xfId="14270" xr:uid="{00000000-0005-0000-0000-000068340000}"/>
    <cellStyle name="Normal 3 36" xfId="14271" xr:uid="{00000000-0005-0000-0000-000069340000}"/>
    <cellStyle name="Normal 3 37" xfId="14272" xr:uid="{00000000-0005-0000-0000-00006A340000}"/>
    <cellStyle name="Normal 3 38" xfId="14273" xr:uid="{00000000-0005-0000-0000-00006B340000}"/>
    <cellStyle name="Normal 3 39" xfId="14274" xr:uid="{00000000-0005-0000-0000-00006C340000}"/>
    <cellStyle name="Normal 3 4" xfId="158" xr:uid="{00000000-0005-0000-0000-00003B030000}"/>
    <cellStyle name="Normal 3 4 10" xfId="14275" xr:uid="{00000000-0005-0000-0000-00006E340000}"/>
    <cellStyle name="Normal 3 4 11" xfId="14276" xr:uid="{00000000-0005-0000-0000-00006F340000}"/>
    <cellStyle name="Normal 3 4 12" xfId="14277" xr:uid="{00000000-0005-0000-0000-000070340000}"/>
    <cellStyle name="Normal 3 4 13" xfId="14278" xr:uid="{00000000-0005-0000-0000-000071340000}"/>
    <cellStyle name="Normal 3 4 14" xfId="14279" xr:uid="{00000000-0005-0000-0000-000072340000}"/>
    <cellStyle name="Normal 3 4 15" xfId="14280" xr:uid="{00000000-0005-0000-0000-000073340000}"/>
    <cellStyle name="Normal 3 4 16" xfId="14281" xr:uid="{00000000-0005-0000-0000-000074340000}"/>
    <cellStyle name="Normal 3 4 17" xfId="14282" xr:uid="{00000000-0005-0000-0000-000075340000}"/>
    <cellStyle name="Normal 3 4 18" xfId="14283" xr:uid="{00000000-0005-0000-0000-000076340000}"/>
    <cellStyle name="Normal 3 4 19" xfId="14284" xr:uid="{00000000-0005-0000-0000-000077340000}"/>
    <cellStyle name="Normal 3 4 2" xfId="811" xr:uid="{00000000-0005-0000-0000-00003C030000}"/>
    <cellStyle name="Normal 3 4 2 10" xfId="14286" xr:uid="{00000000-0005-0000-0000-000079340000}"/>
    <cellStyle name="Normal 3 4 2 11" xfId="14287" xr:uid="{00000000-0005-0000-0000-00007A340000}"/>
    <cellStyle name="Normal 3 4 2 12" xfId="14288" xr:uid="{00000000-0005-0000-0000-00007B340000}"/>
    <cellStyle name="Normal 3 4 2 13" xfId="14289" xr:uid="{00000000-0005-0000-0000-00007C340000}"/>
    <cellStyle name="Normal 3 4 2 14" xfId="14290" xr:uid="{00000000-0005-0000-0000-00007D340000}"/>
    <cellStyle name="Normal 3 4 2 15" xfId="14291" xr:uid="{00000000-0005-0000-0000-00007E340000}"/>
    <cellStyle name="Normal 3 4 2 16" xfId="14292" xr:uid="{00000000-0005-0000-0000-00007F340000}"/>
    <cellStyle name="Normal 3 4 2 17" xfId="14293" xr:uid="{00000000-0005-0000-0000-000080340000}"/>
    <cellStyle name="Normal 3 4 2 18" xfId="14294" xr:uid="{00000000-0005-0000-0000-000081340000}"/>
    <cellStyle name="Normal 3 4 2 19" xfId="14295" xr:uid="{00000000-0005-0000-0000-000082340000}"/>
    <cellStyle name="Normal 3 4 2 2" xfId="14296" xr:uid="{00000000-0005-0000-0000-000083340000}"/>
    <cellStyle name="Normal 3 4 2 2 10" xfId="14297" xr:uid="{00000000-0005-0000-0000-000084340000}"/>
    <cellStyle name="Normal 3 4 2 2 11" xfId="14298" xr:uid="{00000000-0005-0000-0000-000085340000}"/>
    <cellStyle name="Normal 3 4 2 2 12" xfId="14299" xr:uid="{00000000-0005-0000-0000-000086340000}"/>
    <cellStyle name="Normal 3 4 2 2 13" xfId="14300" xr:uid="{00000000-0005-0000-0000-000087340000}"/>
    <cellStyle name="Normal 3 4 2 2 14" xfId="14301" xr:uid="{00000000-0005-0000-0000-000088340000}"/>
    <cellStyle name="Normal 3 4 2 2 15" xfId="14302" xr:uid="{00000000-0005-0000-0000-000089340000}"/>
    <cellStyle name="Normal 3 4 2 2 2" xfId="14303" xr:uid="{00000000-0005-0000-0000-00008A340000}"/>
    <cellStyle name="Normal 3 4 2 2 3" xfId="14304" xr:uid="{00000000-0005-0000-0000-00008B340000}"/>
    <cellStyle name="Normal 3 4 2 2 4" xfId="14305" xr:uid="{00000000-0005-0000-0000-00008C340000}"/>
    <cellStyle name="Normal 3 4 2 2 5" xfId="14306" xr:uid="{00000000-0005-0000-0000-00008D340000}"/>
    <cellStyle name="Normal 3 4 2 2 6" xfId="14307" xr:uid="{00000000-0005-0000-0000-00008E340000}"/>
    <cellStyle name="Normal 3 4 2 2 7" xfId="14308" xr:uid="{00000000-0005-0000-0000-00008F340000}"/>
    <cellStyle name="Normal 3 4 2 2 8" xfId="14309" xr:uid="{00000000-0005-0000-0000-000090340000}"/>
    <cellStyle name="Normal 3 4 2 2 9" xfId="14310" xr:uid="{00000000-0005-0000-0000-000091340000}"/>
    <cellStyle name="Normal 3 4 2 20" xfId="14285" xr:uid="{00000000-0005-0000-0000-000078340000}"/>
    <cellStyle name="Normal 3 4 2 3" xfId="14311" xr:uid="{00000000-0005-0000-0000-000092340000}"/>
    <cellStyle name="Normal 3 4 2 3 10" xfId="14312" xr:uid="{00000000-0005-0000-0000-000093340000}"/>
    <cellStyle name="Normal 3 4 2 3 11" xfId="14313" xr:uid="{00000000-0005-0000-0000-000094340000}"/>
    <cellStyle name="Normal 3 4 2 3 12" xfId="14314" xr:uid="{00000000-0005-0000-0000-000095340000}"/>
    <cellStyle name="Normal 3 4 2 3 13" xfId="14315" xr:uid="{00000000-0005-0000-0000-000096340000}"/>
    <cellStyle name="Normal 3 4 2 3 14" xfId="14316" xr:uid="{00000000-0005-0000-0000-000097340000}"/>
    <cellStyle name="Normal 3 4 2 3 15" xfId="14317" xr:uid="{00000000-0005-0000-0000-000098340000}"/>
    <cellStyle name="Normal 3 4 2 3 2" xfId="14318" xr:uid="{00000000-0005-0000-0000-000099340000}"/>
    <cellStyle name="Normal 3 4 2 3 3" xfId="14319" xr:uid="{00000000-0005-0000-0000-00009A340000}"/>
    <cellStyle name="Normal 3 4 2 3 4" xfId="14320" xr:uid="{00000000-0005-0000-0000-00009B340000}"/>
    <cellStyle name="Normal 3 4 2 3 5" xfId="14321" xr:uid="{00000000-0005-0000-0000-00009C340000}"/>
    <cellStyle name="Normal 3 4 2 3 6" xfId="14322" xr:uid="{00000000-0005-0000-0000-00009D340000}"/>
    <cellStyle name="Normal 3 4 2 3 7" xfId="14323" xr:uid="{00000000-0005-0000-0000-00009E340000}"/>
    <cellStyle name="Normal 3 4 2 3 8" xfId="14324" xr:uid="{00000000-0005-0000-0000-00009F340000}"/>
    <cellStyle name="Normal 3 4 2 3 9" xfId="14325" xr:uid="{00000000-0005-0000-0000-0000A0340000}"/>
    <cellStyle name="Normal 3 4 2 4" xfId="14326" xr:uid="{00000000-0005-0000-0000-0000A1340000}"/>
    <cellStyle name="Normal 3 4 2 4 10" xfId="14327" xr:uid="{00000000-0005-0000-0000-0000A2340000}"/>
    <cellStyle name="Normal 3 4 2 4 11" xfId="14328" xr:uid="{00000000-0005-0000-0000-0000A3340000}"/>
    <cellStyle name="Normal 3 4 2 4 12" xfId="14329" xr:uid="{00000000-0005-0000-0000-0000A4340000}"/>
    <cellStyle name="Normal 3 4 2 4 13" xfId="14330" xr:uid="{00000000-0005-0000-0000-0000A5340000}"/>
    <cellStyle name="Normal 3 4 2 4 14" xfId="14331" xr:uid="{00000000-0005-0000-0000-0000A6340000}"/>
    <cellStyle name="Normal 3 4 2 4 15" xfId="14332" xr:uid="{00000000-0005-0000-0000-0000A7340000}"/>
    <cellStyle name="Normal 3 4 2 4 2" xfId="14333" xr:uid="{00000000-0005-0000-0000-0000A8340000}"/>
    <cellStyle name="Normal 3 4 2 4 3" xfId="14334" xr:uid="{00000000-0005-0000-0000-0000A9340000}"/>
    <cellStyle name="Normal 3 4 2 4 4" xfId="14335" xr:uid="{00000000-0005-0000-0000-0000AA340000}"/>
    <cellStyle name="Normal 3 4 2 4 5" xfId="14336" xr:uid="{00000000-0005-0000-0000-0000AB340000}"/>
    <cellStyle name="Normal 3 4 2 4 6" xfId="14337" xr:uid="{00000000-0005-0000-0000-0000AC340000}"/>
    <cellStyle name="Normal 3 4 2 4 7" xfId="14338" xr:uid="{00000000-0005-0000-0000-0000AD340000}"/>
    <cellStyle name="Normal 3 4 2 4 8" xfId="14339" xr:uid="{00000000-0005-0000-0000-0000AE340000}"/>
    <cellStyle name="Normal 3 4 2 4 9" xfId="14340" xr:uid="{00000000-0005-0000-0000-0000AF340000}"/>
    <cellStyle name="Normal 3 4 2 5" xfId="14341" xr:uid="{00000000-0005-0000-0000-0000B0340000}"/>
    <cellStyle name="Normal 3 4 2 6" xfId="14342" xr:uid="{00000000-0005-0000-0000-0000B1340000}"/>
    <cellStyle name="Normal 3 4 2 7" xfId="14343" xr:uid="{00000000-0005-0000-0000-0000B2340000}"/>
    <cellStyle name="Normal 3 4 2 8" xfId="14344" xr:uid="{00000000-0005-0000-0000-0000B3340000}"/>
    <cellStyle name="Normal 3 4 2 9" xfId="14345" xr:uid="{00000000-0005-0000-0000-0000B4340000}"/>
    <cellStyle name="Normal 3 4 20" xfId="14346" xr:uid="{00000000-0005-0000-0000-0000B5340000}"/>
    <cellStyle name="Normal 3 4 21" xfId="14347" xr:uid="{00000000-0005-0000-0000-0000B6340000}"/>
    <cellStyle name="Normal 3 4 22" xfId="14348" xr:uid="{00000000-0005-0000-0000-0000B7340000}"/>
    <cellStyle name="Normal 3 4 23" xfId="14349" xr:uid="{00000000-0005-0000-0000-0000B8340000}"/>
    <cellStyle name="Normal 3 4 24" xfId="14350" xr:uid="{00000000-0005-0000-0000-0000B9340000}"/>
    <cellStyle name="Normal 3 4 25" xfId="14351" xr:uid="{00000000-0005-0000-0000-0000BA340000}"/>
    <cellStyle name="Normal 3 4 3" xfId="14352" xr:uid="{00000000-0005-0000-0000-0000BB340000}"/>
    <cellStyle name="Normal 3 4 3 10" xfId="14353" xr:uid="{00000000-0005-0000-0000-0000BC340000}"/>
    <cellStyle name="Normal 3 4 3 11" xfId="14354" xr:uid="{00000000-0005-0000-0000-0000BD340000}"/>
    <cellStyle name="Normal 3 4 3 12" xfId="14355" xr:uid="{00000000-0005-0000-0000-0000BE340000}"/>
    <cellStyle name="Normal 3 4 3 13" xfId="14356" xr:uid="{00000000-0005-0000-0000-0000BF340000}"/>
    <cellStyle name="Normal 3 4 3 14" xfId="14357" xr:uid="{00000000-0005-0000-0000-0000C0340000}"/>
    <cellStyle name="Normal 3 4 3 15" xfId="14358" xr:uid="{00000000-0005-0000-0000-0000C1340000}"/>
    <cellStyle name="Normal 3 4 3 16" xfId="14359" xr:uid="{00000000-0005-0000-0000-0000C2340000}"/>
    <cellStyle name="Normal 3 4 3 17" xfId="14360" xr:uid="{00000000-0005-0000-0000-0000C3340000}"/>
    <cellStyle name="Normal 3 4 3 18" xfId="14361" xr:uid="{00000000-0005-0000-0000-0000C4340000}"/>
    <cellStyle name="Normal 3 4 3 19" xfId="14362" xr:uid="{00000000-0005-0000-0000-0000C5340000}"/>
    <cellStyle name="Normal 3 4 3 2" xfId="14363" xr:uid="{00000000-0005-0000-0000-0000C6340000}"/>
    <cellStyle name="Normal 3 4 3 2 10" xfId="14364" xr:uid="{00000000-0005-0000-0000-0000C7340000}"/>
    <cellStyle name="Normal 3 4 3 2 11" xfId="14365" xr:uid="{00000000-0005-0000-0000-0000C8340000}"/>
    <cellStyle name="Normal 3 4 3 2 12" xfId="14366" xr:uid="{00000000-0005-0000-0000-0000C9340000}"/>
    <cellStyle name="Normal 3 4 3 2 13" xfId="14367" xr:uid="{00000000-0005-0000-0000-0000CA340000}"/>
    <cellStyle name="Normal 3 4 3 2 14" xfId="14368" xr:uid="{00000000-0005-0000-0000-0000CB340000}"/>
    <cellStyle name="Normal 3 4 3 2 15" xfId="14369" xr:uid="{00000000-0005-0000-0000-0000CC340000}"/>
    <cellStyle name="Normal 3 4 3 2 2" xfId="14370" xr:uid="{00000000-0005-0000-0000-0000CD340000}"/>
    <cellStyle name="Normal 3 4 3 2 3" xfId="14371" xr:uid="{00000000-0005-0000-0000-0000CE340000}"/>
    <cellStyle name="Normal 3 4 3 2 4" xfId="14372" xr:uid="{00000000-0005-0000-0000-0000CF340000}"/>
    <cellStyle name="Normal 3 4 3 2 5" xfId="14373" xr:uid="{00000000-0005-0000-0000-0000D0340000}"/>
    <cellStyle name="Normal 3 4 3 2 6" xfId="14374" xr:uid="{00000000-0005-0000-0000-0000D1340000}"/>
    <cellStyle name="Normal 3 4 3 2 7" xfId="14375" xr:uid="{00000000-0005-0000-0000-0000D2340000}"/>
    <cellStyle name="Normal 3 4 3 2 8" xfId="14376" xr:uid="{00000000-0005-0000-0000-0000D3340000}"/>
    <cellStyle name="Normal 3 4 3 2 9" xfId="14377" xr:uid="{00000000-0005-0000-0000-0000D4340000}"/>
    <cellStyle name="Normal 3 4 3 3" xfId="14378" xr:uid="{00000000-0005-0000-0000-0000D5340000}"/>
    <cellStyle name="Normal 3 4 3 3 10" xfId="14379" xr:uid="{00000000-0005-0000-0000-0000D6340000}"/>
    <cellStyle name="Normal 3 4 3 3 11" xfId="14380" xr:uid="{00000000-0005-0000-0000-0000D7340000}"/>
    <cellStyle name="Normal 3 4 3 3 12" xfId="14381" xr:uid="{00000000-0005-0000-0000-0000D8340000}"/>
    <cellStyle name="Normal 3 4 3 3 13" xfId="14382" xr:uid="{00000000-0005-0000-0000-0000D9340000}"/>
    <cellStyle name="Normal 3 4 3 3 14" xfId="14383" xr:uid="{00000000-0005-0000-0000-0000DA340000}"/>
    <cellStyle name="Normal 3 4 3 3 15" xfId="14384" xr:uid="{00000000-0005-0000-0000-0000DB340000}"/>
    <cellStyle name="Normal 3 4 3 3 2" xfId="14385" xr:uid="{00000000-0005-0000-0000-0000DC340000}"/>
    <cellStyle name="Normal 3 4 3 3 3" xfId="14386" xr:uid="{00000000-0005-0000-0000-0000DD340000}"/>
    <cellStyle name="Normal 3 4 3 3 4" xfId="14387" xr:uid="{00000000-0005-0000-0000-0000DE340000}"/>
    <cellStyle name="Normal 3 4 3 3 5" xfId="14388" xr:uid="{00000000-0005-0000-0000-0000DF340000}"/>
    <cellStyle name="Normal 3 4 3 3 6" xfId="14389" xr:uid="{00000000-0005-0000-0000-0000E0340000}"/>
    <cellStyle name="Normal 3 4 3 3 7" xfId="14390" xr:uid="{00000000-0005-0000-0000-0000E1340000}"/>
    <cellStyle name="Normal 3 4 3 3 8" xfId="14391" xr:uid="{00000000-0005-0000-0000-0000E2340000}"/>
    <cellStyle name="Normal 3 4 3 3 9" xfId="14392" xr:uid="{00000000-0005-0000-0000-0000E3340000}"/>
    <cellStyle name="Normal 3 4 3 4" xfId="14393" xr:uid="{00000000-0005-0000-0000-0000E4340000}"/>
    <cellStyle name="Normal 3 4 3 4 10" xfId="14394" xr:uid="{00000000-0005-0000-0000-0000E5340000}"/>
    <cellStyle name="Normal 3 4 3 4 11" xfId="14395" xr:uid="{00000000-0005-0000-0000-0000E6340000}"/>
    <cellStyle name="Normal 3 4 3 4 12" xfId="14396" xr:uid="{00000000-0005-0000-0000-0000E7340000}"/>
    <cellStyle name="Normal 3 4 3 4 13" xfId="14397" xr:uid="{00000000-0005-0000-0000-0000E8340000}"/>
    <cellStyle name="Normal 3 4 3 4 14" xfId="14398" xr:uid="{00000000-0005-0000-0000-0000E9340000}"/>
    <cellStyle name="Normal 3 4 3 4 15" xfId="14399" xr:uid="{00000000-0005-0000-0000-0000EA340000}"/>
    <cellStyle name="Normal 3 4 3 4 2" xfId="14400" xr:uid="{00000000-0005-0000-0000-0000EB340000}"/>
    <cellStyle name="Normal 3 4 3 4 3" xfId="14401" xr:uid="{00000000-0005-0000-0000-0000EC340000}"/>
    <cellStyle name="Normal 3 4 3 4 4" xfId="14402" xr:uid="{00000000-0005-0000-0000-0000ED340000}"/>
    <cellStyle name="Normal 3 4 3 4 5" xfId="14403" xr:uid="{00000000-0005-0000-0000-0000EE340000}"/>
    <cellStyle name="Normal 3 4 3 4 6" xfId="14404" xr:uid="{00000000-0005-0000-0000-0000EF340000}"/>
    <cellStyle name="Normal 3 4 3 4 7" xfId="14405" xr:uid="{00000000-0005-0000-0000-0000F0340000}"/>
    <cellStyle name="Normal 3 4 3 4 8" xfId="14406" xr:uid="{00000000-0005-0000-0000-0000F1340000}"/>
    <cellStyle name="Normal 3 4 3 4 9" xfId="14407" xr:uid="{00000000-0005-0000-0000-0000F2340000}"/>
    <cellStyle name="Normal 3 4 3 5" xfId="14408" xr:uid="{00000000-0005-0000-0000-0000F3340000}"/>
    <cellStyle name="Normal 3 4 3 5 10" xfId="14409" xr:uid="{00000000-0005-0000-0000-0000F4340000}"/>
    <cellStyle name="Normal 3 4 3 5 11" xfId="14410" xr:uid="{00000000-0005-0000-0000-0000F5340000}"/>
    <cellStyle name="Normal 3 4 3 5 12" xfId="14411" xr:uid="{00000000-0005-0000-0000-0000F6340000}"/>
    <cellStyle name="Normal 3 4 3 5 13" xfId="14412" xr:uid="{00000000-0005-0000-0000-0000F7340000}"/>
    <cellStyle name="Normal 3 4 3 5 14" xfId="14413" xr:uid="{00000000-0005-0000-0000-0000F8340000}"/>
    <cellStyle name="Normal 3 4 3 5 15" xfId="14414" xr:uid="{00000000-0005-0000-0000-0000F9340000}"/>
    <cellStyle name="Normal 3 4 3 5 2" xfId="14415" xr:uid="{00000000-0005-0000-0000-0000FA340000}"/>
    <cellStyle name="Normal 3 4 3 5 3" xfId="14416" xr:uid="{00000000-0005-0000-0000-0000FB340000}"/>
    <cellStyle name="Normal 3 4 3 5 4" xfId="14417" xr:uid="{00000000-0005-0000-0000-0000FC340000}"/>
    <cellStyle name="Normal 3 4 3 5 5" xfId="14418" xr:uid="{00000000-0005-0000-0000-0000FD340000}"/>
    <cellStyle name="Normal 3 4 3 5 6" xfId="14419" xr:uid="{00000000-0005-0000-0000-0000FE340000}"/>
    <cellStyle name="Normal 3 4 3 5 7" xfId="14420" xr:uid="{00000000-0005-0000-0000-0000FF340000}"/>
    <cellStyle name="Normal 3 4 3 5 8" xfId="14421" xr:uid="{00000000-0005-0000-0000-000000350000}"/>
    <cellStyle name="Normal 3 4 3 5 9" xfId="14422" xr:uid="{00000000-0005-0000-0000-000001350000}"/>
    <cellStyle name="Normal 3 4 3 6" xfId="14423" xr:uid="{00000000-0005-0000-0000-000002350000}"/>
    <cellStyle name="Normal 3 4 3 7" xfId="14424" xr:uid="{00000000-0005-0000-0000-000003350000}"/>
    <cellStyle name="Normal 3 4 3 8" xfId="14425" xr:uid="{00000000-0005-0000-0000-000004350000}"/>
    <cellStyle name="Normal 3 4 3 9" xfId="14426" xr:uid="{00000000-0005-0000-0000-000005350000}"/>
    <cellStyle name="Normal 3 4 4" xfId="14427" xr:uid="{00000000-0005-0000-0000-000006350000}"/>
    <cellStyle name="Normal 3 4 4 10" xfId="14428" xr:uid="{00000000-0005-0000-0000-000007350000}"/>
    <cellStyle name="Normal 3 4 4 11" xfId="14429" xr:uid="{00000000-0005-0000-0000-000008350000}"/>
    <cellStyle name="Normal 3 4 4 12" xfId="14430" xr:uid="{00000000-0005-0000-0000-000009350000}"/>
    <cellStyle name="Normal 3 4 4 13" xfId="14431" xr:uid="{00000000-0005-0000-0000-00000A350000}"/>
    <cellStyle name="Normal 3 4 4 14" xfId="14432" xr:uid="{00000000-0005-0000-0000-00000B350000}"/>
    <cellStyle name="Normal 3 4 4 15" xfId="14433" xr:uid="{00000000-0005-0000-0000-00000C350000}"/>
    <cellStyle name="Normal 3 4 4 16" xfId="14434" xr:uid="{00000000-0005-0000-0000-00000D350000}"/>
    <cellStyle name="Normal 3 4 4 17" xfId="14435" xr:uid="{00000000-0005-0000-0000-00000E350000}"/>
    <cellStyle name="Normal 3 4 4 18" xfId="14436" xr:uid="{00000000-0005-0000-0000-00000F350000}"/>
    <cellStyle name="Normal 3 4 4 19" xfId="14437" xr:uid="{00000000-0005-0000-0000-000010350000}"/>
    <cellStyle name="Normal 3 4 4 2" xfId="14438" xr:uid="{00000000-0005-0000-0000-000011350000}"/>
    <cellStyle name="Normal 3 4 4 2 10" xfId="14439" xr:uid="{00000000-0005-0000-0000-000012350000}"/>
    <cellStyle name="Normal 3 4 4 2 11" xfId="14440" xr:uid="{00000000-0005-0000-0000-000013350000}"/>
    <cellStyle name="Normal 3 4 4 2 12" xfId="14441" xr:uid="{00000000-0005-0000-0000-000014350000}"/>
    <cellStyle name="Normal 3 4 4 2 13" xfId="14442" xr:uid="{00000000-0005-0000-0000-000015350000}"/>
    <cellStyle name="Normal 3 4 4 2 14" xfId="14443" xr:uid="{00000000-0005-0000-0000-000016350000}"/>
    <cellStyle name="Normal 3 4 4 2 15" xfId="14444" xr:uid="{00000000-0005-0000-0000-000017350000}"/>
    <cellStyle name="Normal 3 4 4 2 2" xfId="14445" xr:uid="{00000000-0005-0000-0000-000018350000}"/>
    <cellStyle name="Normal 3 4 4 2 3" xfId="14446" xr:uid="{00000000-0005-0000-0000-000019350000}"/>
    <cellStyle name="Normal 3 4 4 2 4" xfId="14447" xr:uid="{00000000-0005-0000-0000-00001A350000}"/>
    <cellStyle name="Normal 3 4 4 2 5" xfId="14448" xr:uid="{00000000-0005-0000-0000-00001B350000}"/>
    <cellStyle name="Normal 3 4 4 2 6" xfId="14449" xr:uid="{00000000-0005-0000-0000-00001C350000}"/>
    <cellStyle name="Normal 3 4 4 2 7" xfId="14450" xr:uid="{00000000-0005-0000-0000-00001D350000}"/>
    <cellStyle name="Normal 3 4 4 2 8" xfId="14451" xr:uid="{00000000-0005-0000-0000-00001E350000}"/>
    <cellStyle name="Normal 3 4 4 2 9" xfId="14452" xr:uid="{00000000-0005-0000-0000-00001F350000}"/>
    <cellStyle name="Normal 3 4 4 3" xfId="14453" xr:uid="{00000000-0005-0000-0000-000020350000}"/>
    <cellStyle name="Normal 3 4 4 3 10" xfId="14454" xr:uid="{00000000-0005-0000-0000-000021350000}"/>
    <cellStyle name="Normal 3 4 4 3 11" xfId="14455" xr:uid="{00000000-0005-0000-0000-000022350000}"/>
    <cellStyle name="Normal 3 4 4 3 12" xfId="14456" xr:uid="{00000000-0005-0000-0000-000023350000}"/>
    <cellStyle name="Normal 3 4 4 3 13" xfId="14457" xr:uid="{00000000-0005-0000-0000-000024350000}"/>
    <cellStyle name="Normal 3 4 4 3 14" xfId="14458" xr:uid="{00000000-0005-0000-0000-000025350000}"/>
    <cellStyle name="Normal 3 4 4 3 15" xfId="14459" xr:uid="{00000000-0005-0000-0000-000026350000}"/>
    <cellStyle name="Normal 3 4 4 3 2" xfId="14460" xr:uid="{00000000-0005-0000-0000-000027350000}"/>
    <cellStyle name="Normal 3 4 4 3 3" xfId="14461" xr:uid="{00000000-0005-0000-0000-000028350000}"/>
    <cellStyle name="Normal 3 4 4 3 4" xfId="14462" xr:uid="{00000000-0005-0000-0000-000029350000}"/>
    <cellStyle name="Normal 3 4 4 3 5" xfId="14463" xr:uid="{00000000-0005-0000-0000-00002A350000}"/>
    <cellStyle name="Normal 3 4 4 3 6" xfId="14464" xr:uid="{00000000-0005-0000-0000-00002B350000}"/>
    <cellStyle name="Normal 3 4 4 3 7" xfId="14465" xr:uid="{00000000-0005-0000-0000-00002C350000}"/>
    <cellStyle name="Normal 3 4 4 3 8" xfId="14466" xr:uid="{00000000-0005-0000-0000-00002D350000}"/>
    <cellStyle name="Normal 3 4 4 3 9" xfId="14467" xr:uid="{00000000-0005-0000-0000-00002E350000}"/>
    <cellStyle name="Normal 3 4 4 4" xfId="14468" xr:uid="{00000000-0005-0000-0000-00002F350000}"/>
    <cellStyle name="Normal 3 4 4 4 10" xfId="14469" xr:uid="{00000000-0005-0000-0000-000030350000}"/>
    <cellStyle name="Normal 3 4 4 4 11" xfId="14470" xr:uid="{00000000-0005-0000-0000-000031350000}"/>
    <cellStyle name="Normal 3 4 4 4 12" xfId="14471" xr:uid="{00000000-0005-0000-0000-000032350000}"/>
    <cellStyle name="Normal 3 4 4 4 13" xfId="14472" xr:uid="{00000000-0005-0000-0000-000033350000}"/>
    <cellStyle name="Normal 3 4 4 4 14" xfId="14473" xr:uid="{00000000-0005-0000-0000-000034350000}"/>
    <cellStyle name="Normal 3 4 4 4 15" xfId="14474" xr:uid="{00000000-0005-0000-0000-000035350000}"/>
    <cellStyle name="Normal 3 4 4 4 2" xfId="14475" xr:uid="{00000000-0005-0000-0000-000036350000}"/>
    <cellStyle name="Normal 3 4 4 4 3" xfId="14476" xr:uid="{00000000-0005-0000-0000-000037350000}"/>
    <cellStyle name="Normal 3 4 4 4 4" xfId="14477" xr:uid="{00000000-0005-0000-0000-000038350000}"/>
    <cellStyle name="Normal 3 4 4 4 5" xfId="14478" xr:uid="{00000000-0005-0000-0000-000039350000}"/>
    <cellStyle name="Normal 3 4 4 4 6" xfId="14479" xr:uid="{00000000-0005-0000-0000-00003A350000}"/>
    <cellStyle name="Normal 3 4 4 4 7" xfId="14480" xr:uid="{00000000-0005-0000-0000-00003B350000}"/>
    <cellStyle name="Normal 3 4 4 4 8" xfId="14481" xr:uid="{00000000-0005-0000-0000-00003C350000}"/>
    <cellStyle name="Normal 3 4 4 4 9" xfId="14482" xr:uid="{00000000-0005-0000-0000-00003D350000}"/>
    <cellStyle name="Normal 3 4 4 5" xfId="14483" xr:uid="{00000000-0005-0000-0000-00003E350000}"/>
    <cellStyle name="Normal 3 4 4 5 10" xfId="14484" xr:uid="{00000000-0005-0000-0000-00003F350000}"/>
    <cellStyle name="Normal 3 4 4 5 11" xfId="14485" xr:uid="{00000000-0005-0000-0000-000040350000}"/>
    <cellStyle name="Normal 3 4 4 5 12" xfId="14486" xr:uid="{00000000-0005-0000-0000-000041350000}"/>
    <cellStyle name="Normal 3 4 4 5 13" xfId="14487" xr:uid="{00000000-0005-0000-0000-000042350000}"/>
    <cellStyle name="Normal 3 4 4 5 14" xfId="14488" xr:uid="{00000000-0005-0000-0000-000043350000}"/>
    <cellStyle name="Normal 3 4 4 5 15" xfId="14489" xr:uid="{00000000-0005-0000-0000-000044350000}"/>
    <cellStyle name="Normal 3 4 4 5 2" xfId="14490" xr:uid="{00000000-0005-0000-0000-000045350000}"/>
    <cellStyle name="Normal 3 4 4 5 3" xfId="14491" xr:uid="{00000000-0005-0000-0000-000046350000}"/>
    <cellStyle name="Normal 3 4 4 5 4" xfId="14492" xr:uid="{00000000-0005-0000-0000-000047350000}"/>
    <cellStyle name="Normal 3 4 4 5 5" xfId="14493" xr:uid="{00000000-0005-0000-0000-000048350000}"/>
    <cellStyle name="Normal 3 4 4 5 6" xfId="14494" xr:uid="{00000000-0005-0000-0000-000049350000}"/>
    <cellStyle name="Normal 3 4 4 5 7" xfId="14495" xr:uid="{00000000-0005-0000-0000-00004A350000}"/>
    <cellStyle name="Normal 3 4 4 5 8" xfId="14496" xr:uid="{00000000-0005-0000-0000-00004B350000}"/>
    <cellStyle name="Normal 3 4 4 5 9" xfId="14497" xr:uid="{00000000-0005-0000-0000-00004C350000}"/>
    <cellStyle name="Normal 3 4 4 6" xfId="14498" xr:uid="{00000000-0005-0000-0000-00004D350000}"/>
    <cellStyle name="Normal 3 4 4 7" xfId="14499" xr:uid="{00000000-0005-0000-0000-00004E350000}"/>
    <cellStyle name="Normal 3 4 4 8" xfId="14500" xr:uid="{00000000-0005-0000-0000-00004F350000}"/>
    <cellStyle name="Normal 3 4 4 9" xfId="14501" xr:uid="{00000000-0005-0000-0000-000050350000}"/>
    <cellStyle name="Normal 3 4 5" xfId="14502" xr:uid="{00000000-0005-0000-0000-000051350000}"/>
    <cellStyle name="Normal 3 4 5 10" xfId="14503" xr:uid="{00000000-0005-0000-0000-000052350000}"/>
    <cellStyle name="Normal 3 4 5 11" xfId="14504" xr:uid="{00000000-0005-0000-0000-000053350000}"/>
    <cellStyle name="Normal 3 4 5 12" xfId="14505" xr:uid="{00000000-0005-0000-0000-000054350000}"/>
    <cellStyle name="Normal 3 4 5 13" xfId="14506" xr:uid="{00000000-0005-0000-0000-000055350000}"/>
    <cellStyle name="Normal 3 4 5 14" xfId="14507" xr:uid="{00000000-0005-0000-0000-000056350000}"/>
    <cellStyle name="Normal 3 4 5 15" xfId="14508" xr:uid="{00000000-0005-0000-0000-000057350000}"/>
    <cellStyle name="Normal 3 4 5 16" xfId="14509" xr:uid="{00000000-0005-0000-0000-000058350000}"/>
    <cellStyle name="Normal 3 4 5 17" xfId="14510" xr:uid="{00000000-0005-0000-0000-000059350000}"/>
    <cellStyle name="Normal 3 4 5 18" xfId="14511" xr:uid="{00000000-0005-0000-0000-00005A350000}"/>
    <cellStyle name="Normal 3 4 5 19" xfId="14512" xr:uid="{00000000-0005-0000-0000-00005B350000}"/>
    <cellStyle name="Normal 3 4 5 2" xfId="14513" xr:uid="{00000000-0005-0000-0000-00005C350000}"/>
    <cellStyle name="Normal 3 4 5 2 10" xfId="14514" xr:uid="{00000000-0005-0000-0000-00005D350000}"/>
    <cellStyle name="Normal 3 4 5 2 11" xfId="14515" xr:uid="{00000000-0005-0000-0000-00005E350000}"/>
    <cellStyle name="Normal 3 4 5 2 12" xfId="14516" xr:uid="{00000000-0005-0000-0000-00005F350000}"/>
    <cellStyle name="Normal 3 4 5 2 13" xfId="14517" xr:uid="{00000000-0005-0000-0000-000060350000}"/>
    <cellStyle name="Normal 3 4 5 2 14" xfId="14518" xr:uid="{00000000-0005-0000-0000-000061350000}"/>
    <cellStyle name="Normal 3 4 5 2 15" xfId="14519" xr:uid="{00000000-0005-0000-0000-000062350000}"/>
    <cellStyle name="Normal 3 4 5 2 2" xfId="14520" xr:uid="{00000000-0005-0000-0000-000063350000}"/>
    <cellStyle name="Normal 3 4 5 2 3" xfId="14521" xr:uid="{00000000-0005-0000-0000-000064350000}"/>
    <cellStyle name="Normal 3 4 5 2 4" xfId="14522" xr:uid="{00000000-0005-0000-0000-000065350000}"/>
    <cellStyle name="Normal 3 4 5 2 5" xfId="14523" xr:uid="{00000000-0005-0000-0000-000066350000}"/>
    <cellStyle name="Normal 3 4 5 2 6" xfId="14524" xr:uid="{00000000-0005-0000-0000-000067350000}"/>
    <cellStyle name="Normal 3 4 5 2 7" xfId="14525" xr:uid="{00000000-0005-0000-0000-000068350000}"/>
    <cellStyle name="Normal 3 4 5 2 8" xfId="14526" xr:uid="{00000000-0005-0000-0000-000069350000}"/>
    <cellStyle name="Normal 3 4 5 2 9" xfId="14527" xr:uid="{00000000-0005-0000-0000-00006A350000}"/>
    <cellStyle name="Normal 3 4 5 3" xfId="14528" xr:uid="{00000000-0005-0000-0000-00006B350000}"/>
    <cellStyle name="Normal 3 4 5 3 10" xfId="14529" xr:uid="{00000000-0005-0000-0000-00006C350000}"/>
    <cellStyle name="Normal 3 4 5 3 11" xfId="14530" xr:uid="{00000000-0005-0000-0000-00006D350000}"/>
    <cellStyle name="Normal 3 4 5 3 12" xfId="14531" xr:uid="{00000000-0005-0000-0000-00006E350000}"/>
    <cellStyle name="Normal 3 4 5 3 13" xfId="14532" xr:uid="{00000000-0005-0000-0000-00006F350000}"/>
    <cellStyle name="Normal 3 4 5 3 14" xfId="14533" xr:uid="{00000000-0005-0000-0000-000070350000}"/>
    <cellStyle name="Normal 3 4 5 3 15" xfId="14534" xr:uid="{00000000-0005-0000-0000-000071350000}"/>
    <cellStyle name="Normal 3 4 5 3 2" xfId="14535" xr:uid="{00000000-0005-0000-0000-000072350000}"/>
    <cellStyle name="Normal 3 4 5 3 3" xfId="14536" xr:uid="{00000000-0005-0000-0000-000073350000}"/>
    <cellStyle name="Normal 3 4 5 3 4" xfId="14537" xr:uid="{00000000-0005-0000-0000-000074350000}"/>
    <cellStyle name="Normal 3 4 5 3 5" xfId="14538" xr:uid="{00000000-0005-0000-0000-000075350000}"/>
    <cellStyle name="Normal 3 4 5 3 6" xfId="14539" xr:uid="{00000000-0005-0000-0000-000076350000}"/>
    <cellStyle name="Normal 3 4 5 3 7" xfId="14540" xr:uid="{00000000-0005-0000-0000-000077350000}"/>
    <cellStyle name="Normal 3 4 5 3 8" xfId="14541" xr:uid="{00000000-0005-0000-0000-000078350000}"/>
    <cellStyle name="Normal 3 4 5 3 9" xfId="14542" xr:uid="{00000000-0005-0000-0000-000079350000}"/>
    <cellStyle name="Normal 3 4 5 4" xfId="14543" xr:uid="{00000000-0005-0000-0000-00007A350000}"/>
    <cellStyle name="Normal 3 4 5 4 10" xfId="14544" xr:uid="{00000000-0005-0000-0000-00007B350000}"/>
    <cellStyle name="Normal 3 4 5 4 11" xfId="14545" xr:uid="{00000000-0005-0000-0000-00007C350000}"/>
    <cellStyle name="Normal 3 4 5 4 12" xfId="14546" xr:uid="{00000000-0005-0000-0000-00007D350000}"/>
    <cellStyle name="Normal 3 4 5 4 13" xfId="14547" xr:uid="{00000000-0005-0000-0000-00007E350000}"/>
    <cellStyle name="Normal 3 4 5 4 14" xfId="14548" xr:uid="{00000000-0005-0000-0000-00007F350000}"/>
    <cellStyle name="Normal 3 4 5 4 15" xfId="14549" xr:uid="{00000000-0005-0000-0000-000080350000}"/>
    <cellStyle name="Normal 3 4 5 4 2" xfId="14550" xr:uid="{00000000-0005-0000-0000-000081350000}"/>
    <cellStyle name="Normal 3 4 5 4 3" xfId="14551" xr:uid="{00000000-0005-0000-0000-000082350000}"/>
    <cellStyle name="Normal 3 4 5 4 4" xfId="14552" xr:uid="{00000000-0005-0000-0000-000083350000}"/>
    <cellStyle name="Normal 3 4 5 4 5" xfId="14553" xr:uid="{00000000-0005-0000-0000-000084350000}"/>
    <cellStyle name="Normal 3 4 5 4 6" xfId="14554" xr:uid="{00000000-0005-0000-0000-000085350000}"/>
    <cellStyle name="Normal 3 4 5 4 7" xfId="14555" xr:uid="{00000000-0005-0000-0000-000086350000}"/>
    <cellStyle name="Normal 3 4 5 4 8" xfId="14556" xr:uid="{00000000-0005-0000-0000-000087350000}"/>
    <cellStyle name="Normal 3 4 5 4 9" xfId="14557" xr:uid="{00000000-0005-0000-0000-000088350000}"/>
    <cellStyle name="Normal 3 4 5 5" xfId="14558" xr:uid="{00000000-0005-0000-0000-000089350000}"/>
    <cellStyle name="Normal 3 4 5 5 10" xfId="14559" xr:uid="{00000000-0005-0000-0000-00008A350000}"/>
    <cellStyle name="Normal 3 4 5 5 11" xfId="14560" xr:uid="{00000000-0005-0000-0000-00008B350000}"/>
    <cellStyle name="Normal 3 4 5 5 12" xfId="14561" xr:uid="{00000000-0005-0000-0000-00008C350000}"/>
    <cellStyle name="Normal 3 4 5 5 13" xfId="14562" xr:uid="{00000000-0005-0000-0000-00008D350000}"/>
    <cellStyle name="Normal 3 4 5 5 14" xfId="14563" xr:uid="{00000000-0005-0000-0000-00008E350000}"/>
    <cellStyle name="Normal 3 4 5 5 15" xfId="14564" xr:uid="{00000000-0005-0000-0000-00008F350000}"/>
    <cellStyle name="Normal 3 4 5 5 2" xfId="14565" xr:uid="{00000000-0005-0000-0000-000090350000}"/>
    <cellStyle name="Normal 3 4 5 5 3" xfId="14566" xr:uid="{00000000-0005-0000-0000-000091350000}"/>
    <cellStyle name="Normal 3 4 5 5 4" xfId="14567" xr:uid="{00000000-0005-0000-0000-000092350000}"/>
    <cellStyle name="Normal 3 4 5 5 5" xfId="14568" xr:uid="{00000000-0005-0000-0000-000093350000}"/>
    <cellStyle name="Normal 3 4 5 5 6" xfId="14569" xr:uid="{00000000-0005-0000-0000-000094350000}"/>
    <cellStyle name="Normal 3 4 5 5 7" xfId="14570" xr:uid="{00000000-0005-0000-0000-000095350000}"/>
    <cellStyle name="Normal 3 4 5 5 8" xfId="14571" xr:uid="{00000000-0005-0000-0000-000096350000}"/>
    <cellStyle name="Normal 3 4 5 5 9" xfId="14572" xr:uid="{00000000-0005-0000-0000-000097350000}"/>
    <cellStyle name="Normal 3 4 5 6" xfId="14573" xr:uid="{00000000-0005-0000-0000-000098350000}"/>
    <cellStyle name="Normal 3 4 5 7" xfId="14574" xr:uid="{00000000-0005-0000-0000-000099350000}"/>
    <cellStyle name="Normal 3 4 5 8" xfId="14575" xr:uid="{00000000-0005-0000-0000-00009A350000}"/>
    <cellStyle name="Normal 3 4 5 9" xfId="14576" xr:uid="{00000000-0005-0000-0000-00009B350000}"/>
    <cellStyle name="Normal 3 4 6" xfId="14577" xr:uid="{00000000-0005-0000-0000-00009C350000}"/>
    <cellStyle name="Normal 3 4 6 10" xfId="14578" xr:uid="{00000000-0005-0000-0000-00009D350000}"/>
    <cellStyle name="Normal 3 4 6 11" xfId="14579" xr:uid="{00000000-0005-0000-0000-00009E350000}"/>
    <cellStyle name="Normal 3 4 6 12" xfId="14580" xr:uid="{00000000-0005-0000-0000-00009F350000}"/>
    <cellStyle name="Normal 3 4 6 13" xfId="14581" xr:uid="{00000000-0005-0000-0000-0000A0350000}"/>
    <cellStyle name="Normal 3 4 6 14" xfId="14582" xr:uid="{00000000-0005-0000-0000-0000A1350000}"/>
    <cellStyle name="Normal 3 4 6 15" xfId="14583" xr:uid="{00000000-0005-0000-0000-0000A2350000}"/>
    <cellStyle name="Normal 3 4 6 2" xfId="14584" xr:uid="{00000000-0005-0000-0000-0000A3350000}"/>
    <cellStyle name="Normal 3 4 6 3" xfId="14585" xr:uid="{00000000-0005-0000-0000-0000A4350000}"/>
    <cellStyle name="Normal 3 4 6 4" xfId="14586" xr:uid="{00000000-0005-0000-0000-0000A5350000}"/>
    <cellStyle name="Normal 3 4 6 5" xfId="14587" xr:uid="{00000000-0005-0000-0000-0000A6350000}"/>
    <cellStyle name="Normal 3 4 6 6" xfId="14588" xr:uid="{00000000-0005-0000-0000-0000A7350000}"/>
    <cellStyle name="Normal 3 4 6 7" xfId="14589" xr:uid="{00000000-0005-0000-0000-0000A8350000}"/>
    <cellStyle name="Normal 3 4 6 8" xfId="14590" xr:uid="{00000000-0005-0000-0000-0000A9350000}"/>
    <cellStyle name="Normal 3 4 6 9" xfId="14591" xr:uid="{00000000-0005-0000-0000-0000AA350000}"/>
    <cellStyle name="Normal 3 4 7" xfId="14592" xr:uid="{00000000-0005-0000-0000-0000AB350000}"/>
    <cellStyle name="Normal 3 4 7 10" xfId="14593" xr:uid="{00000000-0005-0000-0000-0000AC350000}"/>
    <cellStyle name="Normal 3 4 7 11" xfId="14594" xr:uid="{00000000-0005-0000-0000-0000AD350000}"/>
    <cellStyle name="Normal 3 4 7 12" xfId="14595" xr:uid="{00000000-0005-0000-0000-0000AE350000}"/>
    <cellStyle name="Normal 3 4 7 13" xfId="14596" xr:uid="{00000000-0005-0000-0000-0000AF350000}"/>
    <cellStyle name="Normal 3 4 7 14" xfId="14597" xr:uid="{00000000-0005-0000-0000-0000B0350000}"/>
    <cellStyle name="Normal 3 4 7 15" xfId="14598" xr:uid="{00000000-0005-0000-0000-0000B1350000}"/>
    <cellStyle name="Normal 3 4 7 2" xfId="14599" xr:uid="{00000000-0005-0000-0000-0000B2350000}"/>
    <cellStyle name="Normal 3 4 7 3" xfId="14600" xr:uid="{00000000-0005-0000-0000-0000B3350000}"/>
    <cellStyle name="Normal 3 4 7 4" xfId="14601" xr:uid="{00000000-0005-0000-0000-0000B4350000}"/>
    <cellStyle name="Normal 3 4 7 5" xfId="14602" xr:uid="{00000000-0005-0000-0000-0000B5350000}"/>
    <cellStyle name="Normal 3 4 7 6" xfId="14603" xr:uid="{00000000-0005-0000-0000-0000B6350000}"/>
    <cellStyle name="Normal 3 4 7 7" xfId="14604" xr:uid="{00000000-0005-0000-0000-0000B7350000}"/>
    <cellStyle name="Normal 3 4 7 8" xfId="14605" xr:uid="{00000000-0005-0000-0000-0000B8350000}"/>
    <cellStyle name="Normal 3 4 7 9" xfId="14606" xr:uid="{00000000-0005-0000-0000-0000B9350000}"/>
    <cellStyle name="Normal 3 4 8" xfId="14607" xr:uid="{00000000-0005-0000-0000-0000BA350000}"/>
    <cellStyle name="Normal 3 4 8 10" xfId="14608" xr:uid="{00000000-0005-0000-0000-0000BB350000}"/>
    <cellStyle name="Normal 3 4 8 11" xfId="14609" xr:uid="{00000000-0005-0000-0000-0000BC350000}"/>
    <cellStyle name="Normal 3 4 8 12" xfId="14610" xr:uid="{00000000-0005-0000-0000-0000BD350000}"/>
    <cellStyle name="Normal 3 4 8 13" xfId="14611" xr:uid="{00000000-0005-0000-0000-0000BE350000}"/>
    <cellStyle name="Normal 3 4 8 14" xfId="14612" xr:uid="{00000000-0005-0000-0000-0000BF350000}"/>
    <cellStyle name="Normal 3 4 8 15" xfId="14613" xr:uid="{00000000-0005-0000-0000-0000C0350000}"/>
    <cellStyle name="Normal 3 4 8 2" xfId="14614" xr:uid="{00000000-0005-0000-0000-0000C1350000}"/>
    <cellStyle name="Normal 3 4 8 3" xfId="14615" xr:uid="{00000000-0005-0000-0000-0000C2350000}"/>
    <cellStyle name="Normal 3 4 8 4" xfId="14616" xr:uid="{00000000-0005-0000-0000-0000C3350000}"/>
    <cellStyle name="Normal 3 4 8 5" xfId="14617" xr:uid="{00000000-0005-0000-0000-0000C4350000}"/>
    <cellStyle name="Normal 3 4 8 6" xfId="14618" xr:uid="{00000000-0005-0000-0000-0000C5350000}"/>
    <cellStyle name="Normal 3 4 8 7" xfId="14619" xr:uid="{00000000-0005-0000-0000-0000C6350000}"/>
    <cellStyle name="Normal 3 4 8 8" xfId="14620" xr:uid="{00000000-0005-0000-0000-0000C7350000}"/>
    <cellStyle name="Normal 3 4 8 9" xfId="14621" xr:uid="{00000000-0005-0000-0000-0000C8350000}"/>
    <cellStyle name="Normal 3 4 9" xfId="14622" xr:uid="{00000000-0005-0000-0000-0000C9350000}"/>
    <cellStyle name="Normal 3 4 9 2" xfId="14623" xr:uid="{00000000-0005-0000-0000-0000CA350000}"/>
    <cellStyle name="Normal 3 4 9 3" xfId="14624" xr:uid="{00000000-0005-0000-0000-0000CB350000}"/>
    <cellStyle name="Normal 3 4_CORRECTED COPY OF rA 5" xfId="14625" xr:uid="{00000000-0005-0000-0000-0000CC350000}"/>
    <cellStyle name="Normal 3 40" xfId="14626" xr:uid="{00000000-0005-0000-0000-0000CD350000}"/>
    <cellStyle name="Normal 3 41" xfId="14627" xr:uid="{00000000-0005-0000-0000-0000CE350000}"/>
    <cellStyle name="Normal 3 42" xfId="14628" xr:uid="{00000000-0005-0000-0000-0000CF350000}"/>
    <cellStyle name="Normal 3 43" xfId="37244" xr:uid="{00000000-0005-0000-0000-0000D0350000}"/>
    <cellStyle name="Normal 3 44" xfId="37258" xr:uid="{00000000-0005-0000-0000-0000D1350000}"/>
    <cellStyle name="Normal 3 45" xfId="37263" xr:uid="{00000000-0005-0000-0000-0000D2350000}"/>
    <cellStyle name="Normal 3 46" xfId="37268" xr:uid="{78D1247D-2A8B-4A7B-BD6F-DED4BA6737F2}"/>
    <cellStyle name="Normal 3 5" xfId="812" xr:uid="{00000000-0005-0000-0000-00003D030000}"/>
    <cellStyle name="Normal 3 5 10" xfId="14630" xr:uid="{00000000-0005-0000-0000-0000D4350000}"/>
    <cellStyle name="Normal 3 5 10 10" xfId="14631" xr:uid="{00000000-0005-0000-0000-0000D5350000}"/>
    <cellStyle name="Normal 3 5 10 11" xfId="14632" xr:uid="{00000000-0005-0000-0000-0000D6350000}"/>
    <cellStyle name="Normal 3 5 10 12" xfId="14633" xr:uid="{00000000-0005-0000-0000-0000D7350000}"/>
    <cellStyle name="Normal 3 5 10 13" xfId="14634" xr:uid="{00000000-0005-0000-0000-0000D8350000}"/>
    <cellStyle name="Normal 3 5 10 14" xfId="14635" xr:uid="{00000000-0005-0000-0000-0000D9350000}"/>
    <cellStyle name="Normal 3 5 10 15" xfId="14636" xr:uid="{00000000-0005-0000-0000-0000DA350000}"/>
    <cellStyle name="Normal 3 5 10 2" xfId="14637" xr:uid="{00000000-0005-0000-0000-0000DB350000}"/>
    <cellStyle name="Normal 3 5 10 3" xfId="14638" xr:uid="{00000000-0005-0000-0000-0000DC350000}"/>
    <cellStyle name="Normal 3 5 10 4" xfId="14639" xr:uid="{00000000-0005-0000-0000-0000DD350000}"/>
    <cellStyle name="Normal 3 5 10 5" xfId="14640" xr:uid="{00000000-0005-0000-0000-0000DE350000}"/>
    <cellStyle name="Normal 3 5 10 6" xfId="14641" xr:uid="{00000000-0005-0000-0000-0000DF350000}"/>
    <cellStyle name="Normal 3 5 10 7" xfId="14642" xr:uid="{00000000-0005-0000-0000-0000E0350000}"/>
    <cellStyle name="Normal 3 5 10 8" xfId="14643" xr:uid="{00000000-0005-0000-0000-0000E1350000}"/>
    <cellStyle name="Normal 3 5 10 9" xfId="14644" xr:uid="{00000000-0005-0000-0000-0000E2350000}"/>
    <cellStyle name="Normal 3 5 11" xfId="14645" xr:uid="{00000000-0005-0000-0000-0000E3350000}"/>
    <cellStyle name="Normal 3 5 11 10" xfId="14646" xr:uid="{00000000-0005-0000-0000-0000E4350000}"/>
    <cellStyle name="Normal 3 5 11 11" xfId="14647" xr:uid="{00000000-0005-0000-0000-0000E5350000}"/>
    <cellStyle name="Normal 3 5 11 12" xfId="14648" xr:uid="{00000000-0005-0000-0000-0000E6350000}"/>
    <cellStyle name="Normal 3 5 11 13" xfId="14649" xr:uid="{00000000-0005-0000-0000-0000E7350000}"/>
    <cellStyle name="Normal 3 5 11 14" xfId="14650" xr:uid="{00000000-0005-0000-0000-0000E8350000}"/>
    <cellStyle name="Normal 3 5 11 15" xfId="14651" xr:uid="{00000000-0005-0000-0000-0000E9350000}"/>
    <cellStyle name="Normal 3 5 11 2" xfId="14652" xr:uid="{00000000-0005-0000-0000-0000EA350000}"/>
    <cellStyle name="Normal 3 5 11 3" xfId="14653" xr:uid="{00000000-0005-0000-0000-0000EB350000}"/>
    <cellStyle name="Normal 3 5 11 4" xfId="14654" xr:uid="{00000000-0005-0000-0000-0000EC350000}"/>
    <cellStyle name="Normal 3 5 11 5" xfId="14655" xr:uid="{00000000-0005-0000-0000-0000ED350000}"/>
    <cellStyle name="Normal 3 5 11 6" xfId="14656" xr:uid="{00000000-0005-0000-0000-0000EE350000}"/>
    <cellStyle name="Normal 3 5 11 7" xfId="14657" xr:uid="{00000000-0005-0000-0000-0000EF350000}"/>
    <cellStyle name="Normal 3 5 11 8" xfId="14658" xr:uid="{00000000-0005-0000-0000-0000F0350000}"/>
    <cellStyle name="Normal 3 5 11 9" xfId="14659" xr:uid="{00000000-0005-0000-0000-0000F1350000}"/>
    <cellStyle name="Normal 3 5 12" xfId="14660" xr:uid="{00000000-0005-0000-0000-0000F2350000}"/>
    <cellStyle name="Normal 3 5 12 10" xfId="14661" xr:uid="{00000000-0005-0000-0000-0000F3350000}"/>
    <cellStyle name="Normal 3 5 12 11" xfId="14662" xr:uid="{00000000-0005-0000-0000-0000F4350000}"/>
    <cellStyle name="Normal 3 5 12 12" xfId="14663" xr:uid="{00000000-0005-0000-0000-0000F5350000}"/>
    <cellStyle name="Normal 3 5 12 13" xfId="14664" xr:uid="{00000000-0005-0000-0000-0000F6350000}"/>
    <cellStyle name="Normal 3 5 12 14" xfId="14665" xr:uid="{00000000-0005-0000-0000-0000F7350000}"/>
    <cellStyle name="Normal 3 5 12 15" xfId="14666" xr:uid="{00000000-0005-0000-0000-0000F8350000}"/>
    <cellStyle name="Normal 3 5 12 2" xfId="14667" xr:uid="{00000000-0005-0000-0000-0000F9350000}"/>
    <cellStyle name="Normal 3 5 12 3" xfId="14668" xr:uid="{00000000-0005-0000-0000-0000FA350000}"/>
    <cellStyle name="Normal 3 5 12 4" xfId="14669" xr:uid="{00000000-0005-0000-0000-0000FB350000}"/>
    <cellStyle name="Normal 3 5 12 5" xfId="14670" xr:uid="{00000000-0005-0000-0000-0000FC350000}"/>
    <cellStyle name="Normal 3 5 12 6" xfId="14671" xr:uid="{00000000-0005-0000-0000-0000FD350000}"/>
    <cellStyle name="Normal 3 5 12 7" xfId="14672" xr:uid="{00000000-0005-0000-0000-0000FE350000}"/>
    <cellStyle name="Normal 3 5 12 8" xfId="14673" xr:uid="{00000000-0005-0000-0000-0000FF350000}"/>
    <cellStyle name="Normal 3 5 12 9" xfId="14674" xr:uid="{00000000-0005-0000-0000-000000360000}"/>
    <cellStyle name="Normal 3 5 13" xfId="14675" xr:uid="{00000000-0005-0000-0000-000001360000}"/>
    <cellStyle name="Normal 3 5 13 10" xfId="14676" xr:uid="{00000000-0005-0000-0000-000002360000}"/>
    <cellStyle name="Normal 3 5 13 11" xfId="14677" xr:uid="{00000000-0005-0000-0000-000003360000}"/>
    <cellStyle name="Normal 3 5 13 12" xfId="14678" xr:uid="{00000000-0005-0000-0000-000004360000}"/>
    <cellStyle name="Normal 3 5 13 13" xfId="14679" xr:uid="{00000000-0005-0000-0000-000005360000}"/>
    <cellStyle name="Normal 3 5 13 14" xfId="14680" xr:uid="{00000000-0005-0000-0000-000006360000}"/>
    <cellStyle name="Normal 3 5 13 15" xfId="14681" xr:uid="{00000000-0005-0000-0000-000007360000}"/>
    <cellStyle name="Normal 3 5 13 2" xfId="14682" xr:uid="{00000000-0005-0000-0000-000008360000}"/>
    <cellStyle name="Normal 3 5 13 3" xfId="14683" xr:uid="{00000000-0005-0000-0000-000009360000}"/>
    <cellStyle name="Normal 3 5 13 4" xfId="14684" xr:uid="{00000000-0005-0000-0000-00000A360000}"/>
    <cellStyle name="Normal 3 5 13 5" xfId="14685" xr:uid="{00000000-0005-0000-0000-00000B360000}"/>
    <cellStyle name="Normal 3 5 13 6" xfId="14686" xr:uid="{00000000-0005-0000-0000-00000C360000}"/>
    <cellStyle name="Normal 3 5 13 7" xfId="14687" xr:uid="{00000000-0005-0000-0000-00000D360000}"/>
    <cellStyle name="Normal 3 5 13 8" xfId="14688" xr:uid="{00000000-0005-0000-0000-00000E360000}"/>
    <cellStyle name="Normal 3 5 13 9" xfId="14689" xr:uid="{00000000-0005-0000-0000-00000F360000}"/>
    <cellStyle name="Normal 3 5 14" xfId="14690" xr:uid="{00000000-0005-0000-0000-000010360000}"/>
    <cellStyle name="Normal 3 5 14 10" xfId="14691" xr:uid="{00000000-0005-0000-0000-000011360000}"/>
    <cellStyle name="Normal 3 5 14 11" xfId="14692" xr:uid="{00000000-0005-0000-0000-000012360000}"/>
    <cellStyle name="Normal 3 5 14 12" xfId="14693" xr:uid="{00000000-0005-0000-0000-000013360000}"/>
    <cellStyle name="Normal 3 5 14 13" xfId="14694" xr:uid="{00000000-0005-0000-0000-000014360000}"/>
    <cellStyle name="Normal 3 5 14 14" xfId="14695" xr:uid="{00000000-0005-0000-0000-000015360000}"/>
    <cellStyle name="Normal 3 5 14 15" xfId="14696" xr:uid="{00000000-0005-0000-0000-000016360000}"/>
    <cellStyle name="Normal 3 5 14 16" xfId="14697" xr:uid="{00000000-0005-0000-0000-000017360000}"/>
    <cellStyle name="Normal 3 5 14 17" xfId="14698" xr:uid="{00000000-0005-0000-0000-000018360000}"/>
    <cellStyle name="Normal 3 5 14 18" xfId="14699" xr:uid="{00000000-0005-0000-0000-000019360000}"/>
    <cellStyle name="Normal 3 5 14 19" xfId="14700" xr:uid="{00000000-0005-0000-0000-00001A360000}"/>
    <cellStyle name="Normal 3 5 14 2" xfId="14701" xr:uid="{00000000-0005-0000-0000-00001B360000}"/>
    <cellStyle name="Normal 3 5 14 2 10" xfId="14702" xr:uid="{00000000-0005-0000-0000-00001C360000}"/>
    <cellStyle name="Normal 3 5 14 2 11" xfId="14703" xr:uid="{00000000-0005-0000-0000-00001D360000}"/>
    <cellStyle name="Normal 3 5 14 2 12" xfId="14704" xr:uid="{00000000-0005-0000-0000-00001E360000}"/>
    <cellStyle name="Normal 3 5 14 2 13" xfId="14705" xr:uid="{00000000-0005-0000-0000-00001F360000}"/>
    <cellStyle name="Normal 3 5 14 2 14" xfId="14706" xr:uid="{00000000-0005-0000-0000-000020360000}"/>
    <cellStyle name="Normal 3 5 14 2 15" xfId="14707" xr:uid="{00000000-0005-0000-0000-000021360000}"/>
    <cellStyle name="Normal 3 5 14 2 2" xfId="14708" xr:uid="{00000000-0005-0000-0000-000022360000}"/>
    <cellStyle name="Normal 3 5 14 2 3" xfId="14709" xr:uid="{00000000-0005-0000-0000-000023360000}"/>
    <cellStyle name="Normal 3 5 14 2 4" xfId="14710" xr:uid="{00000000-0005-0000-0000-000024360000}"/>
    <cellStyle name="Normal 3 5 14 2 5" xfId="14711" xr:uid="{00000000-0005-0000-0000-000025360000}"/>
    <cellStyle name="Normal 3 5 14 2 6" xfId="14712" xr:uid="{00000000-0005-0000-0000-000026360000}"/>
    <cellStyle name="Normal 3 5 14 2 7" xfId="14713" xr:uid="{00000000-0005-0000-0000-000027360000}"/>
    <cellStyle name="Normal 3 5 14 2 8" xfId="14714" xr:uid="{00000000-0005-0000-0000-000028360000}"/>
    <cellStyle name="Normal 3 5 14 2 9" xfId="14715" xr:uid="{00000000-0005-0000-0000-000029360000}"/>
    <cellStyle name="Normal 3 5 14 3" xfId="14716" xr:uid="{00000000-0005-0000-0000-00002A360000}"/>
    <cellStyle name="Normal 3 5 14 3 10" xfId="14717" xr:uid="{00000000-0005-0000-0000-00002B360000}"/>
    <cellStyle name="Normal 3 5 14 3 11" xfId="14718" xr:uid="{00000000-0005-0000-0000-00002C360000}"/>
    <cellStyle name="Normal 3 5 14 3 12" xfId="14719" xr:uid="{00000000-0005-0000-0000-00002D360000}"/>
    <cellStyle name="Normal 3 5 14 3 13" xfId="14720" xr:uid="{00000000-0005-0000-0000-00002E360000}"/>
    <cellStyle name="Normal 3 5 14 3 14" xfId="14721" xr:uid="{00000000-0005-0000-0000-00002F360000}"/>
    <cellStyle name="Normal 3 5 14 3 15" xfId="14722" xr:uid="{00000000-0005-0000-0000-000030360000}"/>
    <cellStyle name="Normal 3 5 14 3 2" xfId="14723" xr:uid="{00000000-0005-0000-0000-000031360000}"/>
    <cellStyle name="Normal 3 5 14 3 3" xfId="14724" xr:uid="{00000000-0005-0000-0000-000032360000}"/>
    <cellStyle name="Normal 3 5 14 3 4" xfId="14725" xr:uid="{00000000-0005-0000-0000-000033360000}"/>
    <cellStyle name="Normal 3 5 14 3 5" xfId="14726" xr:uid="{00000000-0005-0000-0000-000034360000}"/>
    <cellStyle name="Normal 3 5 14 3 6" xfId="14727" xr:uid="{00000000-0005-0000-0000-000035360000}"/>
    <cellStyle name="Normal 3 5 14 3 7" xfId="14728" xr:uid="{00000000-0005-0000-0000-000036360000}"/>
    <cellStyle name="Normal 3 5 14 3 8" xfId="14729" xr:uid="{00000000-0005-0000-0000-000037360000}"/>
    <cellStyle name="Normal 3 5 14 3 9" xfId="14730" xr:uid="{00000000-0005-0000-0000-000038360000}"/>
    <cellStyle name="Normal 3 5 14 4" xfId="14731" xr:uid="{00000000-0005-0000-0000-000039360000}"/>
    <cellStyle name="Normal 3 5 14 4 10" xfId="14732" xr:uid="{00000000-0005-0000-0000-00003A360000}"/>
    <cellStyle name="Normal 3 5 14 4 11" xfId="14733" xr:uid="{00000000-0005-0000-0000-00003B360000}"/>
    <cellStyle name="Normal 3 5 14 4 12" xfId="14734" xr:uid="{00000000-0005-0000-0000-00003C360000}"/>
    <cellStyle name="Normal 3 5 14 4 13" xfId="14735" xr:uid="{00000000-0005-0000-0000-00003D360000}"/>
    <cellStyle name="Normal 3 5 14 4 14" xfId="14736" xr:uid="{00000000-0005-0000-0000-00003E360000}"/>
    <cellStyle name="Normal 3 5 14 4 15" xfId="14737" xr:uid="{00000000-0005-0000-0000-00003F360000}"/>
    <cellStyle name="Normal 3 5 14 4 2" xfId="14738" xr:uid="{00000000-0005-0000-0000-000040360000}"/>
    <cellStyle name="Normal 3 5 14 4 3" xfId="14739" xr:uid="{00000000-0005-0000-0000-000041360000}"/>
    <cellStyle name="Normal 3 5 14 4 4" xfId="14740" xr:uid="{00000000-0005-0000-0000-000042360000}"/>
    <cellStyle name="Normal 3 5 14 4 5" xfId="14741" xr:uid="{00000000-0005-0000-0000-000043360000}"/>
    <cellStyle name="Normal 3 5 14 4 6" xfId="14742" xr:uid="{00000000-0005-0000-0000-000044360000}"/>
    <cellStyle name="Normal 3 5 14 4 7" xfId="14743" xr:uid="{00000000-0005-0000-0000-000045360000}"/>
    <cellStyle name="Normal 3 5 14 4 8" xfId="14744" xr:uid="{00000000-0005-0000-0000-000046360000}"/>
    <cellStyle name="Normal 3 5 14 4 9" xfId="14745" xr:uid="{00000000-0005-0000-0000-000047360000}"/>
    <cellStyle name="Normal 3 5 14 5" xfId="14746" xr:uid="{00000000-0005-0000-0000-000048360000}"/>
    <cellStyle name="Normal 3 5 14 5 10" xfId="14747" xr:uid="{00000000-0005-0000-0000-000049360000}"/>
    <cellStyle name="Normal 3 5 14 5 11" xfId="14748" xr:uid="{00000000-0005-0000-0000-00004A360000}"/>
    <cellStyle name="Normal 3 5 14 5 12" xfId="14749" xr:uid="{00000000-0005-0000-0000-00004B360000}"/>
    <cellStyle name="Normal 3 5 14 5 13" xfId="14750" xr:uid="{00000000-0005-0000-0000-00004C360000}"/>
    <cellStyle name="Normal 3 5 14 5 14" xfId="14751" xr:uid="{00000000-0005-0000-0000-00004D360000}"/>
    <cellStyle name="Normal 3 5 14 5 15" xfId="14752" xr:uid="{00000000-0005-0000-0000-00004E360000}"/>
    <cellStyle name="Normal 3 5 14 5 2" xfId="14753" xr:uid="{00000000-0005-0000-0000-00004F360000}"/>
    <cellStyle name="Normal 3 5 14 5 3" xfId="14754" xr:uid="{00000000-0005-0000-0000-000050360000}"/>
    <cellStyle name="Normal 3 5 14 5 4" xfId="14755" xr:uid="{00000000-0005-0000-0000-000051360000}"/>
    <cellStyle name="Normal 3 5 14 5 5" xfId="14756" xr:uid="{00000000-0005-0000-0000-000052360000}"/>
    <cellStyle name="Normal 3 5 14 5 6" xfId="14757" xr:uid="{00000000-0005-0000-0000-000053360000}"/>
    <cellStyle name="Normal 3 5 14 5 7" xfId="14758" xr:uid="{00000000-0005-0000-0000-000054360000}"/>
    <cellStyle name="Normal 3 5 14 5 8" xfId="14759" xr:uid="{00000000-0005-0000-0000-000055360000}"/>
    <cellStyle name="Normal 3 5 14 5 9" xfId="14760" xr:uid="{00000000-0005-0000-0000-000056360000}"/>
    <cellStyle name="Normal 3 5 14 6" xfId="14761" xr:uid="{00000000-0005-0000-0000-000057360000}"/>
    <cellStyle name="Normal 3 5 14 7" xfId="14762" xr:uid="{00000000-0005-0000-0000-000058360000}"/>
    <cellStyle name="Normal 3 5 14 8" xfId="14763" xr:uid="{00000000-0005-0000-0000-000059360000}"/>
    <cellStyle name="Normal 3 5 14 9" xfId="14764" xr:uid="{00000000-0005-0000-0000-00005A360000}"/>
    <cellStyle name="Normal 3 5 15" xfId="14765" xr:uid="{00000000-0005-0000-0000-00005B360000}"/>
    <cellStyle name="Normal 3 5 15 10" xfId="14766" xr:uid="{00000000-0005-0000-0000-00005C360000}"/>
    <cellStyle name="Normal 3 5 15 11" xfId="14767" xr:uid="{00000000-0005-0000-0000-00005D360000}"/>
    <cellStyle name="Normal 3 5 15 12" xfId="14768" xr:uid="{00000000-0005-0000-0000-00005E360000}"/>
    <cellStyle name="Normal 3 5 15 13" xfId="14769" xr:uid="{00000000-0005-0000-0000-00005F360000}"/>
    <cellStyle name="Normal 3 5 15 14" xfId="14770" xr:uid="{00000000-0005-0000-0000-000060360000}"/>
    <cellStyle name="Normal 3 5 15 15" xfId="14771" xr:uid="{00000000-0005-0000-0000-000061360000}"/>
    <cellStyle name="Normal 3 5 15 16" xfId="14772" xr:uid="{00000000-0005-0000-0000-000062360000}"/>
    <cellStyle name="Normal 3 5 15 17" xfId="14773" xr:uid="{00000000-0005-0000-0000-000063360000}"/>
    <cellStyle name="Normal 3 5 15 18" xfId="14774" xr:uid="{00000000-0005-0000-0000-000064360000}"/>
    <cellStyle name="Normal 3 5 15 19" xfId="14775" xr:uid="{00000000-0005-0000-0000-000065360000}"/>
    <cellStyle name="Normal 3 5 15 2" xfId="14776" xr:uid="{00000000-0005-0000-0000-000066360000}"/>
    <cellStyle name="Normal 3 5 15 2 10" xfId="14777" xr:uid="{00000000-0005-0000-0000-000067360000}"/>
    <cellStyle name="Normal 3 5 15 2 11" xfId="14778" xr:uid="{00000000-0005-0000-0000-000068360000}"/>
    <cellStyle name="Normal 3 5 15 2 12" xfId="14779" xr:uid="{00000000-0005-0000-0000-000069360000}"/>
    <cellStyle name="Normal 3 5 15 2 13" xfId="14780" xr:uid="{00000000-0005-0000-0000-00006A360000}"/>
    <cellStyle name="Normal 3 5 15 2 14" xfId="14781" xr:uid="{00000000-0005-0000-0000-00006B360000}"/>
    <cellStyle name="Normal 3 5 15 2 15" xfId="14782" xr:uid="{00000000-0005-0000-0000-00006C360000}"/>
    <cellStyle name="Normal 3 5 15 2 2" xfId="14783" xr:uid="{00000000-0005-0000-0000-00006D360000}"/>
    <cellStyle name="Normal 3 5 15 2 3" xfId="14784" xr:uid="{00000000-0005-0000-0000-00006E360000}"/>
    <cellStyle name="Normal 3 5 15 2 4" xfId="14785" xr:uid="{00000000-0005-0000-0000-00006F360000}"/>
    <cellStyle name="Normal 3 5 15 2 5" xfId="14786" xr:uid="{00000000-0005-0000-0000-000070360000}"/>
    <cellStyle name="Normal 3 5 15 2 6" xfId="14787" xr:uid="{00000000-0005-0000-0000-000071360000}"/>
    <cellStyle name="Normal 3 5 15 2 7" xfId="14788" xr:uid="{00000000-0005-0000-0000-000072360000}"/>
    <cellStyle name="Normal 3 5 15 2 8" xfId="14789" xr:uid="{00000000-0005-0000-0000-000073360000}"/>
    <cellStyle name="Normal 3 5 15 2 9" xfId="14790" xr:uid="{00000000-0005-0000-0000-000074360000}"/>
    <cellStyle name="Normal 3 5 15 3" xfId="14791" xr:uid="{00000000-0005-0000-0000-000075360000}"/>
    <cellStyle name="Normal 3 5 15 3 10" xfId="14792" xr:uid="{00000000-0005-0000-0000-000076360000}"/>
    <cellStyle name="Normal 3 5 15 3 11" xfId="14793" xr:uid="{00000000-0005-0000-0000-000077360000}"/>
    <cellStyle name="Normal 3 5 15 3 12" xfId="14794" xr:uid="{00000000-0005-0000-0000-000078360000}"/>
    <cellStyle name="Normal 3 5 15 3 13" xfId="14795" xr:uid="{00000000-0005-0000-0000-000079360000}"/>
    <cellStyle name="Normal 3 5 15 3 14" xfId="14796" xr:uid="{00000000-0005-0000-0000-00007A360000}"/>
    <cellStyle name="Normal 3 5 15 3 15" xfId="14797" xr:uid="{00000000-0005-0000-0000-00007B360000}"/>
    <cellStyle name="Normal 3 5 15 3 2" xfId="14798" xr:uid="{00000000-0005-0000-0000-00007C360000}"/>
    <cellStyle name="Normal 3 5 15 3 3" xfId="14799" xr:uid="{00000000-0005-0000-0000-00007D360000}"/>
    <cellStyle name="Normal 3 5 15 3 4" xfId="14800" xr:uid="{00000000-0005-0000-0000-00007E360000}"/>
    <cellStyle name="Normal 3 5 15 3 5" xfId="14801" xr:uid="{00000000-0005-0000-0000-00007F360000}"/>
    <cellStyle name="Normal 3 5 15 3 6" xfId="14802" xr:uid="{00000000-0005-0000-0000-000080360000}"/>
    <cellStyle name="Normal 3 5 15 3 7" xfId="14803" xr:uid="{00000000-0005-0000-0000-000081360000}"/>
    <cellStyle name="Normal 3 5 15 3 8" xfId="14804" xr:uid="{00000000-0005-0000-0000-000082360000}"/>
    <cellStyle name="Normal 3 5 15 3 9" xfId="14805" xr:uid="{00000000-0005-0000-0000-000083360000}"/>
    <cellStyle name="Normal 3 5 15 4" xfId="14806" xr:uid="{00000000-0005-0000-0000-000084360000}"/>
    <cellStyle name="Normal 3 5 15 4 10" xfId="14807" xr:uid="{00000000-0005-0000-0000-000085360000}"/>
    <cellStyle name="Normal 3 5 15 4 11" xfId="14808" xr:uid="{00000000-0005-0000-0000-000086360000}"/>
    <cellStyle name="Normal 3 5 15 4 12" xfId="14809" xr:uid="{00000000-0005-0000-0000-000087360000}"/>
    <cellStyle name="Normal 3 5 15 4 13" xfId="14810" xr:uid="{00000000-0005-0000-0000-000088360000}"/>
    <cellStyle name="Normal 3 5 15 4 14" xfId="14811" xr:uid="{00000000-0005-0000-0000-000089360000}"/>
    <cellStyle name="Normal 3 5 15 4 15" xfId="14812" xr:uid="{00000000-0005-0000-0000-00008A360000}"/>
    <cellStyle name="Normal 3 5 15 4 2" xfId="14813" xr:uid="{00000000-0005-0000-0000-00008B360000}"/>
    <cellStyle name="Normal 3 5 15 4 3" xfId="14814" xr:uid="{00000000-0005-0000-0000-00008C360000}"/>
    <cellStyle name="Normal 3 5 15 4 4" xfId="14815" xr:uid="{00000000-0005-0000-0000-00008D360000}"/>
    <cellStyle name="Normal 3 5 15 4 5" xfId="14816" xr:uid="{00000000-0005-0000-0000-00008E360000}"/>
    <cellStyle name="Normal 3 5 15 4 6" xfId="14817" xr:uid="{00000000-0005-0000-0000-00008F360000}"/>
    <cellStyle name="Normal 3 5 15 4 7" xfId="14818" xr:uid="{00000000-0005-0000-0000-000090360000}"/>
    <cellStyle name="Normal 3 5 15 4 8" xfId="14819" xr:uid="{00000000-0005-0000-0000-000091360000}"/>
    <cellStyle name="Normal 3 5 15 4 9" xfId="14820" xr:uid="{00000000-0005-0000-0000-000092360000}"/>
    <cellStyle name="Normal 3 5 15 5" xfId="14821" xr:uid="{00000000-0005-0000-0000-000093360000}"/>
    <cellStyle name="Normal 3 5 15 5 10" xfId="14822" xr:uid="{00000000-0005-0000-0000-000094360000}"/>
    <cellStyle name="Normal 3 5 15 5 11" xfId="14823" xr:uid="{00000000-0005-0000-0000-000095360000}"/>
    <cellStyle name="Normal 3 5 15 5 12" xfId="14824" xr:uid="{00000000-0005-0000-0000-000096360000}"/>
    <cellStyle name="Normal 3 5 15 5 13" xfId="14825" xr:uid="{00000000-0005-0000-0000-000097360000}"/>
    <cellStyle name="Normal 3 5 15 5 14" xfId="14826" xr:uid="{00000000-0005-0000-0000-000098360000}"/>
    <cellStyle name="Normal 3 5 15 5 15" xfId="14827" xr:uid="{00000000-0005-0000-0000-000099360000}"/>
    <cellStyle name="Normal 3 5 15 5 2" xfId="14828" xr:uid="{00000000-0005-0000-0000-00009A360000}"/>
    <cellStyle name="Normal 3 5 15 5 3" xfId="14829" xr:uid="{00000000-0005-0000-0000-00009B360000}"/>
    <cellStyle name="Normal 3 5 15 5 4" xfId="14830" xr:uid="{00000000-0005-0000-0000-00009C360000}"/>
    <cellStyle name="Normal 3 5 15 5 5" xfId="14831" xr:uid="{00000000-0005-0000-0000-00009D360000}"/>
    <cellStyle name="Normal 3 5 15 5 6" xfId="14832" xr:uid="{00000000-0005-0000-0000-00009E360000}"/>
    <cellStyle name="Normal 3 5 15 5 7" xfId="14833" xr:uid="{00000000-0005-0000-0000-00009F360000}"/>
    <cellStyle name="Normal 3 5 15 5 8" xfId="14834" xr:uid="{00000000-0005-0000-0000-0000A0360000}"/>
    <cellStyle name="Normal 3 5 15 5 9" xfId="14835" xr:uid="{00000000-0005-0000-0000-0000A1360000}"/>
    <cellStyle name="Normal 3 5 15 6" xfId="14836" xr:uid="{00000000-0005-0000-0000-0000A2360000}"/>
    <cellStyle name="Normal 3 5 15 7" xfId="14837" xr:uid="{00000000-0005-0000-0000-0000A3360000}"/>
    <cellStyle name="Normal 3 5 15 8" xfId="14838" xr:uid="{00000000-0005-0000-0000-0000A4360000}"/>
    <cellStyle name="Normal 3 5 15 9" xfId="14839" xr:uid="{00000000-0005-0000-0000-0000A5360000}"/>
    <cellStyle name="Normal 3 5 16" xfId="14840" xr:uid="{00000000-0005-0000-0000-0000A6360000}"/>
    <cellStyle name="Normal 3 5 16 10" xfId="14841" xr:uid="{00000000-0005-0000-0000-0000A7360000}"/>
    <cellStyle name="Normal 3 5 16 11" xfId="14842" xr:uid="{00000000-0005-0000-0000-0000A8360000}"/>
    <cellStyle name="Normal 3 5 16 12" xfId="14843" xr:uid="{00000000-0005-0000-0000-0000A9360000}"/>
    <cellStyle name="Normal 3 5 16 13" xfId="14844" xr:uid="{00000000-0005-0000-0000-0000AA360000}"/>
    <cellStyle name="Normal 3 5 16 14" xfId="14845" xr:uid="{00000000-0005-0000-0000-0000AB360000}"/>
    <cellStyle name="Normal 3 5 16 15" xfId="14846" xr:uid="{00000000-0005-0000-0000-0000AC360000}"/>
    <cellStyle name="Normal 3 5 16 2" xfId="14847" xr:uid="{00000000-0005-0000-0000-0000AD360000}"/>
    <cellStyle name="Normal 3 5 16 3" xfId="14848" xr:uid="{00000000-0005-0000-0000-0000AE360000}"/>
    <cellStyle name="Normal 3 5 16 4" xfId="14849" xr:uid="{00000000-0005-0000-0000-0000AF360000}"/>
    <cellStyle name="Normal 3 5 16 5" xfId="14850" xr:uid="{00000000-0005-0000-0000-0000B0360000}"/>
    <cellStyle name="Normal 3 5 16 6" xfId="14851" xr:uid="{00000000-0005-0000-0000-0000B1360000}"/>
    <cellStyle name="Normal 3 5 16 7" xfId="14852" xr:uid="{00000000-0005-0000-0000-0000B2360000}"/>
    <cellStyle name="Normal 3 5 16 8" xfId="14853" xr:uid="{00000000-0005-0000-0000-0000B3360000}"/>
    <cellStyle name="Normal 3 5 16 9" xfId="14854" xr:uid="{00000000-0005-0000-0000-0000B4360000}"/>
    <cellStyle name="Normal 3 5 17" xfId="14855" xr:uid="{00000000-0005-0000-0000-0000B5360000}"/>
    <cellStyle name="Normal 3 5 17 10" xfId="14856" xr:uid="{00000000-0005-0000-0000-0000B6360000}"/>
    <cellStyle name="Normal 3 5 17 11" xfId="14857" xr:uid="{00000000-0005-0000-0000-0000B7360000}"/>
    <cellStyle name="Normal 3 5 17 12" xfId="14858" xr:uid="{00000000-0005-0000-0000-0000B8360000}"/>
    <cellStyle name="Normal 3 5 17 13" xfId="14859" xr:uid="{00000000-0005-0000-0000-0000B9360000}"/>
    <cellStyle name="Normal 3 5 17 14" xfId="14860" xr:uid="{00000000-0005-0000-0000-0000BA360000}"/>
    <cellStyle name="Normal 3 5 17 15" xfId="14861" xr:uid="{00000000-0005-0000-0000-0000BB360000}"/>
    <cellStyle name="Normal 3 5 17 2" xfId="14862" xr:uid="{00000000-0005-0000-0000-0000BC360000}"/>
    <cellStyle name="Normal 3 5 17 3" xfId="14863" xr:uid="{00000000-0005-0000-0000-0000BD360000}"/>
    <cellStyle name="Normal 3 5 17 4" xfId="14864" xr:uid="{00000000-0005-0000-0000-0000BE360000}"/>
    <cellStyle name="Normal 3 5 17 5" xfId="14865" xr:uid="{00000000-0005-0000-0000-0000BF360000}"/>
    <cellStyle name="Normal 3 5 17 6" xfId="14866" xr:uid="{00000000-0005-0000-0000-0000C0360000}"/>
    <cellStyle name="Normal 3 5 17 7" xfId="14867" xr:uid="{00000000-0005-0000-0000-0000C1360000}"/>
    <cellStyle name="Normal 3 5 17 8" xfId="14868" xr:uid="{00000000-0005-0000-0000-0000C2360000}"/>
    <cellStyle name="Normal 3 5 17 9" xfId="14869" xr:uid="{00000000-0005-0000-0000-0000C3360000}"/>
    <cellStyle name="Normal 3 5 18" xfId="14870" xr:uid="{00000000-0005-0000-0000-0000C4360000}"/>
    <cellStyle name="Normal 3 5 18 10" xfId="14871" xr:uid="{00000000-0005-0000-0000-0000C5360000}"/>
    <cellStyle name="Normal 3 5 18 11" xfId="14872" xr:uid="{00000000-0005-0000-0000-0000C6360000}"/>
    <cellStyle name="Normal 3 5 18 12" xfId="14873" xr:uid="{00000000-0005-0000-0000-0000C7360000}"/>
    <cellStyle name="Normal 3 5 18 13" xfId="14874" xr:uid="{00000000-0005-0000-0000-0000C8360000}"/>
    <cellStyle name="Normal 3 5 18 14" xfId="14875" xr:uid="{00000000-0005-0000-0000-0000C9360000}"/>
    <cellStyle name="Normal 3 5 18 15" xfId="14876" xr:uid="{00000000-0005-0000-0000-0000CA360000}"/>
    <cellStyle name="Normal 3 5 18 2" xfId="14877" xr:uid="{00000000-0005-0000-0000-0000CB360000}"/>
    <cellStyle name="Normal 3 5 18 3" xfId="14878" xr:uid="{00000000-0005-0000-0000-0000CC360000}"/>
    <cellStyle name="Normal 3 5 18 4" xfId="14879" xr:uid="{00000000-0005-0000-0000-0000CD360000}"/>
    <cellStyle name="Normal 3 5 18 5" xfId="14880" xr:uid="{00000000-0005-0000-0000-0000CE360000}"/>
    <cellStyle name="Normal 3 5 18 6" xfId="14881" xr:uid="{00000000-0005-0000-0000-0000CF360000}"/>
    <cellStyle name="Normal 3 5 18 7" xfId="14882" xr:uid="{00000000-0005-0000-0000-0000D0360000}"/>
    <cellStyle name="Normal 3 5 18 8" xfId="14883" xr:uid="{00000000-0005-0000-0000-0000D1360000}"/>
    <cellStyle name="Normal 3 5 18 9" xfId="14884" xr:uid="{00000000-0005-0000-0000-0000D2360000}"/>
    <cellStyle name="Normal 3 5 19" xfId="14885" xr:uid="{00000000-0005-0000-0000-0000D3360000}"/>
    <cellStyle name="Normal 3 5 19 2" xfId="14886" xr:uid="{00000000-0005-0000-0000-0000D4360000}"/>
    <cellStyle name="Normal 3 5 19 3" xfId="14887" xr:uid="{00000000-0005-0000-0000-0000D5360000}"/>
    <cellStyle name="Normal 3 5 2" xfId="14888" xr:uid="{00000000-0005-0000-0000-0000D6360000}"/>
    <cellStyle name="Normal 3 5 2 10" xfId="14889" xr:uid="{00000000-0005-0000-0000-0000D7360000}"/>
    <cellStyle name="Normal 3 5 2 10 10" xfId="14890" xr:uid="{00000000-0005-0000-0000-0000D8360000}"/>
    <cellStyle name="Normal 3 5 2 10 11" xfId="14891" xr:uid="{00000000-0005-0000-0000-0000D9360000}"/>
    <cellStyle name="Normal 3 5 2 10 12" xfId="14892" xr:uid="{00000000-0005-0000-0000-0000DA360000}"/>
    <cellStyle name="Normal 3 5 2 10 13" xfId="14893" xr:uid="{00000000-0005-0000-0000-0000DB360000}"/>
    <cellStyle name="Normal 3 5 2 10 14" xfId="14894" xr:uid="{00000000-0005-0000-0000-0000DC360000}"/>
    <cellStyle name="Normal 3 5 2 10 15" xfId="14895" xr:uid="{00000000-0005-0000-0000-0000DD360000}"/>
    <cellStyle name="Normal 3 5 2 10 2" xfId="14896" xr:uid="{00000000-0005-0000-0000-0000DE360000}"/>
    <cellStyle name="Normal 3 5 2 10 3" xfId="14897" xr:uid="{00000000-0005-0000-0000-0000DF360000}"/>
    <cellStyle name="Normal 3 5 2 10 4" xfId="14898" xr:uid="{00000000-0005-0000-0000-0000E0360000}"/>
    <cellStyle name="Normal 3 5 2 10 5" xfId="14899" xr:uid="{00000000-0005-0000-0000-0000E1360000}"/>
    <cellStyle name="Normal 3 5 2 10 6" xfId="14900" xr:uid="{00000000-0005-0000-0000-0000E2360000}"/>
    <cellStyle name="Normal 3 5 2 10 7" xfId="14901" xr:uid="{00000000-0005-0000-0000-0000E3360000}"/>
    <cellStyle name="Normal 3 5 2 10 8" xfId="14902" xr:uid="{00000000-0005-0000-0000-0000E4360000}"/>
    <cellStyle name="Normal 3 5 2 10 9" xfId="14903" xr:uid="{00000000-0005-0000-0000-0000E5360000}"/>
    <cellStyle name="Normal 3 5 2 11" xfId="14904" xr:uid="{00000000-0005-0000-0000-0000E6360000}"/>
    <cellStyle name="Normal 3 5 2 11 10" xfId="14905" xr:uid="{00000000-0005-0000-0000-0000E7360000}"/>
    <cellStyle name="Normal 3 5 2 11 11" xfId="14906" xr:uid="{00000000-0005-0000-0000-0000E8360000}"/>
    <cellStyle name="Normal 3 5 2 11 12" xfId="14907" xr:uid="{00000000-0005-0000-0000-0000E9360000}"/>
    <cellStyle name="Normal 3 5 2 11 13" xfId="14908" xr:uid="{00000000-0005-0000-0000-0000EA360000}"/>
    <cellStyle name="Normal 3 5 2 11 14" xfId="14909" xr:uid="{00000000-0005-0000-0000-0000EB360000}"/>
    <cellStyle name="Normal 3 5 2 11 15" xfId="14910" xr:uid="{00000000-0005-0000-0000-0000EC360000}"/>
    <cellStyle name="Normal 3 5 2 11 2" xfId="14911" xr:uid="{00000000-0005-0000-0000-0000ED360000}"/>
    <cellStyle name="Normal 3 5 2 11 3" xfId="14912" xr:uid="{00000000-0005-0000-0000-0000EE360000}"/>
    <cellStyle name="Normal 3 5 2 11 4" xfId="14913" xr:uid="{00000000-0005-0000-0000-0000EF360000}"/>
    <cellStyle name="Normal 3 5 2 11 5" xfId="14914" xr:uid="{00000000-0005-0000-0000-0000F0360000}"/>
    <cellStyle name="Normal 3 5 2 11 6" xfId="14915" xr:uid="{00000000-0005-0000-0000-0000F1360000}"/>
    <cellStyle name="Normal 3 5 2 11 7" xfId="14916" xr:uid="{00000000-0005-0000-0000-0000F2360000}"/>
    <cellStyle name="Normal 3 5 2 11 8" xfId="14917" xr:uid="{00000000-0005-0000-0000-0000F3360000}"/>
    <cellStyle name="Normal 3 5 2 11 9" xfId="14918" xr:uid="{00000000-0005-0000-0000-0000F4360000}"/>
    <cellStyle name="Normal 3 5 2 12" xfId="14919" xr:uid="{00000000-0005-0000-0000-0000F5360000}"/>
    <cellStyle name="Normal 3 5 2 12 10" xfId="14920" xr:uid="{00000000-0005-0000-0000-0000F6360000}"/>
    <cellStyle name="Normal 3 5 2 12 11" xfId="14921" xr:uid="{00000000-0005-0000-0000-0000F7360000}"/>
    <cellStyle name="Normal 3 5 2 12 12" xfId="14922" xr:uid="{00000000-0005-0000-0000-0000F8360000}"/>
    <cellStyle name="Normal 3 5 2 12 13" xfId="14923" xr:uid="{00000000-0005-0000-0000-0000F9360000}"/>
    <cellStyle name="Normal 3 5 2 12 14" xfId="14924" xr:uid="{00000000-0005-0000-0000-0000FA360000}"/>
    <cellStyle name="Normal 3 5 2 12 15" xfId="14925" xr:uid="{00000000-0005-0000-0000-0000FB360000}"/>
    <cellStyle name="Normal 3 5 2 12 2" xfId="14926" xr:uid="{00000000-0005-0000-0000-0000FC360000}"/>
    <cellStyle name="Normal 3 5 2 12 3" xfId="14927" xr:uid="{00000000-0005-0000-0000-0000FD360000}"/>
    <cellStyle name="Normal 3 5 2 12 4" xfId="14928" xr:uid="{00000000-0005-0000-0000-0000FE360000}"/>
    <cellStyle name="Normal 3 5 2 12 5" xfId="14929" xr:uid="{00000000-0005-0000-0000-0000FF360000}"/>
    <cellStyle name="Normal 3 5 2 12 6" xfId="14930" xr:uid="{00000000-0005-0000-0000-000000370000}"/>
    <cellStyle name="Normal 3 5 2 12 7" xfId="14931" xr:uid="{00000000-0005-0000-0000-000001370000}"/>
    <cellStyle name="Normal 3 5 2 12 8" xfId="14932" xr:uid="{00000000-0005-0000-0000-000002370000}"/>
    <cellStyle name="Normal 3 5 2 12 9" xfId="14933" xr:uid="{00000000-0005-0000-0000-000003370000}"/>
    <cellStyle name="Normal 3 5 2 13" xfId="14934" xr:uid="{00000000-0005-0000-0000-000004370000}"/>
    <cellStyle name="Normal 3 5 2 14" xfId="14935" xr:uid="{00000000-0005-0000-0000-000005370000}"/>
    <cellStyle name="Normal 3 5 2 15" xfId="14936" xr:uid="{00000000-0005-0000-0000-000006370000}"/>
    <cellStyle name="Normal 3 5 2 16" xfId="14937" xr:uid="{00000000-0005-0000-0000-000007370000}"/>
    <cellStyle name="Normal 3 5 2 17" xfId="14938" xr:uid="{00000000-0005-0000-0000-000008370000}"/>
    <cellStyle name="Normal 3 5 2 18" xfId="14939" xr:uid="{00000000-0005-0000-0000-000009370000}"/>
    <cellStyle name="Normal 3 5 2 19" xfId="14940" xr:uid="{00000000-0005-0000-0000-00000A370000}"/>
    <cellStyle name="Normal 3 5 2 2" xfId="14941" xr:uid="{00000000-0005-0000-0000-00000B370000}"/>
    <cellStyle name="Normal 3 5 2 2 10" xfId="14942" xr:uid="{00000000-0005-0000-0000-00000C370000}"/>
    <cellStyle name="Normal 3 5 2 2 11" xfId="14943" xr:uid="{00000000-0005-0000-0000-00000D370000}"/>
    <cellStyle name="Normal 3 5 2 2 12" xfId="14944" xr:uid="{00000000-0005-0000-0000-00000E370000}"/>
    <cellStyle name="Normal 3 5 2 2 13" xfId="14945" xr:uid="{00000000-0005-0000-0000-00000F370000}"/>
    <cellStyle name="Normal 3 5 2 2 14" xfId="14946" xr:uid="{00000000-0005-0000-0000-000010370000}"/>
    <cellStyle name="Normal 3 5 2 2 15" xfId="14947" xr:uid="{00000000-0005-0000-0000-000011370000}"/>
    <cellStyle name="Normal 3 5 2 2 16" xfId="14948" xr:uid="{00000000-0005-0000-0000-000012370000}"/>
    <cellStyle name="Normal 3 5 2 2 17" xfId="14949" xr:uid="{00000000-0005-0000-0000-000013370000}"/>
    <cellStyle name="Normal 3 5 2 2 18" xfId="14950" xr:uid="{00000000-0005-0000-0000-000014370000}"/>
    <cellStyle name="Normal 3 5 2 2 19" xfId="14951" xr:uid="{00000000-0005-0000-0000-000015370000}"/>
    <cellStyle name="Normal 3 5 2 2 2" xfId="14952" xr:uid="{00000000-0005-0000-0000-000016370000}"/>
    <cellStyle name="Normal 3 5 2 2 2 10" xfId="14953" xr:uid="{00000000-0005-0000-0000-000017370000}"/>
    <cellStyle name="Normal 3 5 2 2 2 11" xfId="14954" xr:uid="{00000000-0005-0000-0000-000018370000}"/>
    <cellStyle name="Normal 3 5 2 2 2 12" xfId="14955" xr:uid="{00000000-0005-0000-0000-000019370000}"/>
    <cellStyle name="Normal 3 5 2 2 2 13" xfId="14956" xr:uid="{00000000-0005-0000-0000-00001A370000}"/>
    <cellStyle name="Normal 3 5 2 2 2 14" xfId="14957" xr:uid="{00000000-0005-0000-0000-00001B370000}"/>
    <cellStyle name="Normal 3 5 2 2 2 15" xfId="14958" xr:uid="{00000000-0005-0000-0000-00001C370000}"/>
    <cellStyle name="Normal 3 5 2 2 2 16" xfId="14959" xr:uid="{00000000-0005-0000-0000-00001D370000}"/>
    <cellStyle name="Normal 3 5 2 2 2 17" xfId="14960" xr:uid="{00000000-0005-0000-0000-00001E370000}"/>
    <cellStyle name="Normal 3 5 2 2 2 18" xfId="14961" xr:uid="{00000000-0005-0000-0000-00001F370000}"/>
    <cellStyle name="Normal 3 5 2 2 2 19" xfId="14962" xr:uid="{00000000-0005-0000-0000-000020370000}"/>
    <cellStyle name="Normal 3 5 2 2 2 2" xfId="14963" xr:uid="{00000000-0005-0000-0000-000021370000}"/>
    <cellStyle name="Normal 3 5 2 2 2 2 10" xfId="14964" xr:uid="{00000000-0005-0000-0000-000022370000}"/>
    <cellStyle name="Normal 3 5 2 2 2 2 11" xfId="14965" xr:uid="{00000000-0005-0000-0000-000023370000}"/>
    <cellStyle name="Normal 3 5 2 2 2 2 12" xfId="14966" xr:uid="{00000000-0005-0000-0000-000024370000}"/>
    <cellStyle name="Normal 3 5 2 2 2 2 13" xfId="14967" xr:uid="{00000000-0005-0000-0000-000025370000}"/>
    <cellStyle name="Normal 3 5 2 2 2 2 14" xfId="14968" xr:uid="{00000000-0005-0000-0000-000026370000}"/>
    <cellStyle name="Normal 3 5 2 2 2 2 15" xfId="14969" xr:uid="{00000000-0005-0000-0000-000027370000}"/>
    <cellStyle name="Normal 3 5 2 2 2 2 2" xfId="14970" xr:uid="{00000000-0005-0000-0000-000028370000}"/>
    <cellStyle name="Normal 3 5 2 2 2 2 3" xfId="14971" xr:uid="{00000000-0005-0000-0000-000029370000}"/>
    <cellStyle name="Normal 3 5 2 2 2 2 4" xfId="14972" xr:uid="{00000000-0005-0000-0000-00002A370000}"/>
    <cellStyle name="Normal 3 5 2 2 2 2 5" xfId="14973" xr:uid="{00000000-0005-0000-0000-00002B370000}"/>
    <cellStyle name="Normal 3 5 2 2 2 2 6" xfId="14974" xr:uid="{00000000-0005-0000-0000-00002C370000}"/>
    <cellStyle name="Normal 3 5 2 2 2 2 7" xfId="14975" xr:uid="{00000000-0005-0000-0000-00002D370000}"/>
    <cellStyle name="Normal 3 5 2 2 2 2 8" xfId="14976" xr:uid="{00000000-0005-0000-0000-00002E370000}"/>
    <cellStyle name="Normal 3 5 2 2 2 2 9" xfId="14977" xr:uid="{00000000-0005-0000-0000-00002F370000}"/>
    <cellStyle name="Normal 3 5 2 2 2 20" xfId="14978" xr:uid="{00000000-0005-0000-0000-000030370000}"/>
    <cellStyle name="Normal 3 5 2 2 2 21" xfId="14979" xr:uid="{00000000-0005-0000-0000-000031370000}"/>
    <cellStyle name="Normal 3 5 2 2 2 22" xfId="14980" xr:uid="{00000000-0005-0000-0000-000032370000}"/>
    <cellStyle name="Normal 3 5 2 2 2 3" xfId="14981" xr:uid="{00000000-0005-0000-0000-000033370000}"/>
    <cellStyle name="Normal 3 5 2 2 2 3 10" xfId="14982" xr:uid="{00000000-0005-0000-0000-000034370000}"/>
    <cellStyle name="Normal 3 5 2 2 2 3 11" xfId="14983" xr:uid="{00000000-0005-0000-0000-000035370000}"/>
    <cellStyle name="Normal 3 5 2 2 2 3 12" xfId="14984" xr:uid="{00000000-0005-0000-0000-000036370000}"/>
    <cellStyle name="Normal 3 5 2 2 2 3 13" xfId="14985" xr:uid="{00000000-0005-0000-0000-000037370000}"/>
    <cellStyle name="Normal 3 5 2 2 2 3 14" xfId="14986" xr:uid="{00000000-0005-0000-0000-000038370000}"/>
    <cellStyle name="Normal 3 5 2 2 2 3 15" xfId="14987" xr:uid="{00000000-0005-0000-0000-000039370000}"/>
    <cellStyle name="Normal 3 5 2 2 2 3 2" xfId="14988" xr:uid="{00000000-0005-0000-0000-00003A370000}"/>
    <cellStyle name="Normal 3 5 2 2 2 3 3" xfId="14989" xr:uid="{00000000-0005-0000-0000-00003B370000}"/>
    <cellStyle name="Normal 3 5 2 2 2 3 4" xfId="14990" xr:uid="{00000000-0005-0000-0000-00003C370000}"/>
    <cellStyle name="Normal 3 5 2 2 2 3 5" xfId="14991" xr:uid="{00000000-0005-0000-0000-00003D370000}"/>
    <cellStyle name="Normal 3 5 2 2 2 3 6" xfId="14992" xr:uid="{00000000-0005-0000-0000-00003E370000}"/>
    <cellStyle name="Normal 3 5 2 2 2 3 7" xfId="14993" xr:uid="{00000000-0005-0000-0000-00003F370000}"/>
    <cellStyle name="Normal 3 5 2 2 2 3 8" xfId="14994" xr:uid="{00000000-0005-0000-0000-000040370000}"/>
    <cellStyle name="Normal 3 5 2 2 2 3 9" xfId="14995" xr:uid="{00000000-0005-0000-0000-000041370000}"/>
    <cellStyle name="Normal 3 5 2 2 2 4" xfId="14996" xr:uid="{00000000-0005-0000-0000-000042370000}"/>
    <cellStyle name="Normal 3 5 2 2 2 4 10" xfId="14997" xr:uid="{00000000-0005-0000-0000-000043370000}"/>
    <cellStyle name="Normal 3 5 2 2 2 4 11" xfId="14998" xr:uid="{00000000-0005-0000-0000-000044370000}"/>
    <cellStyle name="Normal 3 5 2 2 2 4 12" xfId="14999" xr:uid="{00000000-0005-0000-0000-000045370000}"/>
    <cellStyle name="Normal 3 5 2 2 2 4 13" xfId="15000" xr:uid="{00000000-0005-0000-0000-000046370000}"/>
    <cellStyle name="Normal 3 5 2 2 2 4 14" xfId="15001" xr:uid="{00000000-0005-0000-0000-000047370000}"/>
    <cellStyle name="Normal 3 5 2 2 2 4 15" xfId="15002" xr:uid="{00000000-0005-0000-0000-000048370000}"/>
    <cellStyle name="Normal 3 5 2 2 2 4 2" xfId="15003" xr:uid="{00000000-0005-0000-0000-000049370000}"/>
    <cellStyle name="Normal 3 5 2 2 2 4 3" xfId="15004" xr:uid="{00000000-0005-0000-0000-00004A370000}"/>
    <cellStyle name="Normal 3 5 2 2 2 4 4" xfId="15005" xr:uid="{00000000-0005-0000-0000-00004B370000}"/>
    <cellStyle name="Normal 3 5 2 2 2 4 5" xfId="15006" xr:uid="{00000000-0005-0000-0000-00004C370000}"/>
    <cellStyle name="Normal 3 5 2 2 2 4 6" xfId="15007" xr:uid="{00000000-0005-0000-0000-00004D370000}"/>
    <cellStyle name="Normal 3 5 2 2 2 4 7" xfId="15008" xr:uid="{00000000-0005-0000-0000-00004E370000}"/>
    <cellStyle name="Normal 3 5 2 2 2 4 8" xfId="15009" xr:uid="{00000000-0005-0000-0000-00004F370000}"/>
    <cellStyle name="Normal 3 5 2 2 2 4 9" xfId="15010" xr:uid="{00000000-0005-0000-0000-000050370000}"/>
    <cellStyle name="Normal 3 5 2 2 2 5" xfId="15011" xr:uid="{00000000-0005-0000-0000-000051370000}"/>
    <cellStyle name="Normal 3 5 2 2 2 5 10" xfId="15012" xr:uid="{00000000-0005-0000-0000-000052370000}"/>
    <cellStyle name="Normal 3 5 2 2 2 5 11" xfId="15013" xr:uid="{00000000-0005-0000-0000-000053370000}"/>
    <cellStyle name="Normal 3 5 2 2 2 5 12" xfId="15014" xr:uid="{00000000-0005-0000-0000-000054370000}"/>
    <cellStyle name="Normal 3 5 2 2 2 5 13" xfId="15015" xr:uid="{00000000-0005-0000-0000-000055370000}"/>
    <cellStyle name="Normal 3 5 2 2 2 5 14" xfId="15016" xr:uid="{00000000-0005-0000-0000-000056370000}"/>
    <cellStyle name="Normal 3 5 2 2 2 5 15" xfId="15017" xr:uid="{00000000-0005-0000-0000-000057370000}"/>
    <cellStyle name="Normal 3 5 2 2 2 5 2" xfId="15018" xr:uid="{00000000-0005-0000-0000-000058370000}"/>
    <cellStyle name="Normal 3 5 2 2 2 5 3" xfId="15019" xr:uid="{00000000-0005-0000-0000-000059370000}"/>
    <cellStyle name="Normal 3 5 2 2 2 5 4" xfId="15020" xr:uid="{00000000-0005-0000-0000-00005A370000}"/>
    <cellStyle name="Normal 3 5 2 2 2 5 5" xfId="15021" xr:uid="{00000000-0005-0000-0000-00005B370000}"/>
    <cellStyle name="Normal 3 5 2 2 2 5 6" xfId="15022" xr:uid="{00000000-0005-0000-0000-00005C370000}"/>
    <cellStyle name="Normal 3 5 2 2 2 5 7" xfId="15023" xr:uid="{00000000-0005-0000-0000-00005D370000}"/>
    <cellStyle name="Normal 3 5 2 2 2 5 8" xfId="15024" xr:uid="{00000000-0005-0000-0000-00005E370000}"/>
    <cellStyle name="Normal 3 5 2 2 2 5 9" xfId="15025" xr:uid="{00000000-0005-0000-0000-00005F370000}"/>
    <cellStyle name="Normal 3 5 2 2 2 6" xfId="15026" xr:uid="{00000000-0005-0000-0000-000060370000}"/>
    <cellStyle name="Normal 3 5 2 2 2 6 10" xfId="15027" xr:uid="{00000000-0005-0000-0000-000061370000}"/>
    <cellStyle name="Normal 3 5 2 2 2 6 11" xfId="15028" xr:uid="{00000000-0005-0000-0000-000062370000}"/>
    <cellStyle name="Normal 3 5 2 2 2 6 12" xfId="15029" xr:uid="{00000000-0005-0000-0000-000063370000}"/>
    <cellStyle name="Normal 3 5 2 2 2 6 13" xfId="15030" xr:uid="{00000000-0005-0000-0000-000064370000}"/>
    <cellStyle name="Normal 3 5 2 2 2 6 14" xfId="15031" xr:uid="{00000000-0005-0000-0000-000065370000}"/>
    <cellStyle name="Normal 3 5 2 2 2 6 15" xfId="15032" xr:uid="{00000000-0005-0000-0000-000066370000}"/>
    <cellStyle name="Normal 3 5 2 2 2 6 2" xfId="15033" xr:uid="{00000000-0005-0000-0000-000067370000}"/>
    <cellStyle name="Normal 3 5 2 2 2 6 3" xfId="15034" xr:uid="{00000000-0005-0000-0000-000068370000}"/>
    <cellStyle name="Normal 3 5 2 2 2 6 4" xfId="15035" xr:uid="{00000000-0005-0000-0000-000069370000}"/>
    <cellStyle name="Normal 3 5 2 2 2 6 5" xfId="15036" xr:uid="{00000000-0005-0000-0000-00006A370000}"/>
    <cellStyle name="Normal 3 5 2 2 2 6 6" xfId="15037" xr:uid="{00000000-0005-0000-0000-00006B370000}"/>
    <cellStyle name="Normal 3 5 2 2 2 6 7" xfId="15038" xr:uid="{00000000-0005-0000-0000-00006C370000}"/>
    <cellStyle name="Normal 3 5 2 2 2 6 8" xfId="15039" xr:uid="{00000000-0005-0000-0000-00006D370000}"/>
    <cellStyle name="Normal 3 5 2 2 2 6 9" xfId="15040" xr:uid="{00000000-0005-0000-0000-00006E370000}"/>
    <cellStyle name="Normal 3 5 2 2 2 7" xfId="15041" xr:uid="{00000000-0005-0000-0000-00006F370000}"/>
    <cellStyle name="Normal 3 5 2 2 2 7 10" xfId="15042" xr:uid="{00000000-0005-0000-0000-000070370000}"/>
    <cellStyle name="Normal 3 5 2 2 2 7 11" xfId="15043" xr:uid="{00000000-0005-0000-0000-000071370000}"/>
    <cellStyle name="Normal 3 5 2 2 2 7 12" xfId="15044" xr:uid="{00000000-0005-0000-0000-000072370000}"/>
    <cellStyle name="Normal 3 5 2 2 2 7 13" xfId="15045" xr:uid="{00000000-0005-0000-0000-000073370000}"/>
    <cellStyle name="Normal 3 5 2 2 2 7 14" xfId="15046" xr:uid="{00000000-0005-0000-0000-000074370000}"/>
    <cellStyle name="Normal 3 5 2 2 2 7 15" xfId="15047" xr:uid="{00000000-0005-0000-0000-000075370000}"/>
    <cellStyle name="Normal 3 5 2 2 2 7 2" xfId="15048" xr:uid="{00000000-0005-0000-0000-000076370000}"/>
    <cellStyle name="Normal 3 5 2 2 2 7 3" xfId="15049" xr:uid="{00000000-0005-0000-0000-000077370000}"/>
    <cellStyle name="Normal 3 5 2 2 2 7 4" xfId="15050" xr:uid="{00000000-0005-0000-0000-000078370000}"/>
    <cellStyle name="Normal 3 5 2 2 2 7 5" xfId="15051" xr:uid="{00000000-0005-0000-0000-000079370000}"/>
    <cellStyle name="Normal 3 5 2 2 2 7 6" xfId="15052" xr:uid="{00000000-0005-0000-0000-00007A370000}"/>
    <cellStyle name="Normal 3 5 2 2 2 7 7" xfId="15053" xr:uid="{00000000-0005-0000-0000-00007B370000}"/>
    <cellStyle name="Normal 3 5 2 2 2 7 8" xfId="15054" xr:uid="{00000000-0005-0000-0000-00007C370000}"/>
    <cellStyle name="Normal 3 5 2 2 2 7 9" xfId="15055" xr:uid="{00000000-0005-0000-0000-00007D370000}"/>
    <cellStyle name="Normal 3 5 2 2 2 8" xfId="15056" xr:uid="{00000000-0005-0000-0000-00007E370000}"/>
    <cellStyle name="Normal 3 5 2 2 2 8 10" xfId="15057" xr:uid="{00000000-0005-0000-0000-00007F370000}"/>
    <cellStyle name="Normal 3 5 2 2 2 8 11" xfId="15058" xr:uid="{00000000-0005-0000-0000-000080370000}"/>
    <cellStyle name="Normal 3 5 2 2 2 8 12" xfId="15059" xr:uid="{00000000-0005-0000-0000-000081370000}"/>
    <cellStyle name="Normal 3 5 2 2 2 8 13" xfId="15060" xr:uid="{00000000-0005-0000-0000-000082370000}"/>
    <cellStyle name="Normal 3 5 2 2 2 8 14" xfId="15061" xr:uid="{00000000-0005-0000-0000-000083370000}"/>
    <cellStyle name="Normal 3 5 2 2 2 8 15" xfId="15062" xr:uid="{00000000-0005-0000-0000-000084370000}"/>
    <cellStyle name="Normal 3 5 2 2 2 8 2" xfId="15063" xr:uid="{00000000-0005-0000-0000-000085370000}"/>
    <cellStyle name="Normal 3 5 2 2 2 8 3" xfId="15064" xr:uid="{00000000-0005-0000-0000-000086370000}"/>
    <cellStyle name="Normal 3 5 2 2 2 8 4" xfId="15065" xr:uid="{00000000-0005-0000-0000-000087370000}"/>
    <cellStyle name="Normal 3 5 2 2 2 8 5" xfId="15066" xr:uid="{00000000-0005-0000-0000-000088370000}"/>
    <cellStyle name="Normal 3 5 2 2 2 8 6" xfId="15067" xr:uid="{00000000-0005-0000-0000-000089370000}"/>
    <cellStyle name="Normal 3 5 2 2 2 8 7" xfId="15068" xr:uid="{00000000-0005-0000-0000-00008A370000}"/>
    <cellStyle name="Normal 3 5 2 2 2 8 8" xfId="15069" xr:uid="{00000000-0005-0000-0000-00008B370000}"/>
    <cellStyle name="Normal 3 5 2 2 2 8 9" xfId="15070" xr:uid="{00000000-0005-0000-0000-00008C370000}"/>
    <cellStyle name="Normal 3 5 2 2 2 9" xfId="15071" xr:uid="{00000000-0005-0000-0000-00008D370000}"/>
    <cellStyle name="Normal 3 5 2 2 20" xfId="15072" xr:uid="{00000000-0005-0000-0000-00008E370000}"/>
    <cellStyle name="Normal 3 5 2 2 21" xfId="15073" xr:uid="{00000000-0005-0000-0000-00008F370000}"/>
    <cellStyle name="Normal 3 5 2 2 22" xfId="15074" xr:uid="{00000000-0005-0000-0000-000090370000}"/>
    <cellStyle name="Normal 3 5 2 2 3" xfId="15075" xr:uid="{00000000-0005-0000-0000-000091370000}"/>
    <cellStyle name="Normal 3 5 2 2 3 10" xfId="15076" xr:uid="{00000000-0005-0000-0000-000092370000}"/>
    <cellStyle name="Normal 3 5 2 2 3 11" xfId="15077" xr:uid="{00000000-0005-0000-0000-000093370000}"/>
    <cellStyle name="Normal 3 5 2 2 3 12" xfId="15078" xr:uid="{00000000-0005-0000-0000-000094370000}"/>
    <cellStyle name="Normal 3 5 2 2 3 13" xfId="15079" xr:uid="{00000000-0005-0000-0000-000095370000}"/>
    <cellStyle name="Normal 3 5 2 2 3 14" xfId="15080" xr:uid="{00000000-0005-0000-0000-000096370000}"/>
    <cellStyle name="Normal 3 5 2 2 3 15" xfId="15081" xr:uid="{00000000-0005-0000-0000-000097370000}"/>
    <cellStyle name="Normal 3 5 2 2 3 2" xfId="15082" xr:uid="{00000000-0005-0000-0000-000098370000}"/>
    <cellStyle name="Normal 3 5 2 2 3 3" xfId="15083" xr:uid="{00000000-0005-0000-0000-000099370000}"/>
    <cellStyle name="Normal 3 5 2 2 3 4" xfId="15084" xr:uid="{00000000-0005-0000-0000-00009A370000}"/>
    <cellStyle name="Normal 3 5 2 2 3 5" xfId="15085" xr:uid="{00000000-0005-0000-0000-00009B370000}"/>
    <cellStyle name="Normal 3 5 2 2 3 6" xfId="15086" xr:uid="{00000000-0005-0000-0000-00009C370000}"/>
    <cellStyle name="Normal 3 5 2 2 3 7" xfId="15087" xr:uid="{00000000-0005-0000-0000-00009D370000}"/>
    <cellStyle name="Normal 3 5 2 2 3 8" xfId="15088" xr:uid="{00000000-0005-0000-0000-00009E370000}"/>
    <cellStyle name="Normal 3 5 2 2 3 9" xfId="15089" xr:uid="{00000000-0005-0000-0000-00009F370000}"/>
    <cellStyle name="Normal 3 5 2 2 4" xfId="15090" xr:uid="{00000000-0005-0000-0000-0000A0370000}"/>
    <cellStyle name="Normal 3 5 2 2 4 10" xfId="15091" xr:uid="{00000000-0005-0000-0000-0000A1370000}"/>
    <cellStyle name="Normal 3 5 2 2 4 11" xfId="15092" xr:uid="{00000000-0005-0000-0000-0000A2370000}"/>
    <cellStyle name="Normal 3 5 2 2 4 12" xfId="15093" xr:uid="{00000000-0005-0000-0000-0000A3370000}"/>
    <cellStyle name="Normal 3 5 2 2 4 13" xfId="15094" xr:uid="{00000000-0005-0000-0000-0000A4370000}"/>
    <cellStyle name="Normal 3 5 2 2 4 14" xfId="15095" xr:uid="{00000000-0005-0000-0000-0000A5370000}"/>
    <cellStyle name="Normal 3 5 2 2 4 15" xfId="15096" xr:uid="{00000000-0005-0000-0000-0000A6370000}"/>
    <cellStyle name="Normal 3 5 2 2 4 2" xfId="15097" xr:uid="{00000000-0005-0000-0000-0000A7370000}"/>
    <cellStyle name="Normal 3 5 2 2 4 3" xfId="15098" xr:uid="{00000000-0005-0000-0000-0000A8370000}"/>
    <cellStyle name="Normal 3 5 2 2 4 4" xfId="15099" xr:uid="{00000000-0005-0000-0000-0000A9370000}"/>
    <cellStyle name="Normal 3 5 2 2 4 5" xfId="15100" xr:uid="{00000000-0005-0000-0000-0000AA370000}"/>
    <cellStyle name="Normal 3 5 2 2 4 6" xfId="15101" xr:uid="{00000000-0005-0000-0000-0000AB370000}"/>
    <cellStyle name="Normal 3 5 2 2 4 7" xfId="15102" xr:uid="{00000000-0005-0000-0000-0000AC370000}"/>
    <cellStyle name="Normal 3 5 2 2 4 8" xfId="15103" xr:uid="{00000000-0005-0000-0000-0000AD370000}"/>
    <cellStyle name="Normal 3 5 2 2 4 9" xfId="15104" xr:uid="{00000000-0005-0000-0000-0000AE370000}"/>
    <cellStyle name="Normal 3 5 2 2 5" xfId="15105" xr:uid="{00000000-0005-0000-0000-0000AF370000}"/>
    <cellStyle name="Normal 3 5 2 2 5 10" xfId="15106" xr:uid="{00000000-0005-0000-0000-0000B0370000}"/>
    <cellStyle name="Normal 3 5 2 2 5 11" xfId="15107" xr:uid="{00000000-0005-0000-0000-0000B1370000}"/>
    <cellStyle name="Normal 3 5 2 2 5 12" xfId="15108" xr:uid="{00000000-0005-0000-0000-0000B2370000}"/>
    <cellStyle name="Normal 3 5 2 2 5 13" xfId="15109" xr:uid="{00000000-0005-0000-0000-0000B3370000}"/>
    <cellStyle name="Normal 3 5 2 2 5 14" xfId="15110" xr:uid="{00000000-0005-0000-0000-0000B4370000}"/>
    <cellStyle name="Normal 3 5 2 2 5 15" xfId="15111" xr:uid="{00000000-0005-0000-0000-0000B5370000}"/>
    <cellStyle name="Normal 3 5 2 2 5 2" xfId="15112" xr:uid="{00000000-0005-0000-0000-0000B6370000}"/>
    <cellStyle name="Normal 3 5 2 2 5 3" xfId="15113" xr:uid="{00000000-0005-0000-0000-0000B7370000}"/>
    <cellStyle name="Normal 3 5 2 2 5 4" xfId="15114" xr:uid="{00000000-0005-0000-0000-0000B8370000}"/>
    <cellStyle name="Normal 3 5 2 2 5 5" xfId="15115" xr:uid="{00000000-0005-0000-0000-0000B9370000}"/>
    <cellStyle name="Normal 3 5 2 2 5 6" xfId="15116" xr:uid="{00000000-0005-0000-0000-0000BA370000}"/>
    <cellStyle name="Normal 3 5 2 2 5 7" xfId="15117" xr:uid="{00000000-0005-0000-0000-0000BB370000}"/>
    <cellStyle name="Normal 3 5 2 2 5 8" xfId="15118" xr:uid="{00000000-0005-0000-0000-0000BC370000}"/>
    <cellStyle name="Normal 3 5 2 2 5 9" xfId="15119" xr:uid="{00000000-0005-0000-0000-0000BD370000}"/>
    <cellStyle name="Normal 3 5 2 2 6" xfId="15120" xr:uid="{00000000-0005-0000-0000-0000BE370000}"/>
    <cellStyle name="Normal 3 5 2 2 6 10" xfId="15121" xr:uid="{00000000-0005-0000-0000-0000BF370000}"/>
    <cellStyle name="Normal 3 5 2 2 6 11" xfId="15122" xr:uid="{00000000-0005-0000-0000-0000C0370000}"/>
    <cellStyle name="Normal 3 5 2 2 6 12" xfId="15123" xr:uid="{00000000-0005-0000-0000-0000C1370000}"/>
    <cellStyle name="Normal 3 5 2 2 6 13" xfId="15124" xr:uid="{00000000-0005-0000-0000-0000C2370000}"/>
    <cellStyle name="Normal 3 5 2 2 6 14" xfId="15125" xr:uid="{00000000-0005-0000-0000-0000C3370000}"/>
    <cellStyle name="Normal 3 5 2 2 6 15" xfId="15126" xr:uid="{00000000-0005-0000-0000-0000C4370000}"/>
    <cellStyle name="Normal 3 5 2 2 6 2" xfId="15127" xr:uid="{00000000-0005-0000-0000-0000C5370000}"/>
    <cellStyle name="Normal 3 5 2 2 6 3" xfId="15128" xr:uid="{00000000-0005-0000-0000-0000C6370000}"/>
    <cellStyle name="Normal 3 5 2 2 6 4" xfId="15129" xr:uid="{00000000-0005-0000-0000-0000C7370000}"/>
    <cellStyle name="Normal 3 5 2 2 6 5" xfId="15130" xr:uid="{00000000-0005-0000-0000-0000C8370000}"/>
    <cellStyle name="Normal 3 5 2 2 6 6" xfId="15131" xr:uid="{00000000-0005-0000-0000-0000C9370000}"/>
    <cellStyle name="Normal 3 5 2 2 6 7" xfId="15132" xr:uid="{00000000-0005-0000-0000-0000CA370000}"/>
    <cellStyle name="Normal 3 5 2 2 6 8" xfId="15133" xr:uid="{00000000-0005-0000-0000-0000CB370000}"/>
    <cellStyle name="Normal 3 5 2 2 6 9" xfId="15134" xr:uid="{00000000-0005-0000-0000-0000CC370000}"/>
    <cellStyle name="Normal 3 5 2 2 7" xfId="15135" xr:uid="{00000000-0005-0000-0000-0000CD370000}"/>
    <cellStyle name="Normal 3 5 2 2 7 10" xfId="15136" xr:uid="{00000000-0005-0000-0000-0000CE370000}"/>
    <cellStyle name="Normal 3 5 2 2 7 11" xfId="15137" xr:uid="{00000000-0005-0000-0000-0000CF370000}"/>
    <cellStyle name="Normal 3 5 2 2 7 12" xfId="15138" xr:uid="{00000000-0005-0000-0000-0000D0370000}"/>
    <cellStyle name="Normal 3 5 2 2 7 13" xfId="15139" xr:uid="{00000000-0005-0000-0000-0000D1370000}"/>
    <cellStyle name="Normal 3 5 2 2 7 14" xfId="15140" xr:uid="{00000000-0005-0000-0000-0000D2370000}"/>
    <cellStyle name="Normal 3 5 2 2 7 15" xfId="15141" xr:uid="{00000000-0005-0000-0000-0000D3370000}"/>
    <cellStyle name="Normal 3 5 2 2 7 16" xfId="15142" xr:uid="{00000000-0005-0000-0000-0000D4370000}"/>
    <cellStyle name="Normal 3 5 2 2 7 17" xfId="15143" xr:uid="{00000000-0005-0000-0000-0000D5370000}"/>
    <cellStyle name="Normal 3 5 2 2 7 18" xfId="15144" xr:uid="{00000000-0005-0000-0000-0000D6370000}"/>
    <cellStyle name="Normal 3 5 2 2 7 19" xfId="15145" xr:uid="{00000000-0005-0000-0000-0000D7370000}"/>
    <cellStyle name="Normal 3 5 2 2 7 2" xfId="15146" xr:uid="{00000000-0005-0000-0000-0000D8370000}"/>
    <cellStyle name="Normal 3 5 2 2 7 2 10" xfId="15147" xr:uid="{00000000-0005-0000-0000-0000D9370000}"/>
    <cellStyle name="Normal 3 5 2 2 7 2 11" xfId="15148" xr:uid="{00000000-0005-0000-0000-0000DA370000}"/>
    <cellStyle name="Normal 3 5 2 2 7 2 12" xfId="15149" xr:uid="{00000000-0005-0000-0000-0000DB370000}"/>
    <cellStyle name="Normal 3 5 2 2 7 2 13" xfId="15150" xr:uid="{00000000-0005-0000-0000-0000DC370000}"/>
    <cellStyle name="Normal 3 5 2 2 7 2 14" xfId="15151" xr:uid="{00000000-0005-0000-0000-0000DD370000}"/>
    <cellStyle name="Normal 3 5 2 2 7 2 15" xfId="15152" xr:uid="{00000000-0005-0000-0000-0000DE370000}"/>
    <cellStyle name="Normal 3 5 2 2 7 2 2" xfId="15153" xr:uid="{00000000-0005-0000-0000-0000DF370000}"/>
    <cellStyle name="Normal 3 5 2 2 7 2 3" xfId="15154" xr:uid="{00000000-0005-0000-0000-0000E0370000}"/>
    <cellStyle name="Normal 3 5 2 2 7 2 4" xfId="15155" xr:uid="{00000000-0005-0000-0000-0000E1370000}"/>
    <cellStyle name="Normal 3 5 2 2 7 2 5" xfId="15156" xr:uid="{00000000-0005-0000-0000-0000E2370000}"/>
    <cellStyle name="Normal 3 5 2 2 7 2 6" xfId="15157" xr:uid="{00000000-0005-0000-0000-0000E3370000}"/>
    <cellStyle name="Normal 3 5 2 2 7 2 7" xfId="15158" xr:uid="{00000000-0005-0000-0000-0000E4370000}"/>
    <cellStyle name="Normal 3 5 2 2 7 2 8" xfId="15159" xr:uid="{00000000-0005-0000-0000-0000E5370000}"/>
    <cellStyle name="Normal 3 5 2 2 7 2 9" xfId="15160" xr:uid="{00000000-0005-0000-0000-0000E6370000}"/>
    <cellStyle name="Normal 3 5 2 2 7 3" xfId="15161" xr:uid="{00000000-0005-0000-0000-0000E7370000}"/>
    <cellStyle name="Normal 3 5 2 2 7 3 10" xfId="15162" xr:uid="{00000000-0005-0000-0000-0000E8370000}"/>
    <cellStyle name="Normal 3 5 2 2 7 3 11" xfId="15163" xr:uid="{00000000-0005-0000-0000-0000E9370000}"/>
    <cellStyle name="Normal 3 5 2 2 7 3 12" xfId="15164" xr:uid="{00000000-0005-0000-0000-0000EA370000}"/>
    <cellStyle name="Normal 3 5 2 2 7 3 13" xfId="15165" xr:uid="{00000000-0005-0000-0000-0000EB370000}"/>
    <cellStyle name="Normal 3 5 2 2 7 3 14" xfId="15166" xr:uid="{00000000-0005-0000-0000-0000EC370000}"/>
    <cellStyle name="Normal 3 5 2 2 7 3 15" xfId="15167" xr:uid="{00000000-0005-0000-0000-0000ED370000}"/>
    <cellStyle name="Normal 3 5 2 2 7 3 2" xfId="15168" xr:uid="{00000000-0005-0000-0000-0000EE370000}"/>
    <cellStyle name="Normal 3 5 2 2 7 3 3" xfId="15169" xr:uid="{00000000-0005-0000-0000-0000EF370000}"/>
    <cellStyle name="Normal 3 5 2 2 7 3 4" xfId="15170" xr:uid="{00000000-0005-0000-0000-0000F0370000}"/>
    <cellStyle name="Normal 3 5 2 2 7 3 5" xfId="15171" xr:uid="{00000000-0005-0000-0000-0000F1370000}"/>
    <cellStyle name="Normal 3 5 2 2 7 3 6" xfId="15172" xr:uid="{00000000-0005-0000-0000-0000F2370000}"/>
    <cellStyle name="Normal 3 5 2 2 7 3 7" xfId="15173" xr:uid="{00000000-0005-0000-0000-0000F3370000}"/>
    <cellStyle name="Normal 3 5 2 2 7 3 8" xfId="15174" xr:uid="{00000000-0005-0000-0000-0000F4370000}"/>
    <cellStyle name="Normal 3 5 2 2 7 3 9" xfId="15175" xr:uid="{00000000-0005-0000-0000-0000F5370000}"/>
    <cellStyle name="Normal 3 5 2 2 7 4" xfId="15176" xr:uid="{00000000-0005-0000-0000-0000F6370000}"/>
    <cellStyle name="Normal 3 5 2 2 7 4 10" xfId="15177" xr:uid="{00000000-0005-0000-0000-0000F7370000}"/>
    <cellStyle name="Normal 3 5 2 2 7 4 11" xfId="15178" xr:uid="{00000000-0005-0000-0000-0000F8370000}"/>
    <cellStyle name="Normal 3 5 2 2 7 4 12" xfId="15179" xr:uid="{00000000-0005-0000-0000-0000F9370000}"/>
    <cellStyle name="Normal 3 5 2 2 7 4 13" xfId="15180" xr:uid="{00000000-0005-0000-0000-0000FA370000}"/>
    <cellStyle name="Normal 3 5 2 2 7 4 14" xfId="15181" xr:uid="{00000000-0005-0000-0000-0000FB370000}"/>
    <cellStyle name="Normal 3 5 2 2 7 4 15" xfId="15182" xr:uid="{00000000-0005-0000-0000-0000FC370000}"/>
    <cellStyle name="Normal 3 5 2 2 7 4 2" xfId="15183" xr:uid="{00000000-0005-0000-0000-0000FD370000}"/>
    <cellStyle name="Normal 3 5 2 2 7 4 3" xfId="15184" xr:uid="{00000000-0005-0000-0000-0000FE370000}"/>
    <cellStyle name="Normal 3 5 2 2 7 4 4" xfId="15185" xr:uid="{00000000-0005-0000-0000-0000FF370000}"/>
    <cellStyle name="Normal 3 5 2 2 7 4 5" xfId="15186" xr:uid="{00000000-0005-0000-0000-000000380000}"/>
    <cellStyle name="Normal 3 5 2 2 7 4 6" xfId="15187" xr:uid="{00000000-0005-0000-0000-000001380000}"/>
    <cellStyle name="Normal 3 5 2 2 7 4 7" xfId="15188" xr:uid="{00000000-0005-0000-0000-000002380000}"/>
    <cellStyle name="Normal 3 5 2 2 7 4 8" xfId="15189" xr:uid="{00000000-0005-0000-0000-000003380000}"/>
    <cellStyle name="Normal 3 5 2 2 7 4 9" xfId="15190" xr:uid="{00000000-0005-0000-0000-000004380000}"/>
    <cellStyle name="Normal 3 5 2 2 7 5" xfId="15191" xr:uid="{00000000-0005-0000-0000-000005380000}"/>
    <cellStyle name="Normal 3 5 2 2 7 5 10" xfId="15192" xr:uid="{00000000-0005-0000-0000-000006380000}"/>
    <cellStyle name="Normal 3 5 2 2 7 5 11" xfId="15193" xr:uid="{00000000-0005-0000-0000-000007380000}"/>
    <cellStyle name="Normal 3 5 2 2 7 5 12" xfId="15194" xr:uid="{00000000-0005-0000-0000-000008380000}"/>
    <cellStyle name="Normal 3 5 2 2 7 5 13" xfId="15195" xr:uid="{00000000-0005-0000-0000-000009380000}"/>
    <cellStyle name="Normal 3 5 2 2 7 5 14" xfId="15196" xr:uid="{00000000-0005-0000-0000-00000A380000}"/>
    <cellStyle name="Normal 3 5 2 2 7 5 15" xfId="15197" xr:uid="{00000000-0005-0000-0000-00000B380000}"/>
    <cellStyle name="Normal 3 5 2 2 7 5 2" xfId="15198" xr:uid="{00000000-0005-0000-0000-00000C380000}"/>
    <cellStyle name="Normal 3 5 2 2 7 5 3" xfId="15199" xr:uid="{00000000-0005-0000-0000-00000D380000}"/>
    <cellStyle name="Normal 3 5 2 2 7 5 4" xfId="15200" xr:uid="{00000000-0005-0000-0000-00000E380000}"/>
    <cellStyle name="Normal 3 5 2 2 7 5 5" xfId="15201" xr:uid="{00000000-0005-0000-0000-00000F380000}"/>
    <cellStyle name="Normal 3 5 2 2 7 5 6" xfId="15202" xr:uid="{00000000-0005-0000-0000-000010380000}"/>
    <cellStyle name="Normal 3 5 2 2 7 5 7" xfId="15203" xr:uid="{00000000-0005-0000-0000-000011380000}"/>
    <cellStyle name="Normal 3 5 2 2 7 5 8" xfId="15204" xr:uid="{00000000-0005-0000-0000-000012380000}"/>
    <cellStyle name="Normal 3 5 2 2 7 5 9" xfId="15205" xr:uid="{00000000-0005-0000-0000-000013380000}"/>
    <cellStyle name="Normal 3 5 2 2 7 6" xfId="15206" xr:uid="{00000000-0005-0000-0000-000014380000}"/>
    <cellStyle name="Normal 3 5 2 2 7 7" xfId="15207" xr:uid="{00000000-0005-0000-0000-000015380000}"/>
    <cellStyle name="Normal 3 5 2 2 7 8" xfId="15208" xr:uid="{00000000-0005-0000-0000-000016380000}"/>
    <cellStyle name="Normal 3 5 2 2 7 9" xfId="15209" xr:uid="{00000000-0005-0000-0000-000017380000}"/>
    <cellStyle name="Normal 3 5 2 2 8" xfId="15210" xr:uid="{00000000-0005-0000-0000-000018380000}"/>
    <cellStyle name="Normal 3 5 2 2 8 10" xfId="15211" xr:uid="{00000000-0005-0000-0000-000019380000}"/>
    <cellStyle name="Normal 3 5 2 2 8 11" xfId="15212" xr:uid="{00000000-0005-0000-0000-00001A380000}"/>
    <cellStyle name="Normal 3 5 2 2 8 12" xfId="15213" xr:uid="{00000000-0005-0000-0000-00001B380000}"/>
    <cellStyle name="Normal 3 5 2 2 8 13" xfId="15214" xr:uid="{00000000-0005-0000-0000-00001C380000}"/>
    <cellStyle name="Normal 3 5 2 2 8 14" xfId="15215" xr:uid="{00000000-0005-0000-0000-00001D380000}"/>
    <cellStyle name="Normal 3 5 2 2 8 15" xfId="15216" xr:uid="{00000000-0005-0000-0000-00001E380000}"/>
    <cellStyle name="Normal 3 5 2 2 8 16" xfId="15217" xr:uid="{00000000-0005-0000-0000-00001F380000}"/>
    <cellStyle name="Normal 3 5 2 2 8 17" xfId="15218" xr:uid="{00000000-0005-0000-0000-000020380000}"/>
    <cellStyle name="Normal 3 5 2 2 8 18" xfId="15219" xr:uid="{00000000-0005-0000-0000-000021380000}"/>
    <cellStyle name="Normal 3 5 2 2 8 19" xfId="15220" xr:uid="{00000000-0005-0000-0000-000022380000}"/>
    <cellStyle name="Normal 3 5 2 2 8 2" xfId="15221" xr:uid="{00000000-0005-0000-0000-000023380000}"/>
    <cellStyle name="Normal 3 5 2 2 8 2 10" xfId="15222" xr:uid="{00000000-0005-0000-0000-000024380000}"/>
    <cellStyle name="Normal 3 5 2 2 8 2 11" xfId="15223" xr:uid="{00000000-0005-0000-0000-000025380000}"/>
    <cellStyle name="Normal 3 5 2 2 8 2 12" xfId="15224" xr:uid="{00000000-0005-0000-0000-000026380000}"/>
    <cellStyle name="Normal 3 5 2 2 8 2 13" xfId="15225" xr:uid="{00000000-0005-0000-0000-000027380000}"/>
    <cellStyle name="Normal 3 5 2 2 8 2 14" xfId="15226" xr:uid="{00000000-0005-0000-0000-000028380000}"/>
    <cellStyle name="Normal 3 5 2 2 8 2 15" xfId="15227" xr:uid="{00000000-0005-0000-0000-000029380000}"/>
    <cellStyle name="Normal 3 5 2 2 8 2 2" xfId="15228" xr:uid="{00000000-0005-0000-0000-00002A380000}"/>
    <cellStyle name="Normal 3 5 2 2 8 2 3" xfId="15229" xr:uid="{00000000-0005-0000-0000-00002B380000}"/>
    <cellStyle name="Normal 3 5 2 2 8 2 4" xfId="15230" xr:uid="{00000000-0005-0000-0000-00002C380000}"/>
    <cellStyle name="Normal 3 5 2 2 8 2 5" xfId="15231" xr:uid="{00000000-0005-0000-0000-00002D380000}"/>
    <cellStyle name="Normal 3 5 2 2 8 2 6" xfId="15232" xr:uid="{00000000-0005-0000-0000-00002E380000}"/>
    <cellStyle name="Normal 3 5 2 2 8 2 7" xfId="15233" xr:uid="{00000000-0005-0000-0000-00002F380000}"/>
    <cellStyle name="Normal 3 5 2 2 8 2 8" xfId="15234" xr:uid="{00000000-0005-0000-0000-000030380000}"/>
    <cellStyle name="Normal 3 5 2 2 8 2 9" xfId="15235" xr:uid="{00000000-0005-0000-0000-000031380000}"/>
    <cellStyle name="Normal 3 5 2 2 8 3" xfId="15236" xr:uid="{00000000-0005-0000-0000-000032380000}"/>
    <cellStyle name="Normal 3 5 2 2 8 3 10" xfId="15237" xr:uid="{00000000-0005-0000-0000-000033380000}"/>
    <cellStyle name="Normal 3 5 2 2 8 3 11" xfId="15238" xr:uid="{00000000-0005-0000-0000-000034380000}"/>
    <cellStyle name="Normal 3 5 2 2 8 3 12" xfId="15239" xr:uid="{00000000-0005-0000-0000-000035380000}"/>
    <cellStyle name="Normal 3 5 2 2 8 3 13" xfId="15240" xr:uid="{00000000-0005-0000-0000-000036380000}"/>
    <cellStyle name="Normal 3 5 2 2 8 3 14" xfId="15241" xr:uid="{00000000-0005-0000-0000-000037380000}"/>
    <cellStyle name="Normal 3 5 2 2 8 3 15" xfId="15242" xr:uid="{00000000-0005-0000-0000-000038380000}"/>
    <cellStyle name="Normal 3 5 2 2 8 3 2" xfId="15243" xr:uid="{00000000-0005-0000-0000-000039380000}"/>
    <cellStyle name="Normal 3 5 2 2 8 3 3" xfId="15244" xr:uid="{00000000-0005-0000-0000-00003A380000}"/>
    <cellStyle name="Normal 3 5 2 2 8 3 4" xfId="15245" xr:uid="{00000000-0005-0000-0000-00003B380000}"/>
    <cellStyle name="Normal 3 5 2 2 8 3 5" xfId="15246" xr:uid="{00000000-0005-0000-0000-00003C380000}"/>
    <cellStyle name="Normal 3 5 2 2 8 3 6" xfId="15247" xr:uid="{00000000-0005-0000-0000-00003D380000}"/>
    <cellStyle name="Normal 3 5 2 2 8 3 7" xfId="15248" xr:uid="{00000000-0005-0000-0000-00003E380000}"/>
    <cellStyle name="Normal 3 5 2 2 8 3 8" xfId="15249" xr:uid="{00000000-0005-0000-0000-00003F380000}"/>
    <cellStyle name="Normal 3 5 2 2 8 3 9" xfId="15250" xr:uid="{00000000-0005-0000-0000-000040380000}"/>
    <cellStyle name="Normal 3 5 2 2 8 4" xfId="15251" xr:uid="{00000000-0005-0000-0000-000041380000}"/>
    <cellStyle name="Normal 3 5 2 2 8 4 10" xfId="15252" xr:uid="{00000000-0005-0000-0000-000042380000}"/>
    <cellStyle name="Normal 3 5 2 2 8 4 11" xfId="15253" xr:uid="{00000000-0005-0000-0000-000043380000}"/>
    <cellStyle name="Normal 3 5 2 2 8 4 12" xfId="15254" xr:uid="{00000000-0005-0000-0000-000044380000}"/>
    <cellStyle name="Normal 3 5 2 2 8 4 13" xfId="15255" xr:uid="{00000000-0005-0000-0000-000045380000}"/>
    <cellStyle name="Normal 3 5 2 2 8 4 14" xfId="15256" xr:uid="{00000000-0005-0000-0000-000046380000}"/>
    <cellStyle name="Normal 3 5 2 2 8 4 15" xfId="15257" xr:uid="{00000000-0005-0000-0000-000047380000}"/>
    <cellStyle name="Normal 3 5 2 2 8 4 2" xfId="15258" xr:uid="{00000000-0005-0000-0000-000048380000}"/>
    <cellStyle name="Normal 3 5 2 2 8 4 3" xfId="15259" xr:uid="{00000000-0005-0000-0000-000049380000}"/>
    <cellStyle name="Normal 3 5 2 2 8 4 4" xfId="15260" xr:uid="{00000000-0005-0000-0000-00004A380000}"/>
    <cellStyle name="Normal 3 5 2 2 8 4 5" xfId="15261" xr:uid="{00000000-0005-0000-0000-00004B380000}"/>
    <cellStyle name="Normal 3 5 2 2 8 4 6" xfId="15262" xr:uid="{00000000-0005-0000-0000-00004C380000}"/>
    <cellStyle name="Normal 3 5 2 2 8 4 7" xfId="15263" xr:uid="{00000000-0005-0000-0000-00004D380000}"/>
    <cellStyle name="Normal 3 5 2 2 8 4 8" xfId="15264" xr:uid="{00000000-0005-0000-0000-00004E380000}"/>
    <cellStyle name="Normal 3 5 2 2 8 4 9" xfId="15265" xr:uid="{00000000-0005-0000-0000-00004F380000}"/>
    <cellStyle name="Normal 3 5 2 2 8 5" xfId="15266" xr:uid="{00000000-0005-0000-0000-000050380000}"/>
    <cellStyle name="Normal 3 5 2 2 8 5 10" xfId="15267" xr:uid="{00000000-0005-0000-0000-000051380000}"/>
    <cellStyle name="Normal 3 5 2 2 8 5 11" xfId="15268" xr:uid="{00000000-0005-0000-0000-000052380000}"/>
    <cellStyle name="Normal 3 5 2 2 8 5 12" xfId="15269" xr:uid="{00000000-0005-0000-0000-000053380000}"/>
    <cellStyle name="Normal 3 5 2 2 8 5 13" xfId="15270" xr:uid="{00000000-0005-0000-0000-000054380000}"/>
    <cellStyle name="Normal 3 5 2 2 8 5 14" xfId="15271" xr:uid="{00000000-0005-0000-0000-000055380000}"/>
    <cellStyle name="Normal 3 5 2 2 8 5 15" xfId="15272" xr:uid="{00000000-0005-0000-0000-000056380000}"/>
    <cellStyle name="Normal 3 5 2 2 8 5 2" xfId="15273" xr:uid="{00000000-0005-0000-0000-000057380000}"/>
    <cellStyle name="Normal 3 5 2 2 8 5 3" xfId="15274" xr:uid="{00000000-0005-0000-0000-000058380000}"/>
    <cellStyle name="Normal 3 5 2 2 8 5 4" xfId="15275" xr:uid="{00000000-0005-0000-0000-000059380000}"/>
    <cellStyle name="Normal 3 5 2 2 8 5 5" xfId="15276" xr:uid="{00000000-0005-0000-0000-00005A380000}"/>
    <cellStyle name="Normal 3 5 2 2 8 5 6" xfId="15277" xr:uid="{00000000-0005-0000-0000-00005B380000}"/>
    <cellStyle name="Normal 3 5 2 2 8 5 7" xfId="15278" xr:uid="{00000000-0005-0000-0000-00005C380000}"/>
    <cellStyle name="Normal 3 5 2 2 8 5 8" xfId="15279" xr:uid="{00000000-0005-0000-0000-00005D380000}"/>
    <cellStyle name="Normal 3 5 2 2 8 5 9" xfId="15280" xr:uid="{00000000-0005-0000-0000-00005E380000}"/>
    <cellStyle name="Normal 3 5 2 2 8 6" xfId="15281" xr:uid="{00000000-0005-0000-0000-00005F380000}"/>
    <cellStyle name="Normal 3 5 2 2 8 7" xfId="15282" xr:uid="{00000000-0005-0000-0000-000060380000}"/>
    <cellStyle name="Normal 3 5 2 2 8 8" xfId="15283" xr:uid="{00000000-0005-0000-0000-000061380000}"/>
    <cellStyle name="Normal 3 5 2 2 8 9" xfId="15284" xr:uid="{00000000-0005-0000-0000-000062380000}"/>
    <cellStyle name="Normal 3 5 2 2 9" xfId="15285" xr:uid="{00000000-0005-0000-0000-000063380000}"/>
    <cellStyle name="Normal 3 5 2 20" xfId="15286" xr:uid="{00000000-0005-0000-0000-000064380000}"/>
    <cellStyle name="Normal 3 5 2 21" xfId="15287" xr:uid="{00000000-0005-0000-0000-000065380000}"/>
    <cellStyle name="Normal 3 5 2 22" xfId="15288" xr:uid="{00000000-0005-0000-0000-000066380000}"/>
    <cellStyle name="Normal 3 5 2 23" xfId="15289" xr:uid="{00000000-0005-0000-0000-000067380000}"/>
    <cellStyle name="Normal 3 5 2 24" xfId="15290" xr:uid="{00000000-0005-0000-0000-000068380000}"/>
    <cellStyle name="Normal 3 5 2 25" xfId="15291" xr:uid="{00000000-0005-0000-0000-000069380000}"/>
    <cellStyle name="Normal 3 5 2 26" xfId="15292" xr:uid="{00000000-0005-0000-0000-00006A380000}"/>
    <cellStyle name="Normal 3 5 2 27" xfId="15293" xr:uid="{00000000-0005-0000-0000-00006B380000}"/>
    <cellStyle name="Normal 3 5 2 3" xfId="15294" xr:uid="{00000000-0005-0000-0000-00006C380000}"/>
    <cellStyle name="Normal 3 5 2 3 10" xfId="15295" xr:uid="{00000000-0005-0000-0000-00006D380000}"/>
    <cellStyle name="Normal 3 5 2 3 11" xfId="15296" xr:uid="{00000000-0005-0000-0000-00006E380000}"/>
    <cellStyle name="Normal 3 5 2 3 12" xfId="15297" xr:uid="{00000000-0005-0000-0000-00006F380000}"/>
    <cellStyle name="Normal 3 5 2 3 13" xfId="15298" xr:uid="{00000000-0005-0000-0000-000070380000}"/>
    <cellStyle name="Normal 3 5 2 3 14" xfId="15299" xr:uid="{00000000-0005-0000-0000-000071380000}"/>
    <cellStyle name="Normal 3 5 2 3 15" xfId="15300" xr:uid="{00000000-0005-0000-0000-000072380000}"/>
    <cellStyle name="Normal 3 5 2 3 16" xfId="15301" xr:uid="{00000000-0005-0000-0000-000073380000}"/>
    <cellStyle name="Normal 3 5 2 3 17" xfId="15302" xr:uid="{00000000-0005-0000-0000-000074380000}"/>
    <cellStyle name="Normal 3 5 2 3 18" xfId="15303" xr:uid="{00000000-0005-0000-0000-000075380000}"/>
    <cellStyle name="Normal 3 5 2 3 19" xfId="15304" xr:uid="{00000000-0005-0000-0000-000076380000}"/>
    <cellStyle name="Normal 3 5 2 3 2" xfId="15305" xr:uid="{00000000-0005-0000-0000-000077380000}"/>
    <cellStyle name="Normal 3 5 2 3 2 10" xfId="15306" xr:uid="{00000000-0005-0000-0000-000078380000}"/>
    <cellStyle name="Normal 3 5 2 3 2 11" xfId="15307" xr:uid="{00000000-0005-0000-0000-000079380000}"/>
    <cellStyle name="Normal 3 5 2 3 2 12" xfId="15308" xr:uid="{00000000-0005-0000-0000-00007A380000}"/>
    <cellStyle name="Normal 3 5 2 3 2 13" xfId="15309" xr:uid="{00000000-0005-0000-0000-00007B380000}"/>
    <cellStyle name="Normal 3 5 2 3 2 14" xfId="15310" xr:uid="{00000000-0005-0000-0000-00007C380000}"/>
    <cellStyle name="Normal 3 5 2 3 2 15" xfId="15311" xr:uid="{00000000-0005-0000-0000-00007D380000}"/>
    <cellStyle name="Normal 3 5 2 3 2 2" xfId="15312" xr:uid="{00000000-0005-0000-0000-00007E380000}"/>
    <cellStyle name="Normal 3 5 2 3 2 3" xfId="15313" xr:uid="{00000000-0005-0000-0000-00007F380000}"/>
    <cellStyle name="Normal 3 5 2 3 2 4" xfId="15314" xr:uid="{00000000-0005-0000-0000-000080380000}"/>
    <cellStyle name="Normal 3 5 2 3 2 5" xfId="15315" xr:uid="{00000000-0005-0000-0000-000081380000}"/>
    <cellStyle name="Normal 3 5 2 3 2 6" xfId="15316" xr:uid="{00000000-0005-0000-0000-000082380000}"/>
    <cellStyle name="Normal 3 5 2 3 2 7" xfId="15317" xr:uid="{00000000-0005-0000-0000-000083380000}"/>
    <cellStyle name="Normal 3 5 2 3 2 8" xfId="15318" xr:uid="{00000000-0005-0000-0000-000084380000}"/>
    <cellStyle name="Normal 3 5 2 3 2 9" xfId="15319" xr:uid="{00000000-0005-0000-0000-000085380000}"/>
    <cellStyle name="Normal 3 5 2 3 3" xfId="15320" xr:uid="{00000000-0005-0000-0000-000086380000}"/>
    <cellStyle name="Normal 3 5 2 3 3 10" xfId="15321" xr:uid="{00000000-0005-0000-0000-000087380000}"/>
    <cellStyle name="Normal 3 5 2 3 3 11" xfId="15322" xr:uid="{00000000-0005-0000-0000-000088380000}"/>
    <cellStyle name="Normal 3 5 2 3 3 12" xfId="15323" xr:uid="{00000000-0005-0000-0000-000089380000}"/>
    <cellStyle name="Normal 3 5 2 3 3 13" xfId="15324" xr:uid="{00000000-0005-0000-0000-00008A380000}"/>
    <cellStyle name="Normal 3 5 2 3 3 14" xfId="15325" xr:uid="{00000000-0005-0000-0000-00008B380000}"/>
    <cellStyle name="Normal 3 5 2 3 3 15" xfId="15326" xr:uid="{00000000-0005-0000-0000-00008C380000}"/>
    <cellStyle name="Normal 3 5 2 3 3 2" xfId="15327" xr:uid="{00000000-0005-0000-0000-00008D380000}"/>
    <cellStyle name="Normal 3 5 2 3 3 3" xfId="15328" xr:uid="{00000000-0005-0000-0000-00008E380000}"/>
    <cellStyle name="Normal 3 5 2 3 3 4" xfId="15329" xr:uid="{00000000-0005-0000-0000-00008F380000}"/>
    <cellStyle name="Normal 3 5 2 3 3 5" xfId="15330" xr:uid="{00000000-0005-0000-0000-000090380000}"/>
    <cellStyle name="Normal 3 5 2 3 3 6" xfId="15331" xr:uid="{00000000-0005-0000-0000-000091380000}"/>
    <cellStyle name="Normal 3 5 2 3 3 7" xfId="15332" xr:uid="{00000000-0005-0000-0000-000092380000}"/>
    <cellStyle name="Normal 3 5 2 3 3 8" xfId="15333" xr:uid="{00000000-0005-0000-0000-000093380000}"/>
    <cellStyle name="Normal 3 5 2 3 3 9" xfId="15334" xr:uid="{00000000-0005-0000-0000-000094380000}"/>
    <cellStyle name="Normal 3 5 2 3 4" xfId="15335" xr:uid="{00000000-0005-0000-0000-000095380000}"/>
    <cellStyle name="Normal 3 5 2 3 4 10" xfId="15336" xr:uid="{00000000-0005-0000-0000-000096380000}"/>
    <cellStyle name="Normal 3 5 2 3 4 11" xfId="15337" xr:uid="{00000000-0005-0000-0000-000097380000}"/>
    <cellStyle name="Normal 3 5 2 3 4 12" xfId="15338" xr:uid="{00000000-0005-0000-0000-000098380000}"/>
    <cellStyle name="Normal 3 5 2 3 4 13" xfId="15339" xr:uid="{00000000-0005-0000-0000-000099380000}"/>
    <cellStyle name="Normal 3 5 2 3 4 14" xfId="15340" xr:uid="{00000000-0005-0000-0000-00009A380000}"/>
    <cellStyle name="Normal 3 5 2 3 4 15" xfId="15341" xr:uid="{00000000-0005-0000-0000-00009B380000}"/>
    <cellStyle name="Normal 3 5 2 3 4 2" xfId="15342" xr:uid="{00000000-0005-0000-0000-00009C380000}"/>
    <cellStyle name="Normal 3 5 2 3 4 3" xfId="15343" xr:uid="{00000000-0005-0000-0000-00009D380000}"/>
    <cellStyle name="Normal 3 5 2 3 4 4" xfId="15344" xr:uid="{00000000-0005-0000-0000-00009E380000}"/>
    <cellStyle name="Normal 3 5 2 3 4 5" xfId="15345" xr:uid="{00000000-0005-0000-0000-00009F380000}"/>
    <cellStyle name="Normal 3 5 2 3 4 6" xfId="15346" xr:uid="{00000000-0005-0000-0000-0000A0380000}"/>
    <cellStyle name="Normal 3 5 2 3 4 7" xfId="15347" xr:uid="{00000000-0005-0000-0000-0000A1380000}"/>
    <cellStyle name="Normal 3 5 2 3 4 8" xfId="15348" xr:uid="{00000000-0005-0000-0000-0000A2380000}"/>
    <cellStyle name="Normal 3 5 2 3 4 9" xfId="15349" xr:uid="{00000000-0005-0000-0000-0000A3380000}"/>
    <cellStyle name="Normal 3 5 2 3 5" xfId="15350" xr:uid="{00000000-0005-0000-0000-0000A4380000}"/>
    <cellStyle name="Normal 3 5 2 3 5 10" xfId="15351" xr:uid="{00000000-0005-0000-0000-0000A5380000}"/>
    <cellStyle name="Normal 3 5 2 3 5 11" xfId="15352" xr:uid="{00000000-0005-0000-0000-0000A6380000}"/>
    <cellStyle name="Normal 3 5 2 3 5 12" xfId="15353" xr:uid="{00000000-0005-0000-0000-0000A7380000}"/>
    <cellStyle name="Normal 3 5 2 3 5 13" xfId="15354" xr:uid="{00000000-0005-0000-0000-0000A8380000}"/>
    <cellStyle name="Normal 3 5 2 3 5 14" xfId="15355" xr:uid="{00000000-0005-0000-0000-0000A9380000}"/>
    <cellStyle name="Normal 3 5 2 3 5 15" xfId="15356" xr:uid="{00000000-0005-0000-0000-0000AA380000}"/>
    <cellStyle name="Normal 3 5 2 3 5 2" xfId="15357" xr:uid="{00000000-0005-0000-0000-0000AB380000}"/>
    <cellStyle name="Normal 3 5 2 3 5 3" xfId="15358" xr:uid="{00000000-0005-0000-0000-0000AC380000}"/>
    <cellStyle name="Normal 3 5 2 3 5 4" xfId="15359" xr:uid="{00000000-0005-0000-0000-0000AD380000}"/>
    <cellStyle name="Normal 3 5 2 3 5 5" xfId="15360" xr:uid="{00000000-0005-0000-0000-0000AE380000}"/>
    <cellStyle name="Normal 3 5 2 3 5 6" xfId="15361" xr:uid="{00000000-0005-0000-0000-0000AF380000}"/>
    <cellStyle name="Normal 3 5 2 3 5 7" xfId="15362" xr:uid="{00000000-0005-0000-0000-0000B0380000}"/>
    <cellStyle name="Normal 3 5 2 3 5 8" xfId="15363" xr:uid="{00000000-0005-0000-0000-0000B1380000}"/>
    <cellStyle name="Normal 3 5 2 3 5 9" xfId="15364" xr:uid="{00000000-0005-0000-0000-0000B2380000}"/>
    <cellStyle name="Normal 3 5 2 3 6" xfId="15365" xr:uid="{00000000-0005-0000-0000-0000B3380000}"/>
    <cellStyle name="Normal 3 5 2 3 7" xfId="15366" xr:uid="{00000000-0005-0000-0000-0000B4380000}"/>
    <cellStyle name="Normal 3 5 2 3 8" xfId="15367" xr:uid="{00000000-0005-0000-0000-0000B5380000}"/>
    <cellStyle name="Normal 3 5 2 3 9" xfId="15368" xr:uid="{00000000-0005-0000-0000-0000B6380000}"/>
    <cellStyle name="Normal 3 5 2 4" xfId="15369" xr:uid="{00000000-0005-0000-0000-0000B7380000}"/>
    <cellStyle name="Normal 3 5 2 4 10" xfId="15370" xr:uid="{00000000-0005-0000-0000-0000B8380000}"/>
    <cellStyle name="Normal 3 5 2 4 11" xfId="15371" xr:uid="{00000000-0005-0000-0000-0000B9380000}"/>
    <cellStyle name="Normal 3 5 2 4 12" xfId="15372" xr:uid="{00000000-0005-0000-0000-0000BA380000}"/>
    <cellStyle name="Normal 3 5 2 4 13" xfId="15373" xr:uid="{00000000-0005-0000-0000-0000BB380000}"/>
    <cellStyle name="Normal 3 5 2 4 14" xfId="15374" xr:uid="{00000000-0005-0000-0000-0000BC380000}"/>
    <cellStyle name="Normal 3 5 2 4 15" xfId="15375" xr:uid="{00000000-0005-0000-0000-0000BD380000}"/>
    <cellStyle name="Normal 3 5 2 4 16" xfId="15376" xr:uid="{00000000-0005-0000-0000-0000BE380000}"/>
    <cellStyle name="Normal 3 5 2 4 17" xfId="15377" xr:uid="{00000000-0005-0000-0000-0000BF380000}"/>
    <cellStyle name="Normal 3 5 2 4 18" xfId="15378" xr:uid="{00000000-0005-0000-0000-0000C0380000}"/>
    <cellStyle name="Normal 3 5 2 4 19" xfId="15379" xr:uid="{00000000-0005-0000-0000-0000C1380000}"/>
    <cellStyle name="Normal 3 5 2 4 2" xfId="15380" xr:uid="{00000000-0005-0000-0000-0000C2380000}"/>
    <cellStyle name="Normal 3 5 2 4 2 10" xfId="15381" xr:uid="{00000000-0005-0000-0000-0000C3380000}"/>
    <cellStyle name="Normal 3 5 2 4 2 11" xfId="15382" xr:uid="{00000000-0005-0000-0000-0000C4380000}"/>
    <cellStyle name="Normal 3 5 2 4 2 12" xfId="15383" xr:uid="{00000000-0005-0000-0000-0000C5380000}"/>
    <cellStyle name="Normal 3 5 2 4 2 13" xfId="15384" xr:uid="{00000000-0005-0000-0000-0000C6380000}"/>
    <cellStyle name="Normal 3 5 2 4 2 14" xfId="15385" xr:uid="{00000000-0005-0000-0000-0000C7380000}"/>
    <cellStyle name="Normal 3 5 2 4 2 15" xfId="15386" xr:uid="{00000000-0005-0000-0000-0000C8380000}"/>
    <cellStyle name="Normal 3 5 2 4 2 2" xfId="15387" xr:uid="{00000000-0005-0000-0000-0000C9380000}"/>
    <cellStyle name="Normal 3 5 2 4 2 3" xfId="15388" xr:uid="{00000000-0005-0000-0000-0000CA380000}"/>
    <cellStyle name="Normal 3 5 2 4 2 4" xfId="15389" xr:uid="{00000000-0005-0000-0000-0000CB380000}"/>
    <cellStyle name="Normal 3 5 2 4 2 5" xfId="15390" xr:uid="{00000000-0005-0000-0000-0000CC380000}"/>
    <cellStyle name="Normal 3 5 2 4 2 6" xfId="15391" xr:uid="{00000000-0005-0000-0000-0000CD380000}"/>
    <cellStyle name="Normal 3 5 2 4 2 7" xfId="15392" xr:uid="{00000000-0005-0000-0000-0000CE380000}"/>
    <cellStyle name="Normal 3 5 2 4 2 8" xfId="15393" xr:uid="{00000000-0005-0000-0000-0000CF380000}"/>
    <cellStyle name="Normal 3 5 2 4 2 9" xfId="15394" xr:uid="{00000000-0005-0000-0000-0000D0380000}"/>
    <cellStyle name="Normal 3 5 2 4 3" xfId="15395" xr:uid="{00000000-0005-0000-0000-0000D1380000}"/>
    <cellStyle name="Normal 3 5 2 4 3 10" xfId="15396" xr:uid="{00000000-0005-0000-0000-0000D2380000}"/>
    <cellStyle name="Normal 3 5 2 4 3 11" xfId="15397" xr:uid="{00000000-0005-0000-0000-0000D3380000}"/>
    <cellStyle name="Normal 3 5 2 4 3 12" xfId="15398" xr:uid="{00000000-0005-0000-0000-0000D4380000}"/>
    <cellStyle name="Normal 3 5 2 4 3 13" xfId="15399" xr:uid="{00000000-0005-0000-0000-0000D5380000}"/>
    <cellStyle name="Normal 3 5 2 4 3 14" xfId="15400" xr:uid="{00000000-0005-0000-0000-0000D6380000}"/>
    <cellStyle name="Normal 3 5 2 4 3 15" xfId="15401" xr:uid="{00000000-0005-0000-0000-0000D7380000}"/>
    <cellStyle name="Normal 3 5 2 4 3 2" xfId="15402" xr:uid="{00000000-0005-0000-0000-0000D8380000}"/>
    <cellStyle name="Normal 3 5 2 4 3 3" xfId="15403" xr:uid="{00000000-0005-0000-0000-0000D9380000}"/>
    <cellStyle name="Normal 3 5 2 4 3 4" xfId="15404" xr:uid="{00000000-0005-0000-0000-0000DA380000}"/>
    <cellStyle name="Normal 3 5 2 4 3 5" xfId="15405" xr:uid="{00000000-0005-0000-0000-0000DB380000}"/>
    <cellStyle name="Normal 3 5 2 4 3 6" xfId="15406" xr:uid="{00000000-0005-0000-0000-0000DC380000}"/>
    <cellStyle name="Normal 3 5 2 4 3 7" xfId="15407" xr:uid="{00000000-0005-0000-0000-0000DD380000}"/>
    <cellStyle name="Normal 3 5 2 4 3 8" xfId="15408" xr:uid="{00000000-0005-0000-0000-0000DE380000}"/>
    <cellStyle name="Normal 3 5 2 4 3 9" xfId="15409" xr:uid="{00000000-0005-0000-0000-0000DF380000}"/>
    <cellStyle name="Normal 3 5 2 4 4" xfId="15410" xr:uid="{00000000-0005-0000-0000-0000E0380000}"/>
    <cellStyle name="Normal 3 5 2 4 4 10" xfId="15411" xr:uid="{00000000-0005-0000-0000-0000E1380000}"/>
    <cellStyle name="Normal 3 5 2 4 4 11" xfId="15412" xr:uid="{00000000-0005-0000-0000-0000E2380000}"/>
    <cellStyle name="Normal 3 5 2 4 4 12" xfId="15413" xr:uid="{00000000-0005-0000-0000-0000E3380000}"/>
    <cellStyle name="Normal 3 5 2 4 4 13" xfId="15414" xr:uid="{00000000-0005-0000-0000-0000E4380000}"/>
    <cellStyle name="Normal 3 5 2 4 4 14" xfId="15415" xr:uid="{00000000-0005-0000-0000-0000E5380000}"/>
    <cellStyle name="Normal 3 5 2 4 4 15" xfId="15416" xr:uid="{00000000-0005-0000-0000-0000E6380000}"/>
    <cellStyle name="Normal 3 5 2 4 4 2" xfId="15417" xr:uid="{00000000-0005-0000-0000-0000E7380000}"/>
    <cellStyle name="Normal 3 5 2 4 4 3" xfId="15418" xr:uid="{00000000-0005-0000-0000-0000E8380000}"/>
    <cellStyle name="Normal 3 5 2 4 4 4" xfId="15419" xr:uid="{00000000-0005-0000-0000-0000E9380000}"/>
    <cellStyle name="Normal 3 5 2 4 4 5" xfId="15420" xr:uid="{00000000-0005-0000-0000-0000EA380000}"/>
    <cellStyle name="Normal 3 5 2 4 4 6" xfId="15421" xr:uid="{00000000-0005-0000-0000-0000EB380000}"/>
    <cellStyle name="Normal 3 5 2 4 4 7" xfId="15422" xr:uid="{00000000-0005-0000-0000-0000EC380000}"/>
    <cellStyle name="Normal 3 5 2 4 4 8" xfId="15423" xr:uid="{00000000-0005-0000-0000-0000ED380000}"/>
    <cellStyle name="Normal 3 5 2 4 4 9" xfId="15424" xr:uid="{00000000-0005-0000-0000-0000EE380000}"/>
    <cellStyle name="Normal 3 5 2 4 5" xfId="15425" xr:uid="{00000000-0005-0000-0000-0000EF380000}"/>
    <cellStyle name="Normal 3 5 2 4 5 10" xfId="15426" xr:uid="{00000000-0005-0000-0000-0000F0380000}"/>
    <cellStyle name="Normal 3 5 2 4 5 11" xfId="15427" xr:uid="{00000000-0005-0000-0000-0000F1380000}"/>
    <cellStyle name="Normal 3 5 2 4 5 12" xfId="15428" xr:uid="{00000000-0005-0000-0000-0000F2380000}"/>
    <cellStyle name="Normal 3 5 2 4 5 13" xfId="15429" xr:uid="{00000000-0005-0000-0000-0000F3380000}"/>
    <cellStyle name="Normal 3 5 2 4 5 14" xfId="15430" xr:uid="{00000000-0005-0000-0000-0000F4380000}"/>
    <cellStyle name="Normal 3 5 2 4 5 15" xfId="15431" xr:uid="{00000000-0005-0000-0000-0000F5380000}"/>
    <cellStyle name="Normal 3 5 2 4 5 2" xfId="15432" xr:uid="{00000000-0005-0000-0000-0000F6380000}"/>
    <cellStyle name="Normal 3 5 2 4 5 3" xfId="15433" xr:uid="{00000000-0005-0000-0000-0000F7380000}"/>
    <cellStyle name="Normal 3 5 2 4 5 4" xfId="15434" xr:uid="{00000000-0005-0000-0000-0000F8380000}"/>
    <cellStyle name="Normal 3 5 2 4 5 5" xfId="15435" xr:uid="{00000000-0005-0000-0000-0000F9380000}"/>
    <cellStyle name="Normal 3 5 2 4 5 6" xfId="15436" xr:uid="{00000000-0005-0000-0000-0000FA380000}"/>
    <cellStyle name="Normal 3 5 2 4 5 7" xfId="15437" xr:uid="{00000000-0005-0000-0000-0000FB380000}"/>
    <cellStyle name="Normal 3 5 2 4 5 8" xfId="15438" xr:uid="{00000000-0005-0000-0000-0000FC380000}"/>
    <cellStyle name="Normal 3 5 2 4 5 9" xfId="15439" xr:uid="{00000000-0005-0000-0000-0000FD380000}"/>
    <cellStyle name="Normal 3 5 2 4 6" xfId="15440" xr:uid="{00000000-0005-0000-0000-0000FE380000}"/>
    <cellStyle name="Normal 3 5 2 4 7" xfId="15441" xr:uid="{00000000-0005-0000-0000-0000FF380000}"/>
    <cellStyle name="Normal 3 5 2 4 8" xfId="15442" xr:uid="{00000000-0005-0000-0000-000000390000}"/>
    <cellStyle name="Normal 3 5 2 4 9" xfId="15443" xr:uid="{00000000-0005-0000-0000-000001390000}"/>
    <cellStyle name="Normal 3 5 2 5" xfId="15444" xr:uid="{00000000-0005-0000-0000-000002390000}"/>
    <cellStyle name="Normal 3 5 2 5 10" xfId="15445" xr:uid="{00000000-0005-0000-0000-000003390000}"/>
    <cellStyle name="Normal 3 5 2 5 11" xfId="15446" xr:uid="{00000000-0005-0000-0000-000004390000}"/>
    <cellStyle name="Normal 3 5 2 5 12" xfId="15447" xr:uid="{00000000-0005-0000-0000-000005390000}"/>
    <cellStyle name="Normal 3 5 2 5 13" xfId="15448" xr:uid="{00000000-0005-0000-0000-000006390000}"/>
    <cellStyle name="Normal 3 5 2 5 14" xfId="15449" xr:uid="{00000000-0005-0000-0000-000007390000}"/>
    <cellStyle name="Normal 3 5 2 5 15" xfId="15450" xr:uid="{00000000-0005-0000-0000-000008390000}"/>
    <cellStyle name="Normal 3 5 2 5 16" xfId="15451" xr:uid="{00000000-0005-0000-0000-000009390000}"/>
    <cellStyle name="Normal 3 5 2 5 17" xfId="15452" xr:uid="{00000000-0005-0000-0000-00000A390000}"/>
    <cellStyle name="Normal 3 5 2 5 18" xfId="15453" xr:uid="{00000000-0005-0000-0000-00000B390000}"/>
    <cellStyle name="Normal 3 5 2 5 19" xfId="15454" xr:uid="{00000000-0005-0000-0000-00000C390000}"/>
    <cellStyle name="Normal 3 5 2 5 2" xfId="15455" xr:uid="{00000000-0005-0000-0000-00000D390000}"/>
    <cellStyle name="Normal 3 5 2 5 2 10" xfId="15456" xr:uid="{00000000-0005-0000-0000-00000E390000}"/>
    <cellStyle name="Normal 3 5 2 5 2 11" xfId="15457" xr:uid="{00000000-0005-0000-0000-00000F390000}"/>
    <cellStyle name="Normal 3 5 2 5 2 12" xfId="15458" xr:uid="{00000000-0005-0000-0000-000010390000}"/>
    <cellStyle name="Normal 3 5 2 5 2 13" xfId="15459" xr:uid="{00000000-0005-0000-0000-000011390000}"/>
    <cellStyle name="Normal 3 5 2 5 2 14" xfId="15460" xr:uid="{00000000-0005-0000-0000-000012390000}"/>
    <cellStyle name="Normal 3 5 2 5 2 15" xfId="15461" xr:uid="{00000000-0005-0000-0000-000013390000}"/>
    <cellStyle name="Normal 3 5 2 5 2 2" xfId="15462" xr:uid="{00000000-0005-0000-0000-000014390000}"/>
    <cellStyle name="Normal 3 5 2 5 2 3" xfId="15463" xr:uid="{00000000-0005-0000-0000-000015390000}"/>
    <cellStyle name="Normal 3 5 2 5 2 4" xfId="15464" xr:uid="{00000000-0005-0000-0000-000016390000}"/>
    <cellStyle name="Normal 3 5 2 5 2 5" xfId="15465" xr:uid="{00000000-0005-0000-0000-000017390000}"/>
    <cellStyle name="Normal 3 5 2 5 2 6" xfId="15466" xr:uid="{00000000-0005-0000-0000-000018390000}"/>
    <cellStyle name="Normal 3 5 2 5 2 7" xfId="15467" xr:uid="{00000000-0005-0000-0000-000019390000}"/>
    <cellStyle name="Normal 3 5 2 5 2 8" xfId="15468" xr:uid="{00000000-0005-0000-0000-00001A390000}"/>
    <cellStyle name="Normal 3 5 2 5 2 9" xfId="15469" xr:uid="{00000000-0005-0000-0000-00001B390000}"/>
    <cellStyle name="Normal 3 5 2 5 3" xfId="15470" xr:uid="{00000000-0005-0000-0000-00001C390000}"/>
    <cellStyle name="Normal 3 5 2 5 3 10" xfId="15471" xr:uid="{00000000-0005-0000-0000-00001D390000}"/>
    <cellStyle name="Normal 3 5 2 5 3 11" xfId="15472" xr:uid="{00000000-0005-0000-0000-00001E390000}"/>
    <cellStyle name="Normal 3 5 2 5 3 12" xfId="15473" xr:uid="{00000000-0005-0000-0000-00001F390000}"/>
    <cellStyle name="Normal 3 5 2 5 3 13" xfId="15474" xr:uid="{00000000-0005-0000-0000-000020390000}"/>
    <cellStyle name="Normal 3 5 2 5 3 14" xfId="15475" xr:uid="{00000000-0005-0000-0000-000021390000}"/>
    <cellStyle name="Normal 3 5 2 5 3 15" xfId="15476" xr:uid="{00000000-0005-0000-0000-000022390000}"/>
    <cellStyle name="Normal 3 5 2 5 3 2" xfId="15477" xr:uid="{00000000-0005-0000-0000-000023390000}"/>
    <cellStyle name="Normal 3 5 2 5 3 3" xfId="15478" xr:uid="{00000000-0005-0000-0000-000024390000}"/>
    <cellStyle name="Normal 3 5 2 5 3 4" xfId="15479" xr:uid="{00000000-0005-0000-0000-000025390000}"/>
    <cellStyle name="Normal 3 5 2 5 3 5" xfId="15480" xr:uid="{00000000-0005-0000-0000-000026390000}"/>
    <cellStyle name="Normal 3 5 2 5 3 6" xfId="15481" xr:uid="{00000000-0005-0000-0000-000027390000}"/>
    <cellStyle name="Normal 3 5 2 5 3 7" xfId="15482" xr:uid="{00000000-0005-0000-0000-000028390000}"/>
    <cellStyle name="Normal 3 5 2 5 3 8" xfId="15483" xr:uid="{00000000-0005-0000-0000-000029390000}"/>
    <cellStyle name="Normal 3 5 2 5 3 9" xfId="15484" xr:uid="{00000000-0005-0000-0000-00002A390000}"/>
    <cellStyle name="Normal 3 5 2 5 4" xfId="15485" xr:uid="{00000000-0005-0000-0000-00002B390000}"/>
    <cellStyle name="Normal 3 5 2 5 4 10" xfId="15486" xr:uid="{00000000-0005-0000-0000-00002C390000}"/>
    <cellStyle name="Normal 3 5 2 5 4 11" xfId="15487" xr:uid="{00000000-0005-0000-0000-00002D390000}"/>
    <cellStyle name="Normal 3 5 2 5 4 12" xfId="15488" xr:uid="{00000000-0005-0000-0000-00002E390000}"/>
    <cellStyle name="Normal 3 5 2 5 4 13" xfId="15489" xr:uid="{00000000-0005-0000-0000-00002F390000}"/>
    <cellStyle name="Normal 3 5 2 5 4 14" xfId="15490" xr:uid="{00000000-0005-0000-0000-000030390000}"/>
    <cellStyle name="Normal 3 5 2 5 4 15" xfId="15491" xr:uid="{00000000-0005-0000-0000-000031390000}"/>
    <cellStyle name="Normal 3 5 2 5 4 2" xfId="15492" xr:uid="{00000000-0005-0000-0000-000032390000}"/>
    <cellStyle name="Normal 3 5 2 5 4 3" xfId="15493" xr:uid="{00000000-0005-0000-0000-000033390000}"/>
    <cellStyle name="Normal 3 5 2 5 4 4" xfId="15494" xr:uid="{00000000-0005-0000-0000-000034390000}"/>
    <cellStyle name="Normal 3 5 2 5 4 5" xfId="15495" xr:uid="{00000000-0005-0000-0000-000035390000}"/>
    <cellStyle name="Normal 3 5 2 5 4 6" xfId="15496" xr:uid="{00000000-0005-0000-0000-000036390000}"/>
    <cellStyle name="Normal 3 5 2 5 4 7" xfId="15497" xr:uid="{00000000-0005-0000-0000-000037390000}"/>
    <cellStyle name="Normal 3 5 2 5 4 8" xfId="15498" xr:uid="{00000000-0005-0000-0000-000038390000}"/>
    <cellStyle name="Normal 3 5 2 5 4 9" xfId="15499" xr:uid="{00000000-0005-0000-0000-000039390000}"/>
    <cellStyle name="Normal 3 5 2 5 5" xfId="15500" xr:uid="{00000000-0005-0000-0000-00003A390000}"/>
    <cellStyle name="Normal 3 5 2 5 5 10" xfId="15501" xr:uid="{00000000-0005-0000-0000-00003B390000}"/>
    <cellStyle name="Normal 3 5 2 5 5 11" xfId="15502" xr:uid="{00000000-0005-0000-0000-00003C390000}"/>
    <cellStyle name="Normal 3 5 2 5 5 12" xfId="15503" xr:uid="{00000000-0005-0000-0000-00003D390000}"/>
    <cellStyle name="Normal 3 5 2 5 5 13" xfId="15504" xr:uid="{00000000-0005-0000-0000-00003E390000}"/>
    <cellStyle name="Normal 3 5 2 5 5 14" xfId="15505" xr:uid="{00000000-0005-0000-0000-00003F390000}"/>
    <cellStyle name="Normal 3 5 2 5 5 15" xfId="15506" xr:uid="{00000000-0005-0000-0000-000040390000}"/>
    <cellStyle name="Normal 3 5 2 5 5 2" xfId="15507" xr:uid="{00000000-0005-0000-0000-000041390000}"/>
    <cellStyle name="Normal 3 5 2 5 5 3" xfId="15508" xr:uid="{00000000-0005-0000-0000-000042390000}"/>
    <cellStyle name="Normal 3 5 2 5 5 4" xfId="15509" xr:uid="{00000000-0005-0000-0000-000043390000}"/>
    <cellStyle name="Normal 3 5 2 5 5 5" xfId="15510" xr:uid="{00000000-0005-0000-0000-000044390000}"/>
    <cellStyle name="Normal 3 5 2 5 5 6" xfId="15511" xr:uid="{00000000-0005-0000-0000-000045390000}"/>
    <cellStyle name="Normal 3 5 2 5 5 7" xfId="15512" xr:uid="{00000000-0005-0000-0000-000046390000}"/>
    <cellStyle name="Normal 3 5 2 5 5 8" xfId="15513" xr:uid="{00000000-0005-0000-0000-000047390000}"/>
    <cellStyle name="Normal 3 5 2 5 5 9" xfId="15514" xr:uid="{00000000-0005-0000-0000-000048390000}"/>
    <cellStyle name="Normal 3 5 2 5 6" xfId="15515" xr:uid="{00000000-0005-0000-0000-000049390000}"/>
    <cellStyle name="Normal 3 5 2 5 7" xfId="15516" xr:uid="{00000000-0005-0000-0000-00004A390000}"/>
    <cellStyle name="Normal 3 5 2 5 8" xfId="15517" xr:uid="{00000000-0005-0000-0000-00004B390000}"/>
    <cellStyle name="Normal 3 5 2 5 9" xfId="15518" xr:uid="{00000000-0005-0000-0000-00004C390000}"/>
    <cellStyle name="Normal 3 5 2 6" xfId="15519" xr:uid="{00000000-0005-0000-0000-00004D390000}"/>
    <cellStyle name="Normal 3 5 2 6 10" xfId="15520" xr:uid="{00000000-0005-0000-0000-00004E390000}"/>
    <cellStyle name="Normal 3 5 2 6 11" xfId="15521" xr:uid="{00000000-0005-0000-0000-00004F390000}"/>
    <cellStyle name="Normal 3 5 2 6 12" xfId="15522" xr:uid="{00000000-0005-0000-0000-000050390000}"/>
    <cellStyle name="Normal 3 5 2 6 13" xfId="15523" xr:uid="{00000000-0005-0000-0000-000051390000}"/>
    <cellStyle name="Normal 3 5 2 6 14" xfId="15524" xr:uid="{00000000-0005-0000-0000-000052390000}"/>
    <cellStyle name="Normal 3 5 2 6 15" xfId="15525" xr:uid="{00000000-0005-0000-0000-000053390000}"/>
    <cellStyle name="Normal 3 5 2 6 16" xfId="15526" xr:uid="{00000000-0005-0000-0000-000054390000}"/>
    <cellStyle name="Normal 3 5 2 6 17" xfId="15527" xr:uid="{00000000-0005-0000-0000-000055390000}"/>
    <cellStyle name="Normal 3 5 2 6 18" xfId="15528" xr:uid="{00000000-0005-0000-0000-000056390000}"/>
    <cellStyle name="Normal 3 5 2 6 19" xfId="15529" xr:uid="{00000000-0005-0000-0000-000057390000}"/>
    <cellStyle name="Normal 3 5 2 6 2" xfId="15530" xr:uid="{00000000-0005-0000-0000-000058390000}"/>
    <cellStyle name="Normal 3 5 2 6 2 10" xfId="15531" xr:uid="{00000000-0005-0000-0000-000059390000}"/>
    <cellStyle name="Normal 3 5 2 6 2 11" xfId="15532" xr:uid="{00000000-0005-0000-0000-00005A390000}"/>
    <cellStyle name="Normal 3 5 2 6 2 12" xfId="15533" xr:uid="{00000000-0005-0000-0000-00005B390000}"/>
    <cellStyle name="Normal 3 5 2 6 2 13" xfId="15534" xr:uid="{00000000-0005-0000-0000-00005C390000}"/>
    <cellStyle name="Normal 3 5 2 6 2 14" xfId="15535" xr:uid="{00000000-0005-0000-0000-00005D390000}"/>
    <cellStyle name="Normal 3 5 2 6 2 15" xfId="15536" xr:uid="{00000000-0005-0000-0000-00005E390000}"/>
    <cellStyle name="Normal 3 5 2 6 2 2" xfId="15537" xr:uid="{00000000-0005-0000-0000-00005F390000}"/>
    <cellStyle name="Normal 3 5 2 6 2 3" xfId="15538" xr:uid="{00000000-0005-0000-0000-000060390000}"/>
    <cellStyle name="Normal 3 5 2 6 2 4" xfId="15539" xr:uid="{00000000-0005-0000-0000-000061390000}"/>
    <cellStyle name="Normal 3 5 2 6 2 5" xfId="15540" xr:uid="{00000000-0005-0000-0000-000062390000}"/>
    <cellStyle name="Normal 3 5 2 6 2 6" xfId="15541" xr:uid="{00000000-0005-0000-0000-000063390000}"/>
    <cellStyle name="Normal 3 5 2 6 2 7" xfId="15542" xr:uid="{00000000-0005-0000-0000-000064390000}"/>
    <cellStyle name="Normal 3 5 2 6 2 8" xfId="15543" xr:uid="{00000000-0005-0000-0000-000065390000}"/>
    <cellStyle name="Normal 3 5 2 6 2 9" xfId="15544" xr:uid="{00000000-0005-0000-0000-000066390000}"/>
    <cellStyle name="Normal 3 5 2 6 3" xfId="15545" xr:uid="{00000000-0005-0000-0000-000067390000}"/>
    <cellStyle name="Normal 3 5 2 6 3 10" xfId="15546" xr:uid="{00000000-0005-0000-0000-000068390000}"/>
    <cellStyle name="Normal 3 5 2 6 3 11" xfId="15547" xr:uid="{00000000-0005-0000-0000-000069390000}"/>
    <cellStyle name="Normal 3 5 2 6 3 12" xfId="15548" xr:uid="{00000000-0005-0000-0000-00006A390000}"/>
    <cellStyle name="Normal 3 5 2 6 3 13" xfId="15549" xr:uid="{00000000-0005-0000-0000-00006B390000}"/>
    <cellStyle name="Normal 3 5 2 6 3 14" xfId="15550" xr:uid="{00000000-0005-0000-0000-00006C390000}"/>
    <cellStyle name="Normal 3 5 2 6 3 15" xfId="15551" xr:uid="{00000000-0005-0000-0000-00006D390000}"/>
    <cellStyle name="Normal 3 5 2 6 3 2" xfId="15552" xr:uid="{00000000-0005-0000-0000-00006E390000}"/>
    <cellStyle name="Normal 3 5 2 6 3 3" xfId="15553" xr:uid="{00000000-0005-0000-0000-00006F390000}"/>
    <cellStyle name="Normal 3 5 2 6 3 4" xfId="15554" xr:uid="{00000000-0005-0000-0000-000070390000}"/>
    <cellStyle name="Normal 3 5 2 6 3 5" xfId="15555" xr:uid="{00000000-0005-0000-0000-000071390000}"/>
    <cellStyle name="Normal 3 5 2 6 3 6" xfId="15556" xr:uid="{00000000-0005-0000-0000-000072390000}"/>
    <cellStyle name="Normal 3 5 2 6 3 7" xfId="15557" xr:uid="{00000000-0005-0000-0000-000073390000}"/>
    <cellStyle name="Normal 3 5 2 6 3 8" xfId="15558" xr:uid="{00000000-0005-0000-0000-000074390000}"/>
    <cellStyle name="Normal 3 5 2 6 3 9" xfId="15559" xr:uid="{00000000-0005-0000-0000-000075390000}"/>
    <cellStyle name="Normal 3 5 2 6 4" xfId="15560" xr:uid="{00000000-0005-0000-0000-000076390000}"/>
    <cellStyle name="Normal 3 5 2 6 4 10" xfId="15561" xr:uid="{00000000-0005-0000-0000-000077390000}"/>
    <cellStyle name="Normal 3 5 2 6 4 11" xfId="15562" xr:uid="{00000000-0005-0000-0000-000078390000}"/>
    <cellStyle name="Normal 3 5 2 6 4 12" xfId="15563" xr:uid="{00000000-0005-0000-0000-000079390000}"/>
    <cellStyle name="Normal 3 5 2 6 4 13" xfId="15564" xr:uid="{00000000-0005-0000-0000-00007A390000}"/>
    <cellStyle name="Normal 3 5 2 6 4 14" xfId="15565" xr:uid="{00000000-0005-0000-0000-00007B390000}"/>
    <cellStyle name="Normal 3 5 2 6 4 15" xfId="15566" xr:uid="{00000000-0005-0000-0000-00007C390000}"/>
    <cellStyle name="Normal 3 5 2 6 4 2" xfId="15567" xr:uid="{00000000-0005-0000-0000-00007D390000}"/>
    <cellStyle name="Normal 3 5 2 6 4 3" xfId="15568" xr:uid="{00000000-0005-0000-0000-00007E390000}"/>
    <cellStyle name="Normal 3 5 2 6 4 4" xfId="15569" xr:uid="{00000000-0005-0000-0000-00007F390000}"/>
    <cellStyle name="Normal 3 5 2 6 4 5" xfId="15570" xr:uid="{00000000-0005-0000-0000-000080390000}"/>
    <cellStyle name="Normal 3 5 2 6 4 6" xfId="15571" xr:uid="{00000000-0005-0000-0000-000081390000}"/>
    <cellStyle name="Normal 3 5 2 6 4 7" xfId="15572" xr:uid="{00000000-0005-0000-0000-000082390000}"/>
    <cellStyle name="Normal 3 5 2 6 4 8" xfId="15573" xr:uid="{00000000-0005-0000-0000-000083390000}"/>
    <cellStyle name="Normal 3 5 2 6 4 9" xfId="15574" xr:uid="{00000000-0005-0000-0000-000084390000}"/>
    <cellStyle name="Normal 3 5 2 6 5" xfId="15575" xr:uid="{00000000-0005-0000-0000-000085390000}"/>
    <cellStyle name="Normal 3 5 2 6 5 10" xfId="15576" xr:uid="{00000000-0005-0000-0000-000086390000}"/>
    <cellStyle name="Normal 3 5 2 6 5 11" xfId="15577" xr:uid="{00000000-0005-0000-0000-000087390000}"/>
    <cellStyle name="Normal 3 5 2 6 5 12" xfId="15578" xr:uid="{00000000-0005-0000-0000-000088390000}"/>
    <cellStyle name="Normal 3 5 2 6 5 13" xfId="15579" xr:uid="{00000000-0005-0000-0000-000089390000}"/>
    <cellStyle name="Normal 3 5 2 6 5 14" xfId="15580" xr:uid="{00000000-0005-0000-0000-00008A390000}"/>
    <cellStyle name="Normal 3 5 2 6 5 15" xfId="15581" xr:uid="{00000000-0005-0000-0000-00008B390000}"/>
    <cellStyle name="Normal 3 5 2 6 5 2" xfId="15582" xr:uid="{00000000-0005-0000-0000-00008C390000}"/>
    <cellStyle name="Normal 3 5 2 6 5 3" xfId="15583" xr:uid="{00000000-0005-0000-0000-00008D390000}"/>
    <cellStyle name="Normal 3 5 2 6 5 4" xfId="15584" xr:uid="{00000000-0005-0000-0000-00008E390000}"/>
    <cellStyle name="Normal 3 5 2 6 5 5" xfId="15585" xr:uid="{00000000-0005-0000-0000-00008F390000}"/>
    <cellStyle name="Normal 3 5 2 6 5 6" xfId="15586" xr:uid="{00000000-0005-0000-0000-000090390000}"/>
    <cellStyle name="Normal 3 5 2 6 5 7" xfId="15587" xr:uid="{00000000-0005-0000-0000-000091390000}"/>
    <cellStyle name="Normal 3 5 2 6 5 8" xfId="15588" xr:uid="{00000000-0005-0000-0000-000092390000}"/>
    <cellStyle name="Normal 3 5 2 6 5 9" xfId="15589" xr:uid="{00000000-0005-0000-0000-000093390000}"/>
    <cellStyle name="Normal 3 5 2 6 6" xfId="15590" xr:uid="{00000000-0005-0000-0000-000094390000}"/>
    <cellStyle name="Normal 3 5 2 6 7" xfId="15591" xr:uid="{00000000-0005-0000-0000-000095390000}"/>
    <cellStyle name="Normal 3 5 2 6 8" xfId="15592" xr:uid="{00000000-0005-0000-0000-000096390000}"/>
    <cellStyle name="Normal 3 5 2 6 9" xfId="15593" xr:uid="{00000000-0005-0000-0000-000097390000}"/>
    <cellStyle name="Normal 3 5 2 7" xfId="15594" xr:uid="{00000000-0005-0000-0000-000098390000}"/>
    <cellStyle name="Normal 3 5 2 7 10" xfId="15595" xr:uid="{00000000-0005-0000-0000-000099390000}"/>
    <cellStyle name="Normal 3 5 2 7 11" xfId="15596" xr:uid="{00000000-0005-0000-0000-00009A390000}"/>
    <cellStyle name="Normal 3 5 2 7 12" xfId="15597" xr:uid="{00000000-0005-0000-0000-00009B390000}"/>
    <cellStyle name="Normal 3 5 2 7 13" xfId="15598" xr:uid="{00000000-0005-0000-0000-00009C390000}"/>
    <cellStyle name="Normal 3 5 2 7 14" xfId="15599" xr:uid="{00000000-0005-0000-0000-00009D390000}"/>
    <cellStyle name="Normal 3 5 2 7 15" xfId="15600" xr:uid="{00000000-0005-0000-0000-00009E390000}"/>
    <cellStyle name="Normal 3 5 2 7 2" xfId="15601" xr:uid="{00000000-0005-0000-0000-00009F390000}"/>
    <cellStyle name="Normal 3 5 2 7 3" xfId="15602" xr:uid="{00000000-0005-0000-0000-0000A0390000}"/>
    <cellStyle name="Normal 3 5 2 7 4" xfId="15603" xr:uid="{00000000-0005-0000-0000-0000A1390000}"/>
    <cellStyle name="Normal 3 5 2 7 5" xfId="15604" xr:uid="{00000000-0005-0000-0000-0000A2390000}"/>
    <cellStyle name="Normal 3 5 2 7 6" xfId="15605" xr:uid="{00000000-0005-0000-0000-0000A3390000}"/>
    <cellStyle name="Normal 3 5 2 7 7" xfId="15606" xr:uid="{00000000-0005-0000-0000-0000A4390000}"/>
    <cellStyle name="Normal 3 5 2 7 8" xfId="15607" xr:uid="{00000000-0005-0000-0000-0000A5390000}"/>
    <cellStyle name="Normal 3 5 2 7 9" xfId="15608" xr:uid="{00000000-0005-0000-0000-0000A6390000}"/>
    <cellStyle name="Normal 3 5 2 8" xfId="15609" xr:uid="{00000000-0005-0000-0000-0000A7390000}"/>
    <cellStyle name="Normal 3 5 2 8 10" xfId="15610" xr:uid="{00000000-0005-0000-0000-0000A8390000}"/>
    <cellStyle name="Normal 3 5 2 8 11" xfId="15611" xr:uid="{00000000-0005-0000-0000-0000A9390000}"/>
    <cellStyle name="Normal 3 5 2 8 12" xfId="15612" xr:uid="{00000000-0005-0000-0000-0000AA390000}"/>
    <cellStyle name="Normal 3 5 2 8 13" xfId="15613" xr:uid="{00000000-0005-0000-0000-0000AB390000}"/>
    <cellStyle name="Normal 3 5 2 8 14" xfId="15614" xr:uid="{00000000-0005-0000-0000-0000AC390000}"/>
    <cellStyle name="Normal 3 5 2 8 15" xfId="15615" xr:uid="{00000000-0005-0000-0000-0000AD390000}"/>
    <cellStyle name="Normal 3 5 2 8 2" xfId="15616" xr:uid="{00000000-0005-0000-0000-0000AE390000}"/>
    <cellStyle name="Normal 3 5 2 8 3" xfId="15617" xr:uid="{00000000-0005-0000-0000-0000AF390000}"/>
    <cellStyle name="Normal 3 5 2 8 4" xfId="15618" xr:uid="{00000000-0005-0000-0000-0000B0390000}"/>
    <cellStyle name="Normal 3 5 2 8 5" xfId="15619" xr:uid="{00000000-0005-0000-0000-0000B1390000}"/>
    <cellStyle name="Normal 3 5 2 8 6" xfId="15620" xr:uid="{00000000-0005-0000-0000-0000B2390000}"/>
    <cellStyle name="Normal 3 5 2 8 7" xfId="15621" xr:uid="{00000000-0005-0000-0000-0000B3390000}"/>
    <cellStyle name="Normal 3 5 2 8 8" xfId="15622" xr:uid="{00000000-0005-0000-0000-0000B4390000}"/>
    <cellStyle name="Normal 3 5 2 8 9" xfId="15623" xr:uid="{00000000-0005-0000-0000-0000B5390000}"/>
    <cellStyle name="Normal 3 5 2 9" xfId="15624" xr:uid="{00000000-0005-0000-0000-0000B6390000}"/>
    <cellStyle name="Normal 3 5 2 9 10" xfId="15625" xr:uid="{00000000-0005-0000-0000-0000B7390000}"/>
    <cellStyle name="Normal 3 5 2 9 11" xfId="15626" xr:uid="{00000000-0005-0000-0000-0000B8390000}"/>
    <cellStyle name="Normal 3 5 2 9 12" xfId="15627" xr:uid="{00000000-0005-0000-0000-0000B9390000}"/>
    <cellStyle name="Normal 3 5 2 9 13" xfId="15628" xr:uid="{00000000-0005-0000-0000-0000BA390000}"/>
    <cellStyle name="Normal 3 5 2 9 14" xfId="15629" xr:uid="{00000000-0005-0000-0000-0000BB390000}"/>
    <cellStyle name="Normal 3 5 2 9 15" xfId="15630" xr:uid="{00000000-0005-0000-0000-0000BC390000}"/>
    <cellStyle name="Normal 3 5 2 9 2" xfId="15631" xr:uid="{00000000-0005-0000-0000-0000BD390000}"/>
    <cellStyle name="Normal 3 5 2 9 3" xfId="15632" xr:uid="{00000000-0005-0000-0000-0000BE390000}"/>
    <cellStyle name="Normal 3 5 2 9 4" xfId="15633" xr:uid="{00000000-0005-0000-0000-0000BF390000}"/>
    <cellStyle name="Normal 3 5 2 9 5" xfId="15634" xr:uid="{00000000-0005-0000-0000-0000C0390000}"/>
    <cellStyle name="Normal 3 5 2 9 6" xfId="15635" xr:uid="{00000000-0005-0000-0000-0000C1390000}"/>
    <cellStyle name="Normal 3 5 2 9 7" xfId="15636" xr:uid="{00000000-0005-0000-0000-0000C2390000}"/>
    <cellStyle name="Normal 3 5 2 9 8" xfId="15637" xr:uid="{00000000-0005-0000-0000-0000C3390000}"/>
    <cellStyle name="Normal 3 5 2 9 9" xfId="15638" xr:uid="{00000000-0005-0000-0000-0000C4390000}"/>
    <cellStyle name="Normal 3 5 20" xfId="15639" xr:uid="{00000000-0005-0000-0000-0000C5390000}"/>
    <cellStyle name="Normal 3 5 21" xfId="15640" xr:uid="{00000000-0005-0000-0000-0000C6390000}"/>
    <cellStyle name="Normal 3 5 22" xfId="15641" xr:uid="{00000000-0005-0000-0000-0000C7390000}"/>
    <cellStyle name="Normal 3 5 23" xfId="15642" xr:uid="{00000000-0005-0000-0000-0000C8390000}"/>
    <cellStyle name="Normal 3 5 24" xfId="15643" xr:uid="{00000000-0005-0000-0000-0000C9390000}"/>
    <cellStyle name="Normal 3 5 25" xfId="15644" xr:uid="{00000000-0005-0000-0000-0000CA390000}"/>
    <cellStyle name="Normal 3 5 26" xfId="15645" xr:uid="{00000000-0005-0000-0000-0000CB390000}"/>
    <cellStyle name="Normal 3 5 27" xfId="15646" xr:uid="{00000000-0005-0000-0000-0000CC390000}"/>
    <cellStyle name="Normal 3 5 28" xfId="15647" xr:uid="{00000000-0005-0000-0000-0000CD390000}"/>
    <cellStyle name="Normal 3 5 29" xfId="15648" xr:uid="{00000000-0005-0000-0000-0000CE390000}"/>
    <cellStyle name="Normal 3 5 3" xfId="15649" xr:uid="{00000000-0005-0000-0000-0000CF390000}"/>
    <cellStyle name="Normal 3 5 3 10" xfId="15650" xr:uid="{00000000-0005-0000-0000-0000D0390000}"/>
    <cellStyle name="Normal 3 5 3 11" xfId="15651" xr:uid="{00000000-0005-0000-0000-0000D1390000}"/>
    <cellStyle name="Normal 3 5 3 12" xfId="15652" xr:uid="{00000000-0005-0000-0000-0000D2390000}"/>
    <cellStyle name="Normal 3 5 3 13" xfId="15653" xr:uid="{00000000-0005-0000-0000-0000D3390000}"/>
    <cellStyle name="Normal 3 5 3 14" xfId="15654" xr:uid="{00000000-0005-0000-0000-0000D4390000}"/>
    <cellStyle name="Normal 3 5 3 15" xfId="15655" xr:uid="{00000000-0005-0000-0000-0000D5390000}"/>
    <cellStyle name="Normal 3 5 3 2" xfId="15656" xr:uid="{00000000-0005-0000-0000-0000D6390000}"/>
    <cellStyle name="Normal 3 5 3 3" xfId="15657" xr:uid="{00000000-0005-0000-0000-0000D7390000}"/>
    <cellStyle name="Normal 3 5 3 4" xfId="15658" xr:uid="{00000000-0005-0000-0000-0000D8390000}"/>
    <cellStyle name="Normal 3 5 3 5" xfId="15659" xr:uid="{00000000-0005-0000-0000-0000D9390000}"/>
    <cellStyle name="Normal 3 5 3 6" xfId="15660" xr:uid="{00000000-0005-0000-0000-0000DA390000}"/>
    <cellStyle name="Normal 3 5 3 7" xfId="15661" xr:uid="{00000000-0005-0000-0000-0000DB390000}"/>
    <cellStyle name="Normal 3 5 3 8" xfId="15662" xr:uid="{00000000-0005-0000-0000-0000DC390000}"/>
    <cellStyle name="Normal 3 5 3 9" xfId="15663" xr:uid="{00000000-0005-0000-0000-0000DD390000}"/>
    <cellStyle name="Normal 3 5 30" xfId="15664" xr:uid="{00000000-0005-0000-0000-0000DE390000}"/>
    <cellStyle name="Normal 3 5 31" xfId="15665" xr:uid="{00000000-0005-0000-0000-0000DF390000}"/>
    <cellStyle name="Normal 3 5 32" xfId="15666" xr:uid="{00000000-0005-0000-0000-0000E0390000}"/>
    <cellStyle name="Normal 3 5 33" xfId="15667" xr:uid="{00000000-0005-0000-0000-0000E1390000}"/>
    <cellStyle name="Normal 3 5 34" xfId="15668" xr:uid="{00000000-0005-0000-0000-0000E2390000}"/>
    <cellStyle name="Normal 3 5 35" xfId="15669" xr:uid="{00000000-0005-0000-0000-0000E3390000}"/>
    <cellStyle name="Normal 3 5 36" xfId="14629" xr:uid="{00000000-0005-0000-0000-0000D3350000}"/>
    <cellStyle name="Normal 3 5 4" xfId="15670" xr:uid="{00000000-0005-0000-0000-0000E4390000}"/>
    <cellStyle name="Normal 3 5 4 10" xfId="15671" xr:uid="{00000000-0005-0000-0000-0000E5390000}"/>
    <cellStyle name="Normal 3 5 4 11" xfId="15672" xr:uid="{00000000-0005-0000-0000-0000E6390000}"/>
    <cellStyle name="Normal 3 5 4 12" xfId="15673" xr:uid="{00000000-0005-0000-0000-0000E7390000}"/>
    <cellStyle name="Normal 3 5 4 13" xfId="15674" xr:uid="{00000000-0005-0000-0000-0000E8390000}"/>
    <cellStyle name="Normal 3 5 4 14" xfId="15675" xr:uid="{00000000-0005-0000-0000-0000E9390000}"/>
    <cellStyle name="Normal 3 5 4 15" xfId="15676" xr:uid="{00000000-0005-0000-0000-0000EA390000}"/>
    <cellStyle name="Normal 3 5 4 2" xfId="15677" xr:uid="{00000000-0005-0000-0000-0000EB390000}"/>
    <cellStyle name="Normal 3 5 4 3" xfId="15678" xr:uid="{00000000-0005-0000-0000-0000EC390000}"/>
    <cellStyle name="Normal 3 5 4 4" xfId="15679" xr:uid="{00000000-0005-0000-0000-0000ED390000}"/>
    <cellStyle name="Normal 3 5 4 5" xfId="15680" xr:uid="{00000000-0005-0000-0000-0000EE390000}"/>
    <cellStyle name="Normal 3 5 4 6" xfId="15681" xr:uid="{00000000-0005-0000-0000-0000EF390000}"/>
    <cellStyle name="Normal 3 5 4 7" xfId="15682" xr:uid="{00000000-0005-0000-0000-0000F0390000}"/>
    <cellStyle name="Normal 3 5 4 8" xfId="15683" xr:uid="{00000000-0005-0000-0000-0000F1390000}"/>
    <cellStyle name="Normal 3 5 4 9" xfId="15684" xr:uid="{00000000-0005-0000-0000-0000F2390000}"/>
    <cellStyle name="Normal 3 5 5" xfId="15685" xr:uid="{00000000-0005-0000-0000-0000F3390000}"/>
    <cellStyle name="Normal 3 5 5 10" xfId="15686" xr:uid="{00000000-0005-0000-0000-0000F4390000}"/>
    <cellStyle name="Normal 3 5 5 11" xfId="15687" xr:uid="{00000000-0005-0000-0000-0000F5390000}"/>
    <cellStyle name="Normal 3 5 5 12" xfId="15688" xr:uid="{00000000-0005-0000-0000-0000F6390000}"/>
    <cellStyle name="Normal 3 5 5 13" xfId="15689" xr:uid="{00000000-0005-0000-0000-0000F7390000}"/>
    <cellStyle name="Normal 3 5 5 14" xfId="15690" xr:uid="{00000000-0005-0000-0000-0000F8390000}"/>
    <cellStyle name="Normal 3 5 5 15" xfId="15691" xr:uid="{00000000-0005-0000-0000-0000F9390000}"/>
    <cellStyle name="Normal 3 5 5 2" xfId="15692" xr:uid="{00000000-0005-0000-0000-0000FA390000}"/>
    <cellStyle name="Normal 3 5 5 3" xfId="15693" xr:uid="{00000000-0005-0000-0000-0000FB390000}"/>
    <cellStyle name="Normal 3 5 5 4" xfId="15694" xr:uid="{00000000-0005-0000-0000-0000FC390000}"/>
    <cellStyle name="Normal 3 5 5 5" xfId="15695" xr:uid="{00000000-0005-0000-0000-0000FD390000}"/>
    <cellStyle name="Normal 3 5 5 6" xfId="15696" xr:uid="{00000000-0005-0000-0000-0000FE390000}"/>
    <cellStyle name="Normal 3 5 5 7" xfId="15697" xr:uid="{00000000-0005-0000-0000-0000FF390000}"/>
    <cellStyle name="Normal 3 5 5 8" xfId="15698" xr:uid="{00000000-0005-0000-0000-0000003A0000}"/>
    <cellStyle name="Normal 3 5 5 9" xfId="15699" xr:uid="{00000000-0005-0000-0000-0000013A0000}"/>
    <cellStyle name="Normal 3 5 6" xfId="15700" xr:uid="{00000000-0005-0000-0000-0000023A0000}"/>
    <cellStyle name="Normal 3 5 6 10" xfId="15701" xr:uid="{00000000-0005-0000-0000-0000033A0000}"/>
    <cellStyle name="Normal 3 5 6 11" xfId="15702" xr:uid="{00000000-0005-0000-0000-0000043A0000}"/>
    <cellStyle name="Normal 3 5 6 12" xfId="15703" xr:uid="{00000000-0005-0000-0000-0000053A0000}"/>
    <cellStyle name="Normal 3 5 6 13" xfId="15704" xr:uid="{00000000-0005-0000-0000-0000063A0000}"/>
    <cellStyle name="Normal 3 5 6 14" xfId="15705" xr:uid="{00000000-0005-0000-0000-0000073A0000}"/>
    <cellStyle name="Normal 3 5 6 15" xfId="15706" xr:uid="{00000000-0005-0000-0000-0000083A0000}"/>
    <cellStyle name="Normal 3 5 6 2" xfId="15707" xr:uid="{00000000-0005-0000-0000-0000093A0000}"/>
    <cellStyle name="Normal 3 5 6 3" xfId="15708" xr:uid="{00000000-0005-0000-0000-00000A3A0000}"/>
    <cellStyle name="Normal 3 5 6 4" xfId="15709" xr:uid="{00000000-0005-0000-0000-00000B3A0000}"/>
    <cellStyle name="Normal 3 5 6 5" xfId="15710" xr:uid="{00000000-0005-0000-0000-00000C3A0000}"/>
    <cellStyle name="Normal 3 5 6 6" xfId="15711" xr:uid="{00000000-0005-0000-0000-00000D3A0000}"/>
    <cellStyle name="Normal 3 5 6 7" xfId="15712" xr:uid="{00000000-0005-0000-0000-00000E3A0000}"/>
    <cellStyle name="Normal 3 5 6 8" xfId="15713" xr:uid="{00000000-0005-0000-0000-00000F3A0000}"/>
    <cellStyle name="Normal 3 5 6 9" xfId="15714" xr:uid="{00000000-0005-0000-0000-0000103A0000}"/>
    <cellStyle name="Normal 3 5 7" xfId="15715" xr:uid="{00000000-0005-0000-0000-0000113A0000}"/>
    <cellStyle name="Normal 3 5 7 10" xfId="15716" xr:uid="{00000000-0005-0000-0000-0000123A0000}"/>
    <cellStyle name="Normal 3 5 7 11" xfId="15717" xr:uid="{00000000-0005-0000-0000-0000133A0000}"/>
    <cellStyle name="Normal 3 5 7 12" xfId="15718" xr:uid="{00000000-0005-0000-0000-0000143A0000}"/>
    <cellStyle name="Normal 3 5 7 13" xfId="15719" xr:uid="{00000000-0005-0000-0000-0000153A0000}"/>
    <cellStyle name="Normal 3 5 7 14" xfId="15720" xr:uid="{00000000-0005-0000-0000-0000163A0000}"/>
    <cellStyle name="Normal 3 5 7 15" xfId="15721" xr:uid="{00000000-0005-0000-0000-0000173A0000}"/>
    <cellStyle name="Normal 3 5 7 2" xfId="15722" xr:uid="{00000000-0005-0000-0000-0000183A0000}"/>
    <cellStyle name="Normal 3 5 7 3" xfId="15723" xr:uid="{00000000-0005-0000-0000-0000193A0000}"/>
    <cellStyle name="Normal 3 5 7 4" xfId="15724" xr:uid="{00000000-0005-0000-0000-00001A3A0000}"/>
    <cellStyle name="Normal 3 5 7 5" xfId="15725" xr:uid="{00000000-0005-0000-0000-00001B3A0000}"/>
    <cellStyle name="Normal 3 5 7 6" xfId="15726" xr:uid="{00000000-0005-0000-0000-00001C3A0000}"/>
    <cellStyle name="Normal 3 5 7 7" xfId="15727" xr:uid="{00000000-0005-0000-0000-00001D3A0000}"/>
    <cellStyle name="Normal 3 5 7 8" xfId="15728" xr:uid="{00000000-0005-0000-0000-00001E3A0000}"/>
    <cellStyle name="Normal 3 5 7 9" xfId="15729" xr:uid="{00000000-0005-0000-0000-00001F3A0000}"/>
    <cellStyle name="Normal 3 5 8" xfId="15730" xr:uid="{00000000-0005-0000-0000-0000203A0000}"/>
    <cellStyle name="Normal 3 5 8 10" xfId="15731" xr:uid="{00000000-0005-0000-0000-0000213A0000}"/>
    <cellStyle name="Normal 3 5 8 11" xfId="15732" xr:uid="{00000000-0005-0000-0000-0000223A0000}"/>
    <cellStyle name="Normal 3 5 8 12" xfId="15733" xr:uid="{00000000-0005-0000-0000-0000233A0000}"/>
    <cellStyle name="Normal 3 5 8 13" xfId="15734" xr:uid="{00000000-0005-0000-0000-0000243A0000}"/>
    <cellStyle name="Normal 3 5 8 14" xfId="15735" xr:uid="{00000000-0005-0000-0000-0000253A0000}"/>
    <cellStyle name="Normal 3 5 8 15" xfId="15736" xr:uid="{00000000-0005-0000-0000-0000263A0000}"/>
    <cellStyle name="Normal 3 5 8 2" xfId="15737" xr:uid="{00000000-0005-0000-0000-0000273A0000}"/>
    <cellStyle name="Normal 3 5 8 3" xfId="15738" xr:uid="{00000000-0005-0000-0000-0000283A0000}"/>
    <cellStyle name="Normal 3 5 8 4" xfId="15739" xr:uid="{00000000-0005-0000-0000-0000293A0000}"/>
    <cellStyle name="Normal 3 5 8 5" xfId="15740" xr:uid="{00000000-0005-0000-0000-00002A3A0000}"/>
    <cellStyle name="Normal 3 5 8 6" xfId="15741" xr:uid="{00000000-0005-0000-0000-00002B3A0000}"/>
    <cellStyle name="Normal 3 5 8 7" xfId="15742" xr:uid="{00000000-0005-0000-0000-00002C3A0000}"/>
    <cellStyle name="Normal 3 5 8 8" xfId="15743" xr:uid="{00000000-0005-0000-0000-00002D3A0000}"/>
    <cellStyle name="Normal 3 5 8 9" xfId="15744" xr:uid="{00000000-0005-0000-0000-00002E3A0000}"/>
    <cellStyle name="Normal 3 5 9" xfId="15745" xr:uid="{00000000-0005-0000-0000-00002F3A0000}"/>
    <cellStyle name="Normal 3 5 9 10" xfId="15746" xr:uid="{00000000-0005-0000-0000-0000303A0000}"/>
    <cellStyle name="Normal 3 5 9 11" xfId="15747" xr:uid="{00000000-0005-0000-0000-0000313A0000}"/>
    <cellStyle name="Normal 3 5 9 12" xfId="15748" xr:uid="{00000000-0005-0000-0000-0000323A0000}"/>
    <cellStyle name="Normal 3 5 9 13" xfId="15749" xr:uid="{00000000-0005-0000-0000-0000333A0000}"/>
    <cellStyle name="Normal 3 5 9 14" xfId="15750" xr:uid="{00000000-0005-0000-0000-0000343A0000}"/>
    <cellStyle name="Normal 3 5 9 15" xfId="15751" xr:uid="{00000000-0005-0000-0000-0000353A0000}"/>
    <cellStyle name="Normal 3 5 9 2" xfId="15752" xr:uid="{00000000-0005-0000-0000-0000363A0000}"/>
    <cellStyle name="Normal 3 5 9 3" xfId="15753" xr:uid="{00000000-0005-0000-0000-0000373A0000}"/>
    <cellStyle name="Normal 3 5 9 4" xfId="15754" xr:uid="{00000000-0005-0000-0000-0000383A0000}"/>
    <cellStyle name="Normal 3 5 9 5" xfId="15755" xr:uid="{00000000-0005-0000-0000-0000393A0000}"/>
    <cellStyle name="Normal 3 5 9 6" xfId="15756" xr:uid="{00000000-0005-0000-0000-00003A3A0000}"/>
    <cellStyle name="Normal 3 5 9 7" xfId="15757" xr:uid="{00000000-0005-0000-0000-00003B3A0000}"/>
    <cellStyle name="Normal 3 5 9 8" xfId="15758" xr:uid="{00000000-0005-0000-0000-00003C3A0000}"/>
    <cellStyle name="Normal 3 5 9 9" xfId="15759" xr:uid="{00000000-0005-0000-0000-00003D3A0000}"/>
    <cellStyle name="Normal 3 6" xfId="813" xr:uid="{00000000-0005-0000-0000-00003E030000}"/>
    <cellStyle name="Normal 3 6 10" xfId="15761" xr:uid="{00000000-0005-0000-0000-00003F3A0000}"/>
    <cellStyle name="Normal 3 6 11" xfId="15762" xr:uid="{00000000-0005-0000-0000-0000403A0000}"/>
    <cellStyle name="Normal 3 6 12" xfId="15763" xr:uid="{00000000-0005-0000-0000-0000413A0000}"/>
    <cellStyle name="Normal 3 6 13" xfId="15764" xr:uid="{00000000-0005-0000-0000-0000423A0000}"/>
    <cellStyle name="Normal 3 6 14" xfId="15765" xr:uid="{00000000-0005-0000-0000-0000433A0000}"/>
    <cellStyle name="Normal 3 6 15" xfId="15766" xr:uid="{00000000-0005-0000-0000-0000443A0000}"/>
    <cellStyle name="Normal 3 6 16" xfId="15767" xr:uid="{00000000-0005-0000-0000-0000453A0000}"/>
    <cellStyle name="Normal 3 6 17" xfId="15768" xr:uid="{00000000-0005-0000-0000-0000463A0000}"/>
    <cellStyle name="Normal 3 6 18" xfId="15769" xr:uid="{00000000-0005-0000-0000-0000473A0000}"/>
    <cellStyle name="Normal 3 6 19" xfId="15770" xr:uid="{00000000-0005-0000-0000-0000483A0000}"/>
    <cellStyle name="Normal 3 6 2" xfId="15771" xr:uid="{00000000-0005-0000-0000-0000493A0000}"/>
    <cellStyle name="Normal 3 6 2 10" xfId="15772" xr:uid="{00000000-0005-0000-0000-00004A3A0000}"/>
    <cellStyle name="Normal 3 6 2 11" xfId="15773" xr:uid="{00000000-0005-0000-0000-00004B3A0000}"/>
    <cellStyle name="Normal 3 6 2 12" xfId="15774" xr:uid="{00000000-0005-0000-0000-00004C3A0000}"/>
    <cellStyle name="Normal 3 6 2 13" xfId="15775" xr:uid="{00000000-0005-0000-0000-00004D3A0000}"/>
    <cellStyle name="Normal 3 6 2 14" xfId="15776" xr:uid="{00000000-0005-0000-0000-00004E3A0000}"/>
    <cellStyle name="Normal 3 6 2 15" xfId="15777" xr:uid="{00000000-0005-0000-0000-00004F3A0000}"/>
    <cellStyle name="Normal 3 6 2 16" xfId="15778" xr:uid="{00000000-0005-0000-0000-0000503A0000}"/>
    <cellStyle name="Normal 3 6 2 2" xfId="15779" xr:uid="{00000000-0005-0000-0000-0000513A0000}"/>
    <cellStyle name="Normal 3 6 2 3" xfId="15780" xr:uid="{00000000-0005-0000-0000-0000523A0000}"/>
    <cellStyle name="Normal 3 6 2 4" xfId="15781" xr:uid="{00000000-0005-0000-0000-0000533A0000}"/>
    <cellStyle name="Normal 3 6 2 5" xfId="15782" xr:uid="{00000000-0005-0000-0000-0000543A0000}"/>
    <cellStyle name="Normal 3 6 2 6" xfId="15783" xr:uid="{00000000-0005-0000-0000-0000553A0000}"/>
    <cellStyle name="Normal 3 6 2 7" xfId="15784" xr:uid="{00000000-0005-0000-0000-0000563A0000}"/>
    <cellStyle name="Normal 3 6 2 8" xfId="15785" xr:uid="{00000000-0005-0000-0000-0000573A0000}"/>
    <cellStyle name="Normal 3 6 2 9" xfId="15786" xr:uid="{00000000-0005-0000-0000-0000583A0000}"/>
    <cellStyle name="Normal 3 6 20" xfId="15787" xr:uid="{00000000-0005-0000-0000-0000593A0000}"/>
    <cellStyle name="Normal 3 6 21" xfId="15788" xr:uid="{00000000-0005-0000-0000-00005A3A0000}"/>
    <cellStyle name="Normal 3 6 22" xfId="15789" xr:uid="{00000000-0005-0000-0000-00005B3A0000}"/>
    <cellStyle name="Normal 3 6 23" xfId="15790" xr:uid="{00000000-0005-0000-0000-00005C3A0000}"/>
    <cellStyle name="Normal 3 6 24" xfId="15791" xr:uid="{00000000-0005-0000-0000-00005D3A0000}"/>
    <cellStyle name="Normal 3 6 25" xfId="15760" xr:uid="{00000000-0005-0000-0000-00003E3A0000}"/>
    <cellStyle name="Normal 3 6 3" xfId="15792" xr:uid="{00000000-0005-0000-0000-00005E3A0000}"/>
    <cellStyle name="Normal 3 6 3 10" xfId="15793" xr:uid="{00000000-0005-0000-0000-00005F3A0000}"/>
    <cellStyle name="Normal 3 6 3 11" xfId="15794" xr:uid="{00000000-0005-0000-0000-0000603A0000}"/>
    <cellStyle name="Normal 3 6 3 12" xfId="15795" xr:uid="{00000000-0005-0000-0000-0000613A0000}"/>
    <cellStyle name="Normal 3 6 3 13" xfId="15796" xr:uid="{00000000-0005-0000-0000-0000623A0000}"/>
    <cellStyle name="Normal 3 6 3 14" xfId="15797" xr:uid="{00000000-0005-0000-0000-0000633A0000}"/>
    <cellStyle name="Normal 3 6 3 15" xfId="15798" xr:uid="{00000000-0005-0000-0000-0000643A0000}"/>
    <cellStyle name="Normal 3 6 3 2" xfId="15799" xr:uid="{00000000-0005-0000-0000-0000653A0000}"/>
    <cellStyle name="Normal 3 6 3 3" xfId="15800" xr:uid="{00000000-0005-0000-0000-0000663A0000}"/>
    <cellStyle name="Normal 3 6 3 4" xfId="15801" xr:uid="{00000000-0005-0000-0000-0000673A0000}"/>
    <cellStyle name="Normal 3 6 3 5" xfId="15802" xr:uid="{00000000-0005-0000-0000-0000683A0000}"/>
    <cellStyle name="Normal 3 6 3 6" xfId="15803" xr:uid="{00000000-0005-0000-0000-0000693A0000}"/>
    <cellStyle name="Normal 3 6 3 7" xfId="15804" xr:uid="{00000000-0005-0000-0000-00006A3A0000}"/>
    <cellStyle name="Normal 3 6 3 8" xfId="15805" xr:uid="{00000000-0005-0000-0000-00006B3A0000}"/>
    <cellStyle name="Normal 3 6 3 9" xfId="15806" xr:uid="{00000000-0005-0000-0000-00006C3A0000}"/>
    <cellStyle name="Normal 3 6 4" xfId="15807" xr:uid="{00000000-0005-0000-0000-00006D3A0000}"/>
    <cellStyle name="Normal 3 6 4 10" xfId="15808" xr:uid="{00000000-0005-0000-0000-00006E3A0000}"/>
    <cellStyle name="Normal 3 6 4 11" xfId="15809" xr:uid="{00000000-0005-0000-0000-00006F3A0000}"/>
    <cellStyle name="Normal 3 6 4 12" xfId="15810" xr:uid="{00000000-0005-0000-0000-0000703A0000}"/>
    <cellStyle name="Normal 3 6 4 13" xfId="15811" xr:uid="{00000000-0005-0000-0000-0000713A0000}"/>
    <cellStyle name="Normal 3 6 4 14" xfId="15812" xr:uid="{00000000-0005-0000-0000-0000723A0000}"/>
    <cellStyle name="Normal 3 6 4 15" xfId="15813" xr:uid="{00000000-0005-0000-0000-0000733A0000}"/>
    <cellStyle name="Normal 3 6 4 2" xfId="15814" xr:uid="{00000000-0005-0000-0000-0000743A0000}"/>
    <cellStyle name="Normal 3 6 4 3" xfId="15815" xr:uid="{00000000-0005-0000-0000-0000753A0000}"/>
    <cellStyle name="Normal 3 6 4 4" xfId="15816" xr:uid="{00000000-0005-0000-0000-0000763A0000}"/>
    <cellStyle name="Normal 3 6 4 5" xfId="15817" xr:uid="{00000000-0005-0000-0000-0000773A0000}"/>
    <cellStyle name="Normal 3 6 4 6" xfId="15818" xr:uid="{00000000-0005-0000-0000-0000783A0000}"/>
    <cellStyle name="Normal 3 6 4 7" xfId="15819" xr:uid="{00000000-0005-0000-0000-0000793A0000}"/>
    <cellStyle name="Normal 3 6 4 8" xfId="15820" xr:uid="{00000000-0005-0000-0000-00007A3A0000}"/>
    <cellStyle name="Normal 3 6 4 9" xfId="15821" xr:uid="{00000000-0005-0000-0000-00007B3A0000}"/>
    <cellStyle name="Normal 3 6 5" xfId="15822" xr:uid="{00000000-0005-0000-0000-00007C3A0000}"/>
    <cellStyle name="Normal 3 6 5 10" xfId="15823" xr:uid="{00000000-0005-0000-0000-00007D3A0000}"/>
    <cellStyle name="Normal 3 6 5 11" xfId="15824" xr:uid="{00000000-0005-0000-0000-00007E3A0000}"/>
    <cellStyle name="Normal 3 6 5 12" xfId="15825" xr:uid="{00000000-0005-0000-0000-00007F3A0000}"/>
    <cellStyle name="Normal 3 6 5 13" xfId="15826" xr:uid="{00000000-0005-0000-0000-0000803A0000}"/>
    <cellStyle name="Normal 3 6 5 14" xfId="15827" xr:uid="{00000000-0005-0000-0000-0000813A0000}"/>
    <cellStyle name="Normal 3 6 5 15" xfId="15828" xr:uid="{00000000-0005-0000-0000-0000823A0000}"/>
    <cellStyle name="Normal 3 6 5 2" xfId="15829" xr:uid="{00000000-0005-0000-0000-0000833A0000}"/>
    <cellStyle name="Normal 3 6 5 3" xfId="15830" xr:uid="{00000000-0005-0000-0000-0000843A0000}"/>
    <cellStyle name="Normal 3 6 5 4" xfId="15831" xr:uid="{00000000-0005-0000-0000-0000853A0000}"/>
    <cellStyle name="Normal 3 6 5 5" xfId="15832" xr:uid="{00000000-0005-0000-0000-0000863A0000}"/>
    <cellStyle name="Normal 3 6 5 6" xfId="15833" xr:uid="{00000000-0005-0000-0000-0000873A0000}"/>
    <cellStyle name="Normal 3 6 5 7" xfId="15834" xr:uid="{00000000-0005-0000-0000-0000883A0000}"/>
    <cellStyle name="Normal 3 6 5 8" xfId="15835" xr:uid="{00000000-0005-0000-0000-0000893A0000}"/>
    <cellStyle name="Normal 3 6 5 9" xfId="15836" xr:uid="{00000000-0005-0000-0000-00008A3A0000}"/>
    <cellStyle name="Normal 3 6 6" xfId="15837" xr:uid="{00000000-0005-0000-0000-00008B3A0000}"/>
    <cellStyle name="Normal 3 6 6 10" xfId="15838" xr:uid="{00000000-0005-0000-0000-00008C3A0000}"/>
    <cellStyle name="Normal 3 6 6 11" xfId="15839" xr:uid="{00000000-0005-0000-0000-00008D3A0000}"/>
    <cellStyle name="Normal 3 6 6 12" xfId="15840" xr:uid="{00000000-0005-0000-0000-00008E3A0000}"/>
    <cellStyle name="Normal 3 6 6 13" xfId="15841" xr:uid="{00000000-0005-0000-0000-00008F3A0000}"/>
    <cellStyle name="Normal 3 6 6 14" xfId="15842" xr:uid="{00000000-0005-0000-0000-0000903A0000}"/>
    <cellStyle name="Normal 3 6 6 15" xfId="15843" xr:uid="{00000000-0005-0000-0000-0000913A0000}"/>
    <cellStyle name="Normal 3 6 6 2" xfId="15844" xr:uid="{00000000-0005-0000-0000-0000923A0000}"/>
    <cellStyle name="Normal 3 6 6 3" xfId="15845" xr:uid="{00000000-0005-0000-0000-0000933A0000}"/>
    <cellStyle name="Normal 3 6 6 4" xfId="15846" xr:uid="{00000000-0005-0000-0000-0000943A0000}"/>
    <cellStyle name="Normal 3 6 6 5" xfId="15847" xr:uid="{00000000-0005-0000-0000-0000953A0000}"/>
    <cellStyle name="Normal 3 6 6 6" xfId="15848" xr:uid="{00000000-0005-0000-0000-0000963A0000}"/>
    <cellStyle name="Normal 3 6 6 7" xfId="15849" xr:uid="{00000000-0005-0000-0000-0000973A0000}"/>
    <cellStyle name="Normal 3 6 6 8" xfId="15850" xr:uid="{00000000-0005-0000-0000-0000983A0000}"/>
    <cellStyle name="Normal 3 6 6 9" xfId="15851" xr:uid="{00000000-0005-0000-0000-0000993A0000}"/>
    <cellStyle name="Normal 3 6 7" xfId="15852" xr:uid="{00000000-0005-0000-0000-00009A3A0000}"/>
    <cellStyle name="Normal 3 6 7 10" xfId="15853" xr:uid="{00000000-0005-0000-0000-00009B3A0000}"/>
    <cellStyle name="Normal 3 6 7 11" xfId="15854" xr:uid="{00000000-0005-0000-0000-00009C3A0000}"/>
    <cellStyle name="Normal 3 6 7 12" xfId="15855" xr:uid="{00000000-0005-0000-0000-00009D3A0000}"/>
    <cellStyle name="Normal 3 6 7 13" xfId="15856" xr:uid="{00000000-0005-0000-0000-00009E3A0000}"/>
    <cellStyle name="Normal 3 6 7 14" xfId="15857" xr:uid="{00000000-0005-0000-0000-00009F3A0000}"/>
    <cellStyle name="Normal 3 6 7 15" xfId="15858" xr:uid="{00000000-0005-0000-0000-0000A03A0000}"/>
    <cellStyle name="Normal 3 6 7 2" xfId="15859" xr:uid="{00000000-0005-0000-0000-0000A13A0000}"/>
    <cellStyle name="Normal 3 6 7 3" xfId="15860" xr:uid="{00000000-0005-0000-0000-0000A23A0000}"/>
    <cellStyle name="Normal 3 6 7 4" xfId="15861" xr:uid="{00000000-0005-0000-0000-0000A33A0000}"/>
    <cellStyle name="Normal 3 6 7 5" xfId="15862" xr:uid="{00000000-0005-0000-0000-0000A43A0000}"/>
    <cellStyle name="Normal 3 6 7 6" xfId="15863" xr:uid="{00000000-0005-0000-0000-0000A53A0000}"/>
    <cellStyle name="Normal 3 6 7 7" xfId="15864" xr:uid="{00000000-0005-0000-0000-0000A63A0000}"/>
    <cellStyle name="Normal 3 6 7 8" xfId="15865" xr:uid="{00000000-0005-0000-0000-0000A73A0000}"/>
    <cellStyle name="Normal 3 6 7 9" xfId="15866" xr:uid="{00000000-0005-0000-0000-0000A83A0000}"/>
    <cellStyle name="Normal 3 6 8" xfId="15867" xr:uid="{00000000-0005-0000-0000-0000A93A0000}"/>
    <cellStyle name="Normal 3 6 8 2" xfId="15868" xr:uid="{00000000-0005-0000-0000-0000AA3A0000}"/>
    <cellStyle name="Normal 3 6 8 3" xfId="15869" xr:uid="{00000000-0005-0000-0000-0000AB3A0000}"/>
    <cellStyle name="Normal 3 6 9" xfId="15870" xr:uid="{00000000-0005-0000-0000-0000AC3A0000}"/>
    <cellStyle name="Normal 3 7" xfId="180" xr:uid="{00000000-0005-0000-0000-00003F030000}"/>
    <cellStyle name="Normal 3 7 10" xfId="15872" xr:uid="{00000000-0005-0000-0000-0000AE3A0000}"/>
    <cellStyle name="Normal 3 7 11" xfId="15873" xr:uid="{00000000-0005-0000-0000-0000AF3A0000}"/>
    <cellStyle name="Normal 3 7 12" xfId="15874" xr:uid="{00000000-0005-0000-0000-0000B03A0000}"/>
    <cellStyle name="Normal 3 7 13" xfId="15875" xr:uid="{00000000-0005-0000-0000-0000B13A0000}"/>
    <cellStyle name="Normal 3 7 14" xfId="15876" xr:uid="{00000000-0005-0000-0000-0000B23A0000}"/>
    <cellStyle name="Normal 3 7 15" xfId="15877" xr:uid="{00000000-0005-0000-0000-0000B33A0000}"/>
    <cellStyle name="Normal 3 7 16" xfId="15878" xr:uid="{00000000-0005-0000-0000-0000B43A0000}"/>
    <cellStyle name="Normal 3 7 17" xfId="15879" xr:uid="{00000000-0005-0000-0000-0000B53A0000}"/>
    <cellStyle name="Normal 3 7 18" xfId="15880" xr:uid="{00000000-0005-0000-0000-0000B63A0000}"/>
    <cellStyle name="Normal 3 7 19" xfId="15881" xr:uid="{00000000-0005-0000-0000-0000B73A0000}"/>
    <cellStyle name="Normal 3 7 2" xfId="15882" xr:uid="{00000000-0005-0000-0000-0000B83A0000}"/>
    <cellStyle name="Normal 3 7 2 10" xfId="15883" xr:uid="{00000000-0005-0000-0000-0000B93A0000}"/>
    <cellStyle name="Normal 3 7 2 11" xfId="15884" xr:uid="{00000000-0005-0000-0000-0000BA3A0000}"/>
    <cellStyle name="Normal 3 7 2 12" xfId="15885" xr:uid="{00000000-0005-0000-0000-0000BB3A0000}"/>
    <cellStyle name="Normal 3 7 2 13" xfId="15886" xr:uid="{00000000-0005-0000-0000-0000BC3A0000}"/>
    <cellStyle name="Normal 3 7 2 14" xfId="15887" xr:uid="{00000000-0005-0000-0000-0000BD3A0000}"/>
    <cellStyle name="Normal 3 7 2 15" xfId="15888" xr:uid="{00000000-0005-0000-0000-0000BE3A0000}"/>
    <cellStyle name="Normal 3 7 2 2" xfId="15889" xr:uid="{00000000-0005-0000-0000-0000BF3A0000}"/>
    <cellStyle name="Normal 3 7 2 3" xfId="15890" xr:uid="{00000000-0005-0000-0000-0000C03A0000}"/>
    <cellStyle name="Normal 3 7 2 4" xfId="15891" xr:uid="{00000000-0005-0000-0000-0000C13A0000}"/>
    <cellStyle name="Normal 3 7 2 5" xfId="15892" xr:uid="{00000000-0005-0000-0000-0000C23A0000}"/>
    <cellStyle name="Normal 3 7 2 6" xfId="15893" xr:uid="{00000000-0005-0000-0000-0000C33A0000}"/>
    <cellStyle name="Normal 3 7 2 7" xfId="15894" xr:uid="{00000000-0005-0000-0000-0000C43A0000}"/>
    <cellStyle name="Normal 3 7 2 8" xfId="15895" xr:uid="{00000000-0005-0000-0000-0000C53A0000}"/>
    <cellStyle name="Normal 3 7 2 9" xfId="15896" xr:uid="{00000000-0005-0000-0000-0000C63A0000}"/>
    <cellStyle name="Normal 3 7 20" xfId="15897" xr:uid="{00000000-0005-0000-0000-0000C73A0000}"/>
    <cellStyle name="Normal 3 7 21" xfId="15898" xr:uid="{00000000-0005-0000-0000-0000C83A0000}"/>
    <cellStyle name="Normal 3 7 22" xfId="15871" xr:uid="{00000000-0005-0000-0000-0000AD3A0000}"/>
    <cellStyle name="Normal 3 7 3" xfId="15899" xr:uid="{00000000-0005-0000-0000-0000C93A0000}"/>
    <cellStyle name="Normal 3 7 3 10" xfId="15900" xr:uid="{00000000-0005-0000-0000-0000CA3A0000}"/>
    <cellStyle name="Normal 3 7 3 11" xfId="15901" xr:uid="{00000000-0005-0000-0000-0000CB3A0000}"/>
    <cellStyle name="Normal 3 7 3 12" xfId="15902" xr:uid="{00000000-0005-0000-0000-0000CC3A0000}"/>
    <cellStyle name="Normal 3 7 3 13" xfId="15903" xr:uid="{00000000-0005-0000-0000-0000CD3A0000}"/>
    <cellStyle name="Normal 3 7 3 14" xfId="15904" xr:uid="{00000000-0005-0000-0000-0000CE3A0000}"/>
    <cellStyle name="Normal 3 7 3 15" xfId="15905" xr:uid="{00000000-0005-0000-0000-0000CF3A0000}"/>
    <cellStyle name="Normal 3 7 3 2" xfId="15906" xr:uid="{00000000-0005-0000-0000-0000D03A0000}"/>
    <cellStyle name="Normal 3 7 3 3" xfId="15907" xr:uid="{00000000-0005-0000-0000-0000D13A0000}"/>
    <cellStyle name="Normal 3 7 3 4" xfId="15908" xr:uid="{00000000-0005-0000-0000-0000D23A0000}"/>
    <cellStyle name="Normal 3 7 3 5" xfId="15909" xr:uid="{00000000-0005-0000-0000-0000D33A0000}"/>
    <cellStyle name="Normal 3 7 3 6" xfId="15910" xr:uid="{00000000-0005-0000-0000-0000D43A0000}"/>
    <cellStyle name="Normal 3 7 3 7" xfId="15911" xr:uid="{00000000-0005-0000-0000-0000D53A0000}"/>
    <cellStyle name="Normal 3 7 3 8" xfId="15912" xr:uid="{00000000-0005-0000-0000-0000D63A0000}"/>
    <cellStyle name="Normal 3 7 3 9" xfId="15913" xr:uid="{00000000-0005-0000-0000-0000D73A0000}"/>
    <cellStyle name="Normal 3 7 4" xfId="15914" xr:uid="{00000000-0005-0000-0000-0000D83A0000}"/>
    <cellStyle name="Normal 3 7 4 10" xfId="15915" xr:uid="{00000000-0005-0000-0000-0000D93A0000}"/>
    <cellStyle name="Normal 3 7 4 11" xfId="15916" xr:uid="{00000000-0005-0000-0000-0000DA3A0000}"/>
    <cellStyle name="Normal 3 7 4 12" xfId="15917" xr:uid="{00000000-0005-0000-0000-0000DB3A0000}"/>
    <cellStyle name="Normal 3 7 4 13" xfId="15918" xr:uid="{00000000-0005-0000-0000-0000DC3A0000}"/>
    <cellStyle name="Normal 3 7 4 14" xfId="15919" xr:uid="{00000000-0005-0000-0000-0000DD3A0000}"/>
    <cellStyle name="Normal 3 7 4 15" xfId="15920" xr:uid="{00000000-0005-0000-0000-0000DE3A0000}"/>
    <cellStyle name="Normal 3 7 4 2" xfId="15921" xr:uid="{00000000-0005-0000-0000-0000DF3A0000}"/>
    <cellStyle name="Normal 3 7 4 3" xfId="15922" xr:uid="{00000000-0005-0000-0000-0000E03A0000}"/>
    <cellStyle name="Normal 3 7 4 4" xfId="15923" xr:uid="{00000000-0005-0000-0000-0000E13A0000}"/>
    <cellStyle name="Normal 3 7 4 5" xfId="15924" xr:uid="{00000000-0005-0000-0000-0000E23A0000}"/>
    <cellStyle name="Normal 3 7 4 6" xfId="15925" xr:uid="{00000000-0005-0000-0000-0000E33A0000}"/>
    <cellStyle name="Normal 3 7 4 7" xfId="15926" xr:uid="{00000000-0005-0000-0000-0000E43A0000}"/>
    <cellStyle name="Normal 3 7 4 8" xfId="15927" xr:uid="{00000000-0005-0000-0000-0000E53A0000}"/>
    <cellStyle name="Normal 3 7 4 9" xfId="15928" xr:uid="{00000000-0005-0000-0000-0000E63A0000}"/>
    <cellStyle name="Normal 3 7 5" xfId="15929" xr:uid="{00000000-0005-0000-0000-0000E73A0000}"/>
    <cellStyle name="Normal 3 7 5 2" xfId="15930" xr:uid="{00000000-0005-0000-0000-0000E83A0000}"/>
    <cellStyle name="Normal 3 7 5 3" xfId="15931" xr:uid="{00000000-0005-0000-0000-0000E93A0000}"/>
    <cellStyle name="Normal 3 7 6" xfId="15932" xr:uid="{00000000-0005-0000-0000-0000EA3A0000}"/>
    <cellStyle name="Normal 3 7 7" xfId="15933" xr:uid="{00000000-0005-0000-0000-0000EB3A0000}"/>
    <cellStyle name="Normal 3 7 8" xfId="15934" xr:uid="{00000000-0005-0000-0000-0000EC3A0000}"/>
    <cellStyle name="Normal 3 7 9" xfId="15935" xr:uid="{00000000-0005-0000-0000-0000ED3A0000}"/>
    <cellStyle name="Normal 3 8" xfId="15936" xr:uid="{00000000-0005-0000-0000-0000EE3A0000}"/>
    <cellStyle name="Normal 3 8 10" xfId="15937" xr:uid="{00000000-0005-0000-0000-0000EF3A0000}"/>
    <cellStyle name="Normal 3 8 11" xfId="15938" xr:uid="{00000000-0005-0000-0000-0000F03A0000}"/>
    <cellStyle name="Normal 3 8 12" xfId="15939" xr:uid="{00000000-0005-0000-0000-0000F13A0000}"/>
    <cellStyle name="Normal 3 8 13" xfId="15940" xr:uid="{00000000-0005-0000-0000-0000F23A0000}"/>
    <cellStyle name="Normal 3 8 14" xfId="15941" xr:uid="{00000000-0005-0000-0000-0000F33A0000}"/>
    <cellStyle name="Normal 3 8 15" xfId="15942" xr:uid="{00000000-0005-0000-0000-0000F43A0000}"/>
    <cellStyle name="Normal 3 8 16" xfId="15943" xr:uid="{00000000-0005-0000-0000-0000F53A0000}"/>
    <cellStyle name="Normal 3 8 17" xfId="15944" xr:uid="{00000000-0005-0000-0000-0000F63A0000}"/>
    <cellStyle name="Normal 3 8 18" xfId="15945" xr:uid="{00000000-0005-0000-0000-0000F73A0000}"/>
    <cellStyle name="Normal 3 8 2" xfId="15946" xr:uid="{00000000-0005-0000-0000-0000F83A0000}"/>
    <cellStyle name="Normal 3 8 2 2" xfId="15947" xr:uid="{00000000-0005-0000-0000-0000F93A0000}"/>
    <cellStyle name="Normal 3 8 2 3" xfId="15948" xr:uid="{00000000-0005-0000-0000-0000FA3A0000}"/>
    <cellStyle name="Normal 3 8 3" xfId="15949" xr:uid="{00000000-0005-0000-0000-0000FB3A0000}"/>
    <cellStyle name="Normal 3 8 4" xfId="15950" xr:uid="{00000000-0005-0000-0000-0000FC3A0000}"/>
    <cellStyle name="Normal 3 8 5" xfId="15951" xr:uid="{00000000-0005-0000-0000-0000FD3A0000}"/>
    <cellStyle name="Normal 3 8 6" xfId="15952" xr:uid="{00000000-0005-0000-0000-0000FE3A0000}"/>
    <cellStyle name="Normal 3 8 7" xfId="15953" xr:uid="{00000000-0005-0000-0000-0000FF3A0000}"/>
    <cellStyle name="Normal 3 8 8" xfId="15954" xr:uid="{00000000-0005-0000-0000-0000003B0000}"/>
    <cellStyle name="Normal 3 8 9" xfId="15955" xr:uid="{00000000-0005-0000-0000-0000013B0000}"/>
    <cellStyle name="Normal 3 9" xfId="15956" xr:uid="{00000000-0005-0000-0000-0000023B0000}"/>
    <cellStyle name="Normal 3 9 10" xfId="15957" xr:uid="{00000000-0005-0000-0000-0000033B0000}"/>
    <cellStyle name="Normal 3 9 11" xfId="15958" xr:uid="{00000000-0005-0000-0000-0000043B0000}"/>
    <cellStyle name="Normal 3 9 12" xfId="15959" xr:uid="{00000000-0005-0000-0000-0000053B0000}"/>
    <cellStyle name="Normal 3 9 13" xfId="15960" xr:uid="{00000000-0005-0000-0000-0000063B0000}"/>
    <cellStyle name="Normal 3 9 14" xfId="15961" xr:uid="{00000000-0005-0000-0000-0000073B0000}"/>
    <cellStyle name="Normal 3 9 15" xfId="15962" xr:uid="{00000000-0005-0000-0000-0000083B0000}"/>
    <cellStyle name="Normal 3 9 16" xfId="15963" xr:uid="{00000000-0005-0000-0000-0000093B0000}"/>
    <cellStyle name="Normal 3 9 17" xfId="15964" xr:uid="{00000000-0005-0000-0000-00000A3B0000}"/>
    <cellStyle name="Normal 3 9 18" xfId="15965" xr:uid="{00000000-0005-0000-0000-00000B3B0000}"/>
    <cellStyle name="Normal 3 9 2" xfId="15966" xr:uid="{00000000-0005-0000-0000-00000C3B0000}"/>
    <cellStyle name="Normal 3 9 2 2" xfId="15967" xr:uid="{00000000-0005-0000-0000-00000D3B0000}"/>
    <cellStyle name="Normal 3 9 2 3" xfId="15968" xr:uid="{00000000-0005-0000-0000-00000E3B0000}"/>
    <cellStyle name="Normal 3 9 3" xfId="15969" xr:uid="{00000000-0005-0000-0000-00000F3B0000}"/>
    <cellStyle name="Normal 3 9 4" xfId="15970" xr:uid="{00000000-0005-0000-0000-0000103B0000}"/>
    <cellStyle name="Normal 3 9 5" xfId="15971" xr:uid="{00000000-0005-0000-0000-0000113B0000}"/>
    <cellStyle name="Normal 3 9 6" xfId="15972" xr:uid="{00000000-0005-0000-0000-0000123B0000}"/>
    <cellStyle name="Normal 3 9 7" xfId="15973" xr:uid="{00000000-0005-0000-0000-0000133B0000}"/>
    <cellStyle name="Normal 3 9 8" xfId="15974" xr:uid="{00000000-0005-0000-0000-0000143B0000}"/>
    <cellStyle name="Normal 3 9 9" xfId="15975" xr:uid="{00000000-0005-0000-0000-0000153B0000}"/>
    <cellStyle name="Normal 30" xfId="956" xr:uid="{00000000-0005-0000-0000-000040030000}"/>
    <cellStyle name="Normal 30 10" xfId="15977" xr:uid="{00000000-0005-0000-0000-0000173B0000}"/>
    <cellStyle name="Normal 30 11" xfId="15978" xr:uid="{00000000-0005-0000-0000-0000183B0000}"/>
    <cellStyle name="Normal 30 12" xfId="15979" xr:uid="{00000000-0005-0000-0000-0000193B0000}"/>
    <cellStyle name="Normal 30 13" xfId="15980" xr:uid="{00000000-0005-0000-0000-00001A3B0000}"/>
    <cellStyle name="Normal 30 14" xfId="15981" xr:uid="{00000000-0005-0000-0000-00001B3B0000}"/>
    <cellStyle name="Normal 30 15" xfId="15982" xr:uid="{00000000-0005-0000-0000-00001C3B0000}"/>
    <cellStyle name="Normal 30 16" xfId="15983" xr:uid="{00000000-0005-0000-0000-00001D3B0000}"/>
    <cellStyle name="Normal 30 17" xfId="15984" xr:uid="{00000000-0005-0000-0000-00001E3B0000}"/>
    <cellStyle name="Normal 30 18" xfId="15985" xr:uid="{00000000-0005-0000-0000-00001F3B0000}"/>
    <cellStyle name="Normal 30 19" xfId="15986" xr:uid="{00000000-0005-0000-0000-0000203B0000}"/>
    <cellStyle name="Normal 30 2" xfId="967" xr:uid="{00000000-0005-0000-0000-000041030000}"/>
    <cellStyle name="Normal 30 2 10" xfId="15988" xr:uid="{00000000-0005-0000-0000-0000223B0000}"/>
    <cellStyle name="Normal 30 2 11" xfId="15989" xr:uid="{00000000-0005-0000-0000-0000233B0000}"/>
    <cellStyle name="Normal 30 2 12" xfId="15990" xr:uid="{00000000-0005-0000-0000-0000243B0000}"/>
    <cellStyle name="Normal 30 2 13" xfId="15991" xr:uid="{00000000-0005-0000-0000-0000253B0000}"/>
    <cellStyle name="Normal 30 2 14" xfId="15992" xr:uid="{00000000-0005-0000-0000-0000263B0000}"/>
    <cellStyle name="Normal 30 2 15" xfId="15993" xr:uid="{00000000-0005-0000-0000-0000273B0000}"/>
    <cellStyle name="Normal 30 2 16" xfId="15994" xr:uid="{00000000-0005-0000-0000-0000283B0000}"/>
    <cellStyle name="Normal 30 2 17" xfId="15995" xr:uid="{00000000-0005-0000-0000-0000293B0000}"/>
    <cellStyle name="Normal 30 2 18" xfId="15996" xr:uid="{00000000-0005-0000-0000-00002A3B0000}"/>
    <cellStyle name="Normal 30 2 19" xfId="15997" xr:uid="{00000000-0005-0000-0000-00002B3B0000}"/>
    <cellStyle name="Normal 30 2 2" xfId="15998" xr:uid="{00000000-0005-0000-0000-00002C3B0000}"/>
    <cellStyle name="Normal 30 2 2 10" xfId="15999" xr:uid="{00000000-0005-0000-0000-00002D3B0000}"/>
    <cellStyle name="Normal 30 2 2 11" xfId="16000" xr:uid="{00000000-0005-0000-0000-00002E3B0000}"/>
    <cellStyle name="Normal 30 2 2 12" xfId="16001" xr:uid="{00000000-0005-0000-0000-00002F3B0000}"/>
    <cellStyle name="Normal 30 2 2 13" xfId="16002" xr:uid="{00000000-0005-0000-0000-0000303B0000}"/>
    <cellStyle name="Normal 30 2 2 14" xfId="16003" xr:uid="{00000000-0005-0000-0000-0000313B0000}"/>
    <cellStyle name="Normal 30 2 2 15" xfId="16004" xr:uid="{00000000-0005-0000-0000-0000323B0000}"/>
    <cellStyle name="Normal 30 2 2 16" xfId="16005" xr:uid="{00000000-0005-0000-0000-0000333B0000}"/>
    <cellStyle name="Normal 30 2 2 17" xfId="16006" xr:uid="{00000000-0005-0000-0000-0000343B0000}"/>
    <cellStyle name="Normal 30 2 2 18" xfId="16007" xr:uid="{00000000-0005-0000-0000-0000353B0000}"/>
    <cellStyle name="Normal 30 2 2 19" xfId="16008" xr:uid="{00000000-0005-0000-0000-0000363B0000}"/>
    <cellStyle name="Normal 30 2 2 2" xfId="16009" xr:uid="{00000000-0005-0000-0000-0000373B0000}"/>
    <cellStyle name="Normal 30 2 2 2 10" xfId="16010" xr:uid="{00000000-0005-0000-0000-0000383B0000}"/>
    <cellStyle name="Normal 30 2 2 2 11" xfId="16011" xr:uid="{00000000-0005-0000-0000-0000393B0000}"/>
    <cellStyle name="Normal 30 2 2 2 12" xfId="16012" xr:uid="{00000000-0005-0000-0000-00003A3B0000}"/>
    <cellStyle name="Normal 30 2 2 2 13" xfId="16013" xr:uid="{00000000-0005-0000-0000-00003B3B0000}"/>
    <cellStyle name="Normal 30 2 2 2 14" xfId="16014" xr:uid="{00000000-0005-0000-0000-00003C3B0000}"/>
    <cellStyle name="Normal 30 2 2 2 15" xfId="16015" xr:uid="{00000000-0005-0000-0000-00003D3B0000}"/>
    <cellStyle name="Normal 30 2 2 2 2" xfId="16016" xr:uid="{00000000-0005-0000-0000-00003E3B0000}"/>
    <cellStyle name="Normal 30 2 2 2 3" xfId="16017" xr:uid="{00000000-0005-0000-0000-00003F3B0000}"/>
    <cellStyle name="Normal 30 2 2 2 4" xfId="16018" xr:uid="{00000000-0005-0000-0000-0000403B0000}"/>
    <cellStyle name="Normal 30 2 2 2 5" xfId="16019" xr:uid="{00000000-0005-0000-0000-0000413B0000}"/>
    <cellStyle name="Normal 30 2 2 2 6" xfId="16020" xr:uid="{00000000-0005-0000-0000-0000423B0000}"/>
    <cellStyle name="Normal 30 2 2 2 7" xfId="16021" xr:uid="{00000000-0005-0000-0000-0000433B0000}"/>
    <cellStyle name="Normal 30 2 2 2 8" xfId="16022" xr:uid="{00000000-0005-0000-0000-0000443B0000}"/>
    <cellStyle name="Normal 30 2 2 2 9" xfId="16023" xr:uid="{00000000-0005-0000-0000-0000453B0000}"/>
    <cellStyle name="Normal 30 2 2 3" xfId="16024" xr:uid="{00000000-0005-0000-0000-0000463B0000}"/>
    <cellStyle name="Normal 30 2 2 3 10" xfId="16025" xr:uid="{00000000-0005-0000-0000-0000473B0000}"/>
    <cellStyle name="Normal 30 2 2 3 11" xfId="16026" xr:uid="{00000000-0005-0000-0000-0000483B0000}"/>
    <cellStyle name="Normal 30 2 2 3 12" xfId="16027" xr:uid="{00000000-0005-0000-0000-0000493B0000}"/>
    <cellStyle name="Normal 30 2 2 3 13" xfId="16028" xr:uid="{00000000-0005-0000-0000-00004A3B0000}"/>
    <cellStyle name="Normal 30 2 2 3 14" xfId="16029" xr:uid="{00000000-0005-0000-0000-00004B3B0000}"/>
    <cellStyle name="Normal 30 2 2 3 15" xfId="16030" xr:uid="{00000000-0005-0000-0000-00004C3B0000}"/>
    <cellStyle name="Normal 30 2 2 3 2" xfId="16031" xr:uid="{00000000-0005-0000-0000-00004D3B0000}"/>
    <cellStyle name="Normal 30 2 2 3 3" xfId="16032" xr:uid="{00000000-0005-0000-0000-00004E3B0000}"/>
    <cellStyle name="Normal 30 2 2 3 4" xfId="16033" xr:uid="{00000000-0005-0000-0000-00004F3B0000}"/>
    <cellStyle name="Normal 30 2 2 3 5" xfId="16034" xr:uid="{00000000-0005-0000-0000-0000503B0000}"/>
    <cellStyle name="Normal 30 2 2 3 6" xfId="16035" xr:uid="{00000000-0005-0000-0000-0000513B0000}"/>
    <cellStyle name="Normal 30 2 2 3 7" xfId="16036" xr:uid="{00000000-0005-0000-0000-0000523B0000}"/>
    <cellStyle name="Normal 30 2 2 3 8" xfId="16037" xr:uid="{00000000-0005-0000-0000-0000533B0000}"/>
    <cellStyle name="Normal 30 2 2 3 9" xfId="16038" xr:uid="{00000000-0005-0000-0000-0000543B0000}"/>
    <cellStyle name="Normal 30 2 2 4" xfId="16039" xr:uid="{00000000-0005-0000-0000-0000553B0000}"/>
    <cellStyle name="Normal 30 2 2 4 10" xfId="16040" xr:uid="{00000000-0005-0000-0000-0000563B0000}"/>
    <cellStyle name="Normal 30 2 2 4 11" xfId="16041" xr:uid="{00000000-0005-0000-0000-0000573B0000}"/>
    <cellStyle name="Normal 30 2 2 4 12" xfId="16042" xr:uid="{00000000-0005-0000-0000-0000583B0000}"/>
    <cellStyle name="Normal 30 2 2 4 13" xfId="16043" xr:uid="{00000000-0005-0000-0000-0000593B0000}"/>
    <cellStyle name="Normal 30 2 2 4 14" xfId="16044" xr:uid="{00000000-0005-0000-0000-00005A3B0000}"/>
    <cellStyle name="Normal 30 2 2 4 15" xfId="16045" xr:uid="{00000000-0005-0000-0000-00005B3B0000}"/>
    <cellStyle name="Normal 30 2 2 4 2" xfId="16046" xr:uid="{00000000-0005-0000-0000-00005C3B0000}"/>
    <cellStyle name="Normal 30 2 2 4 3" xfId="16047" xr:uid="{00000000-0005-0000-0000-00005D3B0000}"/>
    <cellStyle name="Normal 30 2 2 4 4" xfId="16048" xr:uid="{00000000-0005-0000-0000-00005E3B0000}"/>
    <cellStyle name="Normal 30 2 2 4 5" xfId="16049" xr:uid="{00000000-0005-0000-0000-00005F3B0000}"/>
    <cellStyle name="Normal 30 2 2 4 6" xfId="16050" xr:uid="{00000000-0005-0000-0000-0000603B0000}"/>
    <cellStyle name="Normal 30 2 2 4 7" xfId="16051" xr:uid="{00000000-0005-0000-0000-0000613B0000}"/>
    <cellStyle name="Normal 30 2 2 4 8" xfId="16052" xr:uid="{00000000-0005-0000-0000-0000623B0000}"/>
    <cellStyle name="Normal 30 2 2 4 9" xfId="16053" xr:uid="{00000000-0005-0000-0000-0000633B0000}"/>
    <cellStyle name="Normal 30 2 2 5" xfId="16054" xr:uid="{00000000-0005-0000-0000-0000643B0000}"/>
    <cellStyle name="Normal 30 2 2 6" xfId="16055" xr:uid="{00000000-0005-0000-0000-0000653B0000}"/>
    <cellStyle name="Normal 30 2 2 7" xfId="16056" xr:uid="{00000000-0005-0000-0000-0000663B0000}"/>
    <cellStyle name="Normal 30 2 2 8" xfId="16057" xr:uid="{00000000-0005-0000-0000-0000673B0000}"/>
    <cellStyle name="Normal 30 2 2 9" xfId="16058" xr:uid="{00000000-0005-0000-0000-0000683B0000}"/>
    <cellStyle name="Normal 30 2 20" xfId="16059" xr:uid="{00000000-0005-0000-0000-0000693B0000}"/>
    <cellStyle name="Normal 30 2 21" xfId="15987" xr:uid="{00000000-0005-0000-0000-0000213B0000}"/>
    <cellStyle name="Normal 30 2 3" xfId="16060" xr:uid="{00000000-0005-0000-0000-00006A3B0000}"/>
    <cellStyle name="Normal 30 2 3 10" xfId="16061" xr:uid="{00000000-0005-0000-0000-00006B3B0000}"/>
    <cellStyle name="Normal 30 2 3 11" xfId="16062" xr:uid="{00000000-0005-0000-0000-00006C3B0000}"/>
    <cellStyle name="Normal 30 2 3 12" xfId="16063" xr:uid="{00000000-0005-0000-0000-00006D3B0000}"/>
    <cellStyle name="Normal 30 2 3 13" xfId="16064" xr:uid="{00000000-0005-0000-0000-00006E3B0000}"/>
    <cellStyle name="Normal 30 2 3 14" xfId="16065" xr:uid="{00000000-0005-0000-0000-00006F3B0000}"/>
    <cellStyle name="Normal 30 2 3 15" xfId="16066" xr:uid="{00000000-0005-0000-0000-0000703B0000}"/>
    <cellStyle name="Normal 30 2 3 2" xfId="16067" xr:uid="{00000000-0005-0000-0000-0000713B0000}"/>
    <cellStyle name="Normal 30 2 3 3" xfId="16068" xr:uid="{00000000-0005-0000-0000-0000723B0000}"/>
    <cellStyle name="Normal 30 2 3 4" xfId="16069" xr:uid="{00000000-0005-0000-0000-0000733B0000}"/>
    <cellStyle name="Normal 30 2 3 5" xfId="16070" xr:uid="{00000000-0005-0000-0000-0000743B0000}"/>
    <cellStyle name="Normal 30 2 3 6" xfId="16071" xr:uid="{00000000-0005-0000-0000-0000753B0000}"/>
    <cellStyle name="Normal 30 2 3 7" xfId="16072" xr:uid="{00000000-0005-0000-0000-0000763B0000}"/>
    <cellStyle name="Normal 30 2 3 8" xfId="16073" xr:uid="{00000000-0005-0000-0000-0000773B0000}"/>
    <cellStyle name="Normal 30 2 3 9" xfId="16074" xr:uid="{00000000-0005-0000-0000-0000783B0000}"/>
    <cellStyle name="Normal 30 2 4" xfId="16075" xr:uid="{00000000-0005-0000-0000-0000793B0000}"/>
    <cellStyle name="Normal 30 2 4 10" xfId="16076" xr:uid="{00000000-0005-0000-0000-00007A3B0000}"/>
    <cellStyle name="Normal 30 2 4 11" xfId="16077" xr:uid="{00000000-0005-0000-0000-00007B3B0000}"/>
    <cellStyle name="Normal 30 2 4 12" xfId="16078" xr:uid="{00000000-0005-0000-0000-00007C3B0000}"/>
    <cellStyle name="Normal 30 2 4 13" xfId="16079" xr:uid="{00000000-0005-0000-0000-00007D3B0000}"/>
    <cellStyle name="Normal 30 2 4 14" xfId="16080" xr:uid="{00000000-0005-0000-0000-00007E3B0000}"/>
    <cellStyle name="Normal 30 2 4 15" xfId="16081" xr:uid="{00000000-0005-0000-0000-00007F3B0000}"/>
    <cellStyle name="Normal 30 2 4 2" xfId="16082" xr:uid="{00000000-0005-0000-0000-0000803B0000}"/>
    <cellStyle name="Normal 30 2 4 3" xfId="16083" xr:uid="{00000000-0005-0000-0000-0000813B0000}"/>
    <cellStyle name="Normal 30 2 4 4" xfId="16084" xr:uid="{00000000-0005-0000-0000-0000823B0000}"/>
    <cellStyle name="Normal 30 2 4 5" xfId="16085" xr:uid="{00000000-0005-0000-0000-0000833B0000}"/>
    <cellStyle name="Normal 30 2 4 6" xfId="16086" xr:uid="{00000000-0005-0000-0000-0000843B0000}"/>
    <cellStyle name="Normal 30 2 4 7" xfId="16087" xr:uid="{00000000-0005-0000-0000-0000853B0000}"/>
    <cellStyle name="Normal 30 2 4 8" xfId="16088" xr:uid="{00000000-0005-0000-0000-0000863B0000}"/>
    <cellStyle name="Normal 30 2 4 9" xfId="16089" xr:uid="{00000000-0005-0000-0000-0000873B0000}"/>
    <cellStyle name="Normal 30 2 5" xfId="16090" xr:uid="{00000000-0005-0000-0000-0000883B0000}"/>
    <cellStyle name="Normal 30 2 5 10" xfId="16091" xr:uid="{00000000-0005-0000-0000-0000893B0000}"/>
    <cellStyle name="Normal 30 2 5 11" xfId="16092" xr:uid="{00000000-0005-0000-0000-00008A3B0000}"/>
    <cellStyle name="Normal 30 2 5 12" xfId="16093" xr:uid="{00000000-0005-0000-0000-00008B3B0000}"/>
    <cellStyle name="Normal 30 2 5 13" xfId="16094" xr:uid="{00000000-0005-0000-0000-00008C3B0000}"/>
    <cellStyle name="Normal 30 2 5 14" xfId="16095" xr:uid="{00000000-0005-0000-0000-00008D3B0000}"/>
    <cellStyle name="Normal 30 2 5 15" xfId="16096" xr:uid="{00000000-0005-0000-0000-00008E3B0000}"/>
    <cellStyle name="Normal 30 2 5 2" xfId="16097" xr:uid="{00000000-0005-0000-0000-00008F3B0000}"/>
    <cellStyle name="Normal 30 2 5 3" xfId="16098" xr:uid="{00000000-0005-0000-0000-0000903B0000}"/>
    <cellStyle name="Normal 30 2 5 4" xfId="16099" xr:uid="{00000000-0005-0000-0000-0000913B0000}"/>
    <cellStyle name="Normal 30 2 5 5" xfId="16100" xr:uid="{00000000-0005-0000-0000-0000923B0000}"/>
    <cellStyle name="Normal 30 2 5 6" xfId="16101" xr:uid="{00000000-0005-0000-0000-0000933B0000}"/>
    <cellStyle name="Normal 30 2 5 7" xfId="16102" xr:uid="{00000000-0005-0000-0000-0000943B0000}"/>
    <cellStyle name="Normal 30 2 5 8" xfId="16103" xr:uid="{00000000-0005-0000-0000-0000953B0000}"/>
    <cellStyle name="Normal 30 2 5 9" xfId="16104" xr:uid="{00000000-0005-0000-0000-0000963B0000}"/>
    <cellStyle name="Normal 30 2 6" xfId="16105" xr:uid="{00000000-0005-0000-0000-0000973B0000}"/>
    <cellStyle name="Normal 30 2 7" xfId="16106" xr:uid="{00000000-0005-0000-0000-0000983B0000}"/>
    <cellStyle name="Normal 30 2 8" xfId="16107" xr:uid="{00000000-0005-0000-0000-0000993B0000}"/>
    <cellStyle name="Normal 30 2 9" xfId="16108" xr:uid="{00000000-0005-0000-0000-00009A3B0000}"/>
    <cellStyle name="Normal 30 2_CORRECTED COPY OF rA 5" xfId="16109" xr:uid="{00000000-0005-0000-0000-00009B3B0000}"/>
    <cellStyle name="Normal 30 20" xfId="16110" xr:uid="{00000000-0005-0000-0000-00009C3B0000}"/>
    <cellStyle name="Normal 30 21" xfId="15976" xr:uid="{00000000-0005-0000-0000-0000163B0000}"/>
    <cellStyle name="Normal 30 3" xfId="970" xr:uid="{00000000-0005-0000-0000-000042030000}"/>
    <cellStyle name="Normal 30 3 10" xfId="16112" xr:uid="{00000000-0005-0000-0000-00009E3B0000}"/>
    <cellStyle name="Normal 30 3 11" xfId="16113" xr:uid="{00000000-0005-0000-0000-00009F3B0000}"/>
    <cellStyle name="Normal 30 3 12" xfId="16114" xr:uid="{00000000-0005-0000-0000-0000A03B0000}"/>
    <cellStyle name="Normal 30 3 13" xfId="16115" xr:uid="{00000000-0005-0000-0000-0000A13B0000}"/>
    <cellStyle name="Normal 30 3 14" xfId="16116" xr:uid="{00000000-0005-0000-0000-0000A23B0000}"/>
    <cellStyle name="Normal 30 3 15" xfId="16117" xr:uid="{00000000-0005-0000-0000-0000A33B0000}"/>
    <cellStyle name="Normal 30 3 16" xfId="16111" xr:uid="{00000000-0005-0000-0000-0000A43B0000}"/>
    <cellStyle name="Normal 30 3 2" xfId="16118" xr:uid="{00000000-0005-0000-0000-0000A53B0000}"/>
    <cellStyle name="Normal 30 3 3" xfId="16119" xr:uid="{00000000-0005-0000-0000-0000A63B0000}"/>
    <cellStyle name="Normal 30 3 4" xfId="16120" xr:uid="{00000000-0005-0000-0000-0000A73B0000}"/>
    <cellStyle name="Normal 30 3 5" xfId="16121" xr:uid="{00000000-0005-0000-0000-0000A83B0000}"/>
    <cellStyle name="Normal 30 3 6" xfId="16122" xr:uid="{00000000-0005-0000-0000-0000A93B0000}"/>
    <cellStyle name="Normal 30 3 7" xfId="16123" xr:uid="{00000000-0005-0000-0000-0000AA3B0000}"/>
    <cellStyle name="Normal 30 3 8" xfId="16124" xr:uid="{00000000-0005-0000-0000-0000AB3B0000}"/>
    <cellStyle name="Normal 30 3 9" xfId="16125" xr:uid="{00000000-0005-0000-0000-0000AC3B0000}"/>
    <cellStyle name="Normal 30 4" xfId="16126" xr:uid="{00000000-0005-0000-0000-0000AD3B0000}"/>
    <cellStyle name="Normal 30 4 10" xfId="16127" xr:uid="{00000000-0005-0000-0000-0000AE3B0000}"/>
    <cellStyle name="Normal 30 4 11" xfId="16128" xr:uid="{00000000-0005-0000-0000-0000AF3B0000}"/>
    <cellStyle name="Normal 30 4 12" xfId="16129" xr:uid="{00000000-0005-0000-0000-0000B03B0000}"/>
    <cellStyle name="Normal 30 4 13" xfId="16130" xr:uid="{00000000-0005-0000-0000-0000B13B0000}"/>
    <cellStyle name="Normal 30 4 14" xfId="16131" xr:uid="{00000000-0005-0000-0000-0000B23B0000}"/>
    <cellStyle name="Normal 30 4 15" xfId="16132" xr:uid="{00000000-0005-0000-0000-0000B33B0000}"/>
    <cellStyle name="Normal 30 4 2" xfId="16133" xr:uid="{00000000-0005-0000-0000-0000B43B0000}"/>
    <cellStyle name="Normal 30 4 3" xfId="16134" xr:uid="{00000000-0005-0000-0000-0000B53B0000}"/>
    <cellStyle name="Normal 30 4 4" xfId="16135" xr:uid="{00000000-0005-0000-0000-0000B63B0000}"/>
    <cellStyle name="Normal 30 4 5" xfId="16136" xr:uid="{00000000-0005-0000-0000-0000B73B0000}"/>
    <cellStyle name="Normal 30 4 6" xfId="16137" xr:uid="{00000000-0005-0000-0000-0000B83B0000}"/>
    <cellStyle name="Normal 30 4 7" xfId="16138" xr:uid="{00000000-0005-0000-0000-0000B93B0000}"/>
    <cellStyle name="Normal 30 4 8" xfId="16139" xr:uid="{00000000-0005-0000-0000-0000BA3B0000}"/>
    <cellStyle name="Normal 30 4 9" xfId="16140" xr:uid="{00000000-0005-0000-0000-0000BB3B0000}"/>
    <cellStyle name="Normal 30 5" xfId="16141" xr:uid="{00000000-0005-0000-0000-0000BC3B0000}"/>
    <cellStyle name="Normal 30 5 10" xfId="16142" xr:uid="{00000000-0005-0000-0000-0000BD3B0000}"/>
    <cellStyle name="Normal 30 5 11" xfId="16143" xr:uid="{00000000-0005-0000-0000-0000BE3B0000}"/>
    <cellStyle name="Normal 30 5 12" xfId="16144" xr:uid="{00000000-0005-0000-0000-0000BF3B0000}"/>
    <cellStyle name="Normal 30 5 13" xfId="16145" xr:uid="{00000000-0005-0000-0000-0000C03B0000}"/>
    <cellStyle name="Normal 30 5 14" xfId="16146" xr:uid="{00000000-0005-0000-0000-0000C13B0000}"/>
    <cellStyle name="Normal 30 5 15" xfId="16147" xr:uid="{00000000-0005-0000-0000-0000C23B0000}"/>
    <cellStyle name="Normal 30 5 2" xfId="16148" xr:uid="{00000000-0005-0000-0000-0000C33B0000}"/>
    <cellStyle name="Normal 30 5 3" xfId="16149" xr:uid="{00000000-0005-0000-0000-0000C43B0000}"/>
    <cellStyle name="Normal 30 5 4" xfId="16150" xr:uid="{00000000-0005-0000-0000-0000C53B0000}"/>
    <cellStyle name="Normal 30 5 5" xfId="16151" xr:uid="{00000000-0005-0000-0000-0000C63B0000}"/>
    <cellStyle name="Normal 30 5 6" xfId="16152" xr:uid="{00000000-0005-0000-0000-0000C73B0000}"/>
    <cellStyle name="Normal 30 5 7" xfId="16153" xr:uid="{00000000-0005-0000-0000-0000C83B0000}"/>
    <cellStyle name="Normal 30 5 8" xfId="16154" xr:uid="{00000000-0005-0000-0000-0000C93B0000}"/>
    <cellStyle name="Normal 30 5 9" xfId="16155" xr:uid="{00000000-0005-0000-0000-0000CA3B0000}"/>
    <cellStyle name="Normal 30 6" xfId="16156" xr:uid="{00000000-0005-0000-0000-0000CB3B0000}"/>
    <cellStyle name="Normal 30 7" xfId="16157" xr:uid="{00000000-0005-0000-0000-0000CC3B0000}"/>
    <cellStyle name="Normal 30 8" xfId="16158" xr:uid="{00000000-0005-0000-0000-0000CD3B0000}"/>
    <cellStyle name="Normal 30 9" xfId="16159" xr:uid="{00000000-0005-0000-0000-0000CE3B0000}"/>
    <cellStyle name="Normal 30_CORRECTED COPY OF rA 5" xfId="16160" xr:uid="{00000000-0005-0000-0000-0000CF3B0000}"/>
    <cellStyle name="Normal 31" xfId="946" xr:uid="{00000000-0005-0000-0000-000043030000}"/>
    <cellStyle name="Normal 31 10" xfId="16162" xr:uid="{00000000-0005-0000-0000-0000D13B0000}"/>
    <cellStyle name="Normal 31 11" xfId="16163" xr:uid="{00000000-0005-0000-0000-0000D23B0000}"/>
    <cellStyle name="Normal 31 12" xfId="16164" xr:uid="{00000000-0005-0000-0000-0000D33B0000}"/>
    <cellStyle name="Normal 31 13" xfId="16165" xr:uid="{00000000-0005-0000-0000-0000D43B0000}"/>
    <cellStyle name="Normal 31 14" xfId="16166" xr:uid="{00000000-0005-0000-0000-0000D53B0000}"/>
    <cellStyle name="Normal 31 15" xfId="16167" xr:uid="{00000000-0005-0000-0000-0000D63B0000}"/>
    <cellStyle name="Normal 31 16" xfId="16168" xr:uid="{00000000-0005-0000-0000-0000D73B0000}"/>
    <cellStyle name="Normal 31 17" xfId="16169" xr:uid="{00000000-0005-0000-0000-0000D83B0000}"/>
    <cellStyle name="Normal 31 18" xfId="16170" xr:uid="{00000000-0005-0000-0000-0000D93B0000}"/>
    <cellStyle name="Normal 31 19" xfId="16171" xr:uid="{00000000-0005-0000-0000-0000DA3B0000}"/>
    <cellStyle name="Normal 31 2" xfId="16172" xr:uid="{00000000-0005-0000-0000-0000DB3B0000}"/>
    <cellStyle name="Normal 31 2 10" xfId="16173" xr:uid="{00000000-0005-0000-0000-0000DC3B0000}"/>
    <cellStyle name="Normal 31 2 11" xfId="16174" xr:uid="{00000000-0005-0000-0000-0000DD3B0000}"/>
    <cellStyle name="Normal 31 2 12" xfId="16175" xr:uid="{00000000-0005-0000-0000-0000DE3B0000}"/>
    <cellStyle name="Normal 31 2 13" xfId="16176" xr:uid="{00000000-0005-0000-0000-0000DF3B0000}"/>
    <cellStyle name="Normal 31 2 14" xfId="16177" xr:uid="{00000000-0005-0000-0000-0000E03B0000}"/>
    <cellStyle name="Normal 31 2 15" xfId="16178" xr:uid="{00000000-0005-0000-0000-0000E13B0000}"/>
    <cellStyle name="Normal 31 2 2" xfId="16179" xr:uid="{00000000-0005-0000-0000-0000E23B0000}"/>
    <cellStyle name="Normal 31 2 3" xfId="16180" xr:uid="{00000000-0005-0000-0000-0000E33B0000}"/>
    <cellStyle name="Normal 31 2 4" xfId="16181" xr:uid="{00000000-0005-0000-0000-0000E43B0000}"/>
    <cellStyle name="Normal 31 2 5" xfId="16182" xr:uid="{00000000-0005-0000-0000-0000E53B0000}"/>
    <cellStyle name="Normal 31 2 6" xfId="16183" xr:uid="{00000000-0005-0000-0000-0000E63B0000}"/>
    <cellStyle name="Normal 31 2 7" xfId="16184" xr:uid="{00000000-0005-0000-0000-0000E73B0000}"/>
    <cellStyle name="Normal 31 2 8" xfId="16185" xr:uid="{00000000-0005-0000-0000-0000E83B0000}"/>
    <cellStyle name="Normal 31 2 9" xfId="16186" xr:uid="{00000000-0005-0000-0000-0000E93B0000}"/>
    <cellStyle name="Normal 31 20" xfId="16161" xr:uid="{00000000-0005-0000-0000-0000D03B0000}"/>
    <cellStyle name="Normal 31 3" xfId="16187" xr:uid="{00000000-0005-0000-0000-0000EA3B0000}"/>
    <cellStyle name="Normal 31 3 10" xfId="16188" xr:uid="{00000000-0005-0000-0000-0000EB3B0000}"/>
    <cellStyle name="Normal 31 3 11" xfId="16189" xr:uid="{00000000-0005-0000-0000-0000EC3B0000}"/>
    <cellStyle name="Normal 31 3 12" xfId="16190" xr:uid="{00000000-0005-0000-0000-0000ED3B0000}"/>
    <cellStyle name="Normal 31 3 13" xfId="16191" xr:uid="{00000000-0005-0000-0000-0000EE3B0000}"/>
    <cellStyle name="Normal 31 3 14" xfId="16192" xr:uid="{00000000-0005-0000-0000-0000EF3B0000}"/>
    <cellStyle name="Normal 31 3 15" xfId="16193" xr:uid="{00000000-0005-0000-0000-0000F03B0000}"/>
    <cellStyle name="Normal 31 3 2" xfId="16194" xr:uid="{00000000-0005-0000-0000-0000F13B0000}"/>
    <cellStyle name="Normal 31 3 3" xfId="16195" xr:uid="{00000000-0005-0000-0000-0000F23B0000}"/>
    <cellStyle name="Normal 31 3 4" xfId="16196" xr:uid="{00000000-0005-0000-0000-0000F33B0000}"/>
    <cellStyle name="Normal 31 3 5" xfId="16197" xr:uid="{00000000-0005-0000-0000-0000F43B0000}"/>
    <cellStyle name="Normal 31 3 6" xfId="16198" xr:uid="{00000000-0005-0000-0000-0000F53B0000}"/>
    <cellStyle name="Normal 31 3 7" xfId="16199" xr:uid="{00000000-0005-0000-0000-0000F63B0000}"/>
    <cellStyle name="Normal 31 3 8" xfId="16200" xr:uid="{00000000-0005-0000-0000-0000F73B0000}"/>
    <cellStyle name="Normal 31 3 9" xfId="16201" xr:uid="{00000000-0005-0000-0000-0000F83B0000}"/>
    <cellStyle name="Normal 31 4" xfId="16202" xr:uid="{00000000-0005-0000-0000-0000F93B0000}"/>
    <cellStyle name="Normal 31 4 10" xfId="16203" xr:uid="{00000000-0005-0000-0000-0000FA3B0000}"/>
    <cellStyle name="Normal 31 4 11" xfId="16204" xr:uid="{00000000-0005-0000-0000-0000FB3B0000}"/>
    <cellStyle name="Normal 31 4 12" xfId="16205" xr:uid="{00000000-0005-0000-0000-0000FC3B0000}"/>
    <cellStyle name="Normal 31 4 13" xfId="16206" xr:uid="{00000000-0005-0000-0000-0000FD3B0000}"/>
    <cellStyle name="Normal 31 4 14" xfId="16207" xr:uid="{00000000-0005-0000-0000-0000FE3B0000}"/>
    <cellStyle name="Normal 31 4 15" xfId="16208" xr:uid="{00000000-0005-0000-0000-0000FF3B0000}"/>
    <cellStyle name="Normal 31 4 2" xfId="16209" xr:uid="{00000000-0005-0000-0000-0000003C0000}"/>
    <cellStyle name="Normal 31 4 3" xfId="16210" xr:uid="{00000000-0005-0000-0000-0000013C0000}"/>
    <cellStyle name="Normal 31 4 4" xfId="16211" xr:uid="{00000000-0005-0000-0000-0000023C0000}"/>
    <cellStyle name="Normal 31 4 5" xfId="16212" xr:uid="{00000000-0005-0000-0000-0000033C0000}"/>
    <cellStyle name="Normal 31 4 6" xfId="16213" xr:uid="{00000000-0005-0000-0000-0000043C0000}"/>
    <cellStyle name="Normal 31 4 7" xfId="16214" xr:uid="{00000000-0005-0000-0000-0000053C0000}"/>
    <cellStyle name="Normal 31 4 8" xfId="16215" xr:uid="{00000000-0005-0000-0000-0000063C0000}"/>
    <cellStyle name="Normal 31 4 9" xfId="16216" xr:uid="{00000000-0005-0000-0000-0000073C0000}"/>
    <cellStyle name="Normal 31 5" xfId="16217" xr:uid="{00000000-0005-0000-0000-0000083C0000}"/>
    <cellStyle name="Normal 31 6" xfId="16218" xr:uid="{00000000-0005-0000-0000-0000093C0000}"/>
    <cellStyle name="Normal 31 7" xfId="16219" xr:uid="{00000000-0005-0000-0000-00000A3C0000}"/>
    <cellStyle name="Normal 31 8" xfId="16220" xr:uid="{00000000-0005-0000-0000-00000B3C0000}"/>
    <cellStyle name="Normal 31 9" xfId="16221" xr:uid="{00000000-0005-0000-0000-00000C3C0000}"/>
    <cellStyle name="Normal 32" xfId="965" xr:uid="{00000000-0005-0000-0000-000044030000}"/>
    <cellStyle name="Normal 32 10" xfId="16223" xr:uid="{00000000-0005-0000-0000-00000E3C0000}"/>
    <cellStyle name="Normal 32 11" xfId="16224" xr:uid="{00000000-0005-0000-0000-00000F3C0000}"/>
    <cellStyle name="Normal 32 12" xfId="16225" xr:uid="{00000000-0005-0000-0000-0000103C0000}"/>
    <cellStyle name="Normal 32 13" xfId="16226" xr:uid="{00000000-0005-0000-0000-0000113C0000}"/>
    <cellStyle name="Normal 32 14" xfId="16227" xr:uid="{00000000-0005-0000-0000-0000123C0000}"/>
    <cellStyle name="Normal 32 15" xfId="16228" xr:uid="{00000000-0005-0000-0000-0000133C0000}"/>
    <cellStyle name="Normal 32 16" xfId="16229" xr:uid="{00000000-0005-0000-0000-0000143C0000}"/>
    <cellStyle name="Normal 32 17" xfId="16230" xr:uid="{00000000-0005-0000-0000-0000153C0000}"/>
    <cellStyle name="Normal 32 18" xfId="16231" xr:uid="{00000000-0005-0000-0000-0000163C0000}"/>
    <cellStyle name="Normal 32 19" xfId="16232" xr:uid="{00000000-0005-0000-0000-0000173C0000}"/>
    <cellStyle name="Normal 32 2" xfId="968" xr:uid="{00000000-0005-0000-0000-000045030000}"/>
    <cellStyle name="Normal 32 2 10" xfId="16234" xr:uid="{00000000-0005-0000-0000-0000193C0000}"/>
    <cellStyle name="Normal 32 2 11" xfId="16235" xr:uid="{00000000-0005-0000-0000-00001A3C0000}"/>
    <cellStyle name="Normal 32 2 12" xfId="16236" xr:uid="{00000000-0005-0000-0000-00001B3C0000}"/>
    <cellStyle name="Normal 32 2 13" xfId="16237" xr:uid="{00000000-0005-0000-0000-00001C3C0000}"/>
    <cellStyle name="Normal 32 2 14" xfId="16238" xr:uid="{00000000-0005-0000-0000-00001D3C0000}"/>
    <cellStyle name="Normal 32 2 15" xfId="16239" xr:uid="{00000000-0005-0000-0000-00001E3C0000}"/>
    <cellStyle name="Normal 32 2 16" xfId="16240" xr:uid="{00000000-0005-0000-0000-00001F3C0000}"/>
    <cellStyle name="Normal 32 2 17" xfId="16241" xr:uid="{00000000-0005-0000-0000-0000203C0000}"/>
    <cellStyle name="Normal 32 2 18" xfId="16242" xr:uid="{00000000-0005-0000-0000-0000213C0000}"/>
    <cellStyle name="Normal 32 2 19" xfId="28" xr:uid="{00000000-0005-0000-0000-00002D000000}"/>
    <cellStyle name="Normal 32 2 2" xfId="16243" xr:uid="{00000000-0005-0000-0000-0000233C0000}"/>
    <cellStyle name="Normal 32 2 2 10" xfId="16244" xr:uid="{00000000-0005-0000-0000-0000243C0000}"/>
    <cellStyle name="Normal 32 2 2 11" xfId="16245" xr:uid="{00000000-0005-0000-0000-0000253C0000}"/>
    <cellStyle name="Normal 32 2 2 12" xfId="16246" xr:uid="{00000000-0005-0000-0000-0000263C0000}"/>
    <cellStyle name="Normal 32 2 2 13" xfId="16247" xr:uid="{00000000-0005-0000-0000-0000273C0000}"/>
    <cellStyle name="Normal 32 2 2 14" xfId="16248" xr:uid="{00000000-0005-0000-0000-0000283C0000}"/>
    <cellStyle name="Normal 32 2 2 15" xfId="16249" xr:uid="{00000000-0005-0000-0000-0000293C0000}"/>
    <cellStyle name="Normal 32 2 2 2" xfId="16250" xr:uid="{00000000-0005-0000-0000-00002A3C0000}"/>
    <cellStyle name="Normal 32 2 2 3" xfId="16251" xr:uid="{00000000-0005-0000-0000-00002B3C0000}"/>
    <cellStyle name="Normal 32 2 2 4" xfId="16252" xr:uid="{00000000-0005-0000-0000-00002C3C0000}"/>
    <cellStyle name="Normal 32 2 2 5" xfId="16253" xr:uid="{00000000-0005-0000-0000-00002D3C0000}"/>
    <cellStyle name="Normal 32 2 2 6" xfId="16254" xr:uid="{00000000-0005-0000-0000-00002E3C0000}"/>
    <cellStyle name="Normal 32 2 2 7" xfId="16255" xr:uid="{00000000-0005-0000-0000-00002F3C0000}"/>
    <cellStyle name="Normal 32 2 2 8" xfId="16256" xr:uid="{00000000-0005-0000-0000-0000303C0000}"/>
    <cellStyle name="Normal 32 2 2 9" xfId="16257" xr:uid="{00000000-0005-0000-0000-0000313C0000}"/>
    <cellStyle name="Normal 32 2 20" xfId="16233" xr:uid="{00000000-0005-0000-0000-0000183C0000}"/>
    <cellStyle name="Normal 32 2 3" xfId="16258" xr:uid="{00000000-0005-0000-0000-0000323C0000}"/>
    <cellStyle name="Normal 32 2 3 10" xfId="16259" xr:uid="{00000000-0005-0000-0000-0000333C0000}"/>
    <cellStyle name="Normal 32 2 3 11" xfId="16260" xr:uid="{00000000-0005-0000-0000-0000343C0000}"/>
    <cellStyle name="Normal 32 2 3 12" xfId="16261" xr:uid="{00000000-0005-0000-0000-0000353C0000}"/>
    <cellStyle name="Normal 32 2 3 13" xfId="16262" xr:uid="{00000000-0005-0000-0000-0000363C0000}"/>
    <cellStyle name="Normal 32 2 3 14" xfId="16263" xr:uid="{00000000-0005-0000-0000-0000373C0000}"/>
    <cellStyle name="Normal 32 2 3 15" xfId="16264" xr:uid="{00000000-0005-0000-0000-0000383C0000}"/>
    <cellStyle name="Normal 32 2 3 2" xfId="16265" xr:uid="{00000000-0005-0000-0000-0000393C0000}"/>
    <cellStyle name="Normal 32 2 3 3" xfId="16266" xr:uid="{00000000-0005-0000-0000-00003A3C0000}"/>
    <cellStyle name="Normal 32 2 3 4" xfId="16267" xr:uid="{00000000-0005-0000-0000-00003B3C0000}"/>
    <cellStyle name="Normal 32 2 3 5" xfId="16268" xr:uid="{00000000-0005-0000-0000-00003C3C0000}"/>
    <cellStyle name="Normal 32 2 3 6" xfId="16269" xr:uid="{00000000-0005-0000-0000-00003D3C0000}"/>
    <cellStyle name="Normal 32 2 3 7" xfId="16270" xr:uid="{00000000-0005-0000-0000-00003E3C0000}"/>
    <cellStyle name="Normal 32 2 3 8" xfId="16271" xr:uid="{00000000-0005-0000-0000-00003F3C0000}"/>
    <cellStyle name="Normal 32 2 3 9" xfId="16272" xr:uid="{00000000-0005-0000-0000-0000403C0000}"/>
    <cellStyle name="Normal 32 2 4" xfId="16273" xr:uid="{00000000-0005-0000-0000-0000413C0000}"/>
    <cellStyle name="Normal 32 2 4 10" xfId="16274" xr:uid="{00000000-0005-0000-0000-0000423C0000}"/>
    <cellStyle name="Normal 32 2 4 11" xfId="16275" xr:uid="{00000000-0005-0000-0000-0000433C0000}"/>
    <cellStyle name="Normal 32 2 4 12" xfId="16276" xr:uid="{00000000-0005-0000-0000-0000443C0000}"/>
    <cellStyle name="Normal 32 2 4 13" xfId="16277" xr:uid="{00000000-0005-0000-0000-0000453C0000}"/>
    <cellStyle name="Normal 32 2 4 14" xfId="16278" xr:uid="{00000000-0005-0000-0000-0000463C0000}"/>
    <cellStyle name="Normal 32 2 4 15" xfId="16279" xr:uid="{00000000-0005-0000-0000-0000473C0000}"/>
    <cellStyle name="Normal 32 2 4 2" xfId="16280" xr:uid="{00000000-0005-0000-0000-0000483C0000}"/>
    <cellStyle name="Normal 32 2 4 3" xfId="16281" xr:uid="{00000000-0005-0000-0000-0000493C0000}"/>
    <cellStyle name="Normal 32 2 4 4" xfId="16282" xr:uid="{00000000-0005-0000-0000-00004A3C0000}"/>
    <cellStyle name="Normal 32 2 4 5" xfId="16283" xr:uid="{00000000-0005-0000-0000-00004B3C0000}"/>
    <cellStyle name="Normal 32 2 4 6" xfId="16284" xr:uid="{00000000-0005-0000-0000-00004C3C0000}"/>
    <cellStyle name="Normal 32 2 4 7" xfId="16285" xr:uid="{00000000-0005-0000-0000-00004D3C0000}"/>
    <cellStyle name="Normal 32 2 4 8" xfId="16286" xr:uid="{00000000-0005-0000-0000-00004E3C0000}"/>
    <cellStyle name="Normal 32 2 4 9" xfId="16287" xr:uid="{00000000-0005-0000-0000-00004F3C0000}"/>
    <cellStyle name="Normal 32 2 5" xfId="16288" xr:uid="{00000000-0005-0000-0000-0000503C0000}"/>
    <cellStyle name="Normal 32 2 6" xfId="16289" xr:uid="{00000000-0005-0000-0000-0000513C0000}"/>
    <cellStyle name="Normal 32 2 7" xfId="16290" xr:uid="{00000000-0005-0000-0000-0000523C0000}"/>
    <cellStyle name="Normal 32 2 8" xfId="16291" xr:uid="{00000000-0005-0000-0000-0000533C0000}"/>
    <cellStyle name="Normal 32 2 9" xfId="16292" xr:uid="{00000000-0005-0000-0000-0000543C0000}"/>
    <cellStyle name="Normal 32 20" xfId="16293" xr:uid="{00000000-0005-0000-0000-0000553C0000}"/>
    <cellStyle name="Normal 32 21" xfId="16222" xr:uid="{00000000-0005-0000-0000-00000D3C0000}"/>
    <cellStyle name="Normal 32 3" xfId="16294" xr:uid="{00000000-0005-0000-0000-0000563C0000}"/>
    <cellStyle name="Normal 32 3 10" xfId="16295" xr:uid="{00000000-0005-0000-0000-0000573C0000}"/>
    <cellStyle name="Normal 32 3 11" xfId="16296" xr:uid="{00000000-0005-0000-0000-0000583C0000}"/>
    <cellStyle name="Normal 32 3 12" xfId="16297" xr:uid="{00000000-0005-0000-0000-0000593C0000}"/>
    <cellStyle name="Normal 32 3 13" xfId="16298" xr:uid="{00000000-0005-0000-0000-00005A3C0000}"/>
    <cellStyle name="Normal 32 3 14" xfId="16299" xr:uid="{00000000-0005-0000-0000-00005B3C0000}"/>
    <cellStyle name="Normal 32 3 15" xfId="16300" xr:uid="{00000000-0005-0000-0000-00005C3C0000}"/>
    <cellStyle name="Normal 32 3 2" xfId="16301" xr:uid="{00000000-0005-0000-0000-00005D3C0000}"/>
    <cellStyle name="Normal 32 3 3" xfId="16302" xr:uid="{00000000-0005-0000-0000-00005E3C0000}"/>
    <cellStyle name="Normal 32 3 4" xfId="16303" xr:uid="{00000000-0005-0000-0000-00005F3C0000}"/>
    <cellStyle name="Normal 32 3 5" xfId="16304" xr:uid="{00000000-0005-0000-0000-0000603C0000}"/>
    <cellStyle name="Normal 32 3 6" xfId="16305" xr:uid="{00000000-0005-0000-0000-0000613C0000}"/>
    <cellStyle name="Normal 32 3 7" xfId="16306" xr:uid="{00000000-0005-0000-0000-0000623C0000}"/>
    <cellStyle name="Normal 32 3 8" xfId="16307" xr:uid="{00000000-0005-0000-0000-0000633C0000}"/>
    <cellStyle name="Normal 32 3 9" xfId="16308" xr:uid="{00000000-0005-0000-0000-0000643C0000}"/>
    <cellStyle name="Normal 32 4" xfId="16309" xr:uid="{00000000-0005-0000-0000-0000653C0000}"/>
    <cellStyle name="Normal 32 4 10" xfId="16310" xr:uid="{00000000-0005-0000-0000-0000663C0000}"/>
    <cellStyle name="Normal 32 4 11" xfId="16311" xr:uid="{00000000-0005-0000-0000-0000673C0000}"/>
    <cellStyle name="Normal 32 4 12" xfId="16312" xr:uid="{00000000-0005-0000-0000-0000683C0000}"/>
    <cellStyle name="Normal 32 4 13" xfId="16313" xr:uid="{00000000-0005-0000-0000-0000693C0000}"/>
    <cellStyle name="Normal 32 4 14" xfId="16314" xr:uid="{00000000-0005-0000-0000-00006A3C0000}"/>
    <cellStyle name="Normal 32 4 15" xfId="16315" xr:uid="{00000000-0005-0000-0000-00006B3C0000}"/>
    <cellStyle name="Normal 32 4 2" xfId="16316" xr:uid="{00000000-0005-0000-0000-00006C3C0000}"/>
    <cellStyle name="Normal 32 4 3" xfId="16317" xr:uid="{00000000-0005-0000-0000-00006D3C0000}"/>
    <cellStyle name="Normal 32 4 4" xfId="16318" xr:uid="{00000000-0005-0000-0000-00006E3C0000}"/>
    <cellStyle name="Normal 32 4 5" xfId="16319" xr:uid="{00000000-0005-0000-0000-00006F3C0000}"/>
    <cellStyle name="Normal 32 4 6" xfId="16320" xr:uid="{00000000-0005-0000-0000-0000703C0000}"/>
    <cellStyle name="Normal 32 4 7" xfId="16321" xr:uid="{00000000-0005-0000-0000-0000713C0000}"/>
    <cellStyle name="Normal 32 4 8" xfId="16322" xr:uid="{00000000-0005-0000-0000-0000723C0000}"/>
    <cellStyle name="Normal 32 4 9" xfId="16323" xr:uid="{00000000-0005-0000-0000-0000733C0000}"/>
    <cellStyle name="Normal 32 5" xfId="16324" xr:uid="{00000000-0005-0000-0000-0000743C0000}"/>
    <cellStyle name="Normal 32 5 10" xfId="16325" xr:uid="{00000000-0005-0000-0000-0000753C0000}"/>
    <cellStyle name="Normal 32 5 11" xfId="16326" xr:uid="{00000000-0005-0000-0000-0000763C0000}"/>
    <cellStyle name="Normal 32 5 12" xfId="16327" xr:uid="{00000000-0005-0000-0000-0000773C0000}"/>
    <cellStyle name="Normal 32 5 13" xfId="16328" xr:uid="{00000000-0005-0000-0000-0000783C0000}"/>
    <cellStyle name="Normal 32 5 14" xfId="16329" xr:uid="{00000000-0005-0000-0000-0000793C0000}"/>
    <cellStyle name="Normal 32 5 15" xfId="16330" xr:uid="{00000000-0005-0000-0000-00007A3C0000}"/>
    <cellStyle name="Normal 32 5 2" xfId="16331" xr:uid="{00000000-0005-0000-0000-00007B3C0000}"/>
    <cellStyle name="Normal 32 5 3" xfId="16332" xr:uid="{00000000-0005-0000-0000-00007C3C0000}"/>
    <cellStyle name="Normal 32 5 4" xfId="16333" xr:uid="{00000000-0005-0000-0000-00007D3C0000}"/>
    <cellStyle name="Normal 32 5 5" xfId="16334" xr:uid="{00000000-0005-0000-0000-00007E3C0000}"/>
    <cellStyle name="Normal 32 5 6" xfId="16335" xr:uid="{00000000-0005-0000-0000-00007F3C0000}"/>
    <cellStyle name="Normal 32 5 7" xfId="16336" xr:uid="{00000000-0005-0000-0000-0000803C0000}"/>
    <cellStyle name="Normal 32 5 8" xfId="16337" xr:uid="{00000000-0005-0000-0000-0000813C0000}"/>
    <cellStyle name="Normal 32 5 9" xfId="16338" xr:uid="{00000000-0005-0000-0000-0000823C0000}"/>
    <cellStyle name="Normal 32 6" xfId="16339" xr:uid="{00000000-0005-0000-0000-0000833C0000}"/>
    <cellStyle name="Normal 32 7" xfId="16340" xr:uid="{00000000-0005-0000-0000-0000843C0000}"/>
    <cellStyle name="Normal 32 8" xfId="16341" xr:uid="{00000000-0005-0000-0000-0000853C0000}"/>
    <cellStyle name="Normal 32 9" xfId="16342" xr:uid="{00000000-0005-0000-0000-0000863C0000}"/>
    <cellStyle name="Normal 32_CORRECTED COPY OF rA 5" xfId="16343" xr:uid="{00000000-0005-0000-0000-0000873C0000}"/>
    <cellStyle name="Normal 33" xfId="159" xr:uid="{00000000-0005-0000-0000-000046030000}"/>
    <cellStyle name="Normal 33 10" xfId="16345" xr:uid="{00000000-0005-0000-0000-0000893C0000}"/>
    <cellStyle name="Normal 33 11" xfId="16346" xr:uid="{00000000-0005-0000-0000-00008A3C0000}"/>
    <cellStyle name="Normal 33 12" xfId="16347" xr:uid="{00000000-0005-0000-0000-00008B3C0000}"/>
    <cellStyle name="Normal 33 13" xfId="16348" xr:uid="{00000000-0005-0000-0000-00008C3C0000}"/>
    <cellStyle name="Normal 33 14" xfId="16349" xr:uid="{00000000-0005-0000-0000-00008D3C0000}"/>
    <cellStyle name="Normal 33 15" xfId="16350" xr:uid="{00000000-0005-0000-0000-00008E3C0000}"/>
    <cellStyle name="Normal 33 16" xfId="16351" xr:uid="{00000000-0005-0000-0000-00008F3C0000}"/>
    <cellStyle name="Normal 33 17" xfId="16352" xr:uid="{00000000-0005-0000-0000-0000903C0000}"/>
    <cellStyle name="Normal 33 18" xfId="16353" xr:uid="{00000000-0005-0000-0000-0000913C0000}"/>
    <cellStyle name="Normal 33 19" xfId="16354" xr:uid="{00000000-0005-0000-0000-0000923C0000}"/>
    <cellStyle name="Normal 33 2" xfId="16355" xr:uid="{00000000-0005-0000-0000-0000933C0000}"/>
    <cellStyle name="Normal 33 2 10" xfId="16356" xr:uid="{00000000-0005-0000-0000-0000943C0000}"/>
    <cellStyle name="Normal 33 2 11" xfId="16357" xr:uid="{00000000-0005-0000-0000-0000953C0000}"/>
    <cellStyle name="Normal 33 2 12" xfId="16358" xr:uid="{00000000-0005-0000-0000-0000963C0000}"/>
    <cellStyle name="Normal 33 2 13" xfId="16359" xr:uid="{00000000-0005-0000-0000-0000973C0000}"/>
    <cellStyle name="Normal 33 2 14" xfId="16360" xr:uid="{00000000-0005-0000-0000-0000983C0000}"/>
    <cellStyle name="Normal 33 2 15" xfId="16361" xr:uid="{00000000-0005-0000-0000-0000993C0000}"/>
    <cellStyle name="Normal 33 2 2" xfId="16362" xr:uid="{00000000-0005-0000-0000-00009A3C0000}"/>
    <cellStyle name="Normal 33 2 3" xfId="16363" xr:uid="{00000000-0005-0000-0000-00009B3C0000}"/>
    <cellStyle name="Normal 33 2 4" xfId="16364" xr:uid="{00000000-0005-0000-0000-00009C3C0000}"/>
    <cellStyle name="Normal 33 2 5" xfId="16365" xr:uid="{00000000-0005-0000-0000-00009D3C0000}"/>
    <cellStyle name="Normal 33 2 6" xfId="16366" xr:uid="{00000000-0005-0000-0000-00009E3C0000}"/>
    <cellStyle name="Normal 33 2 7" xfId="16367" xr:uid="{00000000-0005-0000-0000-00009F3C0000}"/>
    <cellStyle name="Normal 33 2 8" xfId="16368" xr:uid="{00000000-0005-0000-0000-0000A03C0000}"/>
    <cellStyle name="Normal 33 2 9" xfId="16369" xr:uid="{00000000-0005-0000-0000-0000A13C0000}"/>
    <cellStyle name="Normal 33 20" xfId="16344" xr:uid="{00000000-0005-0000-0000-0000A23C0000}"/>
    <cellStyle name="Normal 33 3" xfId="16370" xr:uid="{00000000-0005-0000-0000-0000A33C0000}"/>
    <cellStyle name="Normal 33 3 10" xfId="16371" xr:uid="{00000000-0005-0000-0000-0000A43C0000}"/>
    <cellStyle name="Normal 33 3 11" xfId="16372" xr:uid="{00000000-0005-0000-0000-0000A53C0000}"/>
    <cellStyle name="Normal 33 3 12" xfId="16373" xr:uid="{00000000-0005-0000-0000-0000A63C0000}"/>
    <cellStyle name="Normal 33 3 13" xfId="16374" xr:uid="{00000000-0005-0000-0000-0000A73C0000}"/>
    <cellStyle name="Normal 33 3 14" xfId="16375" xr:uid="{00000000-0005-0000-0000-0000A83C0000}"/>
    <cellStyle name="Normal 33 3 15" xfId="16376" xr:uid="{00000000-0005-0000-0000-0000A93C0000}"/>
    <cellStyle name="Normal 33 3 2" xfId="16377" xr:uid="{00000000-0005-0000-0000-0000AA3C0000}"/>
    <cellStyle name="Normal 33 3 3" xfId="16378" xr:uid="{00000000-0005-0000-0000-0000AB3C0000}"/>
    <cellStyle name="Normal 33 3 4" xfId="16379" xr:uid="{00000000-0005-0000-0000-0000AC3C0000}"/>
    <cellStyle name="Normal 33 3 5" xfId="16380" xr:uid="{00000000-0005-0000-0000-0000AD3C0000}"/>
    <cellStyle name="Normal 33 3 6" xfId="16381" xr:uid="{00000000-0005-0000-0000-0000AE3C0000}"/>
    <cellStyle name="Normal 33 3 7" xfId="16382" xr:uid="{00000000-0005-0000-0000-0000AF3C0000}"/>
    <cellStyle name="Normal 33 3 8" xfId="16383" xr:uid="{00000000-0005-0000-0000-0000B03C0000}"/>
    <cellStyle name="Normal 33 3 9" xfId="16384" xr:uid="{00000000-0005-0000-0000-0000B13C0000}"/>
    <cellStyle name="Normal 33 4" xfId="16385" xr:uid="{00000000-0005-0000-0000-0000B23C0000}"/>
    <cellStyle name="Normal 33 4 10" xfId="16386" xr:uid="{00000000-0005-0000-0000-0000B33C0000}"/>
    <cellStyle name="Normal 33 4 11" xfId="16387" xr:uid="{00000000-0005-0000-0000-0000B43C0000}"/>
    <cellStyle name="Normal 33 4 12" xfId="16388" xr:uid="{00000000-0005-0000-0000-0000B53C0000}"/>
    <cellStyle name="Normal 33 4 13" xfId="16389" xr:uid="{00000000-0005-0000-0000-0000B63C0000}"/>
    <cellStyle name="Normal 33 4 14" xfId="16390" xr:uid="{00000000-0005-0000-0000-0000B73C0000}"/>
    <cellStyle name="Normal 33 4 15" xfId="16391" xr:uid="{00000000-0005-0000-0000-0000B83C0000}"/>
    <cellStyle name="Normal 33 4 2" xfId="16392" xr:uid="{00000000-0005-0000-0000-0000B93C0000}"/>
    <cellStyle name="Normal 33 4 3" xfId="16393" xr:uid="{00000000-0005-0000-0000-0000BA3C0000}"/>
    <cellStyle name="Normal 33 4 4" xfId="16394" xr:uid="{00000000-0005-0000-0000-0000BB3C0000}"/>
    <cellStyle name="Normal 33 4 5" xfId="16395" xr:uid="{00000000-0005-0000-0000-0000BC3C0000}"/>
    <cellStyle name="Normal 33 4 6" xfId="16396" xr:uid="{00000000-0005-0000-0000-0000BD3C0000}"/>
    <cellStyle name="Normal 33 4 7" xfId="16397" xr:uid="{00000000-0005-0000-0000-0000BE3C0000}"/>
    <cellStyle name="Normal 33 4 8" xfId="16398" xr:uid="{00000000-0005-0000-0000-0000BF3C0000}"/>
    <cellStyle name="Normal 33 4 9" xfId="16399" xr:uid="{00000000-0005-0000-0000-0000C03C0000}"/>
    <cellStyle name="Normal 33 5" xfId="16400" xr:uid="{00000000-0005-0000-0000-0000C13C0000}"/>
    <cellStyle name="Normal 33 6" xfId="16401" xr:uid="{00000000-0005-0000-0000-0000C23C0000}"/>
    <cellStyle name="Normal 33 7" xfId="16402" xr:uid="{00000000-0005-0000-0000-0000C33C0000}"/>
    <cellStyle name="Normal 33 8" xfId="16403" xr:uid="{00000000-0005-0000-0000-0000C43C0000}"/>
    <cellStyle name="Normal 33 9" xfId="16404" xr:uid="{00000000-0005-0000-0000-0000C53C0000}"/>
    <cellStyle name="Normal 34" xfId="16405" xr:uid="{00000000-0005-0000-0000-0000C63C0000}"/>
    <cellStyle name="Normal 34 10" xfId="16406" xr:uid="{00000000-0005-0000-0000-0000C73C0000}"/>
    <cellStyle name="Normal 34 11" xfId="16407" xr:uid="{00000000-0005-0000-0000-0000C83C0000}"/>
    <cellStyle name="Normal 34 12" xfId="16408" xr:uid="{00000000-0005-0000-0000-0000C93C0000}"/>
    <cellStyle name="Normal 34 13" xfId="16409" xr:uid="{00000000-0005-0000-0000-0000CA3C0000}"/>
    <cellStyle name="Normal 34 14" xfId="16410" xr:uid="{00000000-0005-0000-0000-0000CB3C0000}"/>
    <cellStyle name="Normal 34 15" xfId="16411" xr:uid="{00000000-0005-0000-0000-0000CC3C0000}"/>
    <cellStyle name="Normal 34 16" xfId="16412" xr:uid="{00000000-0005-0000-0000-0000CD3C0000}"/>
    <cellStyle name="Normal 34 17" xfId="16413" xr:uid="{00000000-0005-0000-0000-0000CE3C0000}"/>
    <cellStyle name="Normal 34 18" xfId="16414" xr:uid="{00000000-0005-0000-0000-0000CF3C0000}"/>
    <cellStyle name="Normal 34 19" xfId="16415" xr:uid="{00000000-0005-0000-0000-0000D03C0000}"/>
    <cellStyle name="Normal 34 2" xfId="16416" xr:uid="{00000000-0005-0000-0000-0000D13C0000}"/>
    <cellStyle name="Normal 34 2 10" xfId="16417" xr:uid="{00000000-0005-0000-0000-0000D23C0000}"/>
    <cellStyle name="Normal 34 2 11" xfId="16418" xr:uid="{00000000-0005-0000-0000-0000D33C0000}"/>
    <cellStyle name="Normal 34 2 12" xfId="16419" xr:uid="{00000000-0005-0000-0000-0000D43C0000}"/>
    <cellStyle name="Normal 34 2 13" xfId="16420" xr:uid="{00000000-0005-0000-0000-0000D53C0000}"/>
    <cellStyle name="Normal 34 2 14" xfId="16421" xr:uid="{00000000-0005-0000-0000-0000D63C0000}"/>
    <cellStyle name="Normal 34 2 15" xfId="16422" xr:uid="{00000000-0005-0000-0000-0000D73C0000}"/>
    <cellStyle name="Normal 34 2 2" xfId="16423" xr:uid="{00000000-0005-0000-0000-0000D83C0000}"/>
    <cellStyle name="Normal 34 2 3" xfId="16424" xr:uid="{00000000-0005-0000-0000-0000D93C0000}"/>
    <cellStyle name="Normal 34 2 4" xfId="16425" xr:uid="{00000000-0005-0000-0000-0000DA3C0000}"/>
    <cellStyle name="Normal 34 2 5" xfId="16426" xr:uid="{00000000-0005-0000-0000-0000DB3C0000}"/>
    <cellStyle name="Normal 34 2 6" xfId="16427" xr:uid="{00000000-0005-0000-0000-0000DC3C0000}"/>
    <cellStyle name="Normal 34 2 7" xfId="16428" xr:uid="{00000000-0005-0000-0000-0000DD3C0000}"/>
    <cellStyle name="Normal 34 2 8" xfId="16429" xr:uid="{00000000-0005-0000-0000-0000DE3C0000}"/>
    <cellStyle name="Normal 34 2 9" xfId="16430" xr:uid="{00000000-0005-0000-0000-0000DF3C0000}"/>
    <cellStyle name="Normal 34 3" xfId="16431" xr:uid="{00000000-0005-0000-0000-0000E03C0000}"/>
    <cellStyle name="Normal 34 3 10" xfId="16432" xr:uid="{00000000-0005-0000-0000-0000E13C0000}"/>
    <cellStyle name="Normal 34 3 11" xfId="16433" xr:uid="{00000000-0005-0000-0000-0000E23C0000}"/>
    <cellStyle name="Normal 34 3 12" xfId="16434" xr:uid="{00000000-0005-0000-0000-0000E33C0000}"/>
    <cellStyle name="Normal 34 3 13" xfId="16435" xr:uid="{00000000-0005-0000-0000-0000E43C0000}"/>
    <cellStyle name="Normal 34 3 14" xfId="16436" xr:uid="{00000000-0005-0000-0000-0000E53C0000}"/>
    <cellStyle name="Normal 34 3 15" xfId="16437" xr:uid="{00000000-0005-0000-0000-0000E63C0000}"/>
    <cellStyle name="Normal 34 3 2" xfId="16438" xr:uid="{00000000-0005-0000-0000-0000E73C0000}"/>
    <cellStyle name="Normal 34 3 3" xfId="16439" xr:uid="{00000000-0005-0000-0000-0000E83C0000}"/>
    <cellStyle name="Normal 34 3 4" xfId="16440" xr:uid="{00000000-0005-0000-0000-0000E93C0000}"/>
    <cellStyle name="Normal 34 3 5" xfId="16441" xr:uid="{00000000-0005-0000-0000-0000EA3C0000}"/>
    <cellStyle name="Normal 34 3 6" xfId="16442" xr:uid="{00000000-0005-0000-0000-0000EB3C0000}"/>
    <cellStyle name="Normal 34 3 7" xfId="16443" xr:uid="{00000000-0005-0000-0000-0000EC3C0000}"/>
    <cellStyle name="Normal 34 3 8" xfId="16444" xr:uid="{00000000-0005-0000-0000-0000ED3C0000}"/>
    <cellStyle name="Normal 34 3 9" xfId="16445" xr:uid="{00000000-0005-0000-0000-0000EE3C0000}"/>
    <cellStyle name="Normal 34 4" xfId="16446" xr:uid="{00000000-0005-0000-0000-0000EF3C0000}"/>
    <cellStyle name="Normal 34 4 10" xfId="16447" xr:uid="{00000000-0005-0000-0000-0000F03C0000}"/>
    <cellStyle name="Normal 34 4 11" xfId="16448" xr:uid="{00000000-0005-0000-0000-0000F13C0000}"/>
    <cellStyle name="Normal 34 4 12" xfId="16449" xr:uid="{00000000-0005-0000-0000-0000F23C0000}"/>
    <cellStyle name="Normal 34 4 13" xfId="16450" xr:uid="{00000000-0005-0000-0000-0000F33C0000}"/>
    <cellStyle name="Normal 34 4 14" xfId="16451" xr:uid="{00000000-0005-0000-0000-0000F43C0000}"/>
    <cellStyle name="Normal 34 4 15" xfId="16452" xr:uid="{00000000-0005-0000-0000-0000F53C0000}"/>
    <cellStyle name="Normal 34 4 2" xfId="16453" xr:uid="{00000000-0005-0000-0000-0000F63C0000}"/>
    <cellStyle name="Normal 34 4 3" xfId="16454" xr:uid="{00000000-0005-0000-0000-0000F73C0000}"/>
    <cellStyle name="Normal 34 4 4" xfId="16455" xr:uid="{00000000-0005-0000-0000-0000F83C0000}"/>
    <cellStyle name="Normal 34 4 5" xfId="16456" xr:uid="{00000000-0005-0000-0000-0000F93C0000}"/>
    <cellStyle name="Normal 34 4 6" xfId="16457" xr:uid="{00000000-0005-0000-0000-0000FA3C0000}"/>
    <cellStyle name="Normal 34 4 7" xfId="16458" xr:uid="{00000000-0005-0000-0000-0000FB3C0000}"/>
    <cellStyle name="Normal 34 4 8" xfId="16459" xr:uid="{00000000-0005-0000-0000-0000FC3C0000}"/>
    <cellStyle name="Normal 34 4 9" xfId="16460" xr:uid="{00000000-0005-0000-0000-0000FD3C0000}"/>
    <cellStyle name="Normal 34 5" xfId="16461" xr:uid="{00000000-0005-0000-0000-0000FE3C0000}"/>
    <cellStyle name="Normal 34 6" xfId="16462" xr:uid="{00000000-0005-0000-0000-0000FF3C0000}"/>
    <cellStyle name="Normal 34 7" xfId="16463" xr:uid="{00000000-0005-0000-0000-0000003D0000}"/>
    <cellStyle name="Normal 34 8" xfId="16464" xr:uid="{00000000-0005-0000-0000-0000013D0000}"/>
    <cellStyle name="Normal 34 9" xfId="16465" xr:uid="{00000000-0005-0000-0000-0000023D0000}"/>
    <cellStyle name="Normal 35" xfId="16466" xr:uid="{00000000-0005-0000-0000-0000033D0000}"/>
    <cellStyle name="Normal 35 10" xfId="16467" xr:uid="{00000000-0005-0000-0000-0000043D0000}"/>
    <cellStyle name="Normal 35 11" xfId="16468" xr:uid="{00000000-0005-0000-0000-0000053D0000}"/>
    <cellStyle name="Normal 35 12" xfId="16469" xr:uid="{00000000-0005-0000-0000-0000063D0000}"/>
    <cellStyle name="Normal 35 13" xfId="16470" xr:uid="{00000000-0005-0000-0000-0000073D0000}"/>
    <cellStyle name="Normal 35 14" xfId="16471" xr:uid="{00000000-0005-0000-0000-0000083D0000}"/>
    <cellStyle name="Normal 35 15" xfId="16472" xr:uid="{00000000-0005-0000-0000-0000093D0000}"/>
    <cellStyle name="Normal 35 16" xfId="16473" xr:uid="{00000000-0005-0000-0000-00000A3D0000}"/>
    <cellStyle name="Normal 35 17" xfId="16474" xr:uid="{00000000-0005-0000-0000-00000B3D0000}"/>
    <cellStyle name="Normal 35 18" xfId="16475" xr:uid="{00000000-0005-0000-0000-00000C3D0000}"/>
    <cellStyle name="Normal 35 19" xfId="16476" xr:uid="{00000000-0005-0000-0000-00000D3D0000}"/>
    <cellStyle name="Normal 35 2" xfId="16477" xr:uid="{00000000-0005-0000-0000-00000E3D0000}"/>
    <cellStyle name="Normal 35 2 10" xfId="16478" xr:uid="{00000000-0005-0000-0000-00000F3D0000}"/>
    <cellStyle name="Normal 35 2 11" xfId="16479" xr:uid="{00000000-0005-0000-0000-0000103D0000}"/>
    <cellStyle name="Normal 35 2 12" xfId="16480" xr:uid="{00000000-0005-0000-0000-0000113D0000}"/>
    <cellStyle name="Normal 35 2 13" xfId="16481" xr:uid="{00000000-0005-0000-0000-0000123D0000}"/>
    <cellStyle name="Normal 35 2 14" xfId="16482" xr:uid="{00000000-0005-0000-0000-0000133D0000}"/>
    <cellStyle name="Normal 35 2 15" xfId="16483" xr:uid="{00000000-0005-0000-0000-0000143D0000}"/>
    <cellStyle name="Normal 35 2 2" xfId="16484" xr:uid="{00000000-0005-0000-0000-0000153D0000}"/>
    <cellStyle name="Normal 35 2 3" xfId="16485" xr:uid="{00000000-0005-0000-0000-0000163D0000}"/>
    <cellStyle name="Normal 35 2 4" xfId="16486" xr:uid="{00000000-0005-0000-0000-0000173D0000}"/>
    <cellStyle name="Normal 35 2 5" xfId="16487" xr:uid="{00000000-0005-0000-0000-0000183D0000}"/>
    <cellStyle name="Normal 35 2 6" xfId="16488" xr:uid="{00000000-0005-0000-0000-0000193D0000}"/>
    <cellStyle name="Normal 35 2 7" xfId="16489" xr:uid="{00000000-0005-0000-0000-00001A3D0000}"/>
    <cellStyle name="Normal 35 2 8" xfId="16490" xr:uid="{00000000-0005-0000-0000-00001B3D0000}"/>
    <cellStyle name="Normal 35 2 9" xfId="16491" xr:uid="{00000000-0005-0000-0000-00001C3D0000}"/>
    <cellStyle name="Normal 35 20" xfId="16492" xr:uid="{00000000-0005-0000-0000-00001D3D0000}"/>
    <cellStyle name="Normal 35 21" xfId="16493" xr:uid="{00000000-0005-0000-0000-00001E3D0000}"/>
    <cellStyle name="Normal 35 22" xfId="16494" xr:uid="{00000000-0005-0000-0000-00001F3D0000}"/>
    <cellStyle name="Normal 35 23" xfId="16495" xr:uid="{00000000-0005-0000-0000-0000203D0000}"/>
    <cellStyle name="Normal 35 3" xfId="16496" xr:uid="{00000000-0005-0000-0000-0000213D0000}"/>
    <cellStyle name="Normal 35 3 10" xfId="16497" xr:uid="{00000000-0005-0000-0000-0000223D0000}"/>
    <cellStyle name="Normal 35 3 11" xfId="16498" xr:uid="{00000000-0005-0000-0000-0000233D0000}"/>
    <cellStyle name="Normal 35 3 12" xfId="16499" xr:uid="{00000000-0005-0000-0000-0000243D0000}"/>
    <cellStyle name="Normal 35 3 13" xfId="16500" xr:uid="{00000000-0005-0000-0000-0000253D0000}"/>
    <cellStyle name="Normal 35 3 14" xfId="16501" xr:uid="{00000000-0005-0000-0000-0000263D0000}"/>
    <cellStyle name="Normal 35 3 15" xfId="16502" xr:uid="{00000000-0005-0000-0000-0000273D0000}"/>
    <cellStyle name="Normal 35 3 2" xfId="16503" xr:uid="{00000000-0005-0000-0000-0000283D0000}"/>
    <cellStyle name="Normal 35 3 3" xfId="16504" xr:uid="{00000000-0005-0000-0000-0000293D0000}"/>
    <cellStyle name="Normal 35 3 4" xfId="16505" xr:uid="{00000000-0005-0000-0000-00002A3D0000}"/>
    <cellStyle name="Normal 35 3 5" xfId="16506" xr:uid="{00000000-0005-0000-0000-00002B3D0000}"/>
    <cellStyle name="Normal 35 3 6" xfId="16507" xr:uid="{00000000-0005-0000-0000-00002C3D0000}"/>
    <cellStyle name="Normal 35 3 7" xfId="16508" xr:uid="{00000000-0005-0000-0000-00002D3D0000}"/>
    <cellStyle name="Normal 35 3 8" xfId="16509" xr:uid="{00000000-0005-0000-0000-00002E3D0000}"/>
    <cellStyle name="Normal 35 3 9" xfId="16510" xr:uid="{00000000-0005-0000-0000-00002F3D0000}"/>
    <cellStyle name="Normal 35 4" xfId="16511" xr:uid="{00000000-0005-0000-0000-0000303D0000}"/>
    <cellStyle name="Normal 35 4 10" xfId="16512" xr:uid="{00000000-0005-0000-0000-0000313D0000}"/>
    <cellStyle name="Normal 35 4 11" xfId="16513" xr:uid="{00000000-0005-0000-0000-0000323D0000}"/>
    <cellStyle name="Normal 35 4 12" xfId="16514" xr:uid="{00000000-0005-0000-0000-0000333D0000}"/>
    <cellStyle name="Normal 35 4 13" xfId="16515" xr:uid="{00000000-0005-0000-0000-0000343D0000}"/>
    <cellStyle name="Normal 35 4 14" xfId="16516" xr:uid="{00000000-0005-0000-0000-0000353D0000}"/>
    <cellStyle name="Normal 35 4 15" xfId="16517" xr:uid="{00000000-0005-0000-0000-0000363D0000}"/>
    <cellStyle name="Normal 35 4 2" xfId="16518" xr:uid="{00000000-0005-0000-0000-0000373D0000}"/>
    <cellStyle name="Normal 35 4 3" xfId="16519" xr:uid="{00000000-0005-0000-0000-0000383D0000}"/>
    <cellStyle name="Normal 35 4 4" xfId="16520" xr:uid="{00000000-0005-0000-0000-0000393D0000}"/>
    <cellStyle name="Normal 35 4 5" xfId="16521" xr:uid="{00000000-0005-0000-0000-00003A3D0000}"/>
    <cellStyle name="Normal 35 4 6" xfId="16522" xr:uid="{00000000-0005-0000-0000-00003B3D0000}"/>
    <cellStyle name="Normal 35 4 7" xfId="16523" xr:uid="{00000000-0005-0000-0000-00003C3D0000}"/>
    <cellStyle name="Normal 35 4 8" xfId="16524" xr:uid="{00000000-0005-0000-0000-00003D3D0000}"/>
    <cellStyle name="Normal 35 4 9" xfId="16525" xr:uid="{00000000-0005-0000-0000-00003E3D0000}"/>
    <cellStyle name="Normal 35 5" xfId="16526" xr:uid="{00000000-0005-0000-0000-00003F3D0000}"/>
    <cellStyle name="Normal 35 5 10" xfId="16527" xr:uid="{00000000-0005-0000-0000-0000403D0000}"/>
    <cellStyle name="Normal 35 5 11" xfId="16528" xr:uid="{00000000-0005-0000-0000-0000413D0000}"/>
    <cellStyle name="Normal 35 5 12" xfId="16529" xr:uid="{00000000-0005-0000-0000-0000423D0000}"/>
    <cellStyle name="Normal 35 5 13" xfId="16530" xr:uid="{00000000-0005-0000-0000-0000433D0000}"/>
    <cellStyle name="Normal 35 5 14" xfId="16531" xr:uid="{00000000-0005-0000-0000-0000443D0000}"/>
    <cellStyle name="Normal 35 5 15" xfId="16532" xr:uid="{00000000-0005-0000-0000-0000453D0000}"/>
    <cellStyle name="Normal 35 5 2" xfId="16533" xr:uid="{00000000-0005-0000-0000-0000463D0000}"/>
    <cellStyle name="Normal 35 5 3" xfId="16534" xr:uid="{00000000-0005-0000-0000-0000473D0000}"/>
    <cellStyle name="Normal 35 5 4" xfId="16535" xr:uid="{00000000-0005-0000-0000-0000483D0000}"/>
    <cellStyle name="Normal 35 5 5" xfId="16536" xr:uid="{00000000-0005-0000-0000-0000493D0000}"/>
    <cellStyle name="Normal 35 5 6" xfId="16537" xr:uid="{00000000-0005-0000-0000-00004A3D0000}"/>
    <cellStyle name="Normal 35 5 7" xfId="16538" xr:uid="{00000000-0005-0000-0000-00004B3D0000}"/>
    <cellStyle name="Normal 35 5 8" xfId="16539" xr:uid="{00000000-0005-0000-0000-00004C3D0000}"/>
    <cellStyle name="Normal 35 5 9" xfId="16540" xr:uid="{00000000-0005-0000-0000-00004D3D0000}"/>
    <cellStyle name="Normal 35 6" xfId="16541" xr:uid="{00000000-0005-0000-0000-00004E3D0000}"/>
    <cellStyle name="Normal 35 6 10" xfId="16542" xr:uid="{00000000-0005-0000-0000-00004F3D0000}"/>
    <cellStyle name="Normal 35 6 11" xfId="16543" xr:uid="{00000000-0005-0000-0000-0000503D0000}"/>
    <cellStyle name="Normal 35 6 12" xfId="16544" xr:uid="{00000000-0005-0000-0000-0000513D0000}"/>
    <cellStyle name="Normal 35 6 13" xfId="16545" xr:uid="{00000000-0005-0000-0000-0000523D0000}"/>
    <cellStyle name="Normal 35 6 14" xfId="16546" xr:uid="{00000000-0005-0000-0000-0000533D0000}"/>
    <cellStyle name="Normal 35 6 15" xfId="16547" xr:uid="{00000000-0005-0000-0000-0000543D0000}"/>
    <cellStyle name="Normal 35 6 2" xfId="16548" xr:uid="{00000000-0005-0000-0000-0000553D0000}"/>
    <cellStyle name="Normal 35 6 3" xfId="16549" xr:uid="{00000000-0005-0000-0000-0000563D0000}"/>
    <cellStyle name="Normal 35 6 4" xfId="16550" xr:uid="{00000000-0005-0000-0000-0000573D0000}"/>
    <cellStyle name="Normal 35 6 5" xfId="16551" xr:uid="{00000000-0005-0000-0000-0000583D0000}"/>
    <cellStyle name="Normal 35 6 6" xfId="16552" xr:uid="{00000000-0005-0000-0000-0000593D0000}"/>
    <cellStyle name="Normal 35 6 7" xfId="16553" xr:uid="{00000000-0005-0000-0000-00005A3D0000}"/>
    <cellStyle name="Normal 35 6 8" xfId="16554" xr:uid="{00000000-0005-0000-0000-00005B3D0000}"/>
    <cellStyle name="Normal 35 6 9" xfId="16555" xr:uid="{00000000-0005-0000-0000-00005C3D0000}"/>
    <cellStyle name="Normal 35 7" xfId="16556" xr:uid="{00000000-0005-0000-0000-00005D3D0000}"/>
    <cellStyle name="Normal 35 7 10" xfId="16557" xr:uid="{00000000-0005-0000-0000-00005E3D0000}"/>
    <cellStyle name="Normal 35 7 11" xfId="16558" xr:uid="{00000000-0005-0000-0000-00005F3D0000}"/>
    <cellStyle name="Normal 35 7 12" xfId="16559" xr:uid="{00000000-0005-0000-0000-0000603D0000}"/>
    <cellStyle name="Normal 35 7 13" xfId="16560" xr:uid="{00000000-0005-0000-0000-0000613D0000}"/>
    <cellStyle name="Normal 35 7 14" xfId="16561" xr:uid="{00000000-0005-0000-0000-0000623D0000}"/>
    <cellStyle name="Normal 35 7 15" xfId="16562" xr:uid="{00000000-0005-0000-0000-0000633D0000}"/>
    <cellStyle name="Normal 35 7 2" xfId="16563" xr:uid="{00000000-0005-0000-0000-0000643D0000}"/>
    <cellStyle name="Normal 35 7 3" xfId="16564" xr:uid="{00000000-0005-0000-0000-0000653D0000}"/>
    <cellStyle name="Normal 35 7 4" xfId="16565" xr:uid="{00000000-0005-0000-0000-0000663D0000}"/>
    <cellStyle name="Normal 35 7 5" xfId="16566" xr:uid="{00000000-0005-0000-0000-0000673D0000}"/>
    <cellStyle name="Normal 35 7 6" xfId="16567" xr:uid="{00000000-0005-0000-0000-0000683D0000}"/>
    <cellStyle name="Normal 35 7 7" xfId="16568" xr:uid="{00000000-0005-0000-0000-0000693D0000}"/>
    <cellStyle name="Normal 35 7 8" xfId="16569" xr:uid="{00000000-0005-0000-0000-00006A3D0000}"/>
    <cellStyle name="Normal 35 7 9" xfId="16570" xr:uid="{00000000-0005-0000-0000-00006B3D0000}"/>
    <cellStyle name="Normal 35 8" xfId="16571" xr:uid="{00000000-0005-0000-0000-00006C3D0000}"/>
    <cellStyle name="Normal 35 8 10" xfId="16572" xr:uid="{00000000-0005-0000-0000-00006D3D0000}"/>
    <cellStyle name="Normal 35 8 11" xfId="16573" xr:uid="{00000000-0005-0000-0000-00006E3D0000}"/>
    <cellStyle name="Normal 35 8 12" xfId="16574" xr:uid="{00000000-0005-0000-0000-00006F3D0000}"/>
    <cellStyle name="Normal 35 8 13" xfId="16575" xr:uid="{00000000-0005-0000-0000-0000703D0000}"/>
    <cellStyle name="Normal 35 8 14" xfId="16576" xr:uid="{00000000-0005-0000-0000-0000713D0000}"/>
    <cellStyle name="Normal 35 8 15" xfId="16577" xr:uid="{00000000-0005-0000-0000-0000723D0000}"/>
    <cellStyle name="Normal 35 8 2" xfId="16578" xr:uid="{00000000-0005-0000-0000-0000733D0000}"/>
    <cellStyle name="Normal 35 8 3" xfId="16579" xr:uid="{00000000-0005-0000-0000-0000743D0000}"/>
    <cellStyle name="Normal 35 8 4" xfId="16580" xr:uid="{00000000-0005-0000-0000-0000753D0000}"/>
    <cellStyle name="Normal 35 8 5" xfId="16581" xr:uid="{00000000-0005-0000-0000-0000763D0000}"/>
    <cellStyle name="Normal 35 8 6" xfId="16582" xr:uid="{00000000-0005-0000-0000-0000773D0000}"/>
    <cellStyle name="Normal 35 8 7" xfId="16583" xr:uid="{00000000-0005-0000-0000-0000783D0000}"/>
    <cellStyle name="Normal 35 8 8" xfId="16584" xr:uid="{00000000-0005-0000-0000-0000793D0000}"/>
    <cellStyle name="Normal 35 8 9" xfId="16585" xr:uid="{00000000-0005-0000-0000-00007A3D0000}"/>
    <cellStyle name="Normal 35 9" xfId="16586" xr:uid="{00000000-0005-0000-0000-00007B3D0000}"/>
    <cellStyle name="Normal 36" xfId="16587" xr:uid="{00000000-0005-0000-0000-00007C3D0000}"/>
    <cellStyle name="Normal 36 10" xfId="16588" xr:uid="{00000000-0005-0000-0000-00007D3D0000}"/>
    <cellStyle name="Normal 36 11" xfId="16589" xr:uid="{00000000-0005-0000-0000-00007E3D0000}"/>
    <cellStyle name="Normal 36 12" xfId="16590" xr:uid="{00000000-0005-0000-0000-00007F3D0000}"/>
    <cellStyle name="Normal 36 13" xfId="16591" xr:uid="{00000000-0005-0000-0000-0000803D0000}"/>
    <cellStyle name="Normal 36 14" xfId="16592" xr:uid="{00000000-0005-0000-0000-0000813D0000}"/>
    <cellStyle name="Normal 36 15" xfId="16593" xr:uid="{00000000-0005-0000-0000-0000823D0000}"/>
    <cellStyle name="Normal 36 16" xfId="16594" xr:uid="{00000000-0005-0000-0000-0000833D0000}"/>
    <cellStyle name="Normal 36 17" xfId="16595" xr:uid="{00000000-0005-0000-0000-0000843D0000}"/>
    <cellStyle name="Normal 36 18" xfId="16596" xr:uid="{00000000-0005-0000-0000-0000853D0000}"/>
    <cellStyle name="Normal 36 19" xfId="16597" xr:uid="{00000000-0005-0000-0000-0000863D0000}"/>
    <cellStyle name="Normal 36 2" xfId="16598" xr:uid="{00000000-0005-0000-0000-0000873D0000}"/>
    <cellStyle name="Normal 36 2 10" xfId="16599" xr:uid="{00000000-0005-0000-0000-0000883D0000}"/>
    <cellStyle name="Normal 36 2 11" xfId="16600" xr:uid="{00000000-0005-0000-0000-0000893D0000}"/>
    <cellStyle name="Normal 36 2 12" xfId="16601" xr:uid="{00000000-0005-0000-0000-00008A3D0000}"/>
    <cellStyle name="Normal 36 2 13" xfId="16602" xr:uid="{00000000-0005-0000-0000-00008B3D0000}"/>
    <cellStyle name="Normal 36 2 14" xfId="16603" xr:uid="{00000000-0005-0000-0000-00008C3D0000}"/>
    <cellStyle name="Normal 36 2 15" xfId="16604" xr:uid="{00000000-0005-0000-0000-00008D3D0000}"/>
    <cellStyle name="Normal 36 2 2" xfId="16605" xr:uid="{00000000-0005-0000-0000-00008E3D0000}"/>
    <cellStyle name="Normal 36 2 3" xfId="16606" xr:uid="{00000000-0005-0000-0000-00008F3D0000}"/>
    <cellStyle name="Normal 36 2 4" xfId="16607" xr:uid="{00000000-0005-0000-0000-0000903D0000}"/>
    <cellStyle name="Normal 36 2 5" xfId="16608" xr:uid="{00000000-0005-0000-0000-0000913D0000}"/>
    <cellStyle name="Normal 36 2 6" xfId="16609" xr:uid="{00000000-0005-0000-0000-0000923D0000}"/>
    <cellStyle name="Normal 36 2 7" xfId="16610" xr:uid="{00000000-0005-0000-0000-0000933D0000}"/>
    <cellStyle name="Normal 36 2 8" xfId="16611" xr:uid="{00000000-0005-0000-0000-0000943D0000}"/>
    <cellStyle name="Normal 36 2 9" xfId="16612" xr:uid="{00000000-0005-0000-0000-0000953D0000}"/>
    <cellStyle name="Normal 36 20" xfId="16613" xr:uid="{00000000-0005-0000-0000-0000963D0000}"/>
    <cellStyle name="Normal 36 21" xfId="16614" xr:uid="{00000000-0005-0000-0000-0000973D0000}"/>
    <cellStyle name="Normal 36 22" xfId="16615" xr:uid="{00000000-0005-0000-0000-0000983D0000}"/>
    <cellStyle name="Normal 36 23" xfId="16616" xr:uid="{00000000-0005-0000-0000-0000993D0000}"/>
    <cellStyle name="Normal 36 3" xfId="16617" xr:uid="{00000000-0005-0000-0000-00009A3D0000}"/>
    <cellStyle name="Normal 36 3 10" xfId="16618" xr:uid="{00000000-0005-0000-0000-00009B3D0000}"/>
    <cellStyle name="Normal 36 3 11" xfId="16619" xr:uid="{00000000-0005-0000-0000-00009C3D0000}"/>
    <cellStyle name="Normal 36 3 12" xfId="16620" xr:uid="{00000000-0005-0000-0000-00009D3D0000}"/>
    <cellStyle name="Normal 36 3 13" xfId="16621" xr:uid="{00000000-0005-0000-0000-00009E3D0000}"/>
    <cellStyle name="Normal 36 3 14" xfId="16622" xr:uid="{00000000-0005-0000-0000-00009F3D0000}"/>
    <cellStyle name="Normal 36 3 15" xfId="16623" xr:uid="{00000000-0005-0000-0000-0000A03D0000}"/>
    <cellStyle name="Normal 36 3 2" xfId="16624" xr:uid="{00000000-0005-0000-0000-0000A13D0000}"/>
    <cellStyle name="Normal 36 3 3" xfId="16625" xr:uid="{00000000-0005-0000-0000-0000A23D0000}"/>
    <cellStyle name="Normal 36 3 4" xfId="16626" xr:uid="{00000000-0005-0000-0000-0000A33D0000}"/>
    <cellStyle name="Normal 36 3 5" xfId="16627" xr:uid="{00000000-0005-0000-0000-0000A43D0000}"/>
    <cellStyle name="Normal 36 3 6" xfId="16628" xr:uid="{00000000-0005-0000-0000-0000A53D0000}"/>
    <cellStyle name="Normal 36 3 7" xfId="16629" xr:uid="{00000000-0005-0000-0000-0000A63D0000}"/>
    <cellStyle name="Normal 36 3 8" xfId="16630" xr:uid="{00000000-0005-0000-0000-0000A73D0000}"/>
    <cellStyle name="Normal 36 3 9" xfId="16631" xr:uid="{00000000-0005-0000-0000-0000A83D0000}"/>
    <cellStyle name="Normal 36 4" xfId="16632" xr:uid="{00000000-0005-0000-0000-0000A93D0000}"/>
    <cellStyle name="Normal 36 4 10" xfId="16633" xr:uid="{00000000-0005-0000-0000-0000AA3D0000}"/>
    <cellStyle name="Normal 36 4 11" xfId="16634" xr:uid="{00000000-0005-0000-0000-0000AB3D0000}"/>
    <cellStyle name="Normal 36 4 12" xfId="16635" xr:uid="{00000000-0005-0000-0000-0000AC3D0000}"/>
    <cellStyle name="Normal 36 4 13" xfId="16636" xr:uid="{00000000-0005-0000-0000-0000AD3D0000}"/>
    <cellStyle name="Normal 36 4 14" xfId="16637" xr:uid="{00000000-0005-0000-0000-0000AE3D0000}"/>
    <cellStyle name="Normal 36 4 15" xfId="16638" xr:uid="{00000000-0005-0000-0000-0000AF3D0000}"/>
    <cellStyle name="Normal 36 4 2" xfId="16639" xr:uid="{00000000-0005-0000-0000-0000B03D0000}"/>
    <cellStyle name="Normal 36 4 3" xfId="16640" xr:uid="{00000000-0005-0000-0000-0000B13D0000}"/>
    <cellStyle name="Normal 36 4 4" xfId="16641" xr:uid="{00000000-0005-0000-0000-0000B23D0000}"/>
    <cellStyle name="Normal 36 4 5" xfId="16642" xr:uid="{00000000-0005-0000-0000-0000B33D0000}"/>
    <cellStyle name="Normal 36 4 6" xfId="16643" xr:uid="{00000000-0005-0000-0000-0000B43D0000}"/>
    <cellStyle name="Normal 36 4 7" xfId="16644" xr:uid="{00000000-0005-0000-0000-0000B53D0000}"/>
    <cellStyle name="Normal 36 4 8" xfId="16645" xr:uid="{00000000-0005-0000-0000-0000B63D0000}"/>
    <cellStyle name="Normal 36 4 9" xfId="16646" xr:uid="{00000000-0005-0000-0000-0000B73D0000}"/>
    <cellStyle name="Normal 36 5" xfId="16647" xr:uid="{00000000-0005-0000-0000-0000B83D0000}"/>
    <cellStyle name="Normal 36 5 10" xfId="16648" xr:uid="{00000000-0005-0000-0000-0000B93D0000}"/>
    <cellStyle name="Normal 36 5 11" xfId="16649" xr:uid="{00000000-0005-0000-0000-0000BA3D0000}"/>
    <cellStyle name="Normal 36 5 12" xfId="16650" xr:uid="{00000000-0005-0000-0000-0000BB3D0000}"/>
    <cellStyle name="Normal 36 5 13" xfId="16651" xr:uid="{00000000-0005-0000-0000-0000BC3D0000}"/>
    <cellStyle name="Normal 36 5 14" xfId="16652" xr:uid="{00000000-0005-0000-0000-0000BD3D0000}"/>
    <cellStyle name="Normal 36 5 15" xfId="16653" xr:uid="{00000000-0005-0000-0000-0000BE3D0000}"/>
    <cellStyle name="Normal 36 5 2" xfId="16654" xr:uid="{00000000-0005-0000-0000-0000BF3D0000}"/>
    <cellStyle name="Normal 36 5 3" xfId="16655" xr:uid="{00000000-0005-0000-0000-0000C03D0000}"/>
    <cellStyle name="Normal 36 5 4" xfId="16656" xr:uid="{00000000-0005-0000-0000-0000C13D0000}"/>
    <cellStyle name="Normal 36 5 5" xfId="16657" xr:uid="{00000000-0005-0000-0000-0000C23D0000}"/>
    <cellStyle name="Normal 36 5 6" xfId="16658" xr:uid="{00000000-0005-0000-0000-0000C33D0000}"/>
    <cellStyle name="Normal 36 5 7" xfId="16659" xr:uid="{00000000-0005-0000-0000-0000C43D0000}"/>
    <cellStyle name="Normal 36 5 8" xfId="16660" xr:uid="{00000000-0005-0000-0000-0000C53D0000}"/>
    <cellStyle name="Normal 36 5 9" xfId="16661" xr:uid="{00000000-0005-0000-0000-0000C63D0000}"/>
    <cellStyle name="Normal 36 6" xfId="16662" xr:uid="{00000000-0005-0000-0000-0000C73D0000}"/>
    <cellStyle name="Normal 36 6 10" xfId="16663" xr:uid="{00000000-0005-0000-0000-0000C83D0000}"/>
    <cellStyle name="Normal 36 6 11" xfId="16664" xr:uid="{00000000-0005-0000-0000-0000C93D0000}"/>
    <cellStyle name="Normal 36 6 12" xfId="16665" xr:uid="{00000000-0005-0000-0000-0000CA3D0000}"/>
    <cellStyle name="Normal 36 6 13" xfId="16666" xr:uid="{00000000-0005-0000-0000-0000CB3D0000}"/>
    <cellStyle name="Normal 36 6 14" xfId="16667" xr:uid="{00000000-0005-0000-0000-0000CC3D0000}"/>
    <cellStyle name="Normal 36 6 15" xfId="16668" xr:uid="{00000000-0005-0000-0000-0000CD3D0000}"/>
    <cellStyle name="Normal 36 6 2" xfId="16669" xr:uid="{00000000-0005-0000-0000-0000CE3D0000}"/>
    <cellStyle name="Normal 36 6 3" xfId="16670" xr:uid="{00000000-0005-0000-0000-0000CF3D0000}"/>
    <cellStyle name="Normal 36 6 4" xfId="16671" xr:uid="{00000000-0005-0000-0000-0000D03D0000}"/>
    <cellStyle name="Normal 36 6 5" xfId="16672" xr:uid="{00000000-0005-0000-0000-0000D13D0000}"/>
    <cellStyle name="Normal 36 6 6" xfId="16673" xr:uid="{00000000-0005-0000-0000-0000D23D0000}"/>
    <cellStyle name="Normal 36 6 7" xfId="16674" xr:uid="{00000000-0005-0000-0000-0000D33D0000}"/>
    <cellStyle name="Normal 36 6 8" xfId="16675" xr:uid="{00000000-0005-0000-0000-0000D43D0000}"/>
    <cellStyle name="Normal 36 6 9" xfId="16676" xr:uid="{00000000-0005-0000-0000-0000D53D0000}"/>
    <cellStyle name="Normal 36 7" xfId="16677" xr:uid="{00000000-0005-0000-0000-0000D63D0000}"/>
    <cellStyle name="Normal 36 7 10" xfId="16678" xr:uid="{00000000-0005-0000-0000-0000D73D0000}"/>
    <cellStyle name="Normal 36 7 11" xfId="16679" xr:uid="{00000000-0005-0000-0000-0000D83D0000}"/>
    <cellStyle name="Normal 36 7 12" xfId="16680" xr:uid="{00000000-0005-0000-0000-0000D93D0000}"/>
    <cellStyle name="Normal 36 7 13" xfId="16681" xr:uid="{00000000-0005-0000-0000-0000DA3D0000}"/>
    <cellStyle name="Normal 36 7 14" xfId="16682" xr:uid="{00000000-0005-0000-0000-0000DB3D0000}"/>
    <cellStyle name="Normal 36 7 15" xfId="16683" xr:uid="{00000000-0005-0000-0000-0000DC3D0000}"/>
    <cellStyle name="Normal 36 7 2" xfId="16684" xr:uid="{00000000-0005-0000-0000-0000DD3D0000}"/>
    <cellStyle name="Normal 36 7 3" xfId="16685" xr:uid="{00000000-0005-0000-0000-0000DE3D0000}"/>
    <cellStyle name="Normal 36 7 4" xfId="16686" xr:uid="{00000000-0005-0000-0000-0000DF3D0000}"/>
    <cellStyle name="Normal 36 7 5" xfId="16687" xr:uid="{00000000-0005-0000-0000-0000E03D0000}"/>
    <cellStyle name="Normal 36 7 6" xfId="16688" xr:uid="{00000000-0005-0000-0000-0000E13D0000}"/>
    <cellStyle name="Normal 36 7 7" xfId="16689" xr:uid="{00000000-0005-0000-0000-0000E23D0000}"/>
    <cellStyle name="Normal 36 7 8" xfId="16690" xr:uid="{00000000-0005-0000-0000-0000E33D0000}"/>
    <cellStyle name="Normal 36 7 9" xfId="16691" xr:uid="{00000000-0005-0000-0000-0000E43D0000}"/>
    <cellStyle name="Normal 36 8" xfId="16692" xr:uid="{00000000-0005-0000-0000-0000E53D0000}"/>
    <cellStyle name="Normal 36 8 10" xfId="16693" xr:uid="{00000000-0005-0000-0000-0000E63D0000}"/>
    <cellStyle name="Normal 36 8 11" xfId="16694" xr:uid="{00000000-0005-0000-0000-0000E73D0000}"/>
    <cellStyle name="Normal 36 8 12" xfId="16695" xr:uid="{00000000-0005-0000-0000-0000E83D0000}"/>
    <cellStyle name="Normal 36 8 13" xfId="16696" xr:uid="{00000000-0005-0000-0000-0000E93D0000}"/>
    <cellStyle name="Normal 36 8 14" xfId="16697" xr:uid="{00000000-0005-0000-0000-0000EA3D0000}"/>
    <cellStyle name="Normal 36 8 15" xfId="16698" xr:uid="{00000000-0005-0000-0000-0000EB3D0000}"/>
    <cellStyle name="Normal 36 8 2" xfId="16699" xr:uid="{00000000-0005-0000-0000-0000EC3D0000}"/>
    <cellStyle name="Normal 36 8 3" xfId="16700" xr:uid="{00000000-0005-0000-0000-0000ED3D0000}"/>
    <cellStyle name="Normal 36 8 4" xfId="16701" xr:uid="{00000000-0005-0000-0000-0000EE3D0000}"/>
    <cellStyle name="Normal 36 8 5" xfId="16702" xr:uid="{00000000-0005-0000-0000-0000EF3D0000}"/>
    <cellStyle name="Normal 36 8 6" xfId="16703" xr:uid="{00000000-0005-0000-0000-0000F03D0000}"/>
    <cellStyle name="Normal 36 8 7" xfId="16704" xr:uid="{00000000-0005-0000-0000-0000F13D0000}"/>
    <cellStyle name="Normal 36 8 8" xfId="16705" xr:uid="{00000000-0005-0000-0000-0000F23D0000}"/>
    <cellStyle name="Normal 36 8 9" xfId="16706" xr:uid="{00000000-0005-0000-0000-0000F33D0000}"/>
    <cellStyle name="Normal 36 9" xfId="16707" xr:uid="{00000000-0005-0000-0000-0000F43D0000}"/>
    <cellStyle name="Normal 37" xfId="16708" xr:uid="{00000000-0005-0000-0000-0000F53D0000}"/>
    <cellStyle name="Normal 37 10" xfId="16709" xr:uid="{00000000-0005-0000-0000-0000F63D0000}"/>
    <cellStyle name="Normal 37 11" xfId="16710" xr:uid="{00000000-0005-0000-0000-0000F73D0000}"/>
    <cellStyle name="Normal 37 12" xfId="16711" xr:uid="{00000000-0005-0000-0000-0000F83D0000}"/>
    <cellStyle name="Normal 37 13" xfId="16712" xr:uid="{00000000-0005-0000-0000-0000F93D0000}"/>
    <cellStyle name="Normal 37 14" xfId="16713" xr:uid="{00000000-0005-0000-0000-0000FA3D0000}"/>
    <cellStyle name="Normal 37 15" xfId="16714" xr:uid="{00000000-0005-0000-0000-0000FB3D0000}"/>
    <cellStyle name="Normal 37 16" xfId="16715" xr:uid="{00000000-0005-0000-0000-0000FC3D0000}"/>
    <cellStyle name="Normal 37 2" xfId="16716" xr:uid="{00000000-0005-0000-0000-0000FD3D0000}"/>
    <cellStyle name="Normal 37 3" xfId="16717" xr:uid="{00000000-0005-0000-0000-0000FE3D0000}"/>
    <cellStyle name="Normal 37 4" xfId="16718" xr:uid="{00000000-0005-0000-0000-0000FF3D0000}"/>
    <cellStyle name="Normal 37 5" xfId="16719" xr:uid="{00000000-0005-0000-0000-0000003E0000}"/>
    <cellStyle name="Normal 37 6" xfId="16720" xr:uid="{00000000-0005-0000-0000-0000013E0000}"/>
    <cellStyle name="Normal 37 7" xfId="16721" xr:uid="{00000000-0005-0000-0000-0000023E0000}"/>
    <cellStyle name="Normal 37 8" xfId="16722" xr:uid="{00000000-0005-0000-0000-0000033E0000}"/>
    <cellStyle name="Normal 37 9" xfId="16723" xr:uid="{00000000-0005-0000-0000-0000043E0000}"/>
    <cellStyle name="Normal 38" xfId="16724" xr:uid="{00000000-0005-0000-0000-0000053E0000}"/>
    <cellStyle name="Normal 39" xfId="16725" xr:uid="{00000000-0005-0000-0000-0000063E0000}"/>
    <cellStyle name="Normal 4" xfId="15" xr:uid="{00000000-0005-0000-0000-00002E000000}"/>
    <cellStyle name="Normal 4 10" xfId="16726" xr:uid="{00000000-0005-0000-0000-0000083E0000}"/>
    <cellStyle name="Normal 4 11" xfId="16727" xr:uid="{00000000-0005-0000-0000-0000093E0000}"/>
    <cellStyle name="Normal 4 12" xfId="16728" xr:uid="{00000000-0005-0000-0000-00000A3E0000}"/>
    <cellStyle name="Normal 4 13" xfId="16729" xr:uid="{00000000-0005-0000-0000-00000B3E0000}"/>
    <cellStyle name="Normal 4 14" xfId="16730" xr:uid="{00000000-0005-0000-0000-00000C3E0000}"/>
    <cellStyle name="Normal 4 15" xfId="16731" xr:uid="{00000000-0005-0000-0000-00000D3E0000}"/>
    <cellStyle name="Normal 4 16" xfId="16732" xr:uid="{00000000-0005-0000-0000-00000E3E0000}"/>
    <cellStyle name="Normal 4 17" xfId="16733" xr:uid="{00000000-0005-0000-0000-00000F3E0000}"/>
    <cellStyle name="Normal 4 18" xfId="16734" xr:uid="{00000000-0005-0000-0000-0000103E0000}"/>
    <cellStyle name="Normal 4 19" xfId="16735" xr:uid="{00000000-0005-0000-0000-0000113E0000}"/>
    <cellStyle name="Normal 4 2" xfId="33" xr:uid="{00000000-0005-0000-0000-00002F000000}"/>
    <cellStyle name="Normal 4 2 10" xfId="16736" xr:uid="{00000000-0005-0000-0000-0000133E0000}"/>
    <cellStyle name="Normal 4 2 11" xfId="16737" xr:uid="{00000000-0005-0000-0000-0000143E0000}"/>
    <cellStyle name="Normal 4 2 12" xfId="16738" xr:uid="{00000000-0005-0000-0000-0000153E0000}"/>
    <cellStyle name="Normal 4 2 13" xfId="16739" xr:uid="{00000000-0005-0000-0000-0000163E0000}"/>
    <cellStyle name="Normal 4 2 14" xfId="16740" xr:uid="{00000000-0005-0000-0000-0000173E0000}"/>
    <cellStyle name="Normal 4 2 15" xfId="16741" xr:uid="{00000000-0005-0000-0000-0000183E0000}"/>
    <cellStyle name="Normal 4 2 16" xfId="16742" xr:uid="{00000000-0005-0000-0000-0000193E0000}"/>
    <cellStyle name="Normal 4 2 17" xfId="16743" xr:uid="{00000000-0005-0000-0000-00001A3E0000}"/>
    <cellStyle name="Normal 4 2 18" xfId="16744" xr:uid="{00000000-0005-0000-0000-00001B3E0000}"/>
    <cellStyle name="Normal 4 2 19" xfId="16745" xr:uid="{00000000-0005-0000-0000-00001C3E0000}"/>
    <cellStyle name="Normal 4 2 2" xfId="16746" xr:uid="{00000000-0005-0000-0000-00001D3E0000}"/>
    <cellStyle name="Normal 4 2 2 10" xfId="16747" xr:uid="{00000000-0005-0000-0000-00001E3E0000}"/>
    <cellStyle name="Normal 4 2 2 10 10" xfId="16748" xr:uid="{00000000-0005-0000-0000-00001F3E0000}"/>
    <cellStyle name="Normal 4 2 2 10 11" xfId="16749" xr:uid="{00000000-0005-0000-0000-0000203E0000}"/>
    <cellStyle name="Normal 4 2 2 10 12" xfId="16750" xr:uid="{00000000-0005-0000-0000-0000213E0000}"/>
    <cellStyle name="Normal 4 2 2 10 13" xfId="16751" xr:uid="{00000000-0005-0000-0000-0000223E0000}"/>
    <cellStyle name="Normal 4 2 2 10 14" xfId="16752" xr:uid="{00000000-0005-0000-0000-0000233E0000}"/>
    <cellStyle name="Normal 4 2 2 10 15" xfId="16753" xr:uid="{00000000-0005-0000-0000-0000243E0000}"/>
    <cellStyle name="Normal 4 2 2 10 2" xfId="16754" xr:uid="{00000000-0005-0000-0000-0000253E0000}"/>
    <cellStyle name="Normal 4 2 2 10 3" xfId="16755" xr:uid="{00000000-0005-0000-0000-0000263E0000}"/>
    <cellStyle name="Normal 4 2 2 10 4" xfId="16756" xr:uid="{00000000-0005-0000-0000-0000273E0000}"/>
    <cellStyle name="Normal 4 2 2 10 5" xfId="16757" xr:uid="{00000000-0005-0000-0000-0000283E0000}"/>
    <cellStyle name="Normal 4 2 2 10 6" xfId="16758" xr:uid="{00000000-0005-0000-0000-0000293E0000}"/>
    <cellStyle name="Normal 4 2 2 10 7" xfId="16759" xr:uid="{00000000-0005-0000-0000-00002A3E0000}"/>
    <cellStyle name="Normal 4 2 2 10 8" xfId="16760" xr:uid="{00000000-0005-0000-0000-00002B3E0000}"/>
    <cellStyle name="Normal 4 2 2 10 9" xfId="16761" xr:uid="{00000000-0005-0000-0000-00002C3E0000}"/>
    <cellStyle name="Normal 4 2 2 11" xfId="16762" xr:uid="{00000000-0005-0000-0000-00002D3E0000}"/>
    <cellStyle name="Normal 4 2 2 11 10" xfId="16763" xr:uid="{00000000-0005-0000-0000-00002E3E0000}"/>
    <cellStyle name="Normal 4 2 2 11 11" xfId="16764" xr:uid="{00000000-0005-0000-0000-00002F3E0000}"/>
    <cellStyle name="Normal 4 2 2 11 12" xfId="16765" xr:uid="{00000000-0005-0000-0000-0000303E0000}"/>
    <cellStyle name="Normal 4 2 2 11 13" xfId="16766" xr:uid="{00000000-0005-0000-0000-0000313E0000}"/>
    <cellStyle name="Normal 4 2 2 11 14" xfId="16767" xr:uid="{00000000-0005-0000-0000-0000323E0000}"/>
    <cellStyle name="Normal 4 2 2 11 15" xfId="16768" xr:uid="{00000000-0005-0000-0000-0000333E0000}"/>
    <cellStyle name="Normal 4 2 2 11 2" xfId="16769" xr:uid="{00000000-0005-0000-0000-0000343E0000}"/>
    <cellStyle name="Normal 4 2 2 11 3" xfId="16770" xr:uid="{00000000-0005-0000-0000-0000353E0000}"/>
    <cellStyle name="Normal 4 2 2 11 4" xfId="16771" xr:uid="{00000000-0005-0000-0000-0000363E0000}"/>
    <cellStyle name="Normal 4 2 2 11 5" xfId="16772" xr:uid="{00000000-0005-0000-0000-0000373E0000}"/>
    <cellStyle name="Normal 4 2 2 11 6" xfId="16773" xr:uid="{00000000-0005-0000-0000-0000383E0000}"/>
    <cellStyle name="Normal 4 2 2 11 7" xfId="16774" xr:uid="{00000000-0005-0000-0000-0000393E0000}"/>
    <cellStyle name="Normal 4 2 2 11 8" xfId="16775" xr:uid="{00000000-0005-0000-0000-00003A3E0000}"/>
    <cellStyle name="Normal 4 2 2 11 9" xfId="16776" xr:uid="{00000000-0005-0000-0000-00003B3E0000}"/>
    <cellStyle name="Normal 4 2 2 12" xfId="16777" xr:uid="{00000000-0005-0000-0000-00003C3E0000}"/>
    <cellStyle name="Normal 4 2 2 12 10" xfId="16778" xr:uid="{00000000-0005-0000-0000-00003D3E0000}"/>
    <cellStyle name="Normal 4 2 2 12 11" xfId="16779" xr:uid="{00000000-0005-0000-0000-00003E3E0000}"/>
    <cellStyle name="Normal 4 2 2 12 12" xfId="16780" xr:uid="{00000000-0005-0000-0000-00003F3E0000}"/>
    <cellStyle name="Normal 4 2 2 12 13" xfId="16781" xr:uid="{00000000-0005-0000-0000-0000403E0000}"/>
    <cellStyle name="Normal 4 2 2 12 14" xfId="16782" xr:uid="{00000000-0005-0000-0000-0000413E0000}"/>
    <cellStyle name="Normal 4 2 2 12 15" xfId="16783" xr:uid="{00000000-0005-0000-0000-0000423E0000}"/>
    <cellStyle name="Normal 4 2 2 12 2" xfId="16784" xr:uid="{00000000-0005-0000-0000-0000433E0000}"/>
    <cellStyle name="Normal 4 2 2 12 3" xfId="16785" xr:uid="{00000000-0005-0000-0000-0000443E0000}"/>
    <cellStyle name="Normal 4 2 2 12 4" xfId="16786" xr:uid="{00000000-0005-0000-0000-0000453E0000}"/>
    <cellStyle name="Normal 4 2 2 12 5" xfId="16787" xr:uid="{00000000-0005-0000-0000-0000463E0000}"/>
    <cellStyle name="Normal 4 2 2 12 6" xfId="16788" xr:uid="{00000000-0005-0000-0000-0000473E0000}"/>
    <cellStyle name="Normal 4 2 2 12 7" xfId="16789" xr:uid="{00000000-0005-0000-0000-0000483E0000}"/>
    <cellStyle name="Normal 4 2 2 12 8" xfId="16790" xr:uid="{00000000-0005-0000-0000-0000493E0000}"/>
    <cellStyle name="Normal 4 2 2 12 9" xfId="16791" xr:uid="{00000000-0005-0000-0000-00004A3E0000}"/>
    <cellStyle name="Normal 4 2 2 13" xfId="16792" xr:uid="{00000000-0005-0000-0000-00004B3E0000}"/>
    <cellStyle name="Normal 4 2 2 14" xfId="16793" xr:uid="{00000000-0005-0000-0000-00004C3E0000}"/>
    <cellStyle name="Normal 4 2 2 15" xfId="16794" xr:uid="{00000000-0005-0000-0000-00004D3E0000}"/>
    <cellStyle name="Normal 4 2 2 16" xfId="16795" xr:uid="{00000000-0005-0000-0000-00004E3E0000}"/>
    <cellStyle name="Normal 4 2 2 17" xfId="16796" xr:uid="{00000000-0005-0000-0000-00004F3E0000}"/>
    <cellStyle name="Normal 4 2 2 18" xfId="16797" xr:uid="{00000000-0005-0000-0000-0000503E0000}"/>
    <cellStyle name="Normal 4 2 2 19" xfId="16798" xr:uid="{00000000-0005-0000-0000-0000513E0000}"/>
    <cellStyle name="Normal 4 2 2 2" xfId="16799" xr:uid="{00000000-0005-0000-0000-0000523E0000}"/>
    <cellStyle name="Normal 4 2 2 2 10" xfId="16800" xr:uid="{00000000-0005-0000-0000-0000533E0000}"/>
    <cellStyle name="Normal 4 2 2 2 11" xfId="16801" xr:uid="{00000000-0005-0000-0000-0000543E0000}"/>
    <cellStyle name="Normal 4 2 2 2 12" xfId="16802" xr:uid="{00000000-0005-0000-0000-0000553E0000}"/>
    <cellStyle name="Normal 4 2 2 2 13" xfId="16803" xr:uid="{00000000-0005-0000-0000-0000563E0000}"/>
    <cellStyle name="Normal 4 2 2 2 14" xfId="16804" xr:uid="{00000000-0005-0000-0000-0000573E0000}"/>
    <cellStyle name="Normal 4 2 2 2 15" xfId="16805" xr:uid="{00000000-0005-0000-0000-0000583E0000}"/>
    <cellStyle name="Normal 4 2 2 2 16" xfId="16806" xr:uid="{00000000-0005-0000-0000-0000593E0000}"/>
    <cellStyle name="Normal 4 2 2 2 17" xfId="16807" xr:uid="{00000000-0005-0000-0000-00005A3E0000}"/>
    <cellStyle name="Normal 4 2 2 2 18" xfId="16808" xr:uid="{00000000-0005-0000-0000-00005B3E0000}"/>
    <cellStyle name="Normal 4 2 2 2 19" xfId="67" xr:uid="{88821C73-AFC2-4543-ACAE-8A94D4BD36EB}"/>
    <cellStyle name="Normal 4 2 2 2 2" xfId="16809" xr:uid="{00000000-0005-0000-0000-00005D3E0000}"/>
    <cellStyle name="Normal 4 2 2 2 2 10" xfId="16810" xr:uid="{00000000-0005-0000-0000-00005E3E0000}"/>
    <cellStyle name="Normal 4 2 2 2 2 11" xfId="16811" xr:uid="{00000000-0005-0000-0000-00005F3E0000}"/>
    <cellStyle name="Normal 4 2 2 2 2 12" xfId="16812" xr:uid="{00000000-0005-0000-0000-0000603E0000}"/>
    <cellStyle name="Normal 4 2 2 2 2 13" xfId="16813" xr:uid="{00000000-0005-0000-0000-0000613E0000}"/>
    <cellStyle name="Normal 4 2 2 2 2 14" xfId="16814" xr:uid="{00000000-0005-0000-0000-0000623E0000}"/>
    <cellStyle name="Normal 4 2 2 2 2 15" xfId="16815" xr:uid="{00000000-0005-0000-0000-0000633E0000}"/>
    <cellStyle name="Normal 4 2 2 2 2 16" xfId="61" xr:uid="{A2D12097-29BC-47D2-8E0D-A9B1AA8AD740}"/>
    <cellStyle name="Normal 4 2 2 2 2 2" xfId="16816" xr:uid="{00000000-0005-0000-0000-0000653E0000}"/>
    <cellStyle name="Normal 4 2 2 2 2 3" xfId="16817" xr:uid="{00000000-0005-0000-0000-0000663E0000}"/>
    <cellStyle name="Normal 4 2 2 2 2 4" xfId="16818" xr:uid="{00000000-0005-0000-0000-0000673E0000}"/>
    <cellStyle name="Normal 4 2 2 2 2 5" xfId="16819" xr:uid="{00000000-0005-0000-0000-0000683E0000}"/>
    <cellStyle name="Normal 4 2 2 2 2 6" xfId="16820" xr:uid="{00000000-0005-0000-0000-0000693E0000}"/>
    <cellStyle name="Normal 4 2 2 2 2 7" xfId="16821" xr:uid="{00000000-0005-0000-0000-00006A3E0000}"/>
    <cellStyle name="Normal 4 2 2 2 2 8" xfId="16822" xr:uid="{00000000-0005-0000-0000-00006B3E0000}"/>
    <cellStyle name="Normal 4 2 2 2 2 9" xfId="16823" xr:uid="{00000000-0005-0000-0000-00006C3E0000}"/>
    <cellStyle name="Normal 4 2 2 2 3" xfId="16824" xr:uid="{00000000-0005-0000-0000-00006D3E0000}"/>
    <cellStyle name="Normal 4 2 2 2 3 10" xfId="16825" xr:uid="{00000000-0005-0000-0000-00006E3E0000}"/>
    <cellStyle name="Normal 4 2 2 2 3 11" xfId="16826" xr:uid="{00000000-0005-0000-0000-00006F3E0000}"/>
    <cellStyle name="Normal 4 2 2 2 3 12" xfId="16827" xr:uid="{00000000-0005-0000-0000-0000703E0000}"/>
    <cellStyle name="Normal 4 2 2 2 3 13" xfId="16828" xr:uid="{00000000-0005-0000-0000-0000713E0000}"/>
    <cellStyle name="Normal 4 2 2 2 3 14" xfId="16829" xr:uid="{00000000-0005-0000-0000-0000723E0000}"/>
    <cellStyle name="Normal 4 2 2 2 3 15" xfId="16830" xr:uid="{00000000-0005-0000-0000-0000733E0000}"/>
    <cellStyle name="Normal 4 2 2 2 3 2" xfId="16831" xr:uid="{00000000-0005-0000-0000-0000743E0000}"/>
    <cellStyle name="Normal 4 2 2 2 3 3" xfId="16832" xr:uid="{00000000-0005-0000-0000-0000753E0000}"/>
    <cellStyle name="Normal 4 2 2 2 3 4" xfId="16833" xr:uid="{00000000-0005-0000-0000-0000763E0000}"/>
    <cellStyle name="Normal 4 2 2 2 3 5" xfId="16834" xr:uid="{00000000-0005-0000-0000-0000773E0000}"/>
    <cellStyle name="Normal 4 2 2 2 3 6" xfId="16835" xr:uid="{00000000-0005-0000-0000-0000783E0000}"/>
    <cellStyle name="Normal 4 2 2 2 3 7" xfId="16836" xr:uid="{00000000-0005-0000-0000-0000793E0000}"/>
    <cellStyle name="Normal 4 2 2 2 3 8" xfId="16837" xr:uid="{00000000-0005-0000-0000-00007A3E0000}"/>
    <cellStyle name="Normal 4 2 2 2 3 9" xfId="16838" xr:uid="{00000000-0005-0000-0000-00007B3E0000}"/>
    <cellStyle name="Normal 4 2 2 2 4" xfId="16839" xr:uid="{00000000-0005-0000-0000-00007C3E0000}"/>
    <cellStyle name="Normal 4 2 2 2 4 10" xfId="16840" xr:uid="{00000000-0005-0000-0000-00007D3E0000}"/>
    <cellStyle name="Normal 4 2 2 2 4 11" xfId="16841" xr:uid="{00000000-0005-0000-0000-00007E3E0000}"/>
    <cellStyle name="Normal 4 2 2 2 4 12" xfId="16842" xr:uid="{00000000-0005-0000-0000-00007F3E0000}"/>
    <cellStyle name="Normal 4 2 2 2 4 13" xfId="16843" xr:uid="{00000000-0005-0000-0000-0000803E0000}"/>
    <cellStyle name="Normal 4 2 2 2 4 14" xfId="16844" xr:uid="{00000000-0005-0000-0000-0000813E0000}"/>
    <cellStyle name="Normal 4 2 2 2 4 15" xfId="16845" xr:uid="{00000000-0005-0000-0000-0000823E0000}"/>
    <cellStyle name="Normal 4 2 2 2 4 2" xfId="16846" xr:uid="{00000000-0005-0000-0000-0000833E0000}"/>
    <cellStyle name="Normal 4 2 2 2 4 3" xfId="16847" xr:uid="{00000000-0005-0000-0000-0000843E0000}"/>
    <cellStyle name="Normal 4 2 2 2 4 4" xfId="16848" xr:uid="{00000000-0005-0000-0000-0000853E0000}"/>
    <cellStyle name="Normal 4 2 2 2 4 5" xfId="16849" xr:uid="{00000000-0005-0000-0000-0000863E0000}"/>
    <cellStyle name="Normal 4 2 2 2 4 6" xfId="16850" xr:uid="{00000000-0005-0000-0000-0000873E0000}"/>
    <cellStyle name="Normal 4 2 2 2 4 7" xfId="16851" xr:uid="{00000000-0005-0000-0000-0000883E0000}"/>
    <cellStyle name="Normal 4 2 2 2 4 8" xfId="16852" xr:uid="{00000000-0005-0000-0000-0000893E0000}"/>
    <cellStyle name="Normal 4 2 2 2 4 9" xfId="16853" xr:uid="{00000000-0005-0000-0000-00008A3E0000}"/>
    <cellStyle name="Normal 4 2 2 2 5" xfId="16854" xr:uid="{00000000-0005-0000-0000-00008B3E0000}"/>
    <cellStyle name="Normal 4 2 2 2 6" xfId="16855" xr:uid="{00000000-0005-0000-0000-00008C3E0000}"/>
    <cellStyle name="Normal 4 2 2 2 7" xfId="16856" xr:uid="{00000000-0005-0000-0000-00008D3E0000}"/>
    <cellStyle name="Normal 4 2 2 2 8" xfId="16857" xr:uid="{00000000-0005-0000-0000-00008E3E0000}"/>
    <cellStyle name="Normal 4 2 2 2 9" xfId="16858" xr:uid="{00000000-0005-0000-0000-00008F3E0000}"/>
    <cellStyle name="Normal 4 2 2 20" xfId="16859" xr:uid="{00000000-0005-0000-0000-0000903E0000}"/>
    <cellStyle name="Normal 4 2 2 21" xfId="16860" xr:uid="{00000000-0005-0000-0000-0000913E0000}"/>
    <cellStyle name="Normal 4 2 2 22" xfId="16861" xr:uid="{00000000-0005-0000-0000-0000923E0000}"/>
    <cellStyle name="Normal 4 2 2 23" xfId="16862" xr:uid="{00000000-0005-0000-0000-0000933E0000}"/>
    <cellStyle name="Normal 4 2 2 24" xfId="16863" xr:uid="{00000000-0005-0000-0000-0000943E0000}"/>
    <cellStyle name="Normal 4 2 2 25" xfId="16864" xr:uid="{00000000-0005-0000-0000-0000953E0000}"/>
    <cellStyle name="Normal 4 2 2 26" xfId="16865" xr:uid="{00000000-0005-0000-0000-0000963E0000}"/>
    <cellStyle name="Normal 4 2 2 27" xfId="16866" xr:uid="{00000000-0005-0000-0000-0000973E0000}"/>
    <cellStyle name="Normal 4 2 2 3" xfId="16867" xr:uid="{00000000-0005-0000-0000-0000983E0000}"/>
    <cellStyle name="Normal 4 2 2 3 10" xfId="16868" xr:uid="{00000000-0005-0000-0000-0000993E0000}"/>
    <cellStyle name="Normal 4 2 2 3 11" xfId="16869" xr:uid="{00000000-0005-0000-0000-00009A3E0000}"/>
    <cellStyle name="Normal 4 2 2 3 12" xfId="16870" xr:uid="{00000000-0005-0000-0000-00009B3E0000}"/>
    <cellStyle name="Normal 4 2 2 3 13" xfId="16871" xr:uid="{00000000-0005-0000-0000-00009C3E0000}"/>
    <cellStyle name="Normal 4 2 2 3 14" xfId="16872" xr:uid="{00000000-0005-0000-0000-00009D3E0000}"/>
    <cellStyle name="Normal 4 2 2 3 15" xfId="16873" xr:uid="{00000000-0005-0000-0000-00009E3E0000}"/>
    <cellStyle name="Normal 4 2 2 3 2" xfId="16874" xr:uid="{00000000-0005-0000-0000-00009F3E0000}"/>
    <cellStyle name="Normal 4 2 2 3 3" xfId="16875" xr:uid="{00000000-0005-0000-0000-0000A03E0000}"/>
    <cellStyle name="Normal 4 2 2 3 4" xfId="16876" xr:uid="{00000000-0005-0000-0000-0000A13E0000}"/>
    <cellStyle name="Normal 4 2 2 3 5" xfId="16877" xr:uid="{00000000-0005-0000-0000-0000A23E0000}"/>
    <cellStyle name="Normal 4 2 2 3 6" xfId="16878" xr:uid="{00000000-0005-0000-0000-0000A33E0000}"/>
    <cellStyle name="Normal 4 2 2 3 7" xfId="16879" xr:uid="{00000000-0005-0000-0000-0000A43E0000}"/>
    <cellStyle name="Normal 4 2 2 3 8" xfId="16880" xr:uid="{00000000-0005-0000-0000-0000A53E0000}"/>
    <cellStyle name="Normal 4 2 2 3 9" xfId="16881" xr:uid="{00000000-0005-0000-0000-0000A63E0000}"/>
    <cellStyle name="Normal 4 2 2 4" xfId="16882" xr:uid="{00000000-0005-0000-0000-0000A73E0000}"/>
    <cellStyle name="Normal 4 2 2 4 10" xfId="16883" xr:uid="{00000000-0005-0000-0000-0000A83E0000}"/>
    <cellStyle name="Normal 4 2 2 4 11" xfId="16884" xr:uid="{00000000-0005-0000-0000-0000A93E0000}"/>
    <cellStyle name="Normal 4 2 2 4 12" xfId="16885" xr:uid="{00000000-0005-0000-0000-0000AA3E0000}"/>
    <cellStyle name="Normal 4 2 2 4 13" xfId="16886" xr:uid="{00000000-0005-0000-0000-0000AB3E0000}"/>
    <cellStyle name="Normal 4 2 2 4 14" xfId="16887" xr:uid="{00000000-0005-0000-0000-0000AC3E0000}"/>
    <cellStyle name="Normal 4 2 2 4 15" xfId="16888" xr:uid="{00000000-0005-0000-0000-0000AD3E0000}"/>
    <cellStyle name="Normal 4 2 2 4 2" xfId="16889" xr:uid="{00000000-0005-0000-0000-0000AE3E0000}"/>
    <cellStyle name="Normal 4 2 2 4 3" xfId="16890" xr:uid="{00000000-0005-0000-0000-0000AF3E0000}"/>
    <cellStyle name="Normal 4 2 2 4 4" xfId="16891" xr:uid="{00000000-0005-0000-0000-0000B03E0000}"/>
    <cellStyle name="Normal 4 2 2 4 5" xfId="16892" xr:uid="{00000000-0005-0000-0000-0000B13E0000}"/>
    <cellStyle name="Normal 4 2 2 4 6" xfId="16893" xr:uid="{00000000-0005-0000-0000-0000B23E0000}"/>
    <cellStyle name="Normal 4 2 2 4 7" xfId="16894" xr:uid="{00000000-0005-0000-0000-0000B33E0000}"/>
    <cellStyle name="Normal 4 2 2 4 8" xfId="16895" xr:uid="{00000000-0005-0000-0000-0000B43E0000}"/>
    <cellStyle name="Normal 4 2 2 4 9" xfId="16896" xr:uid="{00000000-0005-0000-0000-0000B53E0000}"/>
    <cellStyle name="Normal 4 2 2 5" xfId="16897" xr:uid="{00000000-0005-0000-0000-0000B63E0000}"/>
    <cellStyle name="Normal 4 2 2 5 10" xfId="16898" xr:uid="{00000000-0005-0000-0000-0000B73E0000}"/>
    <cellStyle name="Normal 4 2 2 5 11" xfId="16899" xr:uid="{00000000-0005-0000-0000-0000B83E0000}"/>
    <cellStyle name="Normal 4 2 2 5 12" xfId="16900" xr:uid="{00000000-0005-0000-0000-0000B93E0000}"/>
    <cellStyle name="Normal 4 2 2 5 13" xfId="16901" xr:uid="{00000000-0005-0000-0000-0000BA3E0000}"/>
    <cellStyle name="Normal 4 2 2 5 14" xfId="16902" xr:uid="{00000000-0005-0000-0000-0000BB3E0000}"/>
    <cellStyle name="Normal 4 2 2 5 15" xfId="16903" xr:uid="{00000000-0005-0000-0000-0000BC3E0000}"/>
    <cellStyle name="Normal 4 2 2 5 2" xfId="16904" xr:uid="{00000000-0005-0000-0000-0000BD3E0000}"/>
    <cellStyle name="Normal 4 2 2 5 3" xfId="16905" xr:uid="{00000000-0005-0000-0000-0000BE3E0000}"/>
    <cellStyle name="Normal 4 2 2 5 4" xfId="16906" xr:uid="{00000000-0005-0000-0000-0000BF3E0000}"/>
    <cellStyle name="Normal 4 2 2 5 5" xfId="16907" xr:uid="{00000000-0005-0000-0000-0000C03E0000}"/>
    <cellStyle name="Normal 4 2 2 5 6" xfId="16908" xr:uid="{00000000-0005-0000-0000-0000C13E0000}"/>
    <cellStyle name="Normal 4 2 2 5 7" xfId="16909" xr:uid="{00000000-0005-0000-0000-0000C23E0000}"/>
    <cellStyle name="Normal 4 2 2 5 8" xfId="16910" xr:uid="{00000000-0005-0000-0000-0000C33E0000}"/>
    <cellStyle name="Normal 4 2 2 5 9" xfId="16911" xr:uid="{00000000-0005-0000-0000-0000C43E0000}"/>
    <cellStyle name="Normal 4 2 2 6" xfId="16912" xr:uid="{00000000-0005-0000-0000-0000C53E0000}"/>
    <cellStyle name="Normal 4 2 2 6 10" xfId="16913" xr:uid="{00000000-0005-0000-0000-0000C63E0000}"/>
    <cellStyle name="Normal 4 2 2 6 11" xfId="16914" xr:uid="{00000000-0005-0000-0000-0000C73E0000}"/>
    <cellStyle name="Normal 4 2 2 6 12" xfId="16915" xr:uid="{00000000-0005-0000-0000-0000C83E0000}"/>
    <cellStyle name="Normal 4 2 2 6 13" xfId="16916" xr:uid="{00000000-0005-0000-0000-0000C93E0000}"/>
    <cellStyle name="Normal 4 2 2 6 14" xfId="16917" xr:uid="{00000000-0005-0000-0000-0000CA3E0000}"/>
    <cellStyle name="Normal 4 2 2 6 15" xfId="16918" xr:uid="{00000000-0005-0000-0000-0000CB3E0000}"/>
    <cellStyle name="Normal 4 2 2 6 2" xfId="16919" xr:uid="{00000000-0005-0000-0000-0000CC3E0000}"/>
    <cellStyle name="Normal 4 2 2 6 3" xfId="16920" xr:uid="{00000000-0005-0000-0000-0000CD3E0000}"/>
    <cellStyle name="Normal 4 2 2 6 4" xfId="16921" xr:uid="{00000000-0005-0000-0000-0000CE3E0000}"/>
    <cellStyle name="Normal 4 2 2 6 5" xfId="16922" xr:uid="{00000000-0005-0000-0000-0000CF3E0000}"/>
    <cellStyle name="Normal 4 2 2 6 6" xfId="16923" xr:uid="{00000000-0005-0000-0000-0000D03E0000}"/>
    <cellStyle name="Normal 4 2 2 6 7" xfId="16924" xr:uid="{00000000-0005-0000-0000-0000D13E0000}"/>
    <cellStyle name="Normal 4 2 2 6 8" xfId="16925" xr:uid="{00000000-0005-0000-0000-0000D23E0000}"/>
    <cellStyle name="Normal 4 2 2 6 9" xfId="16926" xr:uid="{00000000-0005-0000-0000-0000D33E0000}"/>
    <cellStyle name="Normal 4 2 2 7" xfId="16927" xr:uid="{00000000-0005-0000-0000-0000D43E0000}"/>
    <cellStyle name="Normal 4 2 2 7 10" xfId="16928" xr:uid="{00000000-0005-0000-0000-0000D53E0000}"/>
    <cellStyle name="Normal 4 2 2 7 11" xfId="16929" xr:uid="{00000000-0005-0000-0000-0000D63E0000}"/>
    <cellStyle name="Normal 4 2 2 7 12" xfId="16930" xr:uid="{00000000-0005-0000-0000-0000D73E0000}"/>
    <cellStyle name="Normal 4 2 2 7 13" xfId="16931" xr:uid="{00000000-0005-0000-0000-0000D83E0000}"/>
    <cellStyle name="Normal 4 2 2 7 14" xfId="16932" xr:uid="{00000000-0005-0000-0000-0000D93E0000}"/>
    <cellStyle name="Normal 4 2 2 7 15" xfId="16933" xr:uid="{00000000-0005-0000-0000-0000DA3E0000}"/>
    <cellStyle name="Normal 4 2 2 7 2" xfId="16934" xr:uid="{00000000-0005-0000-0000-0000DB3E0000}"/>
    <cellStyle name="Normal 4 2 2 7 3" xfId="16935" xr:uid="{00000000-0005-0000-0000-0000DC3E0000}"/>
    <cellStyle name="Normal 4 2 2 7 4" xfId="16936" xr:uid="{00000000-0005-0000-0000-0000DD3E0000}"/>
    <cellStyle name="Normal 4 2 2 7 5" xfId="16937" xr:uid="{00000000-0005-0000-0000-0000DE3E0000}"/>
    <cellStyle name="Normal 4 2 2 7 6" xfId="16938" xr:uid="{00000000-0005-0000-0000-0000DF3E0000}"/>
    <cellStyle name="Normal 4 2 2 7 7" xfId="16939" xr:uid="{00000000-0005-0000-0000-0000E03E0000}"/>
    <cellStyle name="Normal 4 2 2 7 8" xfId="16940" xr:uid="{00000000-0005-0000-0000-0000E13E0000}"/>
    <cellStyle name="Normal 4 2 2 7 9" xfId="16941" xr:uid="{00000000-0005-0000-0000-0000E23E0000}"/>
    <cellStyle name="Normal 4 2 2 8" xfId="16942" xr:uid="{00000000-0005-0000-0000-0000E33E0000}"/>
    <cellStyle name="Normal 4 2 2 8 10" xfId="16943" xr:uid="{00000000-0005-0000-0000-0000E43E0000}"/>
    <cellStyle name="Normal 4 2 2 8 11" xfId="16944" xr:uid="{00000000-0005-0000-0000-0000E53E0000}"/>
    <cellStyle name="Normal 4 2 2 8 12" xfId="16945" xr:uid="{00000000-0005-0000-0000-0000E63E0000}"/>
    <cellStyle name="Normal 4 2 2 8 13" xfId="16946" xr:uid="{00000000-0005-0000-0000-0000E73E0000}"/>
    <cellStyle name="Normal 4 2 2 8 14" xfId="16947" xr:uid="{00000000-0005-0000-0000-0000E83E0000}"/>
    <cellStyle name="Normal 4 2 2 8 15" xfId="16948" xr:uid="{00000000-0005-0000-0000-0000E93E0000}"/>
    <cellStyle name="Normal 4 2 2 8 2" xfId="16949" xr:uid="{00000000-0005-0000-0000-0000EA3E0000}"/>
    <cellStyle name="Normal 4 2 2 8 3" xfId="16950" xr:uid="{00000000-0005-0000-0000-0000EB3E0000}"/>
    <cellStyle name="Normal 4 2 2 8 4" xfId="16951" xr:uid="{00000000-0005-0000-0000-0000EC3E0000}"/>
    <cellStyle name="Normal 4 2 2 8 5" xfId="16952" xr:uid="{00000000-0005-0000-0000-0000ED3E0000}"/>
    <cellStyle name="Normal 4 2 2 8 6" xfId="16953" xr:uid="{00000000-0005-0000-0000-0000EE3E0000}"/>
    <cellStyle name="Normal 4 2 2 8 7" xfId="16954" xr:uid="{00000000-0005-0000-0000-0000EF3E0000}"/>
    <cellStyle name="Normal 4 2 2 8 8" xfId="16955" xr:uid="{00000000-0005-0000-0000-0000F03E0000}"/>
    <cellStyle name="Normal 4 2 2 8 9" xfId="16956" xr:uid="{00000000-0005-0000-0000-0000F13E0000}"/>
    <cellStyle name="Normal 4 2 2 9" xfId="16957" xr:uid="{00000000-0005-0000-0000-0000F23E0000}"/>
    <cellStyle name="Normal 4 2 2 9 10" xfId="16958" xr:uid="{00000000-0005-0000-0000-0000F33E0000}"/>
    <cellStyle name="Normal 4 2 2 9 11" xfId="16959" xr:uid="{00000000-0005-0000-0000-0000F43E0000}"/>
    <cellStyle name="Normal 4 2 2 9 12" xfId="16960" xr:uid="{00000000-0005-0000-0000-0000F53E0000}"/>
    <cellStyle name="Normal 4 2 2 9 13" xfId="16961" xr:uid="{00000000-0005-0000-0000-0000F63E0000}"/>
    <cellStyle name="Normal 4 2 2 9 14" xfId="16962" xr:uid="{00000000-0005-0000-0000-0000F73E0000}"/>
    <cellStyle name="Normal 4 2 2 9 15" xfId="16963" xr:uid="{00000000-0005-0000-0000-0000F83E0000}"/>
    <cellStyle name="Normal 4 2 2 9 2" xfId="16964" xr:uid="{00000000-0005-0000-0000-0000F93E0000}"/>
    <cellStyle name="Normal 4 2 2 9 3" xfId="16965" xr:uid="{00000000-0005-0000-0000-0000FA3E0000}"/>
    <cellStyle name="Normal 4 2 2 9 4" xfId="16966" xr:uid="{00000000-0005-0000-0000-0000FB3E0000}"/>
    <cellStyle name="Normal 4 2 2 9 5" xfId="16967" xr:uid="{00000000-0005-0000-0000-0000FC3E0000}"/>
    <cellStyle name="Normal 4 2 2 9 6" xfId="16968" xr:uid="{00000000-0005-0000-0000-0000FD3E0000}"/>
    <cellStyle name="Normal 4 2 2 9 7" xfId="16969" xr:uid="{00000000-0005-0000-0000-0000FE3E0000}"/>
    <cellStyle name="Normal 4 2 2 9 8" xfId="16970" xr:uid="{00000000-0005-0000-0000-0000FF3E0000}"/>
    <cellStyle name="Normal 4 2 2 9 9" xfId="16971" xr:uid="{00000000-0005-0000-0000-0000003F0000}"/>
    <cellStyle name="Normal 4 2 20" xfId="16972" xr:uid="{00000000-0005-0000-0000-0000013F0000}"/>
    <cellStyle name="Normal 4 2 21" xfId="16973" xr:uid="{00000000-0005-0000-0000-0000023F0000}"/>
    <cellStyle name="Normal 4 2 22" xfId="16974" xr:uid="{00000000-0005-0000-0000-0000033F0000}"/>
    <cellStyle name="Normal 4 2 23" xfId="16975" xr:uid="{00000000-0005-0000-0000-0000043F0000}"/>
    <cellStyle name="Normal 4 2 24" xfId="16976" xr:uid="{00000000-0005-0000-0000-0000053F0000}"/>
    <cellStyle name="Normal 4 2 3" xfId="16977" xr:uid="{00000000-0005-0000-0000-0000063F0000}"/>
    <cellStyle name="Normal 4 2 3 10" xfId="16978" xr:uid="{00000000-0005-0000-0000-0000073F0000}"/>
    <cellStyle name="Normal 4 2 3 11" xfId="16979" xr:uid="{00000000-0005-0000-0000-0000083F0000}"/>
    <cellStyle name="Normal 4 2 3 12" xfId="16980" xr:uid="{00000000-0005-0000-0000-0000093F0000}"/>
    <cellStyle name="Normal 4 2 3 13" xfId="16981" xr:uid="{00000000-0005-0000-0000-00000A3F0000}"/>
    <cellStyle name="Normal 4 2 3 14" xfId="16982" xr:uid="{00000000-0005-0000-0000-00000B3F0000}"/>
    <cellStyle name="Normal 4 2 3 15" xfId="16983" xr:uid="{00000000-0005-0000-0000-00000C3F0000}"/>
    <cellStyle name="Normal 4 2 3 16" xfId="16984" xr:uid="{00000000-0005-0000-0000-00000D3F0000}"/>
    <cellStyle name="Normal 4 2 3 17" xfId="16985" xr:uid="{00000000-0005-0000-0000-00000E3F0000}"/>
    <cellStyle name="Normal 4 2 3 18" xfId="16986" xr:uid="{00000000-0005-0000-0000-00000F3F0000}"/>
    <cellStyle name="Normal 4 2 3 19" xfId="16987" xr:uid="{00000000-0005-0000-0000-0000103F0000}"/>
    <cellStyle name="Normal 4 2 3 2" xfId="16988" xr:uid="{00000000-0005-0000-0000-0000113F0000}"/>
    <cellStyle name="Normal 4 2 3 2 10" xfId="16989" xr:uid="{00000000-0005-0000-0000-0000123F0000}"/>
    <cellStyle name="Normal 4 2 3 2 11" xfId="16990" xr:uid="{00000000-0005-0000-0000-0000133F0000}"/>
    <cellStyle name="Normal 4 2 3 2 12" xfId="16991" xr:uid="{00000000-0005-0000-0000-0000143F0000}"/>
    <cellStyle name="Normal 4 2 3 2 13" xfId="16992" xr:uid="{00000000-0005-0000-0000-0000153F0000}"/>
    <cellStyle name="Normal 4 2 3 2 14" xfId="16993" xr:uid="{00000000-0005-0000-0000-0000163F0000}"/>
    <cellStyle name="Normal 4 2 3 2 15" xfId="16994" xr:uid="{00000000-0005-0000-0000-0000173F0000}"/>
    <cellStyle name="Normal 4 2 3 2 2" xfId="16995" xr:uid="{00000000-0005-0000-0000-0000183F0000}"/>
    <cellStyle name="Normal 4 2 3 2 3" xfId="16996" xr:uid="{00000000-0005-0000-0000-0000193F0000}"/>
    <cellStyle name="Normal 4 2 3 2 4" xfId="16997" xr:uid="{00000000-0005-0000-0000-00001A3F0000}"/>
    <cellStyle name="Normal 4 2 3 2 5" xfId="16998" xr:uid="{00000000-0005-0000-0000-00001B3F0000}"/>
    <cellStyle name="Normal 4 2 3 2 6" xfId="16999" xr:uid="{00000000-0005-0000-0000-00001C3F0000}"/>
    <cellStyle name="Normal 4 2 3 2 7" xfId="17000" xr:uid="{00000000-0005-0000-0000-00001D3F0000}"/>
    <cellStyle name="Normal 4 2 3 2 8" xfId="17001" xr:uid="{00000000-0005-0000-0000-00001E3F0000}"/>
    <cellStyle name="Normal 4 2 3 2 9" xfId="17002" xr:uid="{00000000-0005-0000-0000-00001F3F0000}"/>
    <cellStyle name="Normal 4 2 3 3" xfId="17003" xr:uid="{00000000-0005-0000-0000-0000203F0000}"/>
    <cellStyle name="Normal 4 2 3 3 10" xfId="17004" xr:uid="{00000000-0005-0000-0000-0000213F0000}"/>
    <cellStyle name="Normal 4 2 3 3 11" xfId="17005" xr:uid="{00000000-0005-0000-0000-0000223F0000}"/>
    <cellStyle name="Normal 4 2 3 3 12" xfId="17006" xr:uid="{00000000-0005-0000-0000-0000233F0000}"/>
    <cellStyle name="Normal 4 2 3 3 13" xfId="17007" xr:uid="{00000000-0005-0000-0000-0000243F0000}"/>
    <cellStyle name="Normal 4 2 3 3 14" xfId="17008" xr:uid="{00000000-0005-0000-0000-0000253F0000}"/>
    <cellStyle name="Normal 4 2 3 3 15" xfId="17009" xr:uid="{00000000-0005-0000-0000-0000263F0000}"/>
    <cellStyle name="Normal 4 2 3 3 2" xfId="17010" xr:uid="{00000000-0005-0000-0000-0000273F0000}"/>
    <cellStyle name="Normal 4 2 3 3 3" xfId="17011" xr:uid="{00000000-0005-0000-0000-0000283F0000}"/>
    <cellStyle name="Normal 4 2 3 3 4" xfId="17012" xr:uid="{00000000-0005-0000-0000-0000293F0000}"/>
    <cellStyle name="Normal 4 2 3 3 5" xfId="17013" xr:uid="{00000000-0005-0000-0000-00002A3F0000}"/>
    <cellStyle name="Normal 4 2 3 3 6" xfId="17014" xr:uid="{00000000-0005-0000-0000-00002B3F0000}"/>
    <cellStyle name="Normal 4 2 3 3 7" xfId="17015" xr:uid="{00000000-0005-0000-0000-00002C3F0000}"/>
    <cellStyle name="Normal 4 2 3 3 8" xfId="17016" xr:uid="{00000000-0005-0000-0000-00002D3F0000}"/>
    <cellStyle name="Normal 4 2 3 3 9" xfId="17017" xr:uid="{00000000-0005-0000-0000-00002E3F0000}"/>
    <cellStyle name="Normal 4 2 3 4" xfId="17018" xr:uid="{00000000-0005-0000-0000-00002F3F0000}"/>
    <cellStyle name="Normal 4 2 3 4 10" xfId="17019" xr:uid="{00000000-0005-0000-0000-0000303F0000}"/>
    <cellStyle name="Normal 4 2 3 4 11" xfId="17020" xr:uid="{00000000-0005-0000-0000-0000313F0000}"/>
    <cellStyle name="Normal 4 2 3 4 12" xfId="17021" xr:uid="{00000000-0005-0000-0000-0000323F0000}"/>
    <cellStyle name="Normal 4 2 3 4 13" xfId="17022" xr:uid="{00000000-0005-0000-0000-0000333F0000}"/>
    <cellStyle name="Normal 4 2 3 4 14" xfId="17023" xr:uid="{00000000-0005-0000-0000-0000343F0000}"/>
    <cellStyle name="Normal 4 2 3 4 15" xfId="17024" xr:uid="{00000000-0005-0000-0000-0000353F0000}"/>
    <cellStyle name="Normal 4 2 3 4 2" xfId="17025" xr:uid="{00000000-0005-0000-0000-0000363F0000}"/>
    <cellStyle name="Normal 4 2 3 4 3" xfId="17026" xr:uid="{00000000-0005-0000-0000-0000373F0000}"/>
    <cellStyle name="Normal 4 2 3 4 4" xfId="17027" xr:uid="{00000000-0005-0000-0000-0000383F0000}"/>
    <cellStyle name="Normal 4 2 3 4 5" xfId="17028" xr:uid="{00000000-0005-0000-0000-0000393F0000}"/>
    <cellStyle name="Normal 4 2 3 4 6" xfId="17029" xr:uid="{00000000-0005-0000-0000-00003A3F0000}"/>
    <cellStyle name="Normal 4 2 3 4 7" xfId="17030" xr:uid="{00000000-0005-0000-0000-00003B3F0000}"/>
    <cellStyle name="Normal 4 2 3 4 8" xfId="17031" xr:uid="{00000000-0005-0000-0000-00003C3F0000}"/>
    <cellStyle name="Normal 4 2 3 4 9" xfId="17032" xr:uid="{00000000-0005-0000-0000-00003D3F0000}"/>
    <cellStyle name="Normal 4 2 3 5" xfId="17033" xr:uid="{00000000-0005-0000-0000-00003E3F0000}"/>
    <cellStyle name="Normal 4 2 3 6" xfId="17034" xr:uid="{00000000-0005-0000-0000-00003F3F0000}"/>
    <cellStyle name="Normal 4 2 3 7" xfId="17035" xr:uid="{00000000-0005-0000-0000-0000403F0000}"/>
    <cellStyle name="Normal 4 2 3 8" xfId="17036" xr:uid="{00000000-0005-0000-0000-0000413F0000}"/>
    <cellStyle name="Normal 4 2 3 9" xfId="17037" xr:uid="{00000000-0005-0000-0000-0000423F0000}"/>
    <cellStyle name="Normal 4 2 4" xfId="17038" xr:uid="{00000000-0005-0000-0000-0000433F0000}"/>
    <cellStyle name="Normal 4 2 4 10" xfId="17039" xr:uid="{00000000-0005-0000-0000-0000443F0000}"/>
    <cellStyle name="Normal 4 2 4 11" xfId="17040" xr:uid="{00000000-0005-0000-0000-0000453F0000}"/>
    <cellStyle name="Normal 4 2 4 12" xfId="17041" xr:uid="{00000000-0005-0000-0000-0000463F0000}"/>
    <cellStyle name="Normal 4 2 4 13" xfId="17042" xr:uid="{00000000-0005-0000-0000-0000473F0000}"/>
    <cellStyle name="Normal 4 2 4 14" xfId="17043" xr:uid="{00000000-0005-0000-0000-0000483F0000}"/>
    <cellStyle name="Normal 4 2 4 15" xfId="17044" xr:uid="{00000000-0005-0000-0000-0000493F0000}"/>
    <cellStyle name="Normal 4 2 4 16" xfId="17045" xr:uid="{00000000-0005-0000-0000-00004A3F0000}"/>
    <cellStyle name="Normal 4 2 4 17" xfId="17046" xr:uid="{00000000-0005-0000-0000-00004B3F0000}"/>
    <cellStyle name="Normal 4 2 4 18" xfId="17047" xr:uid="{00000000-0005-0000-0000-00004C3F0000}"/>
    <cellStyle name="Normal 4 2 4 19" xfId="17048" xr:uid="{00000000-0005-0000-0000-00004D3F0000}"/>
    <cellStyle name="Normal 4 2 4 2" xfId="17049" xr:uid="{00000000-0005-0000-0000-00004E3F0000}"/>
    <cellStyle name="Normal 4 2 4 2 10" xfId="17050" xr:uid="{00000000-0005-0000-0000-00004F3F0000}"/>
    <cellStyle name="Normal 4 2 4 2 11" xfId="17051" xr:uid="{00000000-0005-0000-0000-0000503F0000}"/>
    <cellStyle name="Normal 4 2 4 2 12" xfId="17052" xr:uid="{00000000-0005-0000-0000-0000513F0000}"/>
    <cellStyle name="Normal 4 2 4 2 13" xfId="17053" xr:uid="{00000000-0005-0000-0000-0000523F0000}"/>
    <cellStyle name="Normal 4 2 4 2 14" xfId="17054" xr:uid="{00000000-0005-0000-0000-0000533F0000}"/>
    <cellStyle name="Normal 4 2 4 2 15" xfId="17055" xr:uid="{00000000-0005-0000-0000-0000543F0000}"/>
    <cellStyle name="Normal 4 2 4 2 2" xfId="17056" xr:uid="{00000000-0005-0000-0000-0000553F0000}"/>
    <cellStyle name="Normal 4 2 4 2 3" xfId="17057" xr:uid="{00000000-0005-0000-0000-0000563F0000}"/>
    <cellStyle name="Normal 4 2 4 2 4" xfId="17058" xr:uid="{00000000-0005-0000-0000-0000573F0000}"/>
    <cellStyle name="Normal 4 2 4 2 5" xfId="17059" xr:uid="{00000000-0005-0000-0000-0000583F0000}"/>
    <cellStyle name="Normal 4 2 4 2 6" xfId="17060" xr:uid="{00000000-0005-0000-0000-0000593F0000}"/>
    <cellStyle name="Normal 4 2 4 2 7" xfId="17061" xr:uid="{00000000-0005-0000-0000-00005A3F0000}"/>
    <cellStyle name="Normal 4 2 4 2 8" xfId="17062" xr:uid="{00000000-0005-0000-0000-00005B3F0000}"/>
    <cellStyle name="Normal 4 2 4 2 9" xfId="17063" xr:uid="{00000000-0005-0000-0000-00005C3F0000}"/>
    <cellStyle name="Normal 4 2 4 3" xfId="17064" xr:uid="{00000000-0005-0000-0000-00005D3F0000}"/>
    <cellStyle name="Normal 4 2 4 3 10" xfId="17065" xr:uid="{00000000-0005-0000-0000-00005E3F0000}"/>
    <cellStyle name="Normal 4 2 4 3 11" xfId="17066" xr:uid="{00000000-0005-0000-0000-00005F3F0000}"/>
    <cellStyle name="Normal 4 2 4 3 12" xfId="17067" xr:uid="{00000000-0005-0000-0000-0000603F0000}"/>
    <cellStyle name="Normal 4 2 4 3 13" xfId="17068" xr:uid="{00000000-0005-0000-0000-0000613F0000}"/>
    <cellStyle name="Normal 4 2 4 3 14" xfId="17069" xr:uid="{00000000-0005-0000-0000-0000623F0000}"/>
    <cellStyle name="Normal 4 2 4 3 15" xfId="17070" xr:uid="{00000000-0005-0000-0000-0000633F0000}"/>
    <cellStyle name="Normal 4 2 4 3 2" xfId="17071" xr:uid="{00000000-0005-0000-0000-0000643F0000}"/>
    <cellStyle name="Normal 4 2 4 3 3" xfId="17072" xr:uid="{00000000-0005-0000-0000-0000653F0000}"/>
    <cellStyle name="Normal 4 2 4 3 4" xfId="17073" xr:uid="{00000000-0005-0000-0000-0000663F0000}"/>
    <cellStyle name="Normal 4 2 4 3 5" xfId="17074" xr:uid="{00000000-0005-0000-0000-0000673F0000}"/>
    <cellStyle name="Normal 4 2 4 3 6" xfId="17075" xr:uid="{00000000-0005-0000-0000-0000683F0000}"/>
    <cellStyle name="Normal 4 2 4 3 7" xfId="17076" xr:uid="{00000000-0005-0000-0000-0000693F0000}"/>
    <cellStyle name="Normal 4 2 4 3 8" xfId="17077" xr:uid="{00000000-0005-0000-0000-00006A3F0000}"/>
    <cellStyle name="Normal 4 2 4 3 9" xfId="17078" xr:uid="{00000000-0005-0000-0000-00006B3F0000}"/>
    <cellStyle name="Normal 4 2 4 4" xfId="17079" xr:uid="{00000000-0005-0000-0000-00006C3F0000}"/>
    <cellStyle name="Normal 4 2 4 4 10" xfId="17080" xr:uid="{00000000-0005-0000-0000-00006D3F0000}"/>
    <cellStyle name="Normal 4 2 4 4 11" xfId="17081" xr:uid="{00000000-0005-0000-0000-00006E3F0000}"/>
    <cellStyle name="Normal 4 2 4 4 12" xfId="17082" xr:uid="{00000000-0005-0000-0000-00006F3F0000}"/>
    <cellStyle name="Normal 4 2 4 4 13" xfId="17083" xr:uid="{00000000-0005-0000-0000-0000703F0000}"/>
    <cellStyle name="Normal 4 2 4 4 14" xfId="17084" xr:uid="{00000000-0005-0000-0000-0000713F0000}"/>
    <cellStyle name="Normal 4 2 4 4 15" xfId="17085" xr:uid="{00000000-0005-0000-0000-0000723F0000}"/>
    <cellStyle name="Normal 4 2 4 4 2" xfId="17086" xr:uid="{00000000-0005-0000-0000-0000733F0000}"/>
    <cellStyle name="Normal 4 2 4 4 3" xfId="17087" xr:uid="{00000000-0005-0000-0000-0000743F0000}"/>
    <cellStyle name="Normal 4 2 4 4 4" xfId="17088" xr:uid="{00000000-0005-0000-0000-0000753F0000}"/>
    <cellStyle name="Normal 4 2 4 4 5" xfId="17089" xr:uid="{00000000-0005-0000-0000-0000763F0000}"/>
    <cellStyle name="Normal 4 2 4 4 6" xfId="17090" xr:uid="{00000000-0005-0000-0000-0000773F0000}"/>
    <cellStyle name="Normal 4 2 4 4 7" xfId="17091" xr:uid="{00000000-0005-0000-0000-0000783F0000}"/>
    <cellStyle name="Normal 4 2 4 4 8" xfId="17092" xr:uid="{00000000-0005-0000-0000-0000793F0000}"/>
    <cellStyle name="Normal 4 2 4 4 9" xfId="17093" xr:uid="{00000000-0005-0000-0000-00007A3F0000}"/>
    <cellStyle name="Normal 4 2 4 5" xfId="17094" xr:uid="{00000000-0005-0000-0000-00007B3F0000}"/>
    <cellStyle name="Normal 4 2 4 5 10" xfId="17095" xr:uid="{00000000-0005-0000-0000-00007C3F0000}"/>
    <cellStyle name="Normal 4 2 4 5 11" xfId="17096" xr:uid="{00000000-0005-0000-0000-00007D3F0000}"/>
    <cellStyle name="Normal 4 2 4 5 12" xfId="17097" xr:uid="{00000000-0005-0000-0000-00007E3F0000}"/>
    <cellStyle name="Normal 4 2 4 5 13" xfId="17098" xr:uid="{00000000-0005-0000-0000-00007F3F0000}"/>
    <cellStyle name="Normal 4 2 4 5 14" xfId="17099" xr:uid="{00000000-0005-0000-0000-0000803F0000}"/>
    <cellStyle name="Normal 4 2 4 5 15" xfId="17100" xr:uid="{00000000-0005-0000-0000-0000813F0000}"/>
    <cellStyle name="Normal 4 2 4 5 2" xfId="17101" xr:uid="{00000000-0005-0000-0000-0000823F0000}"/>
    <cellStyle name="Normal 4 2 4 5 3" xfId="17102" xr:uid="{00000000-0005-0000-0000-0000833F0000}"/>
    <cellStyle name="Normal 4 2 4 5 4" xfId="17103" xr:uid="{00000000-0005-0000-0000-0000843F0000}"/>
    <cellStyle name="Normal 4 2 4 5 5" xfId="17104" xr:uid="{00000000-0005-0000-0000-0000853F0000}"/>
    <cellStyle name="Normal 4 2 4 5 6" xfId="17105" xr:uid="{00000000-0005-0000-0000-0000863F0000}"/>
    <cellStyle name="Normal 4 2 4 5 7" xfId="17106" xr:uid="{00000000-0005-0000-0000-0000873F0000}"/>
    <cellStyle name="Normal 4 2 4 5 8" xfId="17107" xr:uid="{00000000-0005-0000-0000-0000883F0000}"/>
    <cellStyle name="Normal 4 2 4 5 9" xfId="17108" xr:uid="{00000000-0005-0000-0000-0000893F0000}"/>
    <cellStyle name="Normal 4 2 4 6" xfId="17109" xr:uid="{00000000-0005-0000-0000-00008A3F0000}"/>
    <cellStyle name="Normal 4 2 4 7" xfId="17110" xr:uid="{00000000-0005-0000-0000-00008B3F0000}"/>
    <cellStyle name="Normal 4 2 4 8" xfId="17111" xr:uid="{00000000-0005-0000-0000-00008C3F0000}"/>
    <cellStyle name="Normal 4 2 4 9" xfId="17112" xr:uid="{00000000-0005-0000-0000-00008D3F0000}"/>
    <cellStyle name="Normal 4 2 5" xfId="17113" xr:uid="{00000000-0005-0000-0000-00008E3F0000}"/>
    <cellStyle name="Normal 4 2 5 10" xfId="17114" xr:uid="{00000000-0005-0000-0000-00008F3F0000}"/>
    <cellStyle name="Normal 4 2 5 11" xfId="17115" xr:uid="{00000000-0005-0000-0000-0000903F0000}"/>
    <cellStyle name="Normal 4 2 5 12" xfId="17116" xr:uid="{00000000-0005-0000-0000-0000913F0000}"/>
    <cellStyle name="Normal 4 2 5 13" xfId="17117" xr:uid="{00000000-0005-0000-0000-0000923F0000}"/>
    <cellStyle name="Normal 4 2 5 14" xfId="17118" xr:uid="{00000000-0005-0000-0000-0000933F0000}"/>
    <cellStyle name="Normal 4 2 5 15" xfId="17119" xr:uid="{00000000-0005-0000-0000-0000943F0000}"/>
    <cellStyle name="Normal 4 2 5 16" xfId="17120" xr:uid="{00000000-0005-0000-0000-0000953F0000}"/>
    <cellStyle name="Normal 4 2 5 17" xfId="17121" xr:uid="{00000000-0005-0000-0000-0000963F0000}"/>
    <cellStyle name="Normal 4 2 5 18" xfId="17122" xr:uid="{00000000-0005-0000-0000-0000973F0000}"/>
    <cellStyle name="Normal 4 2 5 19" xfId="17123" xr:uid="{00000000-0005-0000-0000-0000983F0000}"/>
    <cellStyle name="Normal 4 2 5 2" xfId="17124" xr:uid="{00000000-0005-0000-0000-0000993F0000}"/>
    <cellStyle name="Normal 4 2 5 2 10" xfId="17125" xr:uid="{00000000-0005-0000-0000-00009A3F0000}"/>
    <cellStyle name="Normal 4 2 5 2 11" xfId="17126" xr:uid="{00000000-0005-0000-0000-00009B3F0000}"/>
    <cellStyle name="Normal 4 2 5 2 12" xfId="17127" xr:uid="{00000000-0005-0000-0000-00009C3F0000}"/>
    <cellStyle name="Normal 4 2 5 2 13" xfId="17128" xr:uid="{00000000-0005-0000-0000-00009D3F0000}"/>
    <cellStyle name="Normal 4 2 5 2 14" xfId="17129" xr:uid="{00000000-0005-0000-0000-00009E3F0000}"/>
    <cellStyle name="Normal 4 2 5 2 15" xfId="17130" xr:uid="{00000000-0005-0000-0000-00009F3F0000}"/>
    <cellStyle name="Normal 4 2 5 2 2" xfId="17131" xr:uid="{00000000-0005-0000-0000-0000A03F0000}"/>
    <cellStyle name="Normal 4 2 5 2 3" xfId="17132" xr:uid="{00000000-0005-0000-0000-0000A13F0000}"/>
    <cellStyle name="Normal 4 2 5 2 4" xfId="17133" xr:uid="{00000000-0005-0000-0000-0000A23F0000}"/>
    <cellStyle name="Normal 4 2 5 2 5" xfId="17134" xr:uid="{00000000-0005-0000-0000-0000A33F0000}"/>
    <cellStyle name="Normal 4 2 5 2 6" xfId="17135" xr:uid="{00000000-0005-0000-0000-0000A43F0000}"/>
    <cellStyle name="Normal 4 2 5 2 7" xfId="17136" xr:uid="{00000000-0005-0000-0000-0000A53F0000}"/>
    <cellStyle name="Normal 4 2 5 2 8" xfId="17137" xr:uid="{00000000-0005-0000-0000-0000A63F0000}"/>
    <cellStyle name="Normal 4 2 5 2 9" xfId="17138" xr:uid="{00000000-0005-0000-0000-0000A73F0000}"/>
    <cellStyle name="Normal 4 2 5 3" xfId="17139" xr:uid="{00000000-0005-0000-0000-0000A83F0000}"/>
    <cellStyle name="Normal 4 2 5 3 10" xfId="17140" xr:uid="{00000000-0005-0000-0000-0000A93F0000}"/>
    <cellStyle name="Normal 4 2 5 3 11" xfId="17141" xr:uid="{00000000-0005-0000-0000-0000AA3F0000}"/>
    <cellStyle name="Normal 4 2 5 3 12" xfId="17142" xr:uid="{00000000-0005-0000-0000-0000AB3F0000}"/>
    <cellStyle name="Normal 4 2 5 3 13" xfId="17143" xr:uid="{00000000-0005-0000-0000-0000AC3F0000}"/>
    <cellStyle name="Normal 4 2 5 3 14" xfId="17144" xr:uid="{00000000-0005-0000-0000-0000AD3F0000}"/>
    <cellStyle name="Normal 4 2 5 3 15" xfId="17145" xr:uid="{00000000-0005-0000-0000-0000AE3F0000}"/>
    <cellStyle name="Normal 4 2 5 3 2" xfId="17146" xr:uid="{00000000-0005-0000-0000-0000AF3F0000}"/>
    <cellStyle name="Normal 4 2 5 3 3" xfId="17147" xr:uid="{00000000-0005-0000-0000-0000B03F0000}"/>
    <cellStyle name="Normal 4 2 5 3 4" xfId="17148" xr:uid="{00000000-0005-0000-0000-0000B13F0000}"/>
    <cellStyle name="Normal 4 2 5 3 5" xfId="17149" xr:uid="{00000000-0005-0000-0000-0000B23F0000}"/>
    <cellStyle name="Normal 4 2 5 3 6" xfId="17150" xr:uid="{00000000-0005-0000-0000-0000B33F0000}"/>
    <cellStyle name="Normal 4 2 5 3 7" xfId="17151" xr:uid="{00000000-0005-0000-0000-0000B43F0000}"/>
    <cellStyle name="Normal 4 2 5 3 8" xfId="17152" xr:uid="{00000000-0005-0000-0000-0000B53F0000}"/>
    <cellStyle name="Normal 4 2 5 3 9" xfId="17153" xr:uid="{00000000-0005-0000-0000-0000B63F0000}"/>
    <cellStyle name="Normal 4 2 5 4" xfId="17154" xr:uid="{00000000-0005-0000-0000-0000B73F0000}"/>
    <cellStyle name="Normal 4 2 5 4 10" xfId="17155" xr:uid="{00000000-0005-0000-0000-0000B83F0000}"/>
    <cellStyle name="Normal 4 2 5 4 11" xfId="17156" xr:uid="{00000000-0005-0000-0000-0000B93F0000}"/>
    <cellStyle name="Normal 4 2 5 4 12" xfId="17157" xr:uid="{00000000-0005-0000-0000-0000BA3F0000}"/>
    <cellStyle name="Normal 4 2 5 4 13" xfId="17158" xr:uid="{00000000-0005-0000-0000-0000BB3F0000}"/>
    <cellStyle name="Normal 4 2 5 4 14" xfId="17159" xr:uid="{00000000-0005-0000-0000-0000BC3F0000}"/>
    <cellStyle name="Normal 4 2 5 4 15" xfId="17160" xr:uid="{00000000-0005-0000-0000-0000BD3F0000}"/>
    <cellStyle name="Normal 4 2 5 4 2" xfId="17161" xr:uid="{00000000-0005-0000-0000-0000BE3F0000}"/>
    <cellStyle name="Normal 4 2 5 4 3" xfId="17162" xr:uid="{00000000-0005-0000-0000-0000BF3F0000}"/>
    <cellStyle name="Normal 4 2 5 4 4" xfId="17163" xr:uid="{00000000-0005-0000-0000-0000C03F0000}"/>
    <cellStyle name="Normal 4 2 5 4 5" xfId="17164" xr:uid="{00000000-0005-0000-0000-0000C13F0000}"/>
    <cellStyle name="Normal 4 2 5 4 6" xfId="17165" xr:uid="{00000000-0005-0000-0000-0000C23F0000}"/>
    <cellStyle name="Normal 4 2 5 4 7" xfId="17166" xr:uid="{00000000-0005-0000-0000-0000C33F0000}"/>
    <cellStyle name="Normal 4 2 5 4 8" xfId="17167" xr:uid="{00000000-0005-0000-0000-0000C43F0000}"/>
    <cellStyle name="Normal 4 2 5 4 9" xfId="17168" xr:uid="{00000000-0005-0000-0000-0000C53F0000}"/>
    <cellStyle name="Normal 4 2 5 5" xfId="17169" xr:uid="{00000000-0005-0000-0000-0000C63F0000}"/>
    <cellStyle name="Normal 4 2 5 5 10" xfId="17170" xr:uid="{00000000-0005-0000-0000-0000C73F0000}"/>
    <cellStyle name="Normal 4 2 5 5 11" xfId="17171" xr:uid="{00000000-0005-0000-0000-0000C83F0000}"/>
    <cellStyle name="Normal 4 2 5 5 12" xfId="17172" xr:uid="{00000000-0005-0000-0000-0000C93F0000}"/>
    <cellStyle name="Normal 4 2 5 5 13" xfId="17173" xr:uid="{00000000-0005-0000-0000-0000CA3F0000}"/>
    <cellStyle name="Normal 4 2 5 5 14" xfId="17174" xr:uid="{00000000-0005-0000-0000-0000CB3F0000}"/>
    <cellStyle name="Normal 4 2 5 5 15" xfId="17175" xr:uid="{00000000-0005-0000-0000-0000CC3F0000}"/>
    <cellStyle name="Normal 4 2 5 5 2" xfId="17176" xr:uid="{00000000-0005-0000-0000-0000CD3F0000}"/>
    <cellStyle name="Normal 4 2 5 5 3" xfId="17177" xr:uid="{00000000-0005-0000-0000-0000CE3F0000}"/>
    <cellStyle name="Normal 4 2 5 5 4" xfId="17178" xr:uid="{00000000-0005-0000-0000-0000CF3F0000}"/>
    <cellStyle name="Normal 4 2 5 5 5" xfId="17179" xr:uid="{00000000-0005-0000-0000-0000D03F0000}"/>
    <cellStyle name="Normal 4 2 5 5 6" xfId="17180" xr:uid="{00000000-0005-0000-0000-0000D13F0000}"/>
    <cellStyle name="Normal 4 2 5 5 7" xfId="17181" xr:uid="{00000000-0005-0000-0000-0000D23F0000}"/>
    <cellStyle name="Normal 4 2 5 5 8" xfId="17182" xr:uid="{00000000-0005-0000-0000-0000D33F0000}"/>
    <cellStyle name="Normal 4 2 5 5 9" xfId="17183" xr:uid="{00000000-0005-0000-0000-0000D43F0000}"/>
    <cellStyle name="Normal 4 2 5 6" xfId="17184" xr:uid="{00000000-0005-0000-0000-0000D53F0000}"/>
    <cellStyle name="Normal 4 2 5 7" xfId="17185" xr:uid="{00000000-0005-0000-0000-0000D63F0000}"/>
    <cellStyle name="Normal 4 2 5 8" xfId="17186" xr:uid="{00000000-0005-0000-0000-0000D73F0000}"/>
    <cellStyle name="Normal 4 2 5 9" xfId="17187" xr:uid="{00000000-0005-0000-0000-0000D83F0000}"/>
    <cellStyle name="Normal 4 2 6" xfId="17188" xr:uid="{00000000-0005-0000-0000-0000D93F0000}"/>
    <cellStyle name="Normal 4 2 6 10" xfId="17189" xr:uid="{00000000-0005-0000-0000-0000DA3F0000}"/>
    <cellStyle name="Normal 4 2 6 11" xfId="17190" xr:uid="{00000000-0005-0000-0000-0000DB3F0000}"/>
    <cellStyle name="Normal 4 2 6 12" xfId="17191" xr:uid="{00000000-0005-0000-0000-0000DC3F0000}"/>
    <cellStyle name="Normal 4 2 6 13" xfId="17192" xr:uid="{00000000-0005-0000-0000-0000DD3F0000}"/>
    <cellStyle name="Normal 4 2 6 14" xfId="17193" xr:uid="{00000000-0005-0000-0000-0000DE3F0000}"/>
    <cellStyle name="Normal 4 2 6 15" xfId="17194" xr:uid="{00000000-0005-0000-0000-0000DF3F0000}"/>
    <cellStyle name="Normal 4 2 6 16" xfId="17195" xr:uid="{00000000-0005-0000-0000-0000E03F0000}"/>
    <cellStyle name="Normal 4 2 6 17" xfId="17196" xr:uid="{00000000-0005-0000-0000-0000E13F0000}"/>
    <cellStyle name="Normal 4 2 6 18" xfId="17197" xr:uid="{00000000-0005-0000-0000-0000E23F0000}"/>
    <cellStyle name="Normal 4 2 6 19" xfId="17198" xr:uid="{00000000-0005-0000-0000-0000E33F0000}"/>
    <cellStyle name="Normal 4 2 6 2" xfId="17199" xr:uid="{00000000-0005-0000-0000-0000E43F0000}"/>
    <cellStyle name="Normal 4 2 6 2 10" xfId="17200" xr:uid="{00000000-0005-0000-0000-0000E53F0000}"/>
    <cellStyle name="Normal 4 2 6 2 11" xfId="17201" xr:uid="{00000000-0005-0000-0000-0000E63F0000}"/>
    <cellStyle name="Normal 4 2 6 2 12" xfId="17202" xr:uid="{00000000-0005-0000-0000-0000E73F0000}"/>
    <cellStyle name="Normal 4 2 6 2 13" xfId="17203" xr:uid="{00000000-0005-0000-0000-0000E83F0000}"/>
    <cellStyle name="Normal 4 2 6 2 14" xfId="17204" xr:uid="{00000000-0005-0000-0000-0000E93F0000}"/>
    <cellStyle name="Normal 4 2 6 2 15" xfId="17205" xr:uid="{00000000-0005-0000-0000-0000EA3F0000}"/>
    <cellStyle name="Normal 4 2 6 2 2" xfId="17206" xr:uid="{00000000-0005-0000-0000-0000EB3F0000}"/>
    <cellStyle name="Normal 4 2 6 2 3" xfId="17207" xr:uid="{00000000-0005-0000-0000-0000EC3F0000}"/>
    <cellStyle name="Normal 4 2 6 2 4" xfId="17208" xr:uid="{00000000-0005-0000-0000-0000ED3F0000}"/>
    <cellStyle name="Normal 4 2 6 2 5" xfId="17209" xr:uid="{00000000-0005-0000-0000-0000EE3F0000}"/>
    <cellStyle name="Normal 4 2 6 2 6" xfId="17210" xr:uid="{00000000-0005-0000-0000-0000EF3F0000}"/>
    <cellStyle name="Normal 4 2 6 2 7" xfId="17211" xr:uid="{00000000-0005-0000-0000-0000F03F0000}"/>
    <cellStyle name="Normal 4 2 6 2 8" xfId="17212" xr:uid="{00000000-0005-0000-0000-0000F13F0000}"/>
    <cellStyle name="Normal 4 2 6 2 9" xfId="17213" xr:uid="{00000000-0005-0000-0000-0000F23F0000}"/>
    <cellStyle name="Normal 4 2 6 3" xfId="17214" xr:uid="{00000000-0005-0000-0000-0000F33F0000}"/>
    <cellStyle name="Normal 4 2 6 3 10" xfId="17215" xr:uid="{00000000-0005-0000-0000-0000F43F0000}"/>
    <cellStyle name="Normal 4 2 6 3 11" xfId="17216" xr:uid="{00000000-0005-0000-0000-0000F53F0000}"/>
    <cellStyle name="Normal 4 2 6 3 12" xfId="17217" xr:uid="{00000000-0005-0000-0000-0000F63F0000}"/>
    <cellStyle name="Normal 4 2 6 3 13" xfId="17218" xr:uid="{00000000-0005-0000-0000-0000F73F0000}"/>
    <cellStyle name="Normal 4 2 6 3 14" xfId="17219" xr:uid="{00000000-0005-0000-0000-0000F83F0000}"/>
    <cellStyle name="Normal 4 2 6 3 15" xfId="17220" xr:uid="{00000000-0005-0000-0000-0000F93F0000}"/>
    <cellStyle name="Normal 4 2 6 3 2" xfId="17221" xr:uid="{00000000-0005-0000-0000-0000FA3F0000}"/>
    <cellStyle name="Normal 4 2 6 3 3" xfId="17222" xr:uid="{00000000-0005-0000-0000-0000FB3F0000}"/>
    <cellStyle name="Normal 4 2 6 3 4" xfId="17223" xr:uid="{00000000-0005-0000-0000-0000FC3F0000}"/>
    <cellStyle name="Normal 4 2 6 3 5" xfId="17224" xr:uid="{00000000-0005-0000-0000-0000FD3F0000}"/>
    <cellStyle name="Normal 4 2 6 3 6" xfId="17225" xr:uid="{00000000-0005-0000-0000-0000FE3F0000}"/>
    <cellStyle name="Normal 4 2 6 3 7" xfId="17226" xr:uid="{00000000-0005-0000-0000-0000FF3F0000}"/>
    <cellStyle name="Normal 4 2 6 3 8" xfId="17227" xr:uid="{00000000-0005-0000-0000-000000400000}"/>
    <cellStyle name="Normal 4 2 6 3 9" xfId="17228" xr:uid="{00000000-0005-0000-0000-000001400000}"/>
    <cellStyle name="Normal 4 2 6 4" xfId="17229" xr:uid="{00000000-0005-0000-0000-000002400000}"/>
    <cellStyle name="Normal 4 2 6 4 10" xfId="17230" xr:uid="{00000000-0005-0000-0000-000003400000}"/>
    <cellStyle name="Normal 4 2 6 4 11" xfId="17231" xr:uid="{00000000-0005-0000-0000-000004400000}"/>
    <cellStyle name="Normal 4 2 6 4 12" xfId="17232" xr:uid="{00000000-0005-0000-0000-000005400000}"/>
    <cellStyle name="Normal 4 2 6 4 13" xfId="17233" xr:uid="{00000000-0005-0000-0000-000006400000}"/>
    <cellStyle name="Normal 4 2 6 4 14" xfId="17234" xr:uid="{00000000-0005-0000-0000-000007400000}"/>
    <cellStyle name="Normal 4 2 6 4 15" xfId="17235" xr:uid="{00000000-0005-0000-0000-000008400000}"/>
    <cellStyle name="Normal 4 2 6 4 2" xfId="17236" xr:uid="{00000000-0005-0000-0000-000009400000}"/>
    <cellStyle name="Normal 4 2 6 4 3" xfId="17237" xr:uid="{00000000-0005-0000-0000-00000A400000}"/>
    <cellStyle name="Normal 4 2 6 4 4" xfId="17238" xr:uid="{00000000-0005-0000-0000-00000B400000}"/>
    <cellStyle name="Normal 4 2 6 4 5" xfId="17239" xr:uid="{00000000-0005-0000-0000-00000C400000}"/>
    <cellStyle name="Normal 4 2 6 4 6" xfId="17240" xr:uid="{00000000-0005-0000-0000-00000D400000}"/>
    <cellStyle name="Normal 4 2 6 4 7" xfId="17241" xr:uid="{00000000-0005-0000-0000-00000E400000}"/>
    <cellStyle name="Normal 4 2 6 4 8" xfId="17242" xr:uid="{00000000-0005-0000-0000-00000F400000}"/>
    <cellStyle name="Normal 4 2 6 4 9" xfId="17243" xr:uid="{00000000-0005-0000-0000-000010400000}"/>
    <cellStyle name="Normal 4 2 6 5" xfId="17244" xr:uid="{00000000-0005-0000-0000-000011400000}"/>
    <cellStyle name="Normal 4 2 6 5 10" xfId="17245" xr:uid="{00000000-0005-0000-0000-000012400000}"/>
    <cellStyle name="Normal 4 2 6 5 11" xfId="17246" xr:uid="{00000000-0005-0000-0000-000013400000}"/>
    <cellStyle name="Normal 4 2 6 5 12" xfId="17247" xr:uid="{00000000-0005-0000-0000-000014400000}"/>
    <cellStyle name="Normal 4 2 6 5 13" xfId="17248" xr:uid="{00000000-0005-0000-0000-000015400000}"/>
    <cellStyle name="Normal 4 2 6 5 14" xfId="17249" xr:uid="{00000000-0005-0000-0000-000016400000}"/>
    <cellStyle name="Normal 4 2 6 5 15" xfId="17250" xr:uid="{00000000-0005-0000-0000-000017400000}"/>
    <cellStyle name="Normal 4 2 6 5 2" xfId="17251" xr:uid="{00000000-0005-0000-0000-000018400000}"/>
    <cellStyle name="Normal 4 2 6 5 3" xfId="17252" xr:uid="{00000000-0005-0000-0000-000019400000}"/>
    <cellStyle name="Normal 4 2 6 5 4" xfId="17253" xr:uid="{00000000-0005-0000-0000-00001A400000}"/>
    <cellStyle name="Normal 4 2 6 5 5" xfId="17254" xr:uid="{00000000-0005-0000-0000-00001B400000}"/>
    <cellStyle name="Normal 4 2 6 5 6" xfId="17255" xr:uid="{00000000-0005-0000-0000-00001C400000}"/>
    <cellStyle name="Normal 4 2 6 5 7" xfId="17256" xr:uid="{00000000-0005-0000-0000-00001D400000}"/>
    <cellStyle name="Normal 4 2 6 5 8" xfId="17257" xr:uid="{00000000-0005-0000-0000-00001E400000}"/>
    <cellStyle name="Normal 4 2 6 5 9" xfId="17258" xr:uid="{00000000-0005-0000-0000-00001F400000}"/>
    <cellStyle name="Normal 4 2 6 6" xfId="17259" xr:uid="{00000000-0005-0000-0000-000020400000}"/>
    <cellStyle name="Normal 4 2 6 7" xfId="17260" xr:uid="{00000000-0005-0000-0000-000021400000}"/>
    <cellStyle name="Normal 4 2 6 8" xfId="17261" xr:uid="{00000000-0005-0000-0000-000022400000}"/>
    <cellStyle name="Normal 4 2 6 9" xfId="17262" xr:uid="{00000000-0005-0000-0000-000023400000}"/>
    <cellStyle name="Normal 4 2 7" xfId="17263" xr:uid="{00000000-0005-0000-0000-000024400000}"/>
    <cellStyle name="Normal 4 2 7 10" xfId="17264" xr:uid="{00000000-0005-0000-0000-000025400000}"/>
    <cellStyle name="Normal 4 2 7 11" xfId="17265" xr:uid="{00000000-0005-0000-0000-000026400000}"/>
    <cellStyle name="Normal 4 2 7 12" xfId="17266" xr:uid="{00000000-0005-0000-0000-000027400000}"/>
    <cellStyle name="Normal 4 2 7 13" xfId="17267" xr:uid="{00000000-0005-0000-0000-000028400000}"/>
    <cellStyle name="Normal 4 2 7 14" xfId="17268" xr:uid="{00000000-0005-0000-0000-000029400000}"/>
    <cellStyle name="Normal 4 2 7 15" xfId="17269" xr:uid="{00000000-0005-0000-0000-00002A400000}"/>
    <cellStyle name="Normal 4 2 7 2" xfId="17270" xr:uid="{00000000-0005-0000-0000-00002B400000}"/>
    <cellStyle name="Normal 4 2 7 3" xfId="17271" xr:uid="{00000000-0005-0000-0000-00002C400000}"/>
    <cellStyle name="Normal 4 2 7 4" xfId="17272" xr:uid="{00000000-0005-0000-0000-00002D400000}"/>
    <cellStyle name="Normal 4 2 7 5" xfId="17273" xr:uid="{00000000-0005-0000-0000-00002E400000}"/>
    <cellStyle name="Normal 4 2 7 6" xfId="17274" xr:uid="{00000000-0005-0000-0000-00002F400000}"/>
    <cellStyle name="Normal 4 2 7 7" xfId="17275" xr:uid="{00000000-0005-0000-0000-000030400000}"/>
    <cellStyle name="Normal 4 2 7 8" xfId="17276" xr:uid="{00000000-0005-0000-0000-000031400000}"/>
    <cellStyle name="Normal 4 2 7 9" xfId="17277" xr:uid="{00000000-0005-0000-0000-000032400000}"/>
    <cellStyle name="Normal 4 2 8" xfId="17278" xr:uid="{00000000-0005-0000-0000-000033400000}"/>
    <cellStyle name="Normal 4 2 8 10" xfId="17279" xr:uid="{00000000-0005-0000-0000-000034400000}"/>
    <cellStyle name="Normal 4 2 8 11" xfId="17280" xr:uid="{00000000-0005-0000-0000-000035400000}"/>
    <cellStyle name="Normal 4 2 8 12" xfId="17281" xr:uid="{00000000-0005-0000-0000-000036400000}"/>
    <cellStyle name="Normal 4 2 8 13" xfId="17282" xr:uid="{00000000-0005-0000-0000-000037400000}"/>
    <cellStyle name="Normal 4 2 8 14" xfId="17283" xr:uid="{00000000-0005-0000-0000-000038400000}"/>
    <cellStyle name="Normal 4 2 8 15" xfId="17284" xr:uid="{00000000-0005-0000-0000-000039400000}"/>
    <cellStyle name="Normal 4 2 8 2" xfId="17285" xr:uid="{00000000-0005-0000-0000-00003A400000}"/>
    <cellStyle name="Normal 4 2 8 3" xfId="17286" xr:uid="{00000000-0005-0000-0000-00003B400000}"/>
    <cellStyle name="Normal 4 2 8 4" xfId="17287" xr:uid="{00000000-0005-0000-0000-00003C400000}"/>
    <cellStyle name="Normal 4 2 8 5" xfId="17288" xr:uid="{00000000-0005-0000-0000-00003D400000}"/>
    <cellStyle name="Normal 4 2 8 6" xfId="17289" xr:uid="{00000000-0005-0000-0000-00003E400000}"/>
    <cellStyle name="Normal 4 2 8 7" xfId="17290" xr:uid="{00000000-0005-0000-0000-00003F400000}"/>
    <cellStyle name="Normal 4 2 8 8" xfId="17291" xr:uid="{00000000-0005-0000-0000-000040400000}"/>
    <cellStyle name="Normal 4 2 8 9" xfId="17292" xr:uid="{00000000-0005-0000-0000-000041400000}"/>
    <cellStyle name="Normal 4 2 9" xfId="17293" xr:uid="{00000000-0005-0000-0000-000042400000}"/>
    <cellStyle name="Normal 4 2 9 10" xfId="17294" xr:uid="{00000000-0005-0000-0000-000043400000}"/>
    <cellStyle name="Normal 4 2 9 11" xfId="17295" xr:uid="{00000000-0005-0000-0000-000044400000}"/>
    <cellStyle name="Normal 4 2 9 12" xfId="17296" xr:uid="{00000000-0005-0000-0000-000045400000}"/>
    <cellStyle name="Normal 4 2 9 13" xfId="17297" xr:uid="{00000000-0005-0000-0000-000046400000}"/>
    <cellStyle name="Normal 4 2 9 14" xfId="17298" xr:uid="{00000000-0005-0000-0000-000047400000}"/>
    <cellStyle name="Normal 4 2 9 15" xfId="17299" xr:uid="{00000000-0005-0000-0000-000048400000}"/>
    <cellStyle name="Normal 4 2 9 2" xfId="17300" xr:uid="{00000000-0005-0000-0000-000049400000}"/>
    <cellStyle name="Normal 4 2 9 3" xfId="17301" xr:uid="{00000000-0005-0000-0000-00004A400000}"/>
    <cellStyle name="Normal 4 2 9 4" xfId="17302" xr:uid="{00000000-0005-0000-0000-00004B400000}"/>
    <cellStyle name="Normal 4 2 9 5" xfId="17303" xr:uid="{00000000-0005-0000-0000-00004C400000}"/>
    <cellStyle name="Normal 4 2 9 6" xfId="17304" xr:uid="{00000000-0005-0000-0000-00004D400000}"/>
    <cellStyle name="Normal 4 2 9 7" xfId="17305" xr:uid="{00000000-0005-0000-0000-00004E400000}"/>
    <cellStyle name="Normal 4 2 9 8" xfId="17306" xr:uid="{00000000-0005-0000-0000-00004F400000}"/>
    <cellStyle name="Normal 4 2 9 9" xfId="17307" xr:uid="{00000000-0005-0000-0000-000050400000}"/>
    <cellStyle name="Normal 4 2_CORRECTED COPY OF rA 5" xfId="17308" xr:uid="{00000000-0005-0000-0000-000051400000}"/>
    <cellStyle name="Normal 4 20" xfId="17309" xr:uid="{00000000-0005-0000-0000-000052400000}"/>
    <cellStyle name="Normal 4 21" xfId="17310" xr:uid="{00000000-0005-0000-0000-000053400000}"/>
    <cellStyle name="Normal 4 22" xfId="29" xr:uid="{00000000-0005-0000-0000-000030000000}"/>
    <cellStyle name="Normal 4 3" xfId="185" xr:uid="{00000000-0005-0000-0000-000049030000}"/>
    <cellStyle name="Normal 4 3 10" xfId="17312" xr:uid="{00000000-0005-0000-0000-000056400000}"/>
    <cellStyle name="Normal 4 3 11" xfId="17313" xr:uid="{00000000-0005-0000-0000-000057400000}"/>
    <cellStyle name="Normal 4 3 12" xfId="17314" xr:uid="{00000000-0005-0000-0000-000058400000}"/>
    <cellStyle name="Normal 4 3 13" xfId="17315" xr:uid="{00000000-0005-0000-0000-000059400000}"/>
    <cellStyle name="Normal 4 3 14" xfId="17316" xr:uid="{00000000-0005-0000-0000-00005A400000}"/>
    <cellStyle name="Normal 4 3 15" xfId="17317" xr:uid="{00000000-0005-0000-0000-00005B400000}"/>
    <cellStyle name="Normal 4 3 16" xfId="17318" xr:uid="{00000000-0005-0000-0000-00005C400000}"/>
    <cellStyle name="Normal 4 3 17" xfId="17319" xr:uid="{00000000-0005-0000-0000-00005D400000}"/>
    <cellStyle name="Normal 4 3 18" xfId="17320" xr:uid="{00000000-0005-0000-0000-00005E400000}"/>
    <cellStyle name="Normal 4 3 19" xfId="17321" xr:uid="{00000000-0005-0000-0000-00005F400000}"/>
    <cellStyle name="Normal 4 3 2" xfId="17322" xr:uid="{00000000-0005-0000-0000-000060400000}"/>
    <cellStyle name="Normal 4 3 2 10" xfId="17323" xr:uid="{00000000-0005-0000-0000-000061400000}"/>
    <cellStyle name="Normal 4 3 2 11" xfId="17324" xr:uid="{00000000-0005-0000-0000-000062400000}"/>
    <cellStyle name="Normal 4 3 2 12" xfId="17325" xr:uid="{00000000-0005-0000-0000-000063400000}"/>
    <cellStyle name="Normal 4 3 2 13" xfId="17326" xr:uid="{00000000-0005-0000-0000-000064400000}"/>
    <cellStyle name="Normal 4 3 2 14" xfId="17327" xr:uid="{00000000-0005-0000-0000-000065400000}"/>
    <cellStyle name="Normal 4 3 2 15" xfId="17328" xr:uid="{00000000-0005-0000-0000-000066400000}"/>
    <cellStyle name="Normal 4 3 2 16" xfId="17329" xr:uid="{00000000-0005-0000-0000-000067400000}"/>
    <cellStyle name="Normal 4 3 2 2" xfId="17330" xr:uid="{00000000-0005-0000-0000-000068400000}"/>
    <cellStyle name="Normal 4 3 2 2 10" xfId="17331" xr:uid="{00000000-0005-0000-0000-000069400000}"/>
    <cellStyle name="Normal 4 3 2 2 11" xfId="17332" xr:uid="{00000000-0005-0000-0000-00006A400000}"/>
    <cellStyle name="Normal 4 3 2 2 12" xfId="17333" xr:uid="{00000000-0005-0000-0000-00006B400000}"/>
    <cellStyle name="Normal 4 3 2 2 13" xfId="17334" xr:uid="{00000000-0005-0000-0000-00006C400000}"/>
    <cellStyle name="Normal 4 3 2 2 14" xfId="17335" xr:uid="{00000000-0005-0000-0000-00006D400000}"/>
    <cellStyle name="Normal 4 3 2 2 2" xfId="17336" xr:uid="{00000000-0005-0000-0000-00006E400000}"/>
    <cellStyle name="Normal 4 3 2 2 3" xfId="17337" xr:uid="{00000000-0005-0000-0000-00006F400000}"/>
    <cellStyle name="Normal 4 3 2 2 4" xfId="17338" xr:uid="{00000000-0005-0000-0000-000070400000}"/>
    <cellStyle name="Normal 4 3 2 2 5" xfId="17339" xr:uid="{00000000-0005-0000-0000-000071400000}"/>
    <cellStyle name="Normal 4 3 2 2 6" xfId="17340" xr:uid="{00000000-0005-0000-0000-000072400000}"/>
    <cellStyle name="Normal 4 3 2 2 7" xfId="17341" xr:uid="{00000000-0005-0000-0000-000073400000}"/>
    <cellStyle name="Normal 4 3 2 2 8" xfId="17342" xr:uid="{00000000-0005-0000-0000-000074400000}"/>
    <cellStyle name="Normal 4 3 2 2 9" xfId="17343" xr:uid="{00000000-0005-0000-0000-000075400000}"/>
    <cellStyle name="Normal 4 3 2 3" xfId="17344" xr:uid="{00000000-0005-0000-0000-000076400000}"/>
    <cellStyle name="Normal 4 3 2 4" xfId="17345" xr:uid="{00000000-0005-0000-0000-000077400000}"/>
    <cellStyle name="Normal 4 3 2 5" xfId="17346" xr:uid="{00000000-0005-0000-0000-000078400000}"/>
    <cellStyle name="Normal 4 3 2 6" xfId="17347" xr:uid="{00000000-0005-0000-0000-000079400000}"/>
    <cellStyle name="Normal 4 3 2 7" xfId="17348" xr:uid="{00000000-0005-0000-0000-00007A400000}"/>
    <cellStyle name="Normal 4 3 2 8" xfId="17349" xr:uid="{00000000-0005-0000-0000-00007B400000}"/>
    <cellStyle name="Normal 4 3 2 9" xfId="17350" xr:uid="{00000000-0005-0000-0000-00007C400000}"/>
    <cellStyle name="Normal 4 3 20" xfId="17351" xr:uid="{00000000-0005-0000-0000-00007D400000}"/>
    <cellStyle name="Normal 4 3 21" xfId="17352" xr:uid="{00000000-0005-0000-0000-00007E400000}"/>
    <cellStyle name="Normal 4 3 22" xfId="17353" xr:uid="{00000000-0005-0000-0000-00007F400000}"/>
    <cellStyle name="Normal 4 3 23" xfId="17311" xr:uid="{00000000-0005-0000-0000-000055400000}"/>
    <cellStyle name="Normal 4 3 3" xfId="17354" xr:uid="{00000000-0005-0000-0000-000080400000}"/>
    <cellStyle name="Normal 4 3 3 10" xfId="17355" xr:uid="{00000000-0005-0000-0000-000081400000}"/>
    <cellStyle name="Normal 4 3 3 11" xfId="17356" xr:uid="{00000000-0005-0000-0000-000082400000}"/>
    <cellStyle name="Normal 4 3 3 12" xfId="17357" xr:uid="{00000000-0005-0000-0000-000083400000}"/>
    <cellStyle name="Normal 4 3 3 13" xfId="17358" xr:uid="{00000000-0005-0000-0000-000084400000}"/>
    <cellStyle name="Normal 4 3 3 14" xfId="17359" xr:uid="{00000000-0005-0000-0000-000085400000}"/>
    <cellStyle name="Normal 4 3 3 15" xfId="17360" xr:uid="{00000000-0005-0000-0000-000086400000}"/>
    <cellStyle name="Normal 4 3 3 2" xfId="17361" xr:uid="{00000000-0005-0000-0000-000087400000}"/>
    <cellStyle name="Normal 4 3 3 3" xfId="17362" xr:uid="{00000000-0005-0000-0000-000088400000}"/>
    <cellStyle name="Normal 4 3 3 4" xfId="17363" xr:uid="{00000000-0005-0000-0000-000089400000}"/>
    <cellStyle name="Normal 4 3 3 5" xfId="17364" xr:uid="{00000000-0005-0000-0000-00008A400000}"/>
    <cellStyle name="Normal 4 3 3 6" xfId="17365" xr:uid="{00000000-0005-0000-0000-00008B400000}"/>
    <cellStyle name="Normal 4 3 3 7" xfId="17366" xr:uid="{00000000-0005-0000-0000-00008C400000}"/>
    <cellStyle name="Normal 4 3 3 8" xfId="17367" xr:uid="{00000000-0005-0000-0000-00008D400000}"/>
    <cellStyle name="Normal 4 3 3 9" xfId="17368" xr:uid="{00000000-0005-0000-0000-00008E400000}"/>
    <cellStyle name="Normal 4 3 4" xfId="17369" xr:uid="{00000000-0005-0000-0000-00008F400000}"/>
    <cellStyle name="Normal 4 3 4 10" xfId="17370" xr:uid="{00000000-0005-0000-0000-000090400000}"/>
    <cellStyle name="Normal 4 3 4 11" xfId="17371" xr:uid="{00000000-0005-0000-0000-000091400000}"/>
    <cellStyle name="Normal 4 3 4 12" xfId="17372" xr:uid="{00000000-0005-0000-0000-000092400000}"/>
    <cellStyle name="Normal 4 3 4 13" xfId="17373" xr:uid="{00000000-0005-0000-0000-000093400000}"/>
    <cellStyle name="Normal 4 3 4 14" xfId="17374" xr:uid="{00000000-0005-0000-0000-000094400000}"/>
    <cellStyle name="Normal 4 3 4 15" xfId="17375" xr:uid="{00000000-0005-0000-0000-000095400000}"/>
    <cellStyle name="Normal 4 3 4 2" xfId="17376" xr:uid="{00000000-0005-0000-0000-000096400000}"/>
    <cellStyle name="Normal 4 3 4 3" xfId="17377" xr:uid="{00000000-0005-0000-0000-000097400000}"/>
    <cellStyle name="Normal 4 3 4 4" xfId="17378" xr:uid="{00000000-0005-0000-0000-000098400000}"/>
    <cellStyle name="Normal 4 3 4 5" xfId="17379" xr:uid="{00000000-0005-0000-0000-000099400000}"/>
    <cellStyle name="Normal 4 3 4 6" xfId="17380" xr:uid="{00000000-0005-0000-0000-00009A400000}"/>
    <cellStyle name="Normal 4 3 4 7" xfId="17381" xr:uid="{00000000-0005-0000-0000-00009B400000}"/>
    <cellStyle name="Normal 4 3 4 8" xfId="17382" xr:uid="{00000000-0005-0000-0000-00009C400000}"/>
    <cellStyle name="Normal 4 3 4 9" xfId="17383" xr:uid="{00000000-0005-0000-0000-00009D400000}"/>
    <cellStyle name="Normal 4 3 5" xfId="17384" xr:uid="{00000000-0005-0000-0000-00009E400000}"/>
    <cellStyle name="Normal 4 3 5 10" xfId="17385" xr:uid="{00000000-0005-0000-0000-00009F400000}"/>
    <cellStyle name="Normal 4 3 5 11" xfId="17386" xr:uid="{00000000-0005-0000-0000-0000A0400000}"/>
    <cellStyle name="Normal 4 3 5 12" xfId="17387" xr:uid="{00000000-0005-0000-0000-0000A1400000}"/>
    <cellStyle name="Normal 4 3 5 13" xfId="17388" xr:uid="{00000000-0005-0000-0000-0000A2400000}"/>
    <cellStyle name="Normal 4 3 5 14" xfId="17389" xr:uid="{00000000-0005-0000-0000-0000A3400000}"/>
    <cellStyle name="Normal 4 3 5 15" xfId="17390" xr:uid="{00000000-0005-0000-0000-0000A4400000}"/>
    <cellStyle name="Normal 4 3 5 2" xfId="17391" xr:uid="{00000000-0005-0000-0000-0000A5400000}"/>
    <cellStyle name="Normal 4 3 5 3" xfId="17392" xr:uid="{00000000-0005-0000-0000-0000A6400000}"/>
    <cellStyle name="Normal 4 3 5 4" xfId="17393" xr:uid="{00000000-0005-0000-0000-0000A7400000}"/>
    <cellStyle name="Normal 4 3 5 5" xfId="17394" xr:uid="{00000000-0005-0000-0000-0000A8400000}"/>
    <cellStyle name="Normal 4 3 5 6" xfId="17395" xr:uid="{00000000-0005-0000-0000-0000A9400000}"/>
    <cellStyle name="Normal 4 3 5 7" xfId="17396" xr:uid="{00000000-0005-0000-0000-0000AA400000}"/>
    <cellStyle name="Normal 4 3 5 8" xfId="17397" xr:uid="{00000000-0005-0000-0000-0000AB400000}"/>
    <cellStyle name="Normal 4 3 5 9" xfId="17398" xr:uid="{00000000-0005-0000-0000-0000AC400000}"/>
    <cellStyle name="Normal 4 3 6" xfId="17399" xr:uid="{00000000-0005-0000-0000-0000AD400000}"/>
    <cellStyle name="Normal 4 3 6 10" xfId="17400" xr:uid="{00000000-0005-0000-0000-0000AE400000}"/>
    <cellStyle name="Normal 4 3 6 11" xfId="17401" xr:uid="{00000000-0005-0000-0000-0000AF400000}"/>
    <cellStyle name="Normal 4 3 6 12" xfId="17402" xr:uid="{00000000-0005-0000-0000-0000B0400000}"/>
    <cellStyle name="Normal 4 3 6 13" xfId="17403" xr:uid="{00000000-0005-0000-0000-0000B1400000}"/>
    <cellStyle name="Normal 4 3 6 14" xfId="17404" xr:uid="{00000000-0005-0000-0000-0000B2400000}"/>
    <cellStyle name="Normal 4 3 6 15" xfId="17405" xr:uid="{00000000-0005-0000-0000-0000B3400000}"/>
    <cellStyle name="Normal 4 3 6 2" xfId="17406" xr:uid="{00000000-0005-0000-0000-0000B4400000}"/>
    <cellStyle name="Normal 4 3 6 3" xfId="17407" xr:uid="{00000000-0005-0000-0000-0000B5400000}"/>
    <cellStyle name="Normal 4 3 6 4" xfId="17408" xr:uid="{00000000-0005-0000-0000-0000B6400000}"/>
    <cellStyle name="Normal 4 3 6 5" xfId="17409" xr:uid="{00000000-0005-0000-0000-0000B7400000}"/>
    <cellStyle name="Normal 4 3 6 6" xfId="17410" xr:uid="{00000000-0005-0000-0000-0000B8400000}"/>
    <cellStyle name="Normal 4 3 6 7" xfId="17411" xr:uid="{00000000-0005-0000-0000-0000B9400000}"/>
    <cellStyle name="Normal 4 3 6 8" xfId="17412" xr:uid="{00000000-0005-0000-0000-0000BA400000}"/>
    <cellStyle name="Normal 4 3 6 9" xfId="17413" xr:uid="{00000000-0005-0000-0000-0000BB400000}"/>
    <cellStyle name="Normal 4 3 7" xfId="17414" xr:uid="{00000000-0005-0000-0000-0000BC400000}"/>
    <cellStyle name="Normal 4 3 7 10" xfId="17415" xr:uid="{00000000-0005-0000-0000-0000BD400000}"/>
    <cellStyle name="Normal 4 3 7 11" xfId="17416" xr:uid="{00000000-0005-0000-0000-0000BE400000}"/>
    <cellStyle name="Normal 4 3 7 12" xfId="17417" xr:uid="{00000000-0005-0000-0000-0000BF400000}"/>
    <cellStyle name="Normal 4 3 7 13" xfId="17418" xr:uid="{00000000-0005-0000-0000-0000C0400000}"/>
    <cellStyle name="Normal 4 3 7 14" xfId="17419" xr:uid="{00000000-0005-0000-0000-0000C1400000}"/>
    <cellStyle name="Normal 4 3 7 15" xfId="17420" xr:uid="{00000000-0005-0000-0000-0000C2400000}"/>
    <cellStyle name="Normal 4 3 7 2" xfId="17421" xr:uid="{00000000-0005-0000-0000-0000C3400000}"/>
    <cellStyle name="Normal 4 3 7 3" xfId="17422" xr:uid="{00000000-0005-0000-0000-0000C4400000}"/>
    <cellStyle name="Normal 4 3 7 4" xfId="17423" xr:uid="{00000000-0005-0000-0000-0000C5400000}"/>
    <cellStyle name="Normal 4 3 7 5" xfId="17424" xr:uid="{00000000-0005-0000-0000-0000C6400000}"/>
    <cellStyle name="Normal 4 3 7 6" xfId="17425" xr:uid="{00000000-0005-0000-0000-0000C7400000}"/>
    <cellStyle name="Normal 4 3 7 7" xfId="17426" xr:uid="{00000000-0005-0000-0000-0000C8400000}"/>
    <cellStyle name="Normal 4 3 7 8" xfId="17427" xr:uid="{00000000-0005-0000-0000-0000C9400000}"/>
    <cellStyle name="Normal 4 3 7 9" xfId="17428" xr:uid="{00000000-0005-0000-0000-0000CA400000}"/>
    <cellStyle name="Normal 4 3 8" xfId="17429" xr:uid="{00000000-0005-0000-0000-0000CB400000}"/>
    <cellStyle name="Normal 4 3 9" xfId="17430" xr:uid="{00000000-0005-0000-0000-0000CC400000}"/>
    <cellStyle name="Normal 4 4" xfId="17431" xr:uid="{00000000-0005-0000-0000-0000CD400000}"/>
    <cellStyle name="Normal 4 4 10" xfId="17432" xr:uid="{00000000-0005-0000-0000-0000CE400000}"/>
    <cellStyle name="Normal 4 4 11" xfId="17433" xr:uid="{00000000-0005-0000-0000-0000CF400000}"/>
    <cellStyle name="Normal 4 4 12" xfId="17434" xr:uid="{00000000-0005-0000-0000-0000D0400000}"/>
    <cellStyle name="Normal 4 4 13" xfId="17435" xr:uid="{00000000-0005-0000-0000-0000D1400000}"/>
    <cellStyle name="Normal 4 4 14" xfId="17436" xr:uid="{00000000-0005-0000-0000-0000D2400000}"/>
    <cellStyle name="Normal 4 4 15" xfId="17437" xr:uid="{00000000-0005-0000-0000-0000D3400000}"/>
    <cellStyle name="Normal 4 4 16" xfId="17438" xr:uid="{00000000-0005-0000-0000-0000D4400000}"/>
    <cellStyle name="Normal 4 4 17" xfId="17439" xr:uid="{00000000-0005-0000-0000-0000D5400000}"/>
    <cellStyle name="Normal 4 4 18" xfId="17440" xr:uid="{00000000-0005-0000-0000-0000D6400000}"/>
    <cellStyle name="Normal 4 4 19" xfId="17441" xr:uid="{00000000-0005-0000-0000-0000D7400000}"/>
    <cellStyle name="Normal 4 4 2" xfId="17442" xr:uid="{00000000-0005-0000-0000-0000D8400000}"/>
    <cellStyle name="Normal 4 4 2 10" xfId="17443" xr:uid="{00000000-0005-0000-0000-0000D9400000}"/>
    <cellStyle name="Normal 4 4 2 11" xfId="17444" xr:uid="{00000000-0005-0000-0000-0000DA400000}"/>
    <cellStyle name="Normal 4 4 2 12" xfId="17445" xr:uid="{00000000-0005-0000-0000-0000DB400000}"/>
    <cellStyle name="Normal 4 4 2 13" xfId="17446" xr:uid="{00000000-0005-0000-0000-0000DC400000}"/>
    <cellStyle name="Normal 4 4 2 14" xfId="17447" xr:uid="{00000000-0005-0000-0000-0000DD400000}"/>
    <cellStyle name="Normal 4 4 2 15" xfId="17448" xr:uid="{00000000-0005-0000-0000-0000DE400000}"/>
    <cellStyle name="Normal 4 4 2 16" xfId="17449" xr:uid="{00000000-0005-0000-0000-0000DF400000}"/>
    <cellStyle name="Normal 4 4 2 2" xfId="17450" xr:uid="{00000000-0005-0000-0000-0000E0400000}"/>
    <cellStyle name="Normal 4 4 2 3" xfId="17451" xr:uid="{00000000-0005-0000-0000-0000E1400000}"/>
    <cellStyle name="Normal 4 4 2 4" xfId="17452" xr:uid="{00000000-0005-0000-0000-0000E2400000}"/>
    <cellStyle name="Normal 4 4 2 5" xfId="17453" xr:uid="{00000000-0005-0000-0000-0000E3400000}"/>
    <cellStyle name="Normal 4 4 2 6" xfId="17454" xr:uid="{00000000-0005-0000-0000-0000E4400000}"/>
    <cellStyle name="Normal 4 4 2 7" xfId="17455" xr:uid="{00000000-0005-0000-0000-0000E5400000}"/>
    <cellStyle name="Normal 4 4 2 8" xfId="17456" xr:uid="{00000000-0005-0000-0000-0000E6400000}"/>
    <cellStyle name="Normal 4 4 2 9" xfId="17457" xr:uid="{00000000-0005-0000-0000-0000E7400000}"/>
    <cellStyle name="Normal 4 4 3" xfId="17458" xr:uid="{00000000-0005-0000-0000-0000E8400000}"/>
    <cellStyle name="Normal 4 4 3 10" xfId="17459" xr:uid="{00000000-0005-0000-0000-0000E9400000}"/>
    <cellStyle name="Normal 4 4 3 11" xfId="17460" xr:uid="{00000000-0005-0000-0000-0000EA400000}"/>
    <cellStyle name="Normal 4 4 3 12" xfId="17461" xr:uid="{00000000-0005-0000-0000-0000EB400000}"/>
    <cellStyle name="Normal 4 4 3 13" xfId="17462" xr:uid="{00000000-0005-0000-0000-0000EC400000}"/>
    <cellStyle name="Normal 4 4 3 14" xfId="17463" xr:uid="{00000000-0005-0000-0000-0000ED400000}"/>
    <cellStyle name="Normal 4 4 3 15" xfId="17464" xr:uid="{00000000-0005-0000-0000-0000EE400000}"/>
    <cellStyle name="Normal 4 4 3 16" xfId="17465" xr:uid="{00000000-0005-0000-0000-0000EF400000}"/>
    <cellStyle name="Normal 4 4 3 2" xfId="17466" xr:uid="{00000000-0005-0000-0000-0000F0400000}"/>
    <cellStyle name="Normal 4 4 3 3" xfId="17467" xr:uid="{00000000-0005-0000-0000-0000F1400000}"/>
    <cellStyle name="Normal 4 4 3 4" xfId="17468" xr:uid="{00000000-0005-0000-0000-0000F2400000}"/>
    <cellStyle name="Normal 4 4 3 5" xfId="17469" xr:uid="{00000000-0005-0000-0000-0000F3400000}"/>
    <cellStyle name="Normal 4 4 3 6" xfId="17470" xr:uid="{00000000-0005-0000-0000-0000F4400000}"/>
    <cellStyle name="Normal 4 4 3 7" xfId="17471" xr:uid="{00000000-0005-0000-0000-0000F5400000}"/>
    <cellStyle name="Normal 4 4 3 8" xfId="17472" xr:uid="{00000000-0005-0000-0000-0000F6400000}"/>
    <cellStyle name="Normal 4 4 3 9" xfId="17473" xr:uid="{00000000-0005-0000-0000-0000F7400000}"/>
    <cellStyle name="Normal 4 4 4" xfId="17474" xr:uid="{00000000-0005-0000-0000-0000F8400000}"/>
    <cellStyle name="Normal 4 4 4 10" xfId="17475" xr:uid="{00000000-0005-0000-0000-0000F9400000}"/>
    <cellStyle name="Normal 4 4 4 11" xfId="17476" xr:uid="{00000000-0005-0000-0000-0000FA400000}"/>
    <cellStyle name="Normal 4 4 4 12" xfId="17477" xr:uid="{00000000-0005-0000-0000-0000FB400000}"/>
    <cellStyle name="Normal 4 4 4 13" xfId="17478" xr:uid="{00000000-0005-0000-0000-0000FC400000}"/>
    <cellStyle name="Normal 4 4 4 14" xfId="17479" xr:uid="{00000000-0005-0000-0000-0000FD400000}"/>
    <cellStyle name="Normal 4 4 4 15" xfId="17480" xr:uid="{00000000-0005-0000-0000-0000FE400000}"/>
    <cellStyle name="Normal 4 4 4 16" xfId="17481" xr:uid="{00000000-0005-0000-0000-0000FF400000}"/>
    <cellStyle name="Normal 4 4 4 2" xfId="17482" xr:uid="{00000000-0005-0000-0000-000000410000}"/>
    <cellStyle name="Normal 4 4 4 3" xfId="17483" xr:uid="{00000000-0005-0000-0000-000001410000}"/>
    <cellStyle name="Normal 4 4 4 4" xfId="17484" xr:uid="{00000000-0005-0000-0000-000002410000}"/>
    <cellStyle name="Normal 4 4 4 5" xfId="17485" xr:uid="{00000000-0005-0000-0000-000003410000}"/>
    <cellStyle name="Normal 4 4 4 6" xfId="17486" xr:uid="{00000000-0005-0000-0000-000004410000}"/>
    <cellStyle name="Normal 4 4 4 7" xfId="17487" xr:uid="{00000000-0005-0000-0000-000005410000}"/>
    <cellStyle name="Normal 4 4 4 8" xfId="17488" xr:uid="{00000000-0005-0000-0000-000006410000}"/>
    <cellStyle name="Normal 4 4 4 9" xfId="17489" xr:uid="{00000000-0005-0000-0000-000007410000}"/>
    <cellStyle name="Normal 4 4 5" xfId="17490" xr:uid="{00000000-0005-0000-0000-000008410000}"/>
    <cellStyle name="Normal 4 4 6" xfId="17491" xr:uid="{00000000-0005-0000-0000-000009410000}"/>
    <cellStyle name="Normal 4 4 7" xfId="17492" xr:uid="{00000000-0005-0000-0000-00000A410000}"/>
    <cellStyle name="Normal 4 4 8" xfId="17493" xr:uid="{00000000-0005-0000-0000-00000B410000}"/>
    <cellStyle name="Normal 4 4 9" xfId="17494" xr:uid="{00000000-0005-0000-0000-00000C410000}"/>
    <cellStyle name="Normal 4 5" xfId="17495" xr:uid="{00000000-0005-0000-0000-00000D410000}"/>
    <cellStyle name="Normal 4 5 2" xfId="17496" xr:uid="{00000000-0005-0000-0000-00000E410000}"/>
    <cellStyle name="Normal 4 5 3" xfId="17497" xr:uid="{00000000-0005-0000-0000-00000F410000}"/>
    <cellStyle name="Normal 4 6" xfId="17498" xr:uid="{00000000-0005-0000-0000-000010410000}"/>
    <cellStyle name="Normal 4 7" xfId="17499" xr:uid="{00000000-0005-0000-0000-000011410000}"/>
    <cellStyle name="Normal 4 8" xfId="17500" xr:uid="{00000000-0005-0000-0000-000012410000}"/>
    <cellStyle name="Normal 4 9" xfId="17501" xr:uid="{00000000-0005-0000-0000-000013410000}"/>
    <cellStyle name="Normal 4_Water Proofing" xfId="17502" xr:uid="{00000000-0005-0000-0000-000014410000}"/>
    <cellStyle name="Normal 40" xfId="17503" xr:uid="{00000000-0005-0000-0000-000015410000}"/>
    <cellStyle name="Normal 41" xfId="17504" xr:uid="{00000000-0005-0000-0000-000016410000}"/>
    <cellStyle name="Normal 42" xfId="17505" xr:uid="{00000000-0005-0000-0000-000017410000}"/>
    <cellStyle name="Normal 43" xfId="37236" xr:uid="{00000000-0005-0000-0000-000018410000}"/>
    <cellStyle name="Normal 44" xfId="89" xr:uid="{16DBFEC8-E512-4FE9-A9E3-3D93811F2B27}"/>
    <cellStyle name="Normal 45" xfId="952" xr:uid="{00000000-0005-0000-0000-00004A030000}"/>
    <cellStyle name="Normal 45 2" xfId="71" xr:uid="{D755FC36-6174-4947-A550-EB99EC9CADDF}"/>
    <cellStyle name="Normal 46" xfId="950" xr:uid="{00000000-0005-0000-0000-00004B030000}"/>
    <cellStyle name="Normal 46 2" xfId="985" xr:uid="{00000000-0005-0000-0000-00001B410000}"/>
    <cellStyle name="Normal 47" xfId="37247" xr:uid="{00000000-0005-0000-0000-00001C410000}"/>
    <cellStyle name="Normal 48" xfId="37249" xr:uid="{00000000-0005-0000-0000-00001D410000}"/>
    <cellStyle name="Normal 5" xfId="62" xr:uid="{67A88031-5033-4086-8B54-2C1B6ABEFE06}"/>
    <cellStyle name="Normal 5 10" xfId="17506" xr:uid="{00000000-0005-0000-0000-00001F410000}"/>
    <cellStyle name="Normal 5 11" xfId="17507" xr:uid="{00000000-0005-0000-0000-000020410000}"/>
    <cellStyle name="Normal 5 12" xfId="17508" xr:uid="{00000000-0005-0000-0000-000021410000}"/>
    <cellStyle name="Normal 5 13" xfId="17509" xr:uid="{00000000-0005-0000-0000-000022410000}"/>
    <cellStyle name="Normal 5 14" xfId="17510" xr:uid="{00000000-0005-0000-0000-000023410000}"/>
    <cellStyle name="Normal 5 15" xfId="17511" xr:uid="{00000000-0005-0000-0000-000024410000}"/>
    <cellStyle name="Normal 5 16" xfId="17512" xr:uid="{00000000-0005-0000-0000-000025410000}"/>
    <cellStyle name="Normal 5 17" xfId="17513" xr:uid="{00000000-0005-0000-0000-000026410000}"/>
    <cellStyle name="Normal 5 18" xfId="17514" xr:uid="{00000000-0005-0000-0000-000027410000}"/>
    <cellStyle name="Normal 5 19" xfId="17515" xr:uid="{00000000-0005-0000-0000-000028410000}"/>
    <cellStyle name="Normal 5 2" xfId="18" xr:uid="{00000000-0005-0000-0000-000031000000}"/>
    <cellStyle name="Normal 5 2 10" xfId="17516" xr:uid="{00000000-0005-0000-0000-00002A410000}"/>
    <cellStyle name="Normal 5 2 10 10" xfId="17517" xr:uid="{00000000-0005-0000-0000-00002B410000}"/>
    <cellStyle name="Normal 5 2 10 11" xfId="17518" xr:uid="{00000000-0005-0000-0000-00002C410000}"/>
    <cellStyle name="Normal 5 2 10 12" xfId="17519" xr:uid="{00000000-0005-0000-0000-00002D410000}"/>
    <cellStyle name="Normal 5 2 10 13" xfId="17520" xr:uid="{00000000-0005-0000-0000-00002E410000}"/>
    <cellStyle name="Normal 5 2 10 14" xfId="17521" xr:uid="{00000000-0005-0000-0000-00002F410000}"/>
    <cellStyle name="Normal 5 2 10 15" xfId="17522" xr:uid="{00000000-0005-0000-0000-000030410000}"/>
    <cellStyle name="Normal 5 2 10 2" xfId="17523" xr:uid="{00000000-0005-0000-0000-000031410000}"/>
    <cellStyle name="Normal 5 2 10 3" xfId="17524" xr:uid="{00000000-0005-0000-0000-000032410000}"/>
    <cellStyle name="Normal 5 2 10 4" xfId="17525" xr:uid="{00000000-0005-0000-0000-000033410000}"/>
    <cellStyle name="Normal 5 2 10 5" xfId="17526" xr:uid="{00000000-0005-0000-0000-000034410000}"/>
    <cellStyle name="Normal 5 2 10 6" xfId="17527" xr:uid="{00000000-0005-0000-0000-000035410000}"/>
    <cellStyle name="Normal 5 2 10 7" xfId="17528" xr:uid="{00000000-0005-0000-0000-000036410000}"/>
    <cellStyle name="Normal 5 2 10 8" xfId="17529" xr:uid="{00000000-0005-0000-0000-000037410000}"/>
    <cellStyle name="Normal 5 2 10 9" xfId="17530" xr:uid="{00000000-0005-0000-0000-000038410000}"/>
    <cellStyle name="Normal 5 2 11" xfId="17531" xr:uid="{00000000-0005-0000-0000-000039410000}"/>
    <cellStyle name="Normal 5 2 11 10" xfId="17532" xr:uid="{00000000-0005-0000-0000-00003A410000}"/>
    <cellStyle name="Normal 5 2 11 11" xfId="17533" xr:uid="{00000000-0005-0000-0000-00003B410000}"/>
    <cellStyle name="Normal 5 2 11 12" xfId="17534" xr:uid="{00000000-0005-0000-0000-00003C410000}"/>
    <cellStyle name="Normal 5 2 11 13" xfId="17535" xr:uid="{00000000-0005-0000-0000-00003D410000}"/>
    <cellStyle name="Normal 5 2 11 14" xfId="17536" xr:uid="{00000000-0005-0000-0000-00003E410000}"/>
    <cellStyle name="Normal 5 2 11 15" xfId="17537" xr:uid="{00000000-0005-0000-0000-00003F410000}"/>
    <cellStyle name="Normal 5 2 11 2" xfId="17538" xr:uid="{00000000-0005-0000-0000-000040410000}"/>
    <cellStyle name="Normal 5 2 11 3" xfId="17539" xr:uid="{00000000-0005-0000-0000-000041410000}"/>
    <cellStyle name="Normal 5 2 11 4" xfId="17540" xr:uid="{00000000-0005-0000-0000-000042410000}"/>
    <cellStyle name="Normal 5 2 11 5" xfId="17541" xr:uid="{00000000-0005-0000-0000-000043410000}"/>
    <cellStyle name="Normal 5 2 11 6" xfId="17542" xr:uid="{00000000-0005-0000-0000-000044410000}"/>
    <cellStyle name="Normal 5 2 11 7" xfId="17543" xr:uid="{00000000-0005-0000-0000-000045410000}"/>
    <cellStyle name="Normal 5 2 11 8" xfId="17544" xr:uid="{00000000-0005-0000-0000-000046410000}"/>
    <cellStyle name="Normal 5 2 11 9" xfId="17545" xr:uid="{00000000-0005-0000-0000-000047410000}"/>
    <cellStyle name="Normal 5 2 12" xfId="17546" xr:uid="{00000000-0005-0000-0000-000048410000}"/>
    <cellStyle name="Normal 5 2 12 10" xfId="17547" xr:uid="{00000000-0005-0000-0000-000049410000}"/>
    <cellStyle name="Normal 5 2 12 11" xfId="17548" xr:uid="{00000000-0005-0000-0000-00004A410000}"/>
    <cellStyle name="Normal 5 2 12 12" xfId="17549" xr:uid="{00000000-0005-0000-0000-00004B410000}"/>
    <cellStyle name="Normal 5 2 12 13" xfId="17550" xr:uid="{00000000-0005-0000-0000-00004C410000}"/>
    <cellStyle name="Normal 5 2 12 14" xfId="17551" xr:uid="{00000000-0005-0000-0000-00004D410000}"/>
    <cellStyle name="Normal 5 2 12 15" xfId="17552" xr:uid="{00000000-0005-0000-0000-00004E410000}"/>
    <cellStyle name="Normal 5 2 12 2" xfId="17553" xr:uid="{00000000-0005-0000-0000-00004F410000}"/>
    <cellStyle name="Normal 5 2 12 3" xfId="17554" xr:uid="{00000000-0005-0000-0000-000050410000}"/>
    <cellStyle name="Normal 5 2 12 4" xfId="17555" xr:uid="{00000000-0005-0000-0000-000051410000}"/>
    <cellStyle name="Normal 5 2 12 5" xfId="17556" xr:uid="{00000000-0005-0000-0000-000052410000}"/>
    <cellStyle name="Normal 5 2 12 6" xfId="17557" xr:uid="{00000000-0005-0000-0000-000053410000}"/>
    <cellStyle name="Normal 5 2 12 7" xfId="17558" xr:uid="{00000000-0005-0000-0000-000054410000}"/>
    <cellStyle name="Normal 5 2 12 8" xfId="17559" xr:uid="{00000000-0005-0000-0000-000055410000}"/>
    <cellStyle name="Normal 5 2 12 9" xfId="17560" xr:uid="{00000000-0005-0000-0000-000056410000}"/>
    <cellStyle name="Normal 5 2 13" xfId="17561" xr:uid="{00000000-0005-0000-0000-000057410000}"/>
    <cellStyle name="Normal 5 2 14" xfId="17562" xr:uid="{00000000-0005-0000-0000-000058410000}"/>
    <cellStyle name="Normal 5 2 15" xfId="17563" xr:uid="{00000000-0005-0000-0000-000059410000}"/>
    <cellStyle name="Normal 5 2 16" xfId="17564" xr:uid="{00000000-0005-0000-0000-00005A410000}"/>
    <cellStyle name="Normal 5 2 17" xfId="17565" xr:uid="{00000000-0005-0000-0000-00005B410000}"/>
    <cellStyle name="Normal 5 2 18" xfId="17566" xr:uid="{00000000-0005-0000-0000-00005C410000}"/>
    <cellStyle name="Normal 5 2 19" xfId="17567" xr:uid="{00000000-0005-0000-0000-00005D410000}"/>
    <cellStyle name="Normal 5 2 2" xfId="106" xr:uid="{00000000-0005-0000-0000-000008000000}"/>
    <cellStyle name="Normal 5 2 2 10" xfId="17569" xr:uid="{00000000-0005-0000-0000-00005F410000}"/>
    <cellStyle name="Normal 5 2 2 11" xfId="17570" xr:uid="{00000000-0005-0000-0000-000060410000}"/>
    <cellStyle name="Normal 5 2 2 12" xfId="17571" xr:uid="{00000000-0005-0000-0000-000061410000}"/>
    <cellStyle name="Normal 5 2 2 13" xfId="17572" xr:uid="{00000000-0005-0000-0000-000062410000}"/>
    <cellStyle name="Normal 5 2 2 14" xfId="17573" xr:uid="{00000000-0005-0000-0000-000063410000}"/>
    <cellStyle name="Normal 5 2 2 15" xfId="17574" xr:uid="{00000000-0005-0000-0000-000064410000}"/>
    <cellStyle name="Normal 5 2 2 16" xfId="17575" xr:uid="{00000000-0005-0000-0000-000065410000}"/>
    <cellStyle name="Normal 5 2 2 17" xfId="17576" xr:uid="{00000000-0005-0000-0000-000066410000}"/>
    <cellStyle name="Normal 5 2 2 18" xfId="17577" xr:uid="{00000000-0005-0000-0000-000067410000}"/>
    <cellStyle name="Normal 5 2 2 19" xfId="17578" xr:uid="{00000000-0005-0000-0000-000068410000}"/>
    <cellStyle name="Normal 5 2 2 2" xfId="873" xr:uid="{00000000-0005-0000-0000-00004F030000}"/>
    <cellStyle name="Normal 5 2 2 2 10" xfId="17580" xr:uid="{00000000-0005-0000-0000-00006A410000}"/>
    <cellStyle name="Normal 5 2 2 2 11" xfId="17581" xr:uid="{00000000-0005-0000-0000-00006B410000}"/>
    <cellStyle name="Normal 5 2 2 2 12" xfId="17582" xr:uid="{00000000-0005-0000-0000-00006C410000}"/>
    <cellStyle name="Normal 5 2 2 2 13" xfId="17583" xr:uid="{00000000-0005-0000-0000-00006D410000}"/>
    <cellStyle name="Normal 5 2 2 2 14" xfId="17584" xr:uid="{00000000-0005-0000-0000-00006E410000}"/>
    <cellStyle name="Normal 5 2 2 2 15" xfId="17585" xr:uid="{00000000-0005-0000-0000-00006F410000}"/>
    <cellStyle name="Normal 5 2 2 2 16" xfId="17579" xr:uid="{00000000-0005-0000-0000-000069410000}"/>
    <cellStyle name="Normal 5 2 2 2 2" xfId="17586" xr:uid="{00000000-0005-0000-0000-000070410000}"/>
    <cellStyle name="Normal 5 2 2 2 3" xfId="17587" xr:uid="{00000000-0005-0000-0000-000071410000}"/>
    <cellStyle name="Normal 5 2 2 2 4" xfId="17588" xr:uid="{00000000-0005-0000-0000-000072410000}"/>
    <cellStyle name="Normal 5 2 2 2 5" xfId="17589" xr:uid="{00000000-0005-0000-0000-000073410000}"/>
    <cellStyle name="Normal 5 2 2 2 6" xfId="17590" xr:uid="{00000000-0005-0000-0000-000074410000}"/>
    <cellStyle name="Normal 5 2 2 2 7" xfId="17591" xr:uid="{00000000-0005-0000-0000-000075410000}"/>
    <cellStyle name="Normal 5 2 2 2 8" xfId="17592" xr:uid="{00000000-0005-0000-0000-000076410000}"/>
    <cellStyle name="Normal 5 2 2 2 9" xfId="17593" xr:uid="{00000000-0005-0000-0000-000077410000}"/>
    <cellStyle name="Normal 5 2 2 20" xfId="17568" xr:uid="{00000000-0005-0000-0000-00005E410000}"/>
    <cellStyle name="Normal 5 2 2 3" xfId="884" xr:uid="{00000000-0005-0000-0000-000050030000}"/>
    <cellStyle name="Normal 5 2 2 3 10" xfId="17595" xr:uid="{00000000-0005-0000-0000-000079410000}"/>
    <cellStyle name="Normal 5 2 2 3 11" xfId="17596" xr:uid="{00000000-0005-0000-0000-00007A410000}"/>
    <cellStyle name="Normal 5 2 2 3 12" xfId="17597" xr:uid="{00000000-0005-0000-0000-00007B410000}"/>
    <cellStyle name="Normal 5 2 2 3 13" xfId="17598" xr:uid="{00000000-0005-0000-0000-00007C410000}"/>
    <cellStyle name="Normal 5 2 2 3 14" xfId="17599" xr:uid="{00000000-0005-0000-0000-00007D410000}"/>
    <cellStyle name="Normal 5 2 2 3 15" xfId="17600" xr:uid="{00000000-0005-0000-0000-00007E410000}"/>
    <cellStyle name="Normal 5 2 2 3 16" xfId="17594" xr:uid="{00000000-0005-0000-0000-000078410000}"/>
    <cellStyle name="Normal 5 2 2 3 2" xfId="17601" xr:uid="{00000000-0005-0000-0000-00007F410000}"/>
    <cellStyle name="Normal 5 2 2 3 3" xfId="17602" xr:uid="{00000000-0005-0000-0000-000080410000}"/>
    <cellStyle name="Normal 5 2 2 3 4" xfId="17603" xr:uid="{00000000-0005-0000-0000-000081410000}"/>
    <cellStyle name="Normal 5 2 2 3 5" xfId="17604" xr:uid="{00000000-0005-0000-0000-000082410000}"/>
    <cellStyle name="Normal 5 2 2 3 6" xfId="17605" xr:uid="{00000000-0005-0000-0000-000083410000}"/>
    <cellStyle name="Normal 5 2 2 3 7" xfId="17606" xr:uid="{00000000-0005-0000-0000-000084410000}"/>
    <cellStyle name="Normal 5 2 2 3 8" xfId="17607" xr:uid="{00000000-0005-0000-0000-000085410000}"/>
    <cellStyle name="Normal 5 2 2 3 9" xfId="17608" xr:uid="{00000000-0005-0000-0000-000086410000}"/>
    <cellStyle name="Normal 5 2 2 4" xfId="888" xr:uid="{00000000-0005-0000-0000-000051030000}"/>
    <cellStyle name="Normal 5 2 2 4 10" xfId="17610" xr:uid="{00000000-0005-0000-0000-000088410000}"/>
    <cellStyle name="Normal 5 2 2 4 11" xfId="17611" xr:uid="{00000000-0005-0000-0000-000089410000}"/>
    <cellStyle name="Normal 5 2 2 4 12" xfId="17612" xr:uid="{00000000-0005-0000-0000-00008A410000}"/>
    <cellStyle name="Normal 5 2 2 4 13" xfId="17613" xr:uid="{00000000-0005-0000-0000-00008B410000}"/>
    <cellStyle name="Normal 5 2 2 4 14" xfId="17614" xr:uid="{00000000-0005-0000-0000-00008C410000}"/>
    <cellStyle name="Normal 5 2 2 4 15" xfId="17615" xr:uid="{00000000-0005-0000-0000-00008D410000}"/>
    <cellStyle name="Normal 5 2 2 4 16" xfId="17609" xr:uid="{00000000-0005-0000-0000-000087410000}"/>
    <cellStyle name="Normal 5 2 2 4 2" xfId="17616" xr:uid="{00000000-0005-0000-0000-00008E410000}"/>
    <cellStyle name="Normal 5 2 2 4 3" xfId="17617" xr:uid="{00000000-0005-0000-0000-00008F410000}"/>
    <cellStyle name="Normal 5 2 2 4 4" xfId="17618" xr:uid="{00000000-0005-0000-0000-000090410000}"/>
    <cellStyle name="Normal 5 2 2 4 5" xfId="17619" xr:uid="{00000000-0005-0000-0000-000091410000}"/>
    <cellStyle name="Normal 5 2 2 4 6" xfId="17620" xr:uid="{00000000-0005-0000-0000-000092410000}"/>
    <cellStyle name="Normal 5 2 2 4 7" xfId="17621" xr:uid="{00000000-0005-0000-0000-000093410000}"/>
    <cellStyle name="Normal 5 2 2 4 8" xfId="17622" xr:uid="{00000000-0005-0000-0000-000094410000}"/>
    <cellStyle name="Normal 5 2 2 4 9" xfId="17623" xr:uid="{00000000-0005-0000-0000-000095410000}"/>
    <cellStyle name="Normal 5 2 2 5" xfId="892" xr:uid="{00000000-0005-0000-0000-000052030000}"/>
    <cellStyle name="Normal 5 2 2 5 2" xfId="17624" xr:uid="{00000000-0005-0000-0000-000096410000}"/>
    <cellStyle name="Normal 5 2 2 6" xfId="896" xr:uid="{00000000-0005-0000-0000-000053030000}"/>
    <cellStyle name="Normal 5 2 2 6 2" xfId="17625" xr:uid="{00000000-0005-0000-0000-000097410000}"/>
    <cellStyle name="Normal 5 2 2 7" xfId="872" xr:uid="{00000000-0005-0000-0000-00004E030000}"/>
    <cellStyle name="Normal 5 2 2 7 2" xfId="17626" xr:uid="{00000000-0005-0000-0000-000098410000}"/>
    <cellStyle name="Normal 5 2 2 8" xfId="17627" xr:uid="{00000000-0005-0000-0000-000099410000}"/>
    <cellStyle name="Normal 5 2 2 9" xfId="17628" xr:uid="{00000000-0005-0000-0000-00009A410000}"/>
    <cellStyle name="Normal 5 2 20" xfId="17629" xr:uid="{00000000-0005-0000-0000-00009B410000}"/>
    <cellStyle name="Normal 5 2 21" xfId="17630" xr:uid="{00000000-0005-0000-0000-00009C410000}"/>
    <cellStyle name="Normal 5 2 22" xfId="17631" xr:uid="{00000000-0005-0000-0000-00009D410000}"/>
    <cellStyle name="Normal 5 2 23" xfId="17632" xr:uid="{00000000-0005-0000-0000-00009E410000}"/>
    <cellStyle name="Normal 5 2 24" xfId="17633" xr:uid="{00000000-0005-0000-0000-00009F410000}"/>
    <cellStyle name="Normal 5 2 25" xfId="17634" xr:uid="{00000000-0005-0000-0000-0000A0410000}"/>
    <cellStyle name="Normal 5 2 26" xfId="17635" xr:uid="{00000000-0005-0000-0000-0000A1410000}"/>
    <cellStyle name="Normal 5 2 3" xfId="883" xr:uid="{00000000-0005-0000-0000-000054030000}"/>
    <cellStyle name="Normal 5 2 3 10" xfId="17637" xr:uid="{00000000-0005-0000-0000-0000A3410000}"/>
    <cellStyle name="Normal 5 2 3 11" xfId="17638" xr:uid="{00000000-0005-0000-0000-0000A4410000}"/>
    <cellStyle name="Normal 5 2 3 12" xfId="17639" xr:uid="{00000000-0005-0000-0000-0000A5410000}"/>
    <cellStyle name="Normal 5 2 3 13" xfId="17640" xr:uid="{00000000-0005-0000-0000-0000A6410000}"/>
    <cellStyle name="Normal 5 2 3 14" xfId="17641" xr:uid="{00000000-0005-0000-0000-0000A7410000}"/>
    <cellStyle name="Normal 5 2 3 15" xfId="17642" xr:uid="{00000000-0005-0000-0000-0000A8410000}"/>
    <cellStyle name="Normal 5 2 3 16" xfId="17636" xr:uid="{00000000-0005-0000-0000-0000A2410000}"/>
    <cellStyle name="Normal 5 2 3 2" xfId="17643" xr:uid="{00000000-0005-0000-0000-0000A9410000}"/>
    <cellStyle name="Normal 5 2 3 3" xfId="17644" xr:uid="{00000000-0005-0000-0000-0000AA410000}"/>
    <cellStyle name="Normal 5 2 3 4" xfId="17645" xr:uid="{00000000-0005-0000-0000-0000AB410000}"/>
    <cellStyle name="Normal 5 2 3 5" xfId="17646" xr:uid="{00000000-0005-0000-0000-0000AC410000}"/>
    <cellStyle name="Normal 5 2 3 6" xfId="17647" xr:uid="{00000000-0005-0000-0000-0000AD410000}"/>
    <cellStyle name="Normal 5 2 3 7" xfId="17648" xr:uid="{00000000-0005-0000-0000-0000AE410000}"/>
    <cellStyle name="Normal 5 2 3 8" xfId="17649" xr:uid="{00000000-0005-0000-0000-0000AF410000}"/>
    <cellStyle name="Normal 5 2 3 9" xfId="17650" xr:uid="{00000000-0005-0000-0000-0000B0410000}"/>
    <cellStyle name="Normal 5 2 4" xfId="887" xr:uid="{00000000-0005-0000-0000-000055030000}"/>
    <cellStyle name="Normal 5 2 4 10" xfId="17652" xr:uid="{00000000-0005-0000-0000-0000B2410000}"/>
    <cellStyle name="Normal 5 2 4 11" xfId="17653" xr:uid="{00000000-0005-0000-0000-0000B3410000}"/>
    <cellStyle name="Normal 5 2 4 12" xfId="17654" xr:uid="{00000000-0005-0000-0000-0000B4410000}"/>
    <cellStyle name="Normal 5 2 4 13" xfId="17655" xr:uid="{00000000-0005-0000-0000-0000B5410000}"/>
    <cellStyle name="Normal 5 2 4 14" xfId="17656" xr:uid="{00000000-0005-0000-0000-0000B6410000}"/>
    <cellStyle name="Normal 5 2 4 15" xfId="17657" xr:uid="{00000000-0005-0000-0000-0000B7410000}"/>
    <cellStyle name="Normal 5 2 4 16" xfId="17651" xr:uid="{00000000-0005-0000-0000-0000B1410000}"/>
    <cellStyle name="Normal 5 2 4 2" xfId="17658" xr:uid="{00000000-0005-0000-0000-0000B8410000}"/>
    <cellStyle name="Normal 5 2 4 3" xfId="17659" xr:uid="{00000000-0005-0000-0000-0000B9410000}"/>
    <cellStyle name="Normal 5 2 4 4" xfId="17660" xr:uid="{00000000-0005-0000-0000-0000BA410000}"/>
    <cellStyle name="Normal 5 2 4 5" xfId="17661" xr:uid="{00000000-0005-0000-0000-0000BB410000}"/>
    <cellStyle name="Normal 5 2 4 6" xfId="17662" xr:uid="{00000000-0005-0000-0000-0000BC410000}"/>
    <cellStyle name="Normal 5 2 4 7" xfId="17663" xr:uid="{00000000-0005-0000-0000-0000BD410000}"/>
    <cellStyle name="Normal 5 2 4 8" xfId="17664" xr:uid="{00000000-0005-0000-0000-0000BE410000}"/>
    <cellStyle name="Normal 5 2 4 9" xfId="17665" xr:uid="{00000000-0005-0000-0000-0000BF410000}"/>
    <cellStyle name="Normal 5 2 5" xfId="891" xr:uid="{00000000-0005-0000-0000-000056030000}"/>
    <cellStyle name="Normal 5 2 5 10" xfId="17667" xr:uid="{00000000-0005-0000-0000-0000C1410000}"/>
    <cellStyle name="Normal 5 2 5 11" xfId="17668" xr:uid="{00000000-0005-0000-0000-0000C2410000}"/>
    <cellStyle name="Normal 5 2 5 12" xfId="17669" xr:uid="{00000000-0005-0000-0000-0000C3410000}"/>
    <cellStyle name="Normal 5 2 5 13" xfId="17670" xr:uid="{00000000-0005-0000-0000-0000C4410000}"/>
    <cellStyle name="Normal 5 2 5 14" xfId="17671" xr:uid="{00000000-0005-0000-0000-0000C5410000}"/>
    <cellStyle name="Normal 5 2 5 15" xfId="17672" xr:uid="{00000000-0005-0000-0000-0000C6410000}"/>
    <cellStyle name="Normal 5 2 5 16" xfId="17666" xr:uid="{00000000-0005-0000-0000-0000C0410000}"/>
    <cellStyle name="Normal 5 2 5 2" xfId="17673" xr:uid="{00000000-0005-0000-0000-0000C7410000}"/>
    <cellStyle name="Normal 5 2 5 3" xfId="17674" xr:uid="{00000000-0005-0000-0000-0000C8410000}"/>
    <cellStyle name="Normal 5 2 5 4" xfId="17675" xr:uid="{00000000-0005-0000-0000-0000C9410000}"/>
    <cellStyle name="Normal 5 2 5 5" xfId="17676" xr:uid="{00000000-0005-0000-0000-0000CA410000}"/>
    <cellStyle name="Normal 5 2 5 6" xfId="17677" xr:uid="{00000000-0005-0000-0000-0000CB410000}"/>
    <cellStyle name="Normal 5 2 5 7" xfId="17678" xr:uid="{00000000-0005-0000-0000-0000CC410000}"/>
    <cellStyle name="Normal 5 2 5 8" xfId="17679" xr:uid="{00000000-0005-0000-0000-0000CD410000}"/>
    <cellStyle name="Normal 5 2 5 9" xfId="17680" xr:uid="{00000000-0005-0000-0000-0000CE410000}"/>
    <cellStyle name="Normal 5 2 6" xfId="895" xr:uid="{00000000-0005-0000-0000-000057030000}"/>
    <cellStyle name="Normal 5 2 6 10" xfId="17682" xr:uid="{00000000-0005-0000-0000-0000D0410000}"/>
    <cellStyle name="Normal 5 2 6 11" xfId="17683" xr:uid="{00000000-0005-0000-0000-0000D1410000}"/>
    <cellStyle name="Normal 5 2 6 12" xfId="17684" xr:uid="{00000000-0005-0000-0000-0000D2410000}"/>
    <cellStyle name="Normal 5 2 6 13" xfId="17685" xr:uid="{00000000-0005-0000-0000-0000D3410000}"/>
    <cellStyle name="Normal 5 2 6 14" xfId="17686" xr:uid="{00000000-0005-0000-0000-0000D4410000}"/>
    <cellStyle name="Normal 5 2 6 15" xfId="17687" xr:uid="{00000000-0005-0000-0000-0000D5410000}"/>
    <cellStyle name="Normal 5 2 6 16" xfId="17681" xr:uid="{00000000-0005-0000-0000-0000CF410000}"/>
    <cellStyle name="Normal 5 2 6 2" xfId="17688" xr:uid="{00000000-0005-0000-0000-0000D6410000}"/>
    <cellStyle name="Normal 5 2 6 3" xfId="17689" xr:uid="{00000000-0005-0000-0000-0000D7410000}"/>
    <cellStyle name="Normal 5 2 6 4" xfId="17690" xr:uid="{00000000-0005-0000-0000-0000D8410000}"/>
    <cellStyle name="Normal 5 2 6 5" xfId="17691" xr:uid="{00000000-0005-0000-0000-0000D9410000}"/>
    <cellStyle name="Normal 5 2 6 6" xfId="17692" xr:uid="{00000000-0005-0000-0000-0000DA410000}"/>
    <cellStyle name="Normal 5 2 6 7" xfId="17693" xr:uid="{00000000-0005-0000-0000-0000DB410000}"/>
    <cellStyle name="Normal 5 2 6 8" xfId="17694" xr:uid="{00000000-0005-0000-0000-0000DC410000}"/>
    <cellStyle name="Normal 5 2 6 9" xfId="17695" xr:uid="{00000000-0005-0000-0000-0000DD410000}"/>
    <cellStyle name="Normal 5 2 7" xfId="17696" xr:uid="{00000000-0005-0000-0000-0000DE410000}"/>
    <cellStyle name="Normal 5 2 7 10" xfId="17697" xr:uid="{00000000-0005-0000-0000-0000DF410000}"/>
    <cellStyle name="Normal 5 2 7 11" xfId="17698" xr:uid="{00000000-0005-0000-0000-0000E0410000}"/>
    <cellStyle name="Normal 5 2 7 12" xfId="17699" xr:uid="{00000000-0005-0000-0000-0000E1410000}"/>
    <cellStyle name="Normal 5 2 7 13" xfId="17700" xr:uid="{00000000-0005-0000-0000-0000E2410000}"/>
    <cellStyle name="Normal 5 2 7 14" xfId="17701" xr:uid="{00000000-0005-0000-0000-0000E3410000}"/>
    <cellStyle name="Normal 5 2 7 15" xfId="17702" xr:uid="{00000000-0005-0000-0000-0000E4410000}"/>
    <cellStyle name="Normal 5 2 7 2" xfId="17703" xr:uid="{00000000-0005-0000-0000-0000E5410000}"/>
    <cellStyle name="Normal 5 2 7 3" xfId="17704" xr:uid="{00000000-0005-0000-0000-0000E6410000}"/>
    <cellStyle name="Normal 5 2 7 4" xfId="17705" xr:uid="{00000000-0005-0000-0000-0000E7410000}"/>
    <cellStyle name="Normal 5 2 7 5" xfId="17706" xr:uid="{00000000-0005-0000-0000-0000E8410000}"/>
    <cellStyle name="Normal 5 2 7 6" xfId="17707" xr:uid="{00000000-0005-0000-0000-0000E9410000}"/>
    <cellStyle name="Normal 5 2 7 7" xfId="17708" xr:uid="{00000000-0005-0000-0000-0000EA410000}"/>
    <cellStyle name="Normal 5 2 7 8" xfId="17709" xr:uid="{00000000-0005-0000-0000-0000EB410000}"/>
    <cellStyle name="Normal 5 2 7 9" xfId="17710" xr:uid="{00000000-0005-0000-0000-0000EC410000}"/>
    <cellStyle name="Normal 5 2 8" xfId="17711" xr:uid="{00000000-0005-0000-0000-0000ED410000}"/>
    <cellStyle name="Normal 5 2 8 10" xfId="17712" xr:uid="{00000000-0005-0000-0000-0000EE410000}"/>
    <cellStyle name="Normal 5 2 8 11" xfId="17713" xr:uid="{00000000-0005-0000-0000-0000EF410000}"/>
    <cellStyle name="Normal 5 2 8 12" xfId="17714" xr:uid="{00000000-0005-0000-0000-0000F0410000}"/>
    <cellStyle name="Normal 5 2 8 13" xfId="17715" xr:uid="{00000000-0005-0000-0000-0000F1410000}"/>
    <cellStyle name="Normal 5 2 8 14" xfId="17716" xr:uid="{00000000-0005-0000-0000-0000F2410000}"/>
    <cellStyle name="Normal 5 2 8 15" xfId="17717" xr:uid="{00000000-0005-0000-0000-0000F3410000}"/>
    <cellStyle name="Normal 5 2 8 2" xfId="17718" xr:uid="{00000000-0005-0000-0000-0000F4410000}"/>
    <cellStyle name="Normal 5 2 8 3" xfId="17719" xr:uid="{00000000-0005-0000-0000-0000F5410000}"/>
    <cellStyle name="Normal 5 2 8 4" xfId="17720" xr:uid="{00000000-0005-0000-0000-0000F6410000}"/>
    <cellStyle name="Normal 5 2 8 5" xfId="17721" xr:uid="{00000000-0005-0000-0000-0000F7410000}"/>
    <cellStyle name="Normal 5 2 8 6" xfId="17722" xr:uid="{00000000-0005-0000-0000-0000F8410000}"/>
    <cellStyle name="Normal 5 2 8 7" xfId="17723" xr:uid="{00000000-0005-0000-0000-0000F9410000}"/>
    <cellStyle name="Normal 5 2 8 8" xfId="17724" xr:uid="{00000000-0005-0000-0000-0000FA410000}"/>
    <cellStyle name="Normal 5 2 8 9" xfId="17725" xr:uid="{00000000-0005-0000-0000-0000FB410000}"/>
    <cellStyle name="Normal 5 2 9" xfId="17726" xr:uid="{00000000-0005-0000-0000-0000FC410000}"/>
    <cellStyle name="Normal 5 2 9 10" xfId="17727" xr:uid="{00000000-0005-0000-0000-0000FD410000}"/>
    <cellStyle name="Normal 5 2 9 11" xfId="17728" xr:uid="{00000000-0005-0000-0000-0000FE410000}"/>
    <cellStyle name="Normal 5 2 9 12" xfId="17729" xr:uid="{00000000-0005-0000-0000-0000FF410000}"/>
    <cellStyle name="Normal 5 2 9 13" xfId="17730" xr:uid="{00000000-0005-0000-0000-000000420000}"/>
    <cellStyle name="Normal 5 2 9 14" xfId="17731" xr:uid="{00000000-0005-0000-0000-000001420000}"/>
    <cellStyle name="Normal 5 2 9 15" xfId="17732" xr:uid="{00000000-0005-0000-0000-000002420000}"/>
    <cellStyle name="Normal 5 2 9 2" xfId="17733" xr:uid="{00000000-0005-0000-0000-000003420000}"/>
    <cellStyle name="Normal 5 2 9 3" xfId="17734" xr:uid="{00000000-0005-0000-0000-000004420000}"/>
    <cellStyle name="Normal 5 2 9 4" xfId="17735" xr:uid="{00000000-0005-0000-0000-000005420000}"/>
    <cellStyle name="Normal 5 2 9 5" xfId="17736" xr:uid="{00000000-0005-0000-0000-000006420000}"/>
    <cellStyle name="Normal 5 2 9 6" xfId="17737" xr:uid="{00000000-0005-0000-0000-000007420000}"/>
    <cellStyle name="Normal 5 2 9 7" xfId="17738" xr:uid="{00000000-0005-0000-0000-000008420000}"/>
    <cellStyle name="Normal 5 2 9 8" xfId="17739" xr:uid="{00000000-0005-0000-0000-000009420000}"/>
    <cellStyle name="Normal 5 2 9 9" xfId="17740" xr:uid="{00000000-0005-0000-0000-00000A420000}"/>
    <cellStyle name="Normal 5 20" xfId="17741" xr:uid="{00000000-0005-0000-0000-00000B420000}"/>
    <cellStyle name="Normal 5 21" xfId="17742" xr:uid="{00000000-0005-0000-0000-00000C420000}"/>
    <cellStyle name="Normal 5 3" xfId="198" xr:uid="{00000000-0005-0000-0000-000058030000}"/>
    <cellStyle name="Normal 5 3 10" xfId="17744" xr:uid="{00000000-0005-0000-0000-00000E420000}"/>
    <cellStyle name="Normal 5 3 11" xfId="17745" xr:uid="{00000000-0005-0000-0000-00000F420000}"/>
    <cellStyle name="Normal 5 3 12" xfId="17746" xr:uid="{00000000-0005-0000-0000-000010420000}"/>
    <cellStyle name="Normal 5 3 13" xfId="17747" xr:uid="{00000000-0005-0000-0000-000011420000}"/>
    <cellStyle name="Normal 5 3 14" xfId="17748" xr:uid="{00000000-0005-0000-0000-000012420000}"/>
    <cellStyle name="Normal 5 3 15" xfId="17749" xr:uid="{00000000-0005-0000-0000-000013420000}"/>
    <cellStyle name="Normal 5 3 16" xfId="17750" xr:uid="{00000000-0005-0000-0000-000014420000}"/>
    <cellStyle name="Normal 5 3 17" xfId="17751" xr:uid="{00000000-0005-0000-0000-000015420000}"/>
    <cellStyle name="Normal 5 3 18" xfId="17752" xr:uid="{00000000-0005-0000-0000-000016420000}"/>
    <cellStyle name="Normal 5 3 19" xfId="17753" xr:uid="{00000000-0005-0000-0000-000017420000}"/>
    <cellStyle name="Normal 5 3 2" xfId="17754" xr:uid="{00000000-0005-0000-0000-000018420000}"/>
    <cellStyle name="Normal 5 3 2 10" xfId="17755" xr:uid="{00000000-0005-0000-0000-000019420000}"/>
    <cellStyle name="Normal 5 3 2 11" xfId="17756" xr:uid="{00000000-0005-0000-0000-00001A420000}"/>
    <cellStyle name="Normal 5 3 2 12" xfId="17757" xr:uid="{00000000-0005-0000-0000-00001B420000}"/>
    <cellStyle name="Normal 5 3 2 13" xfId="17758" xr:uid="{00000000-0005-0000-0000-00001C420000}"/>
    <cellStyle name="Normal 5 3 2 14" xfId="17759" xr:uid="{00000000-0005-0000-0000-00001D420000}"/>
    <cellStyle name="Normal 5 3 2 15" xfId="17760" xr:uid="{00000000-0005-0000-0000-00001E420000}"/>
    <cellStyle name="Normal 5 3 2 2" xfId="17761" xr:uid="{00000000-0005-0000-0000-00001F420000}"/>
    <cellStyle name="Normal 5 3 2 2 10" xfId="17762" xr:uid="{00000000-0005-0000-0000-000020420000}"/>
    <cellStyle name="Normal 5 3 2 2 11" xfId="17763" xr:uid="{00000000-0005-0000-0000-000021420000}"/>
    <cellStyle name="Normal 5 3 2 2 12" xfId="17764" xr:uid="{00000000-0005-0000-0000-000022420000}"/>
    <cellStyle name="Normal 5 3 2 2 13" xfId="17765" xr:uid="{00000000-0005-0000-0000-000023420000}"/>
    <cellStyle name="Normal 5 3 2 2 14" xfId="17766" xr:uid="{00000000-0005-0000-0000-000024420000}"/>
    <cellStyle name="Normal 5 3 2 2 2" xfId="17767" xr:uid="{00000000-0005-0000-0000-000025420000}"/>
    <cellStyle name="Normal 5 3 2 2 3" xfId="17768" xr:uid="{00000000-0005-0000-0000-000026420000}"/>
    <cellStyle name="Normal 5 3 2 2 4" xfId="17769" xr:uid="{00000000-0005-0000-0000-000027420000}"/>
    <cellStyle name="Normal 5 3 2 2 5" xfId="17770" xr:uid="{00000000-0005-0000-0000-000028420000}"/>
    <cellStyle name="Normal 5 3 2 2 6" xfId="17771" xr:uid="{00000000-0005-0000-0000-000029420000}"/>
    <cellStyle name="Normal 5 3 2 2 7" xfId="17772" xr:uid="{00000000-0005-0000-0000-00002A420000}"/>
    <cellStyle name="Normal 5 3 2 2 8" xfId="17773" xr:uid="{00000000-0005-0000-0000-00002B420000}"/>
    <cellStyle name="Normal 5 3 2 2 9" xfId="17774" xr:uid="{00000000-0005-0000-0000-00002C420000}"/>
    <cellStyle name="Normal 5 3 2 3" xfId="17775" xr:uid="{00000000-0005-0000-0000-00002D420000}"/>
    <cellStyle name="Normal 5 3 2 4" xfId="17776" xr:uid="{00000000-0005-0000-0000-00002E420000}"/>
    <cellStyle name="Normal 5 3 2 5" xfId="17777" xr:uid="{00000000-0005-0000-0000-00002F420000}"/>
    <cellStyle name="Normal 5 3 2 6" xfId="17778" xr:uid="{00000000-0005-0000-0000-000030420000}"/>
    <cellStyle name="Normal 5 3 2 7" xfId="17779" xr:uid="{00000000-0005-0000-0000-000031420000}"/>
    <cellStyle name="Normal 5 3 2 8" xfId="17780" xr:uid="{00000000-0005-0000-0000-000032420000}"/>
    <cellStyle name="Normal 5 3 2 9" xfId="17781" xr:uid="{00000000-0005-0000-0000-000033420000}"/>
    <cellStyle name="Normal 5 3 20" xfId="17782" xr:uid="{00000000-0005-0000-0000-000034420000}"/>
    <cellStyle name="Normal 5 3 21" xfId="17783" xr:uid="{00000000-0005-0000-0000-000035420000}"/>
    <cellStyle name="Normal 5 3 22" xfId="17784" xr:uid="{00000000-0005-0000-0000-000036420000}"/>
    <cellStyle name="Normal 5 3 23" xfId="17743" xr:uid="{00000000-0005-0000-0000-00000D420000}"/>
    <cellStyle name="Normal 5 3 3" xfId="17785" xr:uid="{00000000-0005-0000-0000-000037420000}"/>
    <cellStyle name="Normal 5 3 3 10" xfId="17786" xr:uid="{00000000-0005-0000-0000-000038420000}"/>
    <cellStyle name="Normal 5 3 3 11" xfId="17787" xr:uid="{00000000-0005-0000-0000-000039420000}"/>
    <cellStyle name="Normal 5 3 3 12" xfId="17788" xr:uid="{00000000-0005-0000-0000-00003A420000}"/>
    <cellStyle name="Normal 5 3 3 13" xfId="17789" xr:uid="{00000000-0005-0000-0000-00003B420000}"/>
    <cellStyle name="Normal 5 3 3 14" xfId="17790" xr:uid="{00000000-0005-0000-0000-00003C420000}"/>
    <cellStyle name="Normal 5 3 3 15" xfId="17791" xr:uid="{00000000-0005-0000-0000-00003D420000}"/>
    <cellStyle name="Normal 5 3 3 2" xfId="17792" xr:uid="{00000000-0005-0000-0000-00003E420000}"/>
    <cellStyle name="Normal 5 3 3 3" xfId="17793" xr:uid="{00000000-0005-0000-0000-00003F420000}"/>
    <cellStyle name="Normal 5 3 3 4" xfId="17794" xr:uid="{00000000-0005-0000-0000-000040420000}"/>
    <cellStyle name="Normal 5 3 3 5" xfId="17795" xr:uid="{00000000-0005-0000-0000-000041420000}"/>
    <cellStyle name="Normal 5 3 3 6" xfId="17796" xr:uid="{00000000-0005-0000-0000-000042420000}"/>
    <cellStyle name="Normal 5 3 3 7" xfId="17797" xr:uid="{00000000-0005-0000-0000-000043420000}"/>
    <cellStyle name="Normal 5 3 3 8" xfId="17798" xr:uid="{00000000-0005-0000-0000-000044420000}"/>
    <cellStyle name="Normal 5 3 3 9" xfId="17799" xr:uid="{00000000-0005-0000-0000-000045420000}"/>
    <cellStyle name="Normal 5 3 4" xfId="17800" xr:uid="{00000000-0005-0000-0000-000046420000}"/>
    <cellStyle name="Normal 5 3 4 10" xfId="17801" xr:uid="{00000000-0005-0000-0000-000047420000}"/>
    <cellStyle name="Normal 5 3 4 11" xfId="17802" xr:uid="{00000000-0005-0000-0000-000048420000}"/>
    <cellStyle name="Normal 5 3 4 12" xfId="17803" xr:uid="{00000000-0005-0000-0000-000049420000}"/>
    <cellStyle name="Normal 5 3 4 13" xfId="17804" xr:uid="{00000000-0005-0000-0000-00004A420000}"/>
    <cellStyle name="Normal 5 3 4 14" xfId="17805" xr:uid="{00000000-0005-0000-0000-00004B420000}"/>
    <cellStyle name="Normal 5 3 4 15" xfId="17806" xr:uid="{00000000-0005-0000-0000-00004C420000}"/>
    <cellStyle name="Normal 5 3 4 2" xfId="17807" xr:uid="{00000000-0005-0000-0000-00004D420000}"/>
    <cellStyle name="Normal 5 3 4 3" xfId="17808" xr:uid="{00000000-0005-0000-0000-00004E420000}"/>
    <cellStyle name="Normal 5 3 4 4" xfId="17809" xr:uid="{00000000-0005-0000-0000-00004F420000}"/>
    <cellStyle name="Normal 5 3 4 5" xfId="17810" xr:uid="{00000000-0005-0000-0000-000050420000}"/>
    <cellStyle name="Normal 5 3 4 6" xfId="17811" xr:uid="{00000000-0005-0000-0000-000051420000}"/>
    <cellStyle name="Normal 5 3 4 7" xfId="17812" xr:uid="{00000000-0005-0000-0000-000052420000}"/>
    <cellStyle name="Normal 5 3 4 8" xfId="17813" xr:uid="{00000000-0005-0000-0000-000053420000}"/>
    <cellStyle name="Normal 5 3 4 9" xfId="17814" xr:uid="{00000000-0005-0000-0000-000054420000}"/>
    <cellStyle name="Normal 5 3 5" xfId="17815" xr:uid="{00000000-0005-0000-0000-000055420000}"/>
    <cellStyle name="Normal 5 3 5 10" xfId="17816" xr:uid="{00000000-0005-0000-0000-000056420000}"/>
    <cellStyle name="Normal 5 3 5 11" xfId="17817" xr:uid="{00000000-0005-0000-0000-000057420000}"/>
    <cellStyle name="Normal 5 3 5 12" xfId="17818" xr:uid="{00000000-0005-0000-0000-000058420000}"/>
    <cellStyle name="Normal 5 3 5 13" xfId="17819" xr:uid="{00000000-0005-0000-0000-000059420000}"/>
    <cellStyle name="Normal 5 3 5 14" xfId="17820" xr:uid="{00000000-0005-0000-0000-00005A420000}"/>
    <cellStyle name="Normal 5 3 5 15" xfId="17821" xr:uid="{00000000-0005-0000-0000-00005B420000}"/>
    <cellStyle name="Normal 5 3 5 2" xfId="17822" xr:uid="{00000000-0005-0000-0000-00005C420000}"/>
    <cellStyle name="Normal 5 3 5 3" xfId="17823" xr:uid="{00000000-0005-0000-0000-00005D420000}"/>
    <cellStyle name="Normal 5 3 5 4" xfId="17824" xr:uid="{00000000-0005-0000-0000-00005E420000}"/>
    <cellStyle name="Normal 5 3 5 5" xfId="17825" xr:uid="{00000000-0005-0000-0000-00005F420000}"/>
    <cellStyle name="Normal 5 3 5 6" xfId="17826" xr:uid="{00000000-0005-0000-0000-000060420000}"/>
    <cellStyle name="Normal 5 3 5 7" xfId="17827" xr:uid="{00000000-0005-0000-0000-000061420000}"/>
    <cellStyle name="Normal 5 3 5 8" xfId="17828" xr:uid="{00000000-0005-0000-0000-000062420000}"/>
    <cellStyle name="Normal 5 3 5 9" xfId="17829" xr:uid="{00000000-0005-0000-0000-000063420000}"/>
    <cellStyle name="Normal 5 3 6" xfId="17830" xr:uid="{00000000-0005-0000-0000-000064420000}"/>
    <cellStyle name="Normal 5 3 6 10" xfId="17831" xr:uid="{00000000-0005-0000-0000-000065420000}"/>
    <cellStyle name="Normal 5 3 6 11" xfId="17832" xr:uid="{00000000-0005-0000-0000-000066420000}"/>
    <cellStyle name="Normal 5 3 6 12" xfId="17833" xr:uid="{00000000-0005-0000-0000-000067420000}"/>
    <cellStyle name="Normal 5 3 6 13" xfId="17834" xr:uid="{00000000-0005-0000-0000-000068420000}"/>
    <cellStyle name="Normal 5 3 6 14" xfId="17835" xr:uid="{00000000-0005-0000-0000-000069420000}"/>
    <cellStyle name="Normal 5 3 6 15" xfId="17836" xr:uid="{00000000-0005-0000-0000-00006A420000}"/>
    <cellStyle name="Normal 5 3 6 2" xfId="17837" xr:uid="{00000000-0005-0000-0000-00006B420000}"/>
    <cellStyle name="Normal 5 3 6 3" xfId="17838" xr:uid="{00000000-0005-0000-0000-00006C420000}"/>
    <cellStyle name="Normal 5 3 6 4" xfId="17839" xr:uid="{00000000-0005-0000-0000-00006D420000}"/>
    <cellStyle name="Normal 5 3 6 5" xfId="17840" xr:uid="{00000000-0005-0000-0000-00006E420000}"/>
    <cellStyle name="Normal 5 3 6 6" xfId="17841" xr:uid="{00000000-0005-0000-0000-00006F420000}"/>
    <cellStyle name="Normal 5 3 6 7" xfId="17842" xr:uid="{00000000-0005-0000-0000-000070420000}"/>
    <cellStyle name="Normal 5 3 6 8" xfId="17843" xr:uid="{00000000-0005-0000-0000-000071420000}"/>
    <cellStyle name="Normal 5 3 6 9" xfId="17844" xr:uid="{00000000-0005-0000-0000-000072420000}"/>
    <cellStyle name="Normal 5 3 7" xfId="17845" xr:uid="{00000000-0005-0000-0000-000073420000}"/>
    <cellStyle name="Normal 5 3 7 10" xfId="17846" xr:uid="{00000000-0005-0000-0000-000074420000}"/>
    <cellStyle name="Normal 5 3 7 11" xfId="17847" xr:uid="{00000000-0005-0000-0000-000075420000}"/>
    <cellStyle name="Normal 5 3 7 12" xfId="17848" xr:uid="{00000000-0005-0000-0000-000076420000}"/>
    <cellStyle name="Normal 5 3 7 13" xfId="17849" xr:uid="{00000000-0005-0000-0000-000077420000}"/>
    <cellStyle name="Normal 5 3 7 14" xfId="17850" xr:uid="{00000000-0005-0000-0000-000078420000}"/>
    <cellStyle name="Normal 5 3 7 15" xfId="17851" xr:uid="{00000000-0005-0000-0000-000079420000}"/>
    <cellStyle name="Normal 5 3 7 2" xfId="17852" xr:uid="{00000000-0005-0000-0000-00007A420000}"/>
    <cellStyle name="Normal 5 3 7 3" xfId="17853" xr:uid="{00000000-0005-0000-0000-00007B420000}"/>
    <cellStyle name="Normal 5 3 7 4" xfId="17854" xr:uid="{00000000-0005-0000-0000-00007C420000}"/>
    <cellStyle name="Normal 5 3 7 5" xfId="17855" xr:uid="{00000000-0005-0000-0000-00007D420000}"/>
    <cellStyle name="Normal 5 3 7 6" xfId="17856" xr:uid="{00000000-0005-0000-0000-00007E420000}"/>
    <cellStyle name="Normal 5 3 7 7" xfId="17857" xr:uid="{00000000-0005-0000-0000-00007F420000}"/>
    <cellStyle name="Normal 5 3 7 8" xfId="17858" xr:uid="{00000000-0005-0000-0000-000080420000}"/>
    <cellStyle name="Normal 5 3 7 9" xfId="17859" xr:uid="{00000000-0005-0000-0000-000081420000}"/>
    <cellStyle name="Normal 5 3 8" xfId="17860" xr:uid="{00000000-0005-0000-0000-000082420000}"/>
    <cellStyle name="Normal 5 3 9" xfId="17861" xr:uid="{00000000-0005-0000-0000-000083420000}"/>
    <cellStyle name="Normal 5 4" xfId="160" xr:uid="{00000000-0005-0000-0000-00004C030000}"/>
    <cellStyle name="Normal 5 4 10" xfId="17863" xr:uid="{00000000-0005-0000-0000-000085420000}"/>
    <cellStyle name="Normal 5 4 11" xfId="17864" xr:uid="{00000000-0005-0000-0000-000086420000}"/>
    <cellStyle name="Normal 5 4 12" xfId="17865" xr:uid="{00000000-0005-0000-0000-000087420000}"/>
    <cellStyle name="Normal 5 4 13" xfId="17866" xr:uid="{00000000-0005-0000-0000-000088420000}"/>
    <cellStyle name="Normal 5 4 14" xfId="17867" xr:uid="{00000000-0005-0000-0000-000089420000}"/>
    <cellStyle name="Normal 5 4 15" xfId="17868" xr:uid="{00000000-0005-0000-0000-00008A420000}"/>
    <cellStyle name="Normal 5 4 16" xfId="17869" xr:uid="{00000000-0005-0000-0000-00008B420000}"/>
    <cellStyle name="Normal 5 4 17" xfId="17870" xr:uid="{00000000-0005-0000-0000-00008C420000}"/>
    <cellStyle name="Normal 5 4 18" xfId="17871" xr:uid="{00000000-0005-0000-0000-00008D420000}"/>
    <cellStyle name="Normal 5 4 19" xfId="17862" xr:uid="{00000000-0005-0000-0000-000084420000}"/>
    <cellStyle name="Normal 5 4 2" xfId="17872" xr:uid="{00000000-0005-0000-0000-00008E420000}"/>
    <cellStyle name="Normal 5 4 2 10" xfId="17873" xr:uid="{00000000-0005-0000-0000-00008F420000}"/>
    <cellStyle name="Normal 5 4 2 11" xfId="17874" xr:uid="{00000000-0005-0000-0000-000090420000}"/>
    <cellStyle name="Normal 5 4 2 12" xfId="17875" xr:uid="{00000000-0005-0000-0000-000091420000}"/>
    <cellStyle name="Normal 5 4 2 13" xfId="17876" xr:uid="{00000000-0005-0000-0000-000092420000}"/>
    <cellStyle name="Normal 5 4 2 14" xfId="17877" xr:uid="{00000000-0005-0000-0000-000093420000}"/>
    <cellStyle name="Normal 5 4 2 15" xfId="17878" xr:uid="{00000000-0005-0000-0000-000094420000}"/>
    <cellStyle name="Normal 5 4 2 2" xfId="17879" xr:uid="{00000000-0005-0000-0000-000095420000}"/>
    <cellStyle name="Normal 5 4 2 3" xfId="17880" xr:uid="{00000000-0005-0000-0000-000096420000}"/>
    <cellStyle name="Normal 5 4 2 4" xfId="17881" xr:uid="{00000000-0005-0000-0000-000097420000}"/>
    <cellStyle name="Normal 5 4 2 5" xfId="17882" xr:uid="{00000000-0005-0000-0000-000098420000}"/>
    <cellStyle name="Normal 5 4 2 6" xfId="17883" xr:uid="{00000000-0005-0000-0000-000099420000}"/>
    <cellStyle name="Normal 5 4 2 7" xfId="17884" xr:uid="{00000000-0005-0000-0000-00009A420000}"/>
    <cellStyle name="Normal 5 4 2 8" xfId="17885" xr:uid="{00000000-0005-0000-0000-00009B420000}"/>
    <cellStyle name="Normal 5 4 2 9" xfId="17886" xr:uid="{00000000-0005-0000-0000-00009C420000}"/>
    <cellStyle name="Normal 5 4 3" xfId="17887" xr:uid="{00000000-0005-0000-0000-00009D420000}"/>
    <cellStyle name="Normal 5 4 3 10" xfId="17888" xr:uid="{00000000-0005-0000-0000-00009E420000}"/>
    <cellStyle name="Normal 5 4 3 11" xfId="17889" xr:uid="{00000000-0005-0000-0000-00009F420000}"/>
    <cellStyle name="Normal 5 4 3 12" xfId="17890" xr:uid="{00000000-0005-0000-0000-0000A0420000}"/>
    <cellStyle name="Normal 5 4 3 13" xfId="17891" xr:uid="{00000000-0005-0000-0000-0000A1420000}"/>
    <cellStyle name="Normal 5 4 3 14" xfId="17892" xr:uid="{00000000-0005-0000-0000-0000A2420000}"/>
    <cellStyle name="Normal 5 4 3 15" xfId="17893" xr:uid="{00000000-0005-0000-0000-0000A3420000}"/>
    <cellStyle name="Normal 5 4 3 2" xfId="17894" xr:uid="{00000000-0005-0000-0000-0000A4420000}"/>
    <cellStyle name="Normal 5 4 3 3" xfId="17895" xr:uid="{00000000-0005-0000-0000-0000A5420000}"/>
    <cellStyle name="Normal 5 4 3 4" xfId="17896" xr:uid="{00000000-0005-0000-0000-0000A6420000}"/>
    <cellStyle name="Normal 5 4 3 5" xfId="17897" xr:uid="{00000000-0005-0000-0000-0000A7420000}"/>
    <cellStyle name="Normal 5 4 3 6" xfId="17898" xr:uid="{00000000-0005-0000-0000-0000A8420000}"/>
    <cellStyle name="Normal 5 4 3 7" xfId="17899" xr:uid="{00000000-0005-0000-0000-0000A9420000}"/>
    <cellStyle name="Normal 5 4 3 8" xfId="17900" xr:uid="{00000000-0005-0000-0000-0000AA420000}"/>
    <cellStyle name="Normal 5 4 3 9" xfId="17901" xr:uid="{00000000-0005-0000-0000-0000AB420000}"/>
    <cellStyle name="Normal 5 4 4" xfId="17902" xr:uid="{00000000-0005-0000-0000-0000AC420000}"/>
    <cellStyle name="Normal 5 4 4 10" xfId="17903" xr:uid="{00000000-0005-0000-0000-0000AD420000}"/>
    <cellStyle name="Normal 5 4 4 11" xfId="17904" xr:uid="{00000000-0005-0000-0000-0000AE420000}"/>
    <cellStyle name="Normal 5 4 4 12" xfId="17905" xr:uid="{00000000-0005-0000-0000-0000AF420000}"/>
    <cellStyle name="Normal 5 4 4 13" xfId="17906" xr:uid="{00000000-0005-0000-0000-0000B0420000}"/>
    <cellStyle name="Normal 5 4 4 14" xfId="17907" xr:uid="{00000000-0005-0000-0000-0000B1420000}"/>
    <cellStyle name="Normal 5 4 4 15" xfId="17908" xr:uid="{00000000-0005-0000-0000-0000B2420000}"/>
    <cellStyle name="Normal 5 4 4 2" xfId="17909" xr:uid="{00000000-0005-0000-0000-0000B3420000}"/>
    <cellStyle name="Normal 5 4 4 3" xfId="17910" xr:uid="{00000000-0005-0000-0000-0000B4420000}"/>
    <cellStyle name="Normal 5 4 4 4" xfId="17911" xr:uid="{00000000-0005-0000-0000-0000B5420000}"/>
    <cellStyle name="Normal 5 4 4 5" xfId="17912" xr:uid="{00000000-0005-0000-0000-0000B6420000}"/>
    <cellStyle name="Normal 5 4 4 6" xfId="17913" xr:uid="{00000000-0005-0000-0000-0000B7420000}"/>
    <cellStyle name="Normal 5 4 4 7" xfId="17914" xr:uid="{00000000-0005-0000-0000-0000B8420000}"/>
    <cellStyle name="Normal 5 4 4 8" xfId="17915" xr:uid="{00000000-0005-0000-0000-0000B9420000}"/>
    <cellStyle name="Normal 5 4 4 9" xfId="17916" xr:uid="{00000000-0005-0000-0000-0000BA420000}"/>
    <cellStyle name="Normal 5 4 5" xfId="17917" xr:uid="{00000000-0005-0000-0000-0000BB420000}"/>
    <cellStyle name="Normal 5 4 6" xfId="17918" xr:uid="{00000000-0005-0000-0000-0000BC420000}"/>
    <cellStyle name="Normal 5 4 7" xfId="17919" xr:uid="{00000000-0005-0000-0000-0000BD420000}"/>
    <cellStyle name="Normal 5 4 8" xfId="17920" xr:uid="{00000000-0005-0000-0000-0000BE420000}"/>
    <cellStyle name="Normal 5 4 9" xfId="17921" xr:uid="{00000000-0005-0000-0000-0000BF420000}"/>
    <cellStyle name="Normal 5 5" xfId="959" xr:uid="{00000000-0005-0000-0000-000059030000}"/>
    <cellStyle name="Normal 5 5 2" xfId="17923" xr:uid="{00000000-0005-0000-0000-0000C1420000}"/>
    <cellStyle name="Normal 5 5 3" xfId="17924" xr:uid="{00000000-0005-0000-0000-0000C2420000}"/>
    <cellStyle name="Normal 5 5 4" xfId="17922" xr:uid="{00000000-0005-0000-0000-0000C0420000}"/>
    <cellStyle name="Normal 5 6" xfId="17925" xr:uid="{00000000-0005-0000-0000-0000C3420000}"/>
    <cellStyle name="Normal 5 7" xfId="17926" xr:uid="{00000000-0005-0000-0000-0000C4420000}"/>
    <cellStyle name="Normal 5 8" xfId="17927" xr:uid="{00000000-0005-0000-0000-0000C5420000}"/>
    <cellStyle name="Normal 5 9" xfId="17928" xr:uid="{00000000-0005-0000-0000-0000C6420000}"/>
    <cellStyle name="Normal 51" xfId="170" xr:uid="{00000000-0005-0000-0000-00005A030000}"/>
    <cellStyle name="Normal 51 2" xfId="68" xr:uid="{80F0B11A-2EF7-49F8-9980-3F05F2B893D5}"/>
    <cellStyle name="Normal 56" xfId="814" xr:uid="{00000000-0005-0000-0000-00005B030000}"/>
    <cellStyle name="Normal 57" xfId="37273" xr:uid="{31279638-F667-4AAE-BC53-C3312BD8A228}"/>
    <cellStyle name="Normal 58" xfId="41" xr:uid="{00000000-0005-0000-0000-000032000000}"/>
    <cellStyle name="Normal 6" xfId="32" xr:uid="{00000000-0005-0000-0000-000033000000}"/>
    <cellStyle name="Normal 6 10" xfId="17929" xr:uid="{00000000-0005-0000-0000-0000C9420000}"/>
    <cellStyle name="Normal 6 10 10" xfId="17930" xr:uid="{00000000-0005-0000-0000-0000CA420000}"/>
    <cellStyle name="Normal 6 10 11" xfId="17931" xr:uid="{00000000-0005-0000-0000-0000CB420000}"/>
    <cellStyle name="Normal 6 10 12" xfId="17932" xr:uid="{00000000-0005-0000-0000-0000CC420000}"/>
    <cellStyle name="Normal 6 10 13" xfId="17933" xr:uid="{00000000-0005-0000-0000-0000CD420000}"/>
    <cellStyle name="Normal 6 10 14" xfId="17934" xr:uid="{00000000-0005-0000-0000-0000CE420000}"/>
    <cellStyle name="Normal 6 10 15" xfId="17935" xr:uid="{00000000-0005-0000-0000-0000CF420000}"/>
    <cellStyle name="Normal 6 10 2" xfId="17936" xr:uid="{00000000-0005-0000-0000-0000D0420000}"/>
    <cellStyle name="Normal 6 10 3" xfId="17937" xr:uid="{00000000-0005-0000-0000-0000D1420000}"/>
    <cellStyle name="Normal 6 10 4" xfId="17938" xr:uid="{00000000-0005-0000-0000-0000D2420000}"/>
    <cellStyle name="Normal 6 10 5" xfId="17939" xr:uid="{00000000-0005-0000-0000-0000D3420000}"/>
    <cellStyle name="Normal 6 10 6" xfId="17940" xr:uid="{00000000-0005-0000-0000-0000D4420000}"/>
    <cellStyle name="Normal 6 10 7" xfId="17941" xr:uid="{00000000-0005-0000-0000-0000D5420000}"/>
    <cellStyle name="Normal 6 10 8" xfId="17942" xr:uid="{00000000-0005-0000-0000-0000D6420000}"/>
    <cellStyle name="Normal 6 10 9" xfId="17943" xr:uid="{00000000-0005-0000-0000-0000D7420000}"/>
    <cellStyle name="Normal 6 11" xfId="17944" xr:uid="{00000000-0005-0000-0000-0000D8420000}"/>
    <cellStyle name="Normal 6 11 10" xfId="17945" xr:uid="{00000000-0005-0000-0000-0000D9420000}"/>
    <cellStyle name="Normal 6 11 11" xfId="17946" xr:uid="{00000000-0005-0000-0000-0000DA420000}"/>
    <cellStyle name="Normal 6 11 12" xfId="17947" xr:uid="{00000000-0005-0000-0000-0000DB420000}"/>
    <cellStyle name="Normal 6 11 13" xfId="17948" xr:uid="{00000000-0005-0000-0000-0000DC420000}"/>
    <cellStyle name="Normal 6 11 14" xfId="17949" xr:uid="{00000000-0005-0000-0000-0000DD420000}"/>
    <cellStyle name="Normal 6 11 15" xfId="17950" xr:uid="{00000000-0005-0000-0000-0000DE420000}"/>
    <cellStyle name="Normal 6 11 2" xfId="17951" xr:uid="{00000000-0005-0000-0000-0000DF420000}"/>
    <cellStyle name="Normal 6 11 3" xfId="17952" xr:uid="{00000000-0005-0000-0000-0000E0420000}"/>
    <cellStyle name="Normal 6 11 4" xfId="17953" xr:uid="{00000000-0005-0000-0000-0000E1420000}"/>
    <cellStyle name="Normal 6 11 5" xfId="17954" xr:uid="{00000000-0005-0000-0000-0000E2420000}"/>
    <cellStyle name="Normal 6 11 6" xfId="17955" xr:uid="{00000000-0005-0000-0000-0000E3420000}"/>
    <cellStyle name="Normal 6 11 7" xfId="17956" xr:uid="{00000000-0005-0000-0000-0000E4420000}"/>
    <cellStyle name="Normal 6 11 8" xfId="17957" xr:uid="{00000000-0005-0000-0000-0000E5420000}"/>
    <cellStyle name="Normal 6 11 9" xfId="17958" xr:uid="{00000000-0005-0000-0000-0000E6420000}"/>
    <cellStyle name="Normal 6 12" xfId="17959" xr:uid="{00000000-0005-0000-0000-0000E7420000}"/>
    <cellStyle name="Normal 6 12 10" xfId="17960" xr:uid="{00000000-0005-0000-0000-0000E8420000}"/>
    <cellStyle name="Normal 6 12 11" xfId="17961" xr:uid="{00000000-0005-0000-0000-0000E9420000}"/>
    <cellStyle name="Normal 6 12 12" xfId="17962" xr:uid="{00000000-0005-0000-0000-0000EA420000}"/>
    <cellStyle name="Normal 6 12 13" xfId="17963" xr:uid="{00000000-0005-0000-0000-0000EB420000}"/>
    <cellStyle name="Normal 6 12 14" xfId="17964" xr:uid="{00000000-0005-0000-0000-0000EC420000}"/>
    <cellStyle name="Normal 6 12 15" xfId="17965" xr:uid="{00000000-0005-0000-0000-0000ED420000}"/>
    <cellStyle name="Normal 6 12 2" xfId="17966" xr:uid="{00000000-0005-0000-0000-0000EE420000}"/>
    <cellStyle name="Normal 6 12 3" xfId="17967" xr:uid="{00000000-0005-0000-0000-0000EF420000}"/>
    <cellStyle name="Normal 6 12 4" xfId="17968" xr:uid="{00000000-0005-0000-0000-0000F0420000}"/>
    <cellStyle name="Normal 6 12 5" xfId="17969" xr:uid="{00000000-0005-0000-0000-0000F1420000}"/>
    <cellStyle name="Normal 6 12 6" xfId="17970" xr:uid="{00000000-0005-0000-0000-0000F2420000}"/>
    <cellStyle name="Normal 6 12 7" xfId="17971" xr:uid="{00000000-0005-0000-0000-0000F3420000}"/>
    <cellStyle name="Normal 6 12 8" xfId="17972" xr:uid="{00000000-0005-0000-0000-0000F4420000}"/>
    <cellStyle name="Normal 6 12 9" xfId="17973" xr:uid="{00000000-0005-0000-0000-0000F5420000}"/>
    <cellStyle name="Normal 6 13" xfId="17974" xr:uid="{00000000-0005-0000-0000-0000F6420000}"/>
    <cellStyle name="Normal 6 13 10" xfId="17975" xr:uid="{00000000-0005-0000-0000-0000F7420000}"/>
    <cellStyle name="Normal 6 13 11" xfId="17976" xr:uid="{00000000-0005-0000-0000-0000F8420000}"/>
    <cellStyle name="Normal 6 13 12" xfId="17977" xr:uid="{00000000-0005-0000-0000-0000F9420000}"/>
    <cellStyle name="Normal 6 13 13" xfId="17978" xr:uid="{00000000-0005-0000-0000-0000FA420000}"/>
    <cellStyle name="Normal 6 13 14" xfId="17979" xr:uid="{00000000-0005-0000-0000-0000FB420000}"/>
    <cellStyle name="Normal 6 13 15" xfId="17980" xr:uid="{00000000-0005-0000-0000-0000FC420000}"/>
    <cellStyle name="Normal 6 13 2" xfId="17981" xr:uid="{00000000-0005-0000-0000-0000FD420000}"/>
    <cellStyle name="Normal 6 13 3" xfId="17982" xr:uid="{00000000-0005-0000-0000-0000FE420000}"/>
    <cellStyle name="Normal 6 13 4" xfId="17983" xr:uid="{00000000-0005-0000-0000-0000FF420000}"/>
    <cellStyle name="Normal 6 13 5" xfId="17984" xr:uid="{00000000-0005-0000-0000-000000430000}"/>
    <cellStyle name="Normal 6 13 6" xfId="17985" xr:uid="{00000000-0005-0000-0000-000001430000}"/>
    <cellStyle name="Normal 6 13 7" xfId="17986" xr:uid="{00000000-0005-0000-0000-000002430000}"/>
    <cellStyle name="Normal 6 13 8" xfId="17987" xr:uid="{00000000-0005-0000-0000-000003430000}"/>
    <cellStyle name="Normal 6 13 9" xfId="17988" xr:uid="{00000000-0005-0000-0000-000004430000}"/>
    <cellStyle name="Normal 6 14" xfId="17989" xr:uid="{00000000-0005-0000-0000-000005430000}"/>
    <cellStyle name="Normal 6 14 10" xfId="17990" xr:uid="{00000000-0005-0000-0000-000006430000}"/>
    <cellStyle name="Normal 6 14 11" xfId="17991" xr:uid="{00000000-0005-0000-0000-000007430000}"/>
    <cellStyle name="Normal 6 14 12" xfId="17992" xr:uid="{00000000-0005-0000-0000-000008430000}"/>
    <cellStyle name="Normal 6 14 13" xfId="17993" xr:uid="{00000000-0005-0000-0000-000009430000}"/>
    <cellStyle name="Normal 6 14 14" xfId="17994" xr:uid="{00000000-0005-0000-0000-00000A430000}"/>
    <cellStyle name="Normal 6 14 15" xfId="17995" xr:uid="{00000000-0005-0000-0000-00000B430000}"/>
    <cellStyle name="Normal 6 14 2" xfId="17996" xr:uid="{00000000-0005-0000-0000-00000C430000}"/>
    <cellStyle name="Normal 6 14 3" xfId="17997" xr:uid="{00000000-0005-0000-0000-00000D430000}"/>
    <cellStyle name="Normal 6 14 4" xfId="17998" xr:uid="{00000000-0005-0000-0000-00000E430000}"/>
    <cellStyle name="Normal 6 14 5" xfId="17999" xr:uid="{00000000-0005-0000-0000-00000F430000}"/>
    <cellStyle name="Normal 6 14 6" xfId="18000" xr:uid="{00000000-0005-0000-0000-000010430000}"/>
    <cellStyle name="Normal 6 14 7" xfId="18001" xr:uid="{00000000-0005-0000-0000-000011430000}"/>
    <cellStyle name="Normal 6 14 8" xfId="18002" xr:uid="{00000000-0005-0000-0000-000012430000}"/>
    <cellStyle name="Normal 6 14 9" xfId="18003" xr:uid="{00000000-0005-0000-0000-000013430000}"/>
    <cellStyle name="Normal 6 15" xfId="18004" xr:uid="{00000000-0005-0000-0000-000014430000}"/>
    <cellStyle name="Normal 6 15 10" xfId="18005" xr:uid="{00000000-0005-0000-0000-000015430000}"/>
    <cellStyle name="Normal 6 15 11" xfId="18006" xr:uid="{00000000-0005-0000-0000-000016430000}"/>
    <cellStyle name="Normal 6 15 12" xfId="18007" xr:uid="{00000000-0005-0000-0000-000017430000}"/>
    <cellStyle name="Normal 6 15 13" xfId="18008" xr:uid="{00000000-0005-0000-0000-000018430000}"/>
    <cellStyle name="Normal 6 15 14" xfId="18009" xr:uid="{00000000-0005-0000-0000-000019430000}"/>
    <cellStyle name="Normal 6 15 15" xfId="18010" xr:uid="{00000000-0005-0000-0000-00001A430000}"/>
    <cellStyle name="Normal 6 15 2" xfId="18011" xr:uid="{00000000-0005-0000-0000-00001B430000}"/>
    <cellStyle name="Normal 6 15 3" xfId="18012" xr:uid="{00000000-0005-0000-0000-00001C430000}"/>
    <cellStyle name="Normal 6 15 4" xfId="18013" xr:uid="{00000000-0005-0000-0000-00001D430000}"/>
    <cellStyle name="Normal 6 15 5" xfId="18014" xr:uid="{00000000-0005-0000-0000-00001E430000}"/>
    <cellStyle name="Normal 6 15 6" xfId="18015" xr:uid="{00000000-0005-0000-0000-00001F430000}"/>
    <cellStyle name="Normal 6 15 7" xfId="18016" xr:uid="{00000000-0005-0000-0000-000020430000}"/>
    <cellStyle name="Normal 6 15 8" xfId="18017" xr:uid="{00000000-0005-0000-0000-000021430000}"/>
    <cellStyle name="Normal 6 15 9" xfId="18018" xr:uid="{00000000-0005-0000-0000-000022430000}"/>
    <cellStyle name="Normal 6 16" xfId="18019" xr:uid="{00000000-0005-0000-0000-000023430000}"/>
    <cellStyle name="Normal 6 16 2" xfId="18020" xr:uid="{00000000-0005-0000-0000-000024430000}"/>
    <cellStyle name="Normal 6 16 3" xfId="18021" xr:uid="{00000000-0005-0000-0000-000025430000}"/>
    <cellStyle name="Normal 6 17" xfId="18022" xr:uid="{00000000-0005-0000-0000-000026430000}"/>
    <cellStyle name="Normal 6 18" xfId="18023" xr:uid="{00000000-0005-0000-0000-000027430000}"/>
    <cellStyle name="Normal 6 19" xfId="18024" xr:uid="{00000000-0005-0000-0000-000028430000}"/>
    <cellStyle name="Normal 6 2" xfId="184" xr:uid="{00000000-0005-0000-0000-00005D030000}"/>
    <cellStyle name="Normal 6 2 10" xfId="18026" xr:uid="{00000000-0005-0000-0000-00002A430000}"/>
    <cellStyle name="Normal 6 2 10 10" xfId="18027" xr:uid="{00000000-0005-0000-0000-00002B430000}"/>
    <cellStyle name="Normal 6 2 10 11" xfId="18028" xr:uid="{00000000-0005-0000-0000-00002C430000}"/>
    <cellStyle name="Normal 6 2 10 12" xfId="18029" xr:uid="{00000000-0005-0000-0000-00002D430000}"/>
    <cellStyle name="Normal 6 2 10 13" xfId="18030" xr:uid="{00000000-0005-0000-0000-00002E430000}"/>
    <cellStyle name="Normal 6 2 10 14" xfId="18031" xr:uid="{00000000-0005-0000-0000-00002F430000}"/>
    <cellStyle name="Normal 6 2 10 15" xfId="18032" xr:uid="{00000000-0005-0000-0000-000030430000}"/>
    <cellStyle name="Normal 6 2 10 2" xfId="18033" xr:uid="{00000000-0005-0000-0000-000031430000}"/>
    <cellStyle name="Normal 6 2 10 3" xfId="18034" xr:uid="{00000000-0005-0000-0000-000032430000}"/>
    <cellStyle name="Normal 6 2 10 4" xfId="18035" xr:uid="{00000000-0005-0000-0000-000033430000}"/>
    <cellStyle name="Normal 6 2 10 5" xfId="18036" xr:uid="{00000000-0005-0000-0000-000034430000}"/>
    <cellStyle name="Normal 6 2 10 6" xfId="18037" xr:uid="{00000000-0005-0000-0000-000035430000}"/>
    <cellStyle name="Normal 6 2 10 7" xfId="18038" xr:uid="{00000000-0005-0000-0000-000036430000}"/>
    <cellStyle name="Normal 6 2 10 8" xfId="18039" xr:uid="{00000000-0005-0000-0000-000037430000}"/>
    <cellStyle name="Normal 6 2 10 9" xfId="18040" xr:uid="{00000000-0005-0000-0000-000038430000}"/>
    <cellStyle name="Normal 6 2 11" xfId="18041" xr:uid="{00000000-0005-0000-0000-000039430000}"/>
    <cellStyle name="Normal 6 2 11 10" xfId="18042" xr:uid="{00000000-0005-0000-0000-00003A430000}"/>
    <cellStyle name="Normal 6 2 11 11" xfId="18043" xr:uid="{00000000-0005-0000-0000-00003B430000}"/>
    <cellStyle name="Normal 6 2 11 12" xfId="18044" xr:uid="{00000000-0005-0000-0000-00003C430000}"/>
    <cellStyle name="Normal 6 2 11 13" xfId="18045" xr:uid="{00000000-0005-0000-0000-00003D430000}"/>
    <cellStyle name="Normal 6 2 11 14" xfId="18046" xr:uid="{00000000-0005-0000-0000-00003E430000}"/>
    <cellStyle name="Normal 6 2 11 15" xfId="18047" xr:uid="{00000000-0005-0000-0000-00003F430000}"/>
    <cellStyle name="Normal 6 2 11 2" xfId="18048" xr:uid="{00000000-0005-0000-0000-000040430000}"/>
    <cellStyle name="Normal 6 2 11 3" xfId="18049" xr:uid="{00000000-0005-0000-0000-000041430000}"/>
    <cellStyle name="Normal 6 2 11 4" xfId="18050" xr:uid="{00000000-0005-0000-0000-000042430000}"/>
    <cellStyle name="Normal 6 2 11 5" xfId="18051" xr:uid="{00000000-0005-0000-0000-000043430000}"/>
    <cellStyle name="Normal 6 2 11 6" xfId="18052" xr:uid="{00000000-0005-0000-0000-000044430000}"/>
    <cellStyle name="Normal 6 2 11 7" xfId="18053" xr:uid="{00000000-0005-0000-0000-000045430000}"/>
    <cellStyle name="Normal 6 2 11 8" xfId="18054" xr:uid="{00000000-0005-0000-0000-000046430000}"/>
    <cellStyle name="Normal 6 2 11 9" xfId="18055" xr:uid="{00000000-0005-0000-0000-000047430000}"/>
    <cellStyle name="Normal 6 2 12" xfId="18056" xr:uid="{00000000-0005-0000-0000-000048430000}"/>
    <cellStyle name="Normal 6 2 12 10" xfId="18057" xr:uid="{00000000-0005-0000-0000-000049430000}"/>
    <cellStyle name="Normal 6 2 12 11" xfId="18058" xr:uid="{00000000-0005-0000-0000-00004A430000}"/>
    <cellStyle name="Normal 6 2 12 12" xfId="18059" xr:uid="{00000000-0005-0000-0000-00004B430000}"/>
    <cellStyle name="Normal 6 2 12 13" xfId="18060" xr:uid="{00000000-0005-0000-0000-00004C430000}"/>
    <cellStyle name="Normal 6 2 12 14" xfId="18061" xr:uid="{00000000-0005-0000-0000-00004D430000}"/>
    <cellStyle name="Normal 6 2 12 15" xfId="18062" xr:uid="{00000000-0005-0000-0000-00004E430000}"/>
    <cellStyle name="Normal 6 2 12 2" xfId="18063" xr:uid="{00000000-0005-0000-0000-00004F430000}"/>
    <cellStyle name="Normal 6 2 12 3" xfId="18064" xr:uid="{00000000-0005-0000-0000-000050430000}"/>
    <cellStyle name="Normal 6 2 12 4" xfId="18065" xr:uid="{00000000-0005-0000-0000-000051430000}"/>
    <cellStyle name="Normal 6 2 12 5" xfId="18066" xr:uid="{00000000-0005-0000-0000-000052430000}"/>
    <cellStyle name="Normal 6 2 12 6" xfId="18067" xr:uid="{00000000-0005-0000-0000-000053430000}"/>
    <cellStyle name="Normal 6 2 12 7" xfId="18068" xr:uid="{00000000-0005-0000-0000-000054430000}"/>
    <cellStyle name="Normal 6 2 12 8" xfId="18069" xr:uid="{00000000-0005-0000-0000-000055430000}"/>
    <cellStyle name="Normal 6 2 12 9" xfId="18070" xr:uid="{00000000-0005-0000-0000-000056430000}"/>
    <cellStyle name="Normal 6 2 13" xfId="18071" xr:uid="{00000000-0005-0000-0000-000057430000}"/>
    <cellStyle name="Normal 6 2 13 2" xfId="18072" xr:uid="{00000000-0005-0000-0000-000058430000}"/>
    <cellStyle name="Normal 6 2 13 3" xfId="18073" xr:uid="{00000000-0005-0000-0000-000059430000}"/>
    <cellStyle name="Normal 6 2 14" xfId="18074" xr:uid="{00000000-0005-0000-0000-00005A430000}"/>
    <cellStyle name="Normal 6 2 15" xfId="18075" xr:uid="{00000000-0005-0000-0000-00005B430000}"/>
    <cellStyle name="Normal 6 2 16" xfId="18076" xr:uid="{00000000-0005-0000-0000-00005C430000}"/>
    <cellStyle name="Normal 6 2 17" xfId="18077" xr:uid="{00000000-0005-0000-0000-00005D430000}"/>
    <cellStyle name="Normal 6 2 18" xfId="18078" xr:uid="{00000000-0005-0000-0000-00005E430000}"/>
    <cellStyle name="Normal 6 2 19" xfId="18079" xr:uid="{00000000-0005-0000-0000-00005F430000}"/>
    <cellStyle name="Normal 6 2 2" xfId="18080" xr:uid="{00000000-0005-0000-0000-000060430000}"/>
    <cellStyle name="Normal 6 2 2 10" xfId="18081" xr:uid="{00000000-0005-0000-0000-000061430000}"/>
    <cellStyle name="Normal 6 2 2 11" xfId="18082" xr:uid="{00000000-0005-0000-0000-000062430000}"/>
    <cellStyle name="Normal 6 2 2 12" xfId="18083" xr:uid="{00000000-0005-0000-0000-000063430000}"/>
    <cellStyle name="Normal 6 2 2 13" xfId="18084" xr:uid="{00000000-0005-0000-0000-000064430000}"/>
    <cellStyle name="Normal 6 2 2 14" xfId="18085" xr:uid="{00000000-0005-0000-0000-000065430000}"/>
    <cellStyle name="Normal 6 2 2 15" xfId="18086" xr:uid="{00000000-0005-0000-0000-000066430000}"/>
    <cellStyle name="Normal 6 2 2 16" xfId="18087" xr:uid="{00000000-0005-0000-0000-000067430000}"/>
    <cellStyle name="Normal 6 2 2 17" xfId="18088" xr:uid="{00000000-0005-0000-0000-000068430000}"/>
    <cellStyle name="Normal 6 2 2 18" xfId="18089" xr:uid="{00000000-0005-0000-0000-000069430000}"/>
    <cellStyle name="Normal 6 2 2 19" xfId="18090" xr:uid="{00000000-0005-0000-0000-00006A430000}"/>
    <cellStyle name="Normal 6 2 2 2" xfId="18091" xr:uid="{00000000-0005-0000-0000-00006B430000}"/>
    <cellStyle name="Normal 6 2 2 2 10" xfId="18092" xr:uid="{00000000-0005-0000-0000-00006C430000}"/>
    <cellStyle name="Normal 6 2 2 2 11" xfId="18093" xr:uid="{00000000-0005-0000-0000-00006D430000}"/>
    <cellStyle name="Normal 6 2 2 2 12" xfId="18094" xr:uid="{00000000-0005-0000-0000-00006E430000}"/>
    <cellStyle name="Normal 6 2 2 2 13" xfId="18095" xr:uid="{00000000-0005-0000-0000-00006F430000}"/>
    <cellStyle name="Normal 6 2 2 2 14" xfId="18096" xr:uid="{00000000-0005-0000-0000-000070430000}"/>
    <cellStyle name="Normal 6 2 2 2 15" xfId="18097" xr:uid="{00000000-0005-0000-0000-000071430000}"/>
    <cellStyle name="Normal 6 2 2 2 16" xfId="18098" xr:uid="{00000000-0005-0000-0000-000072430000}"/>
    <cellStyle name="Normal 6 2 2 2 2" xfId="18099" xr:uid="{00000000-0005-0000-0000-000073430000}"/>
    <cellStyle name="Normal 6 2 2 2 2 2" xfId="18100" xr:uid="{00000000-0005-0000-0000-000074430000}"/>
    <cellStyle name="Normal 6 2 2 2 3" xfId="18101" xr:uid="{00000000-0005-0000-0000-000075430000}"/>
    <cellStyle name="Normal 6 2 2 2 4" xfId="18102" xr:uid="{00000000-0005-0000-0000-000076430000}"/>
    <cellStyle name="Normal 6 2 2 2 5" xfId="18103" xr:uid="{00000000-0005-0000-0000-000077430000}"/>
    <cellStyle name="Normal 6 2 2 2 6" xfId="18104" xr:uid="{00000000-0005-0000-0000-000078430000}"/>
    <cellStyle name="Normal 6 2 2 2 7" xfId="18105" xr:uid="{00000000-0005-0000-0000-000079430000}"/>
    <cellStyle name="Normal 6 2 2 2 8" xfId="18106" xr:uid="{00000000-0005-0000-0000-00007A430000}"/>
    <cellStyle name="Normal 6 2 2 2 9" xfId="18107" xr:uid="{00000000-0005-0000-0000-00007B430000}"/>
    <cellStyle name="Normal 6 2 2 20" xfId="18108" xr:uid="{00000000-0005-0000-0000-00007C430000}"/>
    <cellStyle name="Normal 6 2 2 21" xfId="18109" xr:uid="{00000000-0005-0000-0000-00007D430000}"/>
    <cellStyle name="Normal 6 2 2 22" xfId="18110" xr:uid="{00000000-0005-0000-0000-00007E430000}"/>
    <cellStyle name="Normal 6 2 2 23" xfId="18111" xr:uid="{00000000-0005-0000-0000-00007F430000}"/>
    <cellStyle name="Normal 6 2 2 3" xfId="18112" xr:uid="{00000000-0005-0000-0000-000080430000}"/>
    <cellStyle name="Normal 6 2 2 3 10" xfId="18113" xr:uid="{00000000-0005-0000-0000-000081430000}"/>
    <cellStyle name="Normal 6 2 2 3 11" xfId="18114" xr:uid="{00000000-0005-0000-0000-000082430000}"/>
    <cellStyle name="Normal 6 2 2 3 12" xfId="18115" xr:uid="{00000000-0005-0000-0000-000083430000}"/>
    <cellStyle name="Normal 6 2 2 3 13" xfId="18116" xr:uid="{00000000-0005-0000-0000-000084430000}"/>
    <cellStyle name="Normal 6 2 2 3 14" xfId="18117" xr:uid="{00000000-0005-0000-0000-000085430000}"/>
    <cellStyle name="Normal 6 2 2 3 15" xfId="18118" xr:uid="{00000000-0005-0000-0000-000086430000}"/>
    <cellStyle name="Normal 6 2 2 3 2" xfId="18119" xr:uid="{00000000-0005-0000-0000-000087430000}"/>
    <cellStyle name="Normal 6 2 2 3 3" xfId="18120" xr:uid="{00000000-0005-0000-0000-000088430000}"/>
    <cellStyle name="Normal 6 2 2 3 4" xfId="18121" xr:uid="{00000000-0005-0000-0000-000089430000}"/>
    <cellStyle name="Normal 6 2 2 3 5" xfId="18122" xr:uid="{00000000-0005-0000-0000-00008A430000}"/>
    <cellStyle name="Normal 6 2 2 3 6" xfId="18123" xr:uid="{00000000-0005-0000-0000-00008B430000}"/>
    <cellStyle name="Normal 6 2 2 3 7" xfId="18124" xr:uid="{00000000-0005-0000-0000-00008C430000}"/>
    <cellStyle name="Normal 6 2 2 3 8" xfId="18125" xr:uid="{00000000-0005-0000-0000-00008D430000}"/>
    <cellStyle name="Normal 6 2 2 3 9" xfId="18126" xr:uid="{00000000-0005-0000-0000-00008E430000}"/>
    <cellStyle name="Normal 6 2 2 4" xfId="18127" xr:uid="{00000000-0005-0000-0000-00008F430000}"/>
    <cellStyle name="Normal 6 2 2 4 10" xfId="18128" xr:uid="{00000000-0005-0000-0000-000090430000}"/>
    <cellStyle name="Normal 6 2 2 4 11" xfId="18129" xr:uid="{00000000-0005-0000-0000-000091430000}"/>
    <cellStyle name="Normal 6 2 2 4 12" xfId="18130" xr:uid="{00000000-0005-0000-0000-000092430000}"/>
    <cellStyle name="Normal 6 2 2 4 13" xfId="18131" xr:uid="{00000000-0005-0000-0000-000093430000}"/>
    <cellStyle name="Normal 6 2 2 4 14" xfId="18132" xr:uid="{00000000-0005-0000-0000-000094430000}"/>
    <cellStyle name="Normal 6 2 2 4 15" xfId="18133" xr:uid="{00000000-0005-0000-0000-000095430000}"/>
    <cellStyle name="Normal 6 2 2 4 2" xfId="18134" xr:uid="{00000000-0005-0000-0000-000096430000}"/>
    <cellStyle name="Normal 6 2 2 4 3" xfId="18135" xr:uid="{00000000-0005-0000-0000-000097430000}"/>
    <cellStyle name="Normal 6 2 2 4 4" xfId="18136" xr:uid="{00000000-0005-0000-0000-000098430000}"/>
    <cellStyle name="Normal 6 2 2 4 5" xfId="18137" xr:uid="{00000000-0005-0000-0000-000099430000}"/>
    <cellStyle name="Normal 6 2 2 4 6" xfId="18138" xr:uid="{00000000-0005-0000-0000-00009A430000}"/>
    <cellStyle name="Normal 6 2 2 4 7" xfId="18139" xr:uid="{00000000-0005-0000-0000-00009B430000}"/>
    <cellStyle name="Normal 6 2 2 4 8" xfId="18140" xr:uid="{00000000-0005-0000-0000-00009C430000}"/>
    <cellStyle name="Normal 6 2 2 4 9" xfId="18141" xr:uid="{00000000-0005-0000-0000-00009D430000}"/>
    <cellStyle name="Normal 6 2 2 5" xfId="18142" xr:uid="{00000000-0005-0000-0000-00009E430000}"/>
    <cellStyle name="Normal 6 2 2 5 10" xfId="18143" xr:uid="{00000000-0005-0000-0000-00009F430000}"/>
    <cellStyle name="Normal 6 2 2 5 11" xfId="18144" xr:uid="{00000000-0005-0000-0000-0000A0430000}"/>
    <cellStyle name="Normal 6 2 2 5 12" xfId="18145" xr:uid="{00000000-0005-0000-0000-0000A1430000}"/>
    <cellStyle name="Normal 6 2 2 5 13" xfId="18146" xr:uid="{00000000-0005-0000-0000-0000A2430000}"/>
    <cellStyle name="Normal 6 2 2 5 14" xfId="18147" xr:uid="{00000000-0005-0000-0000-0000A3430000}"/>
    <cellStyle name="Normal 6 2 2 5 15" xfId="18148" xr:uid="{00000000-0005-0000-0000-0000A4430000}"/>
    <cellStyle name="Normal 6 2 2 5 2" xfId="18149" xr:uid="{00000000-0005-0000-0000-0000A5430000}"/>
    <cellStyle name="Normal 6 2 2 5 3" xfId="18150" xr:uid="{00000000-0005-0000-0000-0000A6430000}"/>
    <cellStyle name="Normal 6 2 2 5 4" xfId="18151" xr:uid="{00000000-0005-0000-0000-0000A7430000}"/>
    <cellStyle name="Normal 6 2 2 5 5" xfId="18152" xr:uid="{00000000-0005-0000-0000-0000A8430000}"/>
    <cellStyle name="Normal 6 2 2 5 6" xfId="18153" xr:uid="{00000000-0005-0000-0000-0000A9430000}"/>
    <cellStyle name="Normal 6 2 2 5 7" xfId="18154" xr:uid="{00000000-0005-0000-0000-0000AA430000}"/>
    <cellStyle name="Normal 6 2 2 5 8" xfId="18155" xr:uid="{00000000-0005-0000-0000-0000AB430000}"/>
    <cellStyle name="Normal 6 2 2 5 9" xfId="18156" xr:uid="{00000000-0005-0000-0000-0000AC430000}"/>
    <cellStyle name="Normal 6 2 2 6" xfId="18157" xr:uid="{00000000-0005-0000-0000-0000AD430000}"/>
    <cellStyle name="Normal 6 2 2 6 10" xfId="18158" xr:uid="{00000000-0005-0000-0000-0000AE430000}"/>
    <cellStyle name="Normal 6 2 2 6 11" xfId="18159" xr:uid="{00000000-0005-0000-0000-0000AF430000}"/>
    <cellStyle name="Normal 6 2 2 6 12" xfId="18160" xr:uid="{00000000-0005-0000-0000-0000B0430000}"/>
    <cellStyle name="Normal 6 2 2 6 13" xfId="18161" xr:uid="{00000000-0005-0000-0000-0000B1430000}"/>
    <cellStyle name="Normal 6 2 2 6 14" xfId="18162" xr:uid="{00000000-0005-0000-0000-0000B2430000}"/>
    <cellStyle name="Normal 6 2 2 6 15" xfId="18163" xr:uid="{00000000-0005-0000-0000-0000B3430000}"/>
    <cellStyle name="Normal 6 2 2 6 2" xfId="18164" xr:uid="{00000000-0005-0000-0000-0000B4430000}"/>
    <cellStyle name="Normal 6 2 2 6 3" xfId="18165" xr:uid="{00000000-0005-0000-0000-0000B5430000}"/>
    <cellStyle name="Normal 6 2 2 6 4" xfId="18166" xr:uid="{00000000-0005-0000-0000-0000B6430000}"/>
    <cellStyle name="Normal 6 2 2 6 5" xfId="18167" xr:uid="{00000000-0005-0000-0000-0000B7430000}"/>
    <cellStyle name="Normal 6 2 2 6 6" xfId="18168" xr:uid="{00000000-0005-0000-0000-0000B8430000}"/>
    <cellStyle name="Normal 6 2 2 6 7" xfId="18169" xr:uid="{00000000-0005-0000-0000-0000B9430000}"/>
    <cellStyle name="Normal 6 2 2 6 8" xfId="18170" xr:uid="{00000000-0005-0000-0000-0000BA430000}"/>
    <cellStyle name="Normal 6 2 2 6 9" xfId="18171" xr:uid="{00000000-0005-0000-0000-0000BB430000}"/>
    <cellStyle name="Normal 6 2 2 7" xfId="18172" xr:uid="{00000000-0005-0000-0000-0000BC430000}"/>
    <cellStyle name="Normal 6 2 2 7 10" xfId="18173" xr:uid="{00000000-0005-0000-0000-0000BD430000}"/>
    <cellStyle name="Normal 6 2 2 7 11" xfId="18174" xr:uid="{00000000-0005-0000-0000-0000BE430000}"/>
    <cellStyle name="Normal 6 2 2 7 12" xfId="18175" xr:uid="{00000000-0005-0000-0000-0000BF430000}"/>
    <cellStyle name="Normal 6 2 2 7 13" xfId="18176" xr:uid="{00000000-0005-0000-0000-0000C0430000}"/>
    <cellStyle name="Normal 6 2 2 7 14" xfId="18177" xr:uid="{00000000-0005-0000-0000-0000C1430000}"/>
    <cellStyle name="Normal 6 2 2 7 15" xfId="18178" xr:uid="{00000000-0005-0000-0000-0000C2430000}"/>
    <cellStyle name="Normal 6 2 2 7 2" xfId="18179" xr:uid="{00000000-0005-0000-0000-0000C3430000}"/>
    <cellStyle name="Normal 6 2 2 7 3" xfId="18180" xr:uid="{00000000-0005-0000-0000-0000C4430000}"/>
    <cellStyle name="Normal 6 2 2 7 4" xfId="18181" xr:uid="{00000000-0005-0000-0000-0000C5430000}"/>
    <cellStyle name="Normal 6 2 2 7 5" xfId="18182" xr:uid="{00000000-0005-0000-0000-0000C6430000}"/>
    <cellStyle name="Normal 6 2 2 7 6" xfId="18183" xr:uid="{00000000-0005-0000-0000-0000C7430000}"/>
    <cellStyle name="Normal 6 2 2 7 7" xfId="18184" xr:uid="{00000000-0005-0000-0000-0000C8430000}"/>
    <cellStyle name="Normal 6 2 2 7 8" xfId="18185" xr:uid="{00000000-0005-0000-0000-0000C9430000}"/>
    <cellStyle name="Normal 6 2 2 7 9" xfId="18186" xr:uid="{00000000-0005-0000-0000-0000CA430000}"/>
    <cellStyle name="Normal 6 2 2 8" xfId="18187" xr:uid="{00000000-0005-0000-0000-0000CB430000}"/>
    <cellStyle name="Normal 6 2 2 8 10" xfId="18188" xr:uid="{00000000-0005-0000-0000-0000CC430000}"/>
    <cellStyle name="Normal 6 2 2 8 11" xfId="18189" xr:uid="{00000000-0005-0000-0000-0000CD430000}"/>
    <cellStyle name="Normal 6 2 2 8 12" xfId="18190" xr:uid="{00000000-0005-0000-0000-0000CE430000}"/>
    <cellStyle name="Normal 6 2 2 8 13" xfId="18191" xr:uid="{00000000-0005-0000-0000-0000CF430000}"/>
    <cellStyle name="Normal 6 2 2 8 14" xfId="18192" xr:uid="{00000000-0005-0000-0000-0000D0430000}"/>
    <cellStyle name="Normal 6 2 2 8 15" xfId="18193" xr:uid="{00000000-0005-0000-0000-0000D1430000}"/>
    <cellStyle name="Normal 6 2 2 8 2" xfId="18194" xr:uid="{00000000-0005-0000-0000-0000D2430000}"/>
    <cellStyle name="Normal 6 2 2 8 3" xfId="18195" xr:uid="{00000000-0005-0000-0000-0000D3430000}"/>
    <cellStyle name="Normal 6 2 2 8 4" xfId="18196" xr:uid="{00000000-0005-0000-0000-0000D4430000}"/>
    <cellStyle name="Normal 6 2 2 8 5" xfId="18197" xr:uid="{00000000-0005-0000-0000-0000D5430000}"/>
    <cellStyle name="Normal 6 2 2 8 6" xfId="18198" xr:uid="{00000000-0005-0000-0000-0000D6430000}"/>
    <cellStyle name="Normal 6 2 2 8 7" xfId="18199" xr:uid="{00000000-0005-0000-0000-0000D7430000}"/>
    <cellStyle name="Normal 6 2 2 8 8" xfId="18200" xr:uid="{00000000-0005-0000-0000-0000D8430000}"/>
    <cellStyle name="Normal 6 2 2 8 9" xfId="18201" xr:uid="{00000000-0005-0000-0000-0000D9430000}"/>
    <cellStyle name="Normal 6 2 2 9" xfId="18202" xr:uid="{00000000-0005-0000-0000-0000DA430000}"/>
    <cellStyle name="Normal 6 2 20" xfId="18203" xr:uid="{00000000-0005-0000-0000-0000DB430000}"/>
    <cellStyle name="Normal 6 2 21" xfId="18204" xr:uid="{00000000-0005-0000-0000-0000DC430000}"/>
    <cellStyle name="Normal 6 2 22" xfId="18205" xr:uid="{00000000-0005-0000-0000-0000DD430000}"/>
    <cellStyle name="Normal 6 2 23" xfId="18206" xr:uid="{00000000-0005-0000-0000-0000DE430000}"/>
    <cellStyle name="Normal 6 2 24" xfId="18207" xr:uid="{00000000-0005-0000-0000-0000DF430000}"/>
    <cellStyle name="Normal 6 2 25" xfId="18208" xr:uid="{00000000-0005-0000-0000-0000E0430000}"/>
    <cellStyle name="Normal 6 2 26" xfId="18209" xr:uid="{00000000-0005-0000-0000-0000E1430000}"/>
    <cellStyle name="Normal 6 2 27" xfId="18210" xr:uid="{00000000-0005-0000-0000-0000E2430000}"/>
    <cellStyle name="Normal 6 2 28" xfId="18211" xr:uid="{00000000-0005-0000-0000-0000E3430000}"/>
    <cellStyle name="Normal 6 2 29" xfId="18212" xr:uid="{00000000-0005-0000-0000-0000E4430000}"/>
    <cellStyle name="Normal 6 2 3" xfId="18213" xr:uid="{00000000-0005-0000-0000-0000E5430000}"/>
    <cellStyle name="Normal 6 2 3 10" xfId="18214" xr:uid="{00000000-0005-0000-0000-0000E6430000}"/>
    <cellStyle name="Normal 6 2 3 11" xfId="18215" xr:uid="{00000000-0005-0000-0000-0000E7430000}"/>
    <cellStyle name="Normal 6 2 3 12" xfId="18216" xr:uid="{00000000-0005-0000-0000-0000E8430000}"/>
    <cellStyle name="Normal 6 2 3 13" xfId="18217" xr:uid="{00000000-0005-0000-0000-0000E9430000}"/>
    <cellStyle name="Normal 6 2 3 14" xfId="18218" xr:uid="{00000000-0005-0000-0000-0000EA430000}"/>
    <cellStyle name="Normal 6 2 3 15" xfId="18219" xr:uid="{00000000-0005-0000-0000-0000EB430000}"/>
    <cellStyle name="Normal 6 2 3 16" xfId="18220" xr:uid="{00000000-0005-0000-0000-0000EC430000}"/>
    <cellStyle name="Normal 6 2 3 17" xfId="18221" xr:uid="{00000000-0005-0000-0000-0000ED430000}"/>
    <cellStyle name="Normal 6 2 3 18" xfId="18222" xr:uid="{00000000-0005-0000-0000-0000EE430000}"/>
    <cellStyle name="Normal 6 2 3 2" xfId="18223" xr:uid="{00000000-0005-0000-0000-0000EF430000}"/>
    <cellStyle name="Normal 6 2 3 2 10" xfId="18224" xr:uid="{00000000-0005-0000-0000-0000F0430000}"/>
    <cellStyle name="Normal 6 2 3 2 11" xfId="18225" xr:uid="{00000000-0005-0000-0000-0000F1430000}"/>
    <cellStyle name="Normal 6 2 3 2 12" xfId="18226" xr:uid="{00000000-0005-0000-0000-0000F2430000}"/>
    <cellStyle name="Normal 6 2 3 2 13" xfId="18227" xr:uid="{00000000-0005-0000-0000-0000F3430000}"/>
    <cellStyle name="Normal 6 2 3 2 14" xfId="18228" xr:uid="{00000000-0005-0000-0000-0000F4430000}"/>
    <cellStyle name="Normal 6 2 3 2 15" xfId="18229" xr:uid="{00000000-0005-0000-0000-0000F5430000}"/>
    <cellStyle name="Normal 6 2 3 2 2" xfId="18230" xr:uid="{00000000-0005-0000-0000-0000F6430000}"/>
    <cellStyle name="Normal 6 2 3 2 3" xfId="18231" xr:uid="{00000000-0005-0000-0000-0000F7430000}"/>
    <cellStyle name="Normal 6 2 3 2 4" xfId="18232" xr:uid="{00000000-0005-0000-0000-0000F8430000}"/>
    <cellStyle name="Normal 6 2 3 2 5" xfId="18233" xr:uid="{00000000-0005-0000-0000-0000F9430000}"/>
    <cellStyle name="Normal 6 2 3 2 6" xfId="18234" xr:uid="{00000000-0005-0000-0000-0000FA430000}"/>
    <cellStyle name="Normal 6 2 3 2 7" xfId="18235" xr:uid="{00000000-0005-0000-0000-0000FB430000}"/>
    <cellStyle name="Normal 6 2 3 2 8" xfId="18236" xr:uid="{00000000-0005-0000-0000-0000FC430000}"/>
    <cellStyle name="Normal 6 2 3 2 9" xfId="18237" xr:uid="{00000000-0005-0000-0000-0000FD430000}"/>
    <cellStyle name="Normal 6 2 3 3" xfId="18238" xr:uid="{00000000-0005-0000-0000-0000FE430000}"/>
    <cellStyle name="Normal 6 2 3 3 10" xfId="18239" xr:uid="{00000000-0005-0000-0000-0000FF430000}"/>
    <cellStyle name="Normal 6 2 3 3 11" xfId="18240" xr:uid="{00000000-0005-0000-0000-000000440000}"/>
    <cellStyle name="Normal 6 2 3 3 12" xfId="18241" xr:uid="{00000000-0005-0000-0000-000001440000}"/>
    <cellStyle name="Normal 6 2 3 3 13" xfId="18242" xr:uid="{00000000-0005-0000-0000-000002440000}"/>
    <cellStyle name="Normal 6 2 3 3 14" xfId="18243" xr:uid="{00000000-0005-0000-0000-000003440000}"/>
    <cellStyle name="Normal 6 2 3 3 15" xfId="18244" xr:uid="{00000000-0005-0000-0000-000004440000}"/>
    <cellStyle name="Normal 6 2 3 3 2" xfId="18245" xr:uid="{00000000-0005-0000-0000-000005440000}"/>
    <cellStyle name="Normal 6 2 3 3 3" xfId="18246" xr:uid="{00000000-0005-0000-0000-000006440000}"/>
    <cellStyle name="Normal 6 2 3 3 4" xfId="18247" xr:uid="{00000000-0005-0000-0000-000007440000}"/>
    <cellStyle name="Normal 6 2 3 3 5" xfId="18248" xr:uid="{00000000-0005-0000-0000-000008440000}"/>
    <cellStyle name="Normal 6 2 3 3 6" xfId="18249" xr:uid="{00000000-0005-0000-0000-000009440000}"/>
    <cellStyle name="Normal 6 2 3 3 7" xfId="18250" xr:uid="{00000000-0005-0000-0000-00000A440000}"/>
    <cellStyle name="Normal 6 2 3 3 8" xfId="18251" xr:uid="{00000000-0005-0000-0000-00000B440000}"/>
    <cellStyle name="Normal 6 2 3 3 9" xfId="18252" xr:uid="{00000000-0005-0000-0000-00000C440000}"/>
    <cellStyle name="Normal 6 2 3 4" xfId="18253" xr:uid="{00000000-0005-0000-0000-00000D440000}"/>
    <cellStyle name="Normal 6 2 3 4 10" xfId="18254" xr:uid="{00000000-0005-0000-0000-00000E440000}"/>
    <cellStyle name="Normal 6 2 3 4 11" xfId="18255" xr:uid="{00000000-0005-0000-0000-00000F440000}"/>
    <cellStyle name="Normal 6 2 3 4 12" xfId="18256" xr:uid="{00000000-0005-0000-0000-000010440000}"/>
    <cellStyle name="Normal 6 2 3 4 13" xfId="18257" xr:uid="{00000000-0005-0000-0000-000011440000}"/>
    <cellStyle name="Normal 6 2 3 4 14" xfId="18258" xr:uid="{00000000-0005-0000-0000-000012440000}"/>
    <cellStyle name="Normal 6 2 3 4 15" xfId="18259" xr:uid="{00000000-0005-0000-0000-000013440000}"/>
    <cellStyle name="Normal 6 2 3 4 2" xfId="18260" xr:uid="{00000000-0005-0000-0000-000014440000}"/>
    <cellStyle name="Normal 6 2 3 4 3" xfId="18261" xr:uid="{00000000-0005-0000-0000-000015440000}"/>
    <cellStyle name="Normal 6 2 3 4 4" xfId="18262" xr:uid="{00000000-0005-0000-0000-000016440000}"/>
    <cellStyle name="Normal 6 2 3 4 5" xfId="18263" xr:uid="{00000000-0005-0000-0000-000017440000}"/>
    <cellStyle name="Normal 6 2 3 4 6" xfId="18264" xr:uid="{00000000-0005-0000-0000-000018440000}"/>
    <cellStyle name="Normal 6 2 3 4 7" xfId="18265" xr:uid="{00000000-0005-0000-0000-000019440000}"/>
    <cellStyle name="Normal 6 2 3 4 8" xfId="18266" xr:uid="{00000000-0005-0000-0000-00001A440000}"/>
    <cellStyle name="Normal 6 2 3 4 9" xfId="18267" xr:uid="{00000000-0005-0000-0000-00001B440000}"/>
    <cellStyle name="Normal 6 2 3 5" xfId="18268" xr:uid="{00000000-0005-0000-0000-00001C440000}"/>
    <cellStyle name="Normal 6 2 3 6" xfId="18269" xr:uid="{00000000-0005-0000-0000-00001D440000}"/>
    <cellStyle name="Normal 6 2 3 7" xfId="18270" xr:uid="{00000000-0005-0000-0000-00001E440000}"/>
    <cellStyle name="Normal 6 2 3 8" xfId="18271" xr:uid="{00000000-0005-0000-0000-00001F440000}"/>
    <cellStyle name="Normal 6 2 3 9" xfId="18272" xr:uid="{00000000-0005-0000-0000-000020440000}"/>
    <cellStyle name="Normal 6 2 30" xfId="18025" xr:uid="{00000000-0005-0000-0000-000029430000}"/>
    <cellStyle name="Normal 6 2 4" xfId="18273" xr:uid="{00000000-0005-0000-0000-000021440000}"/>
    <cellStyle name="Normal 6 2 4 10" xfId="18274" xr:uid="{00000000-0005-0000-0000-000022440000}"/>
    <cellStyle name="Normal 6 2 4 11" xfId="18275" xr:uid="{00000000-0005-0000-0000-000023440000}"/>
    <cellStyle name="Normal 6 2 4 12" xfId="18276" xr:uid="{00000000-0005-0000-0000-000024440000}"/>
    <cellStyle name="Normal 6 2 4 13" xfId="18277" xr:uid="{00000000-0005-0000-0000-000025440000}"/>
    <cellStyle name="Normal 6 2 4 14" xfId="18278" xr:uid="{00000000-0005-0000-0000-000026440000}"/>
    <cellStyle name="Normal 6 2 4 15" xfId="18279" xr:uid="{00000000-0005-0000-0000-000027440000}"/>
    <cellStyle name="Normal 6 2 4 2" xfId="18280" xr:uid="{00000000-0005-0000-0000-000028440000}"/>
    <cellStyle name="Normal 6 2 4 3" xfId="18281" xr:uid="{00000000-0005-0000-0000-000029440000}"/>
    <cellStyle name="Normal 6 2 4 4" xfId="18282" xr:uid="{00000000-0005-0000-0000-00002A440000}"/>
    <cellStyle name="Normal 6 2 4 5" xfId="18283" xr:uid="{00000000-0005-0000-0000-00002B440000}"/>
    <cellStyle name="Normal 6 2 4 6" xfId="18284" xr:uid="{00000000-0005-0000-0000-00002C440000}"/>
    <cellStyle name="Normal 6 2 4 7" xfId="18285" xr:uid="{00000000-0005-0000-0000-00002D440000}"/>
    <cellStyle name="Normal 6 2 4 8" xfId="18286" xr:uid="{00000000-0005-0000-0000-00002E440000}"/>
    <cellStyle name="Normal 6 2 4 9" xfId="18287" xr:uid="{00000000-0005-0000-0000-00002F440000}"/>
    <cellStyle name="Normal 6 2 5" xfId="18288" xr:uid="{00000000-0005-0000-0000-000030440000}"/>
    <cellStyle name="Normal 6 2 5 10" xfId="18289" xr:uid="{00000000-0005-0000-0000-000031440000}"/>
    <cellStyle name="Normal 6 2 5 11" xfId="18290" xr:uid="{00000000-0005-0000-0000-000032440000}"/>
    <cellStyle name="Normal 6 2 5 12" xfId="18291" xr:uid="{00000000-0005-0000-0000-000033440000}"/>
    <cellStyle name="Normal 6 2 5 13" xfId="18292" xr:uid="{00000000-0005-0000-0000-000034440000}"/>
    <cellStyle name="Normal 6 2 5 14" xfId="18293" xr:uid="{00000000-0005-0000-0000-000035440000}"/>
    <cellStyle name="Normal 6 2 5 15" xfId="18294" xr:uid="{00000000-0005-0000-0000-000036440000}"/>
    <cellStyle name="Normal 6 2 5 2" xfId="18295" xr:uid="{00000000-0005-0000-0000-000037440000}"/>
    <cellStyle name="Normal 6 2 5 3" xfId="18296" xr:uid="{00000000-0005-0000-0000-000038440000}"/>
    <cellStyle name="Normal 6 2 5 4" xfId="18297" xr:uid="{00000000-0005-0000-0000-000039440000}"/>
    <cellStyle name="Normal 6 2 5 5" xfId="18298" xr:uid="{00000000-0005-0000-0000-00003A440000}"/>
    <cellStyle name="Normal 6 2 5 6" xfId="18299" xr:uid="{00000000-0005-0000-0000-00003B440000}"/>
    <cellStyle name="Normal 6 2 5 7" xfId="18300" xr:uid="{00000000-0005-0000-0000-00003C440000}"/>
    <cellStyle name="Normal 6 2 5 8" xfId="18301" xr:uid="{00000000-0005-0000-0000-00003D440000}"/>
    <cellStyle name="Normal 6 2 5 9" xfId="18302" xr:uid="{00000000-0005-0000-0000-00003E440000}"/>
    <cellStyle name="Normal 6 2 6" xfId="18303" xr:uid="{00000000-0005-0000-0000-00003F440000}"/>
    <cellStyle name="Normal 6 2 6 10" xfId="18304" xr:uid="{00000000-0005-0000-0000-000040440000}"/>
    <cellStyle name="Normal 6 2 6 11" xfId="18305" xr:uid="{00000000-0005-0000-0000-000041440000}"/>
    <cellStyle name="Normal 6 2 6 12" xfId="18306" xr:uid="{00000000-0005-0000-0000-000042440000}"/>
    <cellStyle name="Normal 6 2 6 13" xfId="18307" xr:uid="{00000000-0005-0000-0000-000043440000}"/>
    <cellStyle name="Normal 6 2 6 14" xfId="18308" xr:uid="{00000000-0005-0000-0000-000044440000}"/>
    <cellStyle name="Normal 6 2 6 15" xfId="18309" xr:uid="{00000000-0005-0000-0000-000045440000}"/>
    <cellStyle name="Normal 6 2 6 2" xfId="18310" xr:uid="{00000000-0005-0000-0000-000046440000}"/>
    <cellStyle name="Normal 6 2 6 3" xfId="18311" xr:uid="{00000000-0005-0000-0000-000047440000}"/>
    <cellStyle name="Normal 6 2 6 4" xfId="18312" xr:uid="{00000000-0005-0000-0000-000048440000}"/>
    <cellStyle name="Normal 6 2 6 5" xfId="18313" xr:uid="{00000000-0005-0000-0000-000049440000}"/>
    <cellStyle name="Normal 6 2 6 6" xfId="18314" xr:uid="{00000000-0005-0000-0000-00004A440000}"/>
    <cellStyle name="Normal 6 2 6 7" xfId="18315" xr:uid="{00000000-0005-0000-0000-00004B440000}"/>
    <cellStyle name="Normal 6 2 6 8" xfId="18316" xr:uid="{00000000-0005-0000-0000-00004C440000}"/>
    <cellStyle name="Normal 6 2 6 9" xfId="18317" xr:uid="{00000000-0005-0000-0000-00004D440000}"/>
    <cellStyle name="Normal 6 2 7" xfId="18318" xr:uid="{00000000-0005-0000-0000-00004E440000}"/>
    <cellStyle name="Normal 6 2 7 10" xfId="18319" xr:uid="{00000000-0005-0000-0000-00004F440000}"/>
    <cellStyle name="Normal 6 2 7 11" xfId="18320" xr:uid="{00000000-0005-0000-0000-000050440000}"/>
    <cellStyle name="Normal 6 2 7 12" xfId="18321" xr:uid="{00000000-0005-0000-0000-000051440000}"/>
    <cellStyle name="Normal 6 2 7 13" xfId="18322" xr:uid="{00000000-0005-0000-0000-000052440000}"/>
    <cellStyle name="Normal 6 2 7 14" xfId="18323" xr:uid="{00000000-0005-0000-0000-000053440000}"/>
    <cellStyle name="Normal 6 2 7 15" xfId="18324" xr:uid="{00000000-0005-0000-0000-000054440000}"/>
    <cellStyle name="Normal 6 2 7 2" xfId="18325" xr:uid="{00000000-0005-0000-0000-000055440000}"/>
    <cellStyle name="Normal 6 2 7 3" xfId="18326" xr:uid="{00000000-0005-0000-0000-000056440000}"/>
    <cellStyle name="Normal 6 2 7 4" xfId="18327" xr:uid="{00000000-0005-0000-0000-000057440000}"/>
    <cellStyle name="Normal 6 2 7 5" xfId="18328" xr:uid="{00000000-0005-0000-0000-000058440000}"/>
    <cellStyle name="Normal 6 2 7 6" xfId="18329" xr:uid="{00000000-0005-0000-0000-000059440000}"/>
    <cellStyle name="Normal 6 2 7 7" xfId="18330" xr:uid="{00000000-0005-0000-0000-00005A440000}"/>
    <cellStyle name="Normal 6 2 7 8" xfId="18331" xr:uid="{00000000-0005-0000-0000-00005B440000}"/>
    <cellStyle name="Normal 6 2 7 9" xfId="18332" xr:uid="{00000000-0005-0000-0000-00005C440000}"/>
    <cellStyle name="Normal 6 2 8" xfId="18333" xr:uid="{00000000-0005-0000-0000-00005D440000}"/>
    <cellStyle name="Normal 6 2 8 10" xfId="18334" xr:uid="{00000000-0005-0000-0000-00005E440000}"/>
    <cellStyle name="Normal 6 2 8 11" xfId="18335" xr:uid="{00000000-0005-0000-0000-00005F440000}"/>
    <cellStyle name="Normal 6 2 8 12" xfId="18336" xr:uid="{00000000-0005-0000-0000-000060440000}"/>
    <cellStyle name="Normal 6 2 8 13" xfId="18337" xr:uid="{00000000-0005-0000-0000-000061440000}"/>
    <cellStyle name="Normal 6 2 8 14" xfId="18338" xr:uid="{00000000-0005-0000-0000-000062440000}"/>
    <cellStyle name="Normal 6 2 8 15" xfId="18339" xr:uid="{00000000-0005-0000-0000-000063440000}"/>
    <cellStyle name="Normal 6 2 8 2" xfId="18340" xr:uid="{00000000-0005-0000-0000-000064440000}"/>
    <cellStyle name="Normal 6 2 8 3" xfId="18341" xr:uid="{00000000-0005-0000-0000-000065440000}"/>
    <cellStyle name="Normal 6 2 8 4" xfId="18342" xr:uid="{00000000-0005-0000-0000-000066440000}"/>
    <cellStyle name="Normal 6 2 8 5" xfId="18343" xr:uid="{00000000-0005-0000-0000-000067440000}"/>
    <cellStyle name="Normal 6 2 8 6" xfId="18344" xr:uid="{00000000-0005-0000-0000-000068440000}"/>
    <cellStyle name="Normal 6 2 8 7" xfId="18345" xr:uid="{00000000-0005-0000-0000-000069440000}"/>
    <cellStyle name="Normal 6 2 8 8" xfId="18346" xr:uid="{00000000-0005-0000-0000-00006A440000}"/>
    <cellStyle name="Normal 6 2 8 9" xfId="18347" xr:uid="{00000000-0005-0000-0000-00006B440000}"/>
    <cellStyle name="Normal 6 2 9" xfId="18348" xr:uid="{00000000-0005-0000-0000-00006C440000}"/>
    <cellStyle name="Normal 6 2 9 10" xfId="18349" xr:uid="{00000000-0005-0000-0000-00006D440000}"/>
    <cellStyle name="Normal 6 2 9 11" xfId="18350" xr:uid="{00000000-0005-0000-0000-00006E440000}"/>
    <cellStyle name="Normal 6 2 9 12" xfId="18351" xr:uid="{00000000-0005-0000-0000-00006F440000}"/>
    <cellStyle name="Normal 6 2 9 13" xfId="18352" xr:uid="{00000000-0005-0000-0000-000070440000}"/>
    <cellStyle name="Normal 6 2 9 14" xfId="18353" xr:uid="{00000000-0005-0000-0000-000071440000}"/>
    <cellStyle name="Normal 6 2 9 15" xfId="18354" xr:uid="{00000000-0005-0000-0000-000072440000}"/>
    <cellStyle name="Normal 6 2 9 2" xfId="18355" xr:uid="{00000000-0005-0000-0000-000073440000}"/>
    <cellStyle name="Normal 6 2 9 3" xfId="18356" xr:uid="{00000000-0005-0000-0000-000074440000}"/>
    <cellStyle name="Normal 6 2 9 4" xfId="18357" xr:uid="{00000000-0005-0000-0000-000075440000}"/>
    <cellStyle name="Normal 6 2 9 5" xfId="18358" xr:uid="{00000000-0005-0000-0000-000076440000}"/>
    <cellStyle name="Normal 6 2 9 6" xfId="18359" xr:uid="{00000000-0005-0000-0000-000077440000}"/>
    <cellStyle name="Normal 6 2 9 7" xfId="18360" xr:uid="{00000000-0005-0000-0000-000078440000}"/>
    <cellStyle name="Normal 6 2 9 8" xfId="18361" xr:uid="{00000000-0005-0000-0000-000079440000}"/>
    <cellStyle name="Normal 6 2 9 9" xfId="18362" xr:uid="{00000000-0005-0000-0000-00007A440000}"/>
    <cellStyle name="Normal 6 20" xfId="18363" xr:uid="{00000000-0005-0000-0000-00007B440000}"/>
    <cellStyle name="Normal 6 21" xfId="18364" xr:uid="{00000000-0005-0000-0000-00007C440000}"/>
    <cellStyle name="Normal 6 22" xfId="18365" xr:uid="{00000000-0005-0000-0000-00007D440000}"/>
    <cellStyle name="Normal 6 23" xfId="18366" xr:uid="{00000000-0005-0000-0000-00007E440000}"/>
    <cellStyle name="Normal 6 24" xfId="18367" xr:uid="{00000000-0005-0000-0000-00007F440000}"/>
    <cellStyle name="Normal 6 25" xfId="18368" xr:uid="{00000000-0005-0000-0000-000080440000}"/>
    <cellStyle name="Normal 6 26" xfId="18369" xr:uid="{00000000-0005-0000-0000-000081440000}"/>
    <cellStyle name="Normal 6 27" xfId="18370" xr:uid="{00000000-0005-0000-0000-000082440000}"/>
    <cellStyle name="Normal 6 28" xfId="18371" xr:uid="{00000000-0005-0000-0000-000083440000}"/>
    <cellStyle name="Normal 6 29" xfId="18372" xr:uid="{00000000-0005-0000-0000-000084440000}"/>
    <cellStyle name="Normal 6 3" xfId="18373" xr:uid="{00000000-0005-0000-0000-000085440000}"/>
    <cellStyle name="Normal 6 3 10" xfId="18374" xr:uid="{00000000-0005-0000-0000-000086440000}"/>
    <cellStyle name="Normal 6 3 11" xfId="18375" xr:uid="{00000000-0005-0000-0000-000087440000}"/>
    <cellStyle name="Normal 6 3 12" xfId="18376" xr:uid="{00000000-0005-0000-0000-000088440000}"/>
    <cellStyle name="Normal 6 3 13" xfId="18377" xr:uid="{00000000-0005-0000-0000-000089440000}"/>
    <cellStyle name="Normal 6 3 14" xfId="18378" xr:uid="{00000000-0005-0000-0000-00008A440000}"/>
    <cellStyle name="Normal 6 3 15" xfId="18379" xr:uid="{00000000-0005-0000-0000-00008B440000}"/>
    <cellStyle name="Normal 6 3 16" xfId="18380" xr:uid="{00000000-0005-0000-0000-00008C440000}"/>
    <cellStyle name="Normal 6 3 17" xfId="18381" xr:uid="{00000000-0005-0000-0000-00008D440000}"/>
    <cellStyle name="Normal 6 3 18" xfId="18382" xr:uid="{00000000-0005-0000-0000-00008E440000}"/>
    <cellStyle name="Normal 6 3 19" xfId="18383" xr:uid="{00000000-0005-0000-0000-00008F440000}"/>
    <cellStyle name="Normal 6 3 2" xfId="18384" xr:uid="{00000000-0005-0000-0000-000090440000}"/>
    <cellStyle name="Normal 6 3 2 10" xfId="18385" xr:uid="{00000000-0005-0000-0000-000091440000}"/>
    <cellStyle name="Normal 6 3 2 11" xfId="18386" xr:uid="{00000000-0005-0000-0000-000092440000}"/>
    <cellStyle name="Normal 6 3 2 12" xfId="18387" xr:uid="{00000000-0005-0000-0000-000093440000}"/>
    <cellStyle name="Normal 6 3 2 13" xfId="18388" xr:uid="{00000000-0005-0000-0000-000094440000}"/>
    <cellStyle name="Normal 6 3 2 14" xfId="18389" xr:uid="{00000000-0005-0000-0000-000095440000}"/>
    <cellStyle name="Normal 6 3 2 15" xfId="18390" xr:uid="{00000000-0005-0000-0000-000096440000}"/>
    <cellStyle name="Normal 6 3 2 16" xfId="18391" xr:uid="{00000000-0005-0000-0000-000097440000}"/>
    <cellStyle name="Normal 6 3 2 2" xfId="18392" xr:uid="{00000000-0005-0000-0000-000098440000}"/>
    <cellStyle name="Normal 6 3 2 2 2" xfId="18393" xr:uid="{00000000-0005-0000-0000-000099440000}"/>
    <cellStyle name="Normal 6 3 2 3" xfId="18394" xr:uid="{00000000-0005-0000-0000-00009A440000}"/>
    <cellStyle name="Normal 6 3 2 3 2" xfId="18395" xr:uid="{00000000-0005-0000-0000-00009B440000}"/>
    <cellStyle name="Normal 6 3 2 4" xfId="18396" xr:uid="{00000000-0005-0000-0000-00009C440000}"/>
    <cellStyle name="Normal 6 3 2 5" xfId="18397" xr:uid="{00000000-0005-0000-0000-00009D440000}"/>
    <cellStyle name="Normal 6 3 2 6" xfId="18398" xr:uid="{00000000-0005-0000-0000-00009E440000}"/>
    <cellStyle name="Normal 6 3 2 7" xfId="18399" xr:uid="{00000000-0005-0000-0000-00009F440000}"/>
    <cellStyle name="Normal 6 3 2 8" xfId="18400" xr:uid="{00000000-0005-0000-0000-0000A0440000}"/>
    <cellStyle name="Normal 6 3 2 9" xfId="18401" xr:uid="{00000000-0005-0000-0000-0000A1440000}"/>
    <cellStyle name="Normal 6 3 20" xfId="18402" xr:uid="{00000000-0005-0000-0000-0000A2440000}"/>
    <cellStyle name="Normal 6 3 21" xfId="18403" xr:uid="{00000000-0005-0000-0000-0000A3440000}"/>
    <cellStyle name="Normal 6 3 22" xfId="18404" xr:uid="{00000000-0005-0000-0000-0000A4440000}"/>
    <cellStyle name="Normal 6 3 23" xfId="18405" xr:uid="{00000000-0005-0000-0000-0000A5440000}"/>
    <cellStyle name="Normal 6 3 3" xfId="18406" xr:uid="{00000000-0005-0000-0000-0000A6440000}"/>
    <cellStyle name="Normal 6 3 3 10" xfId="18407" xr:uid="{00000000-0005-0000-0000-0000A7440000}"/>
    <cellStyle name="Normal 6 3 3 11" xfId="18408" xr:uid="{00000000-0005-0000-0000-0000A8440000}"/>
    <cellStyle name="Normal 6 3 3 12" xfId="18409" xr:uid="{00000000-0005-0000-0000-0000A9440000}"/>
    <cellStyle name="Normal 6 3 3 13" xfId="18410" xr:uid="{00000000-0005-0000-0000-0000AA440000}"/>
    <cellStyle name="Normal 6 3 3 14" xfId="18411" xr:uid="{00000000-0005-0000-0000-0000AB440000}"/>
    <cellStyle name="Normal 6 3 3 15" xfId="18412" xr:uid="{00000000-0005-0000-0000-0000AC440000}"/>
    <cellStyle name="Normal 6 3 3 16" xfId="18413" xr:uid="{00000000-0005-0000-0000-0000AD440000}"/>
    <cellStyle name="Normal 6 3 3 2" xfId="18414" xr:uid="{00000000-0005-0000-0000-0000AE440000}"/>
    <cellStyle name="Normal 6 3 3 3" xfId="18415" xr:uid="{00000000-0005-0000-0000-0000AF440000}"/>
    <cellStyle name="Normal 6 3 3 4" xfId="18416" xr:uid="{00000000-0005-0000-0000-0000B0440000}"/>
    <cellStyle name="Normal 6 3 3 5" xfId="18417" xr:uid="{00000000-0005-0000-0000-0000B1440000}"/>
    <cellStyle name="Normal 6 3 3 6" xfId="18418" xr:uid="{00000000-0005-0000-0000-0000B2440000}"/>
    <cellStyle name="Normal 6 3 3 7" xfId="18419" xr:uid="{00000000-0005-0000-0000-0000B3440000}"/>
    <cellStyle name="Normal 6 3 3 8" xfId="18420" xr:uid="{00000000-0005-0000-0000-0000B4440000}"/>
    <cellStyle name="Normal 6 3 3 9" xfId="18421" xr:uid="{00000000-0005-0000-0000-0000B5440000}"/>
    <cellStyle name="Normal 6 3 4" xfId="18422" xr:uid="{00000000-0005-0000-0000-0000B6440000}"/>
    <cellStyle name="Normal 6 3 4 10" xfId="18423" xr:uid="{00000000-0005-0000-0000-0000B7440000}"/>
    <cellStyle name="Normal 6 3 4 11" xfId="18424" xr:uid="{00000000-0005-0000-0000-0000B8440000}"/>
    <cellStyle name="Normal 6 3 4 12" xfId="18425" xr:uid="{00000000-0005-0000-0000-0000B9440000}"/>
    <cellStyle name="Normal 6 3 4 13" xfId="18426" xr:uid="{00000000-0005-0000-0000-0000BA440000}"/>
    <cellStyle name="Normal 6 3 4 14" xfId="18427" xr:uid="{00000000-0005-0000-0000-0000BB440000}"/>
    <cellStyle name="Normal 6 3 4 15" xfId="18428" xr:uid="{00000000-0005-0000-0000-0000BC440000}"/>
    <cellStyle name="Normal 6 3 4 16" xfId="18429" xr:uid="{00000000-0005-0000-0000-0000BD440000}"/>
    <cellStyle name="Normal 6 3 4 2" xfId="18430" xr:uid="{00000000-0005-0000-0000-0000BE440000}"/>
    <cellStyle name="Normal 6 3 4 3" xfId="18431" xr:uid="{00000000-0005-0000-0000-0000BF440000}"/>
    <cellStyle name="Normal 6 3 4 4" xfId="18432" xr:uid="{00000000-0005-0000-0000-0000C0440000}"/>
    <cellStyle name="Normal 6 3 4 5" xfId="18433" xr:uid="{00000000-0005-0000-0000-0000C1440000}"/>
    <cellStyle name="Normal 6 3 4 6" xfId="18434" xr:uid="{00000000-0005-0000-0000-0000C2440000}"/>
    <cellStyle name="Normal 6 3 4 7" xfId="18435" xr:uid="{00000000-0005-0000-0000-0000C3440000}"/>
    <cellStyle name="Normal 6 3 4 8" xfId="18436" xr:uid="{00000000-0005-0000-0000-0000C4440000}"/>
    <cellStyle name="Normal 6 3 4 9" xfId="18437" xr:uid="{00000000-0005-0000-0000-0000C5440000}"/>
    <cellStyle name="Normal 6 3 5" xfId="18438" xr:uid="{00000000-0005-0000-0000-0000C6440000}"/>
    <cellStyle name="Normal 6 3 5 10" xfId="18439" xr:uid="{00000000-0005-0000-0000-0000C7440000}"/>
    <cellStyle name="Normal 6 3 5 11" xfId="18440" xr:uid="{00000000-0005-0000-0000-0000C8440000}"/>
    <cellStyle name="Normal 6 3 5 12" xfId="18441" xr:uid="{00000000-0005-0000-0000-0000C9440000}"/>
    <cellStyle name="Normal 6 3 5 13" xfId="18442" xr:uid="{00000000-0005-0000-0000-0000CA440000}"/>
    <cellStyle name="Normal 6 3 5 14" xfId="18443" xr:uid="{00000000-0005-0000-0000-0000CB440000}"/>
    <cellStyle name="Normal 6 3 5 15" xfId="18444" xr:uid="{00000000-0005-0000-0000-0000CC440000}"/>
    <cellStyle name="Normal 6 3 5 2" xfId="18445" xr:uid="{00000000-0005-0000-0000-0000CD440000}"/>
    <cellStyle name="Normal 6 3 5 3" xfId="18446" xr:uid="{00000000-0005-0000-0000-0000CE440000}"/>
    <cellStyle name="Normal 6 3 5 4" xfId="18447" xr:uid="{00000000-0005-0000-0000-0000CF440000}"/>
    <cellStyle name="Normal 6 3 5 5" xfId="18448" xr:uid="{00000000-0005-0000-0000-0000D0440000}"/>
    <cellStyle name="Normal 6 3 5 6" xfId="18449" xr:uid="{00000000-0005-0000-0000-0000D1440000}"/>
    <cellStyle name="Normal 6 3 5 7" xfId="18450" xr:uid="{00000000-0005-0000-0000-0000D2440000}"/>
    <cellStyle name="Normal 6 3 5 8" xfId="18451" xr:uid="{00000000-0005-0000-0000-0000D3440000}"/>
    <cellStyle name="Normal 6 3 5 9" xfId="18452" xr:uid="{00000000-0005-0000-0000-0000D4440000}"/>
    <cellStyle name="Normal 6 3 6" xfId="18453" xr:uid="{00000000-0005-0000-0000-0000D5440000}"/>
    <cellStyle name="Normal 6 3 6 10" xfId="18454" xr:uid="{00000000-0005-0000-0000-0000D6440000}"/>
    <cellStyle name="Normal 6 3 6 11" xfId="18455" xr:uid="{00000000-0005-0000-0000-0000D7440000}"/>
    <cellStyle name="Normal 6 3 6 12" xfId="18456" xr:uid="{00000000-0005-0000-0000-0000D8440000}"/>
    <cellStyle name="Normal 6 3 6 13" xfId="18457" xr:uid="{00000000-0005-0000-0000-0000D9440000}"/>
    <cellStyle name="Normal 6 3 6 14" xfId="18458" xr:uid="{00000000-0005-0000-0000-0000DA440000}"/>
    <cellStyle name="Normal 6 3 6 15" xfId="18459" xr:uid="{00000000-0005-0000-0000-0000DB440000}"/>
    <cellStyle name="Normal 6 3 6 2" xfId="18460" xr:uid="{00000000-0005-0000-0000-0000DC440000}"/>
    <cellStyle name="Normal 6 3 6 3" xfId="18461" xr:uid="{00000000-0005-0000-0000-0000DD440000}"/>
    <cellStyle name="Normal 6 3 6 4" xfId="18462" xr:uid="{00000000-0005-0000-0000-0000DE440000}"/>
    <cellStyle name="Normal 6 3 6 5" xfId="18463" xr:uid="{00000000-0005-0000-0000-0000DF440000}"/>
    <cellStyle name="Normal 6 3 6 6" xfId="18464" xr:uid="{00000000-0005-0000-0000-0000E0440000}"/>
    <cellStyle name="Normal 6 3 6 7" xfId="18465" xr:uid="{00000000-0005-0000-0000-0000E1440000}"/>
    <cellStyle name="Normal 6 3 6 8" xfId="18466" xr:uid="{00000000-0005-0000-0000-0000E2440000}"/>
    <cellStyle name="Normal 6 3 6 9" xfId="18467" xr:uid="{00000000-0005-0000-0000-0000E3440000}"/>
    <cellStyle name="Normal 6 3 7" xfId="18468" xr:uid="{00000000-0005-0000-0000-0000E4440000}"/>
    <cellStyle name="Normal 6 3 7 10" xfId="18469" xr:uid="{00000000-0005-0000-0000-0000E5440000}"/>
    <cellStyle name="Normal 6 3 7 11" xfId="18470" xr:uid="{00000000-0005-0000-0000-0000E6440000}"/>
    <cellStyle name="Normal 6 3 7 12" xfId="18471" xr:uid="{00000000-0005-0000-0000-0000E7440000}"/>
    <cellStyle name="Normal 6 3 7 13" xfId="18472" xr:uid="{00000000-0005-0000-0000-0000E8440000}"/>
    <cellStyle name="Normal 6 3 7 14" xfId="18473" xr:uid="{00000000-0005-0000-0000-0000E9440000}"/>
    <cellStyle name="Normal 6 3 7 15" xfId="18474" xr:uid="{00000000-0005-0000-0000-0000EA440000}"/>
    <cellStyle name="Normal 6 3 7 2" xfId="18475" xr:uid="{00000000-0005-0000-0000-0000EB440000}"/>
    <cellStyle name="Normal 6 3 7 3" xfId="18476" xr:uid="{00000000-0005-0000-0000-0000EC440000}"/>
    <cellStyle name="Normal 6 3 7 4" xfId="18477" xr:uid="{00000000-0005-0000-0000-0000ED440000}"/>
    <cellStyle name="Normal 6 3 7 5" xfId="18478" xr:uid="{00000000-0005-0000-0000-0000EE440000}"/>
    <cellStyle name="Normal 6 3 7 6" xfId="18479" xr:uid="{00000000-0005-0000-0000-0000EF440000}"/>
    <cellStyle name="Normal 6 3 7 7" xfId="18480" xr:uid="{00000000-0005-0000-0000-0000F0440000}"/>
    <cellStyle name="Normal 6 3 7 8" xfId="18481" xr:uid="{00000000-0005-0000-0000-0000F1440000}"/>
    <cellStyle name="Normal 6 3 7 9" xfId="18482" xr:uid="{00000000-0005-0000-0000-0000F2440000}"/>
    <cellStyle name="Normal 6 3 8" xfId="18483" xr:uid="{00000000-0005-0000-0000-0000F3440000}"/>
    <cellStyle name="Normal 6 3 8 10" xfId="18484" xr:uid="{00000000-0005-0000-0000-0000F4440000}"/>
    <cellStyle name="Normal 6 3 8 11" xfId="18485" xr:uid="{00000000-0005-0000-0000-0000F5440000}"/>
    <cellStyle name="Normal 6 3 8 12" xfId="18486" xr:uid="{00000000-0005-0000-0000-0000F6440000}"/>
    <cellStyle name="Normal 6 3 8 13" xfId="18487" xr:uid="{00000000-0005-0000-0000-0000F7440000}"/>
    <cellStyle name="Normal 6 3 8 14" xfId="18488" xr:uid="{00000000-0005-0000-0000-0000F8440000}"/>
    <cellStyle name="Normal 6 3 8 15" xfId="18489" xr:uid="{00000000-0005-0000-0000-0000F9440000}"/>
    <cellStyle name="Normal 6 3 8 2" xfId="18490" xr:uid="{00000000-0005-0000-0000-0000FA440000}"/>
    <cellStyle name="Normal 6 3 8 3" xfId="18491" xr:uid="{00000000-0005-0000-0000-0000FB440000}"/>
    <cellStyle name="Normal 6 3 8 4" xfId="18492" xr:uid="{00000000-0005-0000-0000-0000FC440000}"/>
    <cellStyle name="Normal 6 3 8 5" xfId="18493" xr:uid="{00000000-0005-0000-0000-0000FD440000}"/>
    <cellStyle name="Normal 6 3 8 6" xfId="18494" xr:uid="{00000000-0005-0000-0000-0000FE440000}"/>
    <cellStyle name="Normal 6 3 8 7" xfId="18495" xr:uid="{00000000-0005-0000-0000-0000FF440000}"/>
    <cellStyle name="Normal 6 3 8 8" xfId="18496" xr:uid="{00000000-0005-0000-0000-000000450000}"/>
    <cellStyle name="Normal 6 3 8 9" xfId="18497" xr:uid="{00000000-0005-0000-0000-000001450000}"/>
    <cellStyle name="Normal 6 3 9" xfId="18498" xr:uid="{00000000-0005-0000-0000-000002450000}"/>
    <cellStyle name="Normal 6 30" xfId="18499" xr:uid="{00000000-0005-0000-0000-000003450000}"/>
    <cellStyle name="Normal 6 31" xfId="18500" xr:uid="{00000000-0005-0000-0000-000004450000}"/>
    <cellStyle name="Normal 6 32" xfId="18501" xr:uid="{00000000-0005-0000-0000-000005450000}"/>
    <cellStyle name="Normal 6 4" xfId="18502" xr:uid="{00000000-0005-0000-0000-000006450000}"/>
    <cellStyle name="Normal 6 4 10" xfId="18503" xr:uid="{00000000-0005-0000-0000-000007450000}"/>
    <cellStyle name="Normal 6 4 11" xfId="18504" xr:uid="{00000000-0005-0000-0000-000008450000}"/>
    <cellStyle name="Normal 6 4 12" xfId="18505" xr:uid="{00000000-0005-0000-0000-000009450000}"/>
    <cellStyle name="Normal 6 4 13" xfId="18506" xr:uid="{00000000-0005-0000-0000-00000A450000}"/>
    <cellStyle name="Normal 6 4 14" xfId="18507" xr:uid="{00000000-0005-0000-0000-00000B450000}"/>
    <cellStyle name="Normal 6 4 15" xfId="18508" xr:uid="{00000000-0005-0000-0000-00000C450000}"/>
    <cellStyle name="Normal 6 4 16" xfId="18509" xr:uid="{00000000-0005-0000-0000-00000D450000}"/>
    <cellStyle name="Normal 6 4 17" xfId="18510" xr:uid="{00000000-0005-0000-0000-00000E450000}"/>
    <cellStyle name="Normal 6 4 18" xfId="18511" xr:uid="{00000000-0005-0000-0000-00000F450000}"/>
    <cellStyle name="Normal 6 4 19" xfId="18512" xr:uid="{00000000-0005-0000-0000-000010450000}"/>
    <cellStyle name="Normal 6 4 2" xfId="18513" xr:uid="{00000000-0005-0000-0000-000011450000}"/>
    <cellStyle name="Normal 6 4 2 10" xfId="18514" xr:uid="{00000000-0005-0000-0000-000012450000}"/>
    <cellStyle name="Normal 6 4 2 11" xfId="18515" xr:uid="{00000000-0005-0000-0000-000013450000}"/>
    <cellStyle name="Normal 6 4 2 12" xfId="18516" xr:uid="{00000000-0005-0000-0000-000014450000}"/>
    <cellStyle name="Normal 6 4 2 13" xfId="18517" xr:uid="{00000000-0005-0000-0000-000015450000}"/>
    <cellStyle name="Normal 6 4 2 14" xfId="18518" xr:uid="{00000000-0005-0000-0000-000016450000}"/>
    <cellStyle name="Normal 6 4 2 15" xfId="18519" xr:uid="{00000000-0005-0000-0000-000017450000}"/>
    <cellStyle name="Normal 6 4 2 2" xfId="18520" xr:uid="{00000000-0005-0000-0000-000018450000}"/>
    <cellStyle name="Normal 6 4 2 3" xfId="18521" xr:uid="{00000000-0005-0000-0000-000019450000}"/>
    <cellStyle name="Normal 6 4 2 4" xfId="18522" xr:uid="{00000000-0005-0000-0000-00001A450000}"/>
    <cellStyle name="Normal 6 4 2 5" xfId="18523" xr:uid="{00000000-0005-0000-0000-00001B450000}"/>
    <cellStyle name="Normal 6 4 2 6" xfId="18524" xr:uid="{00000000-0005-0000-0000-00001C450000}"/>
    <cellStyle name="Normal 6 4 2 7" xfId="18525" xr:uid="{00000000-0005-0000-0000-00001D450000}"/>
    <cellStyle name="Normal 6 4 2 8" xfId="18526" xr:uid="{00000000-0005-0000-0000-00001E450000}"/>
    <cellStyle name="Normal 6 4 2 9" xfId="18527" xr:uid="{00000000-0005-0000-0000-00001F450000}"/>
    <cellStyle name="Normal 6 4 20" xfId="18528" xr:uid="{00000000-0005-0000-0000-000020450000}"/>
    <cellStyle name="Normal 6 4 21" xfId="18529" xr:uid="{00000000-0005-0000-0000-000021450000}"/>
    <cellStyle name="Normal 6 4 22" xfId="18530" xr:uid="{00000000-0005-0000-0000-000022450000}"/>
    <cellStyle name="Normal 6 4 23" xfId="18531" xr:uid="{00000000-0005-0000-0000-000023450000}"/>
    <cellStyle name="Normal 6 4 3" xfId="18532" xr:uid="{00000000-0005-0000-0000-000024450000}"/>
    <cellStyle name="Normal 6 4 3 10" xfId="18533" xr:uid="{00000000-0005-0000-0000-000025450000}"/>
    <cellStyle name="Normal 6 4 3 11" xfId="18534" xr:uid="{00000000-0005-0000-0000-000026450000}"/>
    <cellStyle name="Normal 6 4 3 12" xfId="18535" xr:uid="{00000000-0005-0000-0000-000027450000}"/>
    <cellStyle name="Normal 6 4 3 13" xfId="18536" xr:uid="{00000000-0005-0000-0000-000028450000}"/>
    <cellStyle name="Normal 6 4 3 14" xfId="18537" xr:uid="{00000000-0005-0000-0000-000029450000}"/>
    <cellStyle name="Normal 6 4 3 15" xfId="18538" xr:uid="{00000000-0005-0000-0000-00002A450000}"/>
    <cellStyle name="Normal 6 4 3 2" xfId="18539" xr:uid="{00000000-0005-0000-0000-00002B450000}"/>
    <cellStyle name="Normal 6 4 3 3" xfId="18540" xr:uid="{00000000-0005-0000-0000-00002C450000}"/>
    <cellStyle name="Normal 6 4 3 4" xfId="18541" xr:uid="{00000000-0005-0000-0000-00002D450000}"/>
    <cellStyle name="Normal 6 4 3 5" xfId="18542" xr:uid="{00000000-0005-0000-0000-00002E450000}"/>
    <cellStyle name="Normal 6 4 3 6" xfId="18543" xr:uid="{00000000-0005-0000-0000-00002F450000}"/>
    <cellStyle name="Normal 6 4 3 7" xfId="18544" xr:uid="{00000000-0005-0000-0000-000030450000}"/>
    <cellStyle name="Normal 6 4 3 8" xfId="18545" xr:uid="{00000000-0005-0000-0000-000031450000}"/>
    <cellStyle name="Normal 6 4 3 9" xfId="18546" xr:uid="{00000000-0005-0000-0000-000032450000}"/>
    <cellStyle name="Normal 6 4 4" xfId="18547" xr:uid="{00000000-0005-0000-0000-000033450000}"/>
    <cellStyle name="Normal 6 4 4 10" xfId="18548" xr:uid="{00000000-0005-0000-0000-000034450000}"/>
    <cellStyle name="Normal 6 4 4 11" xfId="18549" xr:uid="{00000000-0005-0000-0000-000035450000}"/>
    <cellStyle name="Normal 6 4 4 12" xfId="18550" xr:uid="{00000000-0005-0000-0000-000036450000}"/>
    <cellStyle name="Normal 6 4 4 13" xfId="18551" xr:uid="{00000000-0005-0000-0000-000037450000}"/>
    <cellStyle name="Normal 6 4 4 14" xfId="18552" xr:uid="{00000000-0005-0000-0000-000038450000}"/>
    <cellStyle name="Normal 6 4 4 15" xfId="18553" xr:uid="{00000000-0005-0000-0000-000039450000}"/>
    <cellStyle name="Normal 6 4 4 2" xfId="18554" xr:uid="{00000000-0005-0000-0000-00003A450000}"/>
    <cellStyle name="Normal 6 4 4 3" xfId="18555" xr:uid="{00000000-0005-0000-0000-00003B450000}"/>
    <cellStyle name="Normal 6 4 4 4" xfId="18556" xr:uid="{00000000-0005-0000-0000-00003C450000}"/>
    <cellStyle name="Normal 6 4 4 5" xfId="18557" xr:uid="{00000000-0005-0000-0000-00003D450000}"/>
    <cellStyle name="Normal 6 4 4 6" xfId="18558" xr:uid="{00000000-0005-0000-0000-00003E450000}"/>
    <cellStyle name="Normal 6 4 4 7" xfId="18559" xr:uid="{00000000-0005-0000-0000-00003F450000}"/>
    <cellStyle name="Normal 6 4 4 8" xfId="18560" xr:uid="{00000000-0005-0000-0000-000040450000}"/>
    <cellStyle name="Normal 6 4 4 9" xfId="18561" xr:uid="{00000000-0005-0000-0000-000041450000}"/>
    <cellStyle name="Normal 6 4 5" xfId="18562" xr:uid="{00000000-0005-0000-0000-000042450000}"/>
    <cellStyle name="Normal 6 4 5 10" xfId="18563" xr:uid="{00000000-0005-0000-0000-000043450000}"/>
    <cellStyle name="Normal 6 4 5 11" xfId="18564" xr:uid="{00000000-0005-0000-0000-000044450000}"/>
    <cellStyle name="Normal 6 4 5 12" xfId="18565" xr:uid="{00000000-0005-0000-0000-000045450000}"/>
    <cellStyle name="Normal 6 4 5 13" xfId="18566" xr:uid="{00000000-0005-0000-0000-000046450000}"/>
    <cellStyle name="Normal 6 4 5 14" xfId="18567" xr:uid="{00000000-0005-0000-0000-000047450000}"/>
    <cellStyle name="Normal 6 4 5 15" xfId="18568" xr:uid="{00000000-0005-0000-0000-000048450000}"/>
    <cellStyle name="Normal 6 4 5 2" xfId="18569" xr:uid="{00000000-0005-0000-0000-000049450000}"/>
    <cellStyle name="Normal 6 4 5 3" xfId="18570" xr:uid="{00000000-0005-0000-0000-00004A450000}"/>
    <cellStyle name="Normal 6 4 5 4" xfId="18571" xr:uid="{00000000-0005-0000-0000-00004B450000}"/>
    <cellStyle name="Normal 6 4 5 5" xfId="18572" xr:uid="{00000000-0005-0000-0000-00004C450000}"/>
    <cellStyle name="Normal 6 4 5 6" xfId="18573" xr:uid="{00000000-0005-0000-0000-00004D450000}"/>
    <cellStyle name="Normal 6 4 5 7" xfId="18574" xr:uid="{00000000-0005-0000-0000-00004E450000}"/>
    <cellStyle name="Normal 6 4 5 8" xfId="18575" xr:uid="{00000000-0005-0000-0000-00004F450000}"/>
    <cellStyle name="Normal 6 4 5 9" xfId="18576" xr:uid="{00000000-0005-0000-0000-000050450000}"/>
    <cellStyle name="Normal 6 4 6" xfId="18577" xr:uid="{00000000-0005-0000-0000-000051450000}"/>
    <cellStyle name="Normal 6 4 6 10" xfId="18578" xr:uid="{00000000-0005-0000-0000-000052450000}"/>
    <cellStyle name="Normal 6 4 6 11" xfId="18579" xr:uid="{00000000-0005-0000-0000-000053450000}"/>
    <cellStyle name="Normal 6 4 6 12" xfId="18580" xr:uid="{00000000-0005-0000-0000-000054450000}"/>
    <cellStyle name="Normal 6 4 6 13" xfId="18581" xr:uid="{00000000-0005-0000-0000-000055450000}"/>
    <cellStyle name="Normal 6 4 6 14" xfId="18582" xr:uid="{00000000-0005-0000-0000-000056450000}"/>
    <cellStyle name="Normal 6 4 6 15" xfId="18583" xr:uid="{00000000-0005-0000-0000-000057450000}"/>
    <cellStyle name="Normal 6 4 6 2" xfId="18584" xr:uid="{00000000-0005-0000-0000-000058450000}"/>
    <cellStyle name="Normal 6 4 6 3" xfId="18585" xr:uid="{00000000-0005-0000-0000-000059450000}"/>
    <cellStyle name="Normal 6 4 6 4" xfId="18586" xr:uid="{00000000-0005-0000-0000-00005A450000}"/>
    <cellStyle name="Normal 6 4 6 5" xfId="18587" xr:uid="{00000000-0005-0000-0000-00005B450000}"/>
    <cellStyle name="Normal 6 4 6 6" xfId="18588" xr:uid="{00000000-0005-0000-0000-00005C450000}"/>
    <cellStyle name="Normal 6 4 6 7" xfId="18589" xr:uid="{00000000-0005-0000-0000-00005D450000}"/>
    <cellStyle name="Normal 6 4 6 8" xfId="18590" xr:uid="{00000000-0005-0000-0000-00005E450000}"/>
    <cellStyle name="Normal 6 4 6 9" xfId="18591" xr:uid="{00000000-0005-0000-0000-00005F450000}"/>
    <cellStyle name="Normal 6 4 7" xfId="18592" xr:uid="{00000000-0005-0000-0000-000060450000}"/>
    <cellStyle name="Normal 6 4 7 10" xfId="18593" xr:uid="{00000000-0005-0000-0000-000061450000}"/>
    <cellStyle name="Normal 6 4 7 11" xfId="18594" xr:uid="{00000000-0005-0000-0000-000062450000}"/>
    <cellStyle name="Normal 6 4 7 12" xfId="18595" xr:uid="{00000000-0005-0000-0000-000063450000}"/>
    <cellStyle name="Normal 6 4 7 13" xfId="18596" xr:uid="{00000000-0005-0000-0000-000064450000}"/>
    <cellStyle name="Normal 6 4 7 14" xfId="18597" xr:uid="{00000000-0005-0000-0000-000065450000}"/>
    <cellStyle name="Normal 6 4 7 15" xfId="18598" xr:uid="{00000000-0005-0000-0000-000066450000}"/>
    <cellStyle name="Normal 6 4 7 2" xfId="18599" xr:uid="{00000000-0005-0000-0000-000067450000}"/>
    <cellStyle name="Normal 6 4 7 3" xfId="18600" xr:uid="{00000000-0005-0000-0000-000068450000}"/>
    <cellStyle name="Normal 6 4 7 4" xfId="18601" xr:uid="{00000000-0005-0000-0000-000069450000}"/>
    <cellStyle name="Normal 6 4 7 5" xfId="18602" xr:uid="{00000000-0005-0000-0000-00006A450000}"/>
    <cellStyle name="Normal 6 4 7 6" xfId="18603" xr:uid="{00000000-0005-0000-0000-00006B450000}"/>
    <cellStyle name="Normal 6 4 7 7" xfId="18604" xr:uid="{00000000-0005-0000-0000-00006C450000}"/>
    <cellStyle name="Normal 6 4 7 8" xfId="18605" xr:uid="{00000000-0005-0000-0000-00006D450000}"/>
    <cellStyle name="Normal 6 4 7 9" xfId="18606" xr:uid="{00000000-0005-0000-0000-00006E450000}"/>
    <cellStyle name="Normal 6 4 8" xfId="18607" xr:uid="{00000000-0005-0000-0000-00006F450000}"/>
    <cellStyle name="Normal 6 4 8 10" xfId="18608" xr:uid="{00000000-0005-0000-0000-000070450000}"/>
    <cellStyle name="Normal 6 4 8 11" xfId="18609" xr:uid="{00000000-0005-0000-0000-000071450000}"/>
    <cellStyle name="Normal 6 4 8 12" xfId="18610" xr:uid="{00000000-0005-0000-0000-000072450000}"/>
    <cellStyle name="Normal 6 4 8 13" xfId="18611" xr:uid="{00000000-0005-0000-0000-000073450000}"/>
    <cellStyle name="Normal 6 4 8 14" xfId="18612" xr:uid="{00000000-0005-0000-0000-000074450000}"/>
    <cellStyle name="Normal 6 4 8 15" xfId="18613" xr:uid="{00000000-0005-0000-0000-000075450000}"/>
    <cellStyle name="Normal 6 4 8 2" xfId="18614" xr:uid="{00000000-0005-0000-0000-000076450000}"/>
    <cellStyle name="Normal 6 4 8 3" xfId="18615" xr:uid="{00000000-0005-0000-0000-000077450000}"/>
    <cellStyle name="Normal 6 4 8 4" xfId="18616" xr:uid="{00000000-0005-0000-0000-000078450000}"/>
    <cellStyle name="Normal 6 4 8 5" xfId="18617" xr:uid="{00000000-0005-0000-0000-000079450000}"/>
    <cellStyle name="Normal 6 4 8 6" xfId="18618" xr:uid="{00000000-0005-0000-0000-00007A450000}"/>
    <cellStyle name="Normal 6 4 8 7" xfId="18619" xr:uid="{00000000-0005-0000-0000-00007B450000}"/>
    <cellStyle name="Normal 6 4 8 8" xfId="18620" xr:uid="{00000000-0005-0000-0000-00007C450000}"/>
    <cellStyle name="Normal 6 4 8 9" xfId="18621" xr:uid="{00000000-0005-0000-0000-00007D450000}"/>
    <cellStyle name="Normal 6 4 9" xfId="18622" xr:uid="{00000000-0005-0000-0000-00007E450000}"/>
    <cellStyle name="Normal 6 5" xfId="18623" xr:uid="{00000000-0005-0000-0000-00007F450000}"/>
    <cellStyle name="Normal 6 5 10" xfId="18624" xr:uid="{00000000-0005-0000-0000-000080450000}"/>
    <cellStyle name="Normal 6 5 11" xfId="18625" xr:uid="{00000000-0005-0000-0000-000081450000}"/>
    <cellStyle name="Normal 6 5 12" xfId="18626" xr:uid="{00000000-0005-0000-0000-000082450000}"/>
    <cellStyle name="Normal 6 5 13" xfId="18627" xr:uid="{00000000-0005-0000-0000-000083450000}"/>
    <cellStyle name="Normal 6 5 14" xfId="18628" xr:uid="{00000000-0005-0000-0000-000084450000}"/>
    <cellStyle name="Normal 6 5 15" xfId="18629" xr:uid="{00000000-0005-0000-0000-000085450000}"/>
    <cellStyle name="Normal 6 5 16" xfId="18630" xr:uid="{00000000-0005-0000-0000-000086450000}"/>
    <cellStyle name="Normal 6 5 17" xfId="18631" xr:uid="{00000000-0005-0000-0000-000087450000}"/>
    <cellStyle name="Normal 6 5 18" xfId="18632" xr:uid="{00000000-0005-0000-0000-000088450000}"/>
    <cellStyle name="Normal 6 5 19" xfId="18633" xr:uid="{00000000-0005-0000-0000-000089450000}"/>
    <cellStyle name="Normal 6 5 2" xfId="18634" xr:uid="{00000000-0005-0000-0000-00008A450000}"/>
    <cellStyle name="Normal 6 5 2 10" xfId="18635" xr:uid="{00000000-0005-0000-0000-00008B450000}"/>
    <cellStyle name="Normal 6 5 2 11" xfId="18636" xr:uid="{00000000-0005-0000-0000-00008C450000}"/>
    <cellStyle name="Normal 6 5 2 12" xfId="18637" xr:uid="{00000000-0005-0000-0000-00008D450000}"/>
    <cellStyle name="Normal 6 5 2 13" xfId="18638" xr:uid="{00000000-0005-0000-0000-00008E450000}"/>
    <cellStyle name="Normal 6 5 2 14" xfId="18639" xr:uid="{00000000-0005-0000-0000-00008F450000}"/>
    <cellStyle name="Normal 6 5 2 15" xfId="18640" xr:uid="{00000000-0005-0000-0000-000090450000}"/>
    <cellStyle name="Normal 6 5 2 2" xfId="18641" xr:uid="{00000000-0005-0000-0000-000091450000}"/>
    <cellStyle name="Normal 6 5 2 3" xfId="18642" xr:uid="{00000000-0005-0000-0000-000092450000}"/>
    <cellStyle name="Normal 6 5 2 4" xfId="18643" xr:uid="{00000000-0005-0000-0000-000093450000}"/>
    <cellStyle name="Normal 6 5 2 5" xfId="18644" xr:uid="{00000000-0005-0000-0000-000094450000}"/>
    <cellStyle name="Normal 6 5 2 6" xfId="18645" xr:uid="{00000000-0005-0000-0000-000095450000}"/>
    <cellStyle name="Normal 6 5 2 7" xfId="18646" xr:uid="{00000000-0005-0000-0000-000096450000}"/>
    <cellStyle name="Normal 6 5 2 8" xfId="18647" xr:uid="{00000000-0005-0000-0000-000097450000}"/>
    <cellStyle name="Normal 6 5 2 9" xfId="18648" xr:uid="{00000000-0005-0000-0000-000098450000}"/>
    <cellStyle name="Normal 6 5 20" xfId="18649" xr:uid="{00000000-0005-0000-0000-000099450000}"/>
    <cellStyle name="Normal 6 5 21" xfId="18650" xr:uid="{00000000-0005-0000-0000-00009A450000}"/>
    <cellStyle name="Normal 6 5 22" xfId="18651" xr:uid="{00000000-0005-0000-0000-00009B450000}"/>
    <cellStyle name="Normal 6 5 23" xfId="18652" xr:uid="{00000000-0005-0000-0000-00009C450000}"/>
    <cellStyle name="Normal 6 5 3" xfId="18653" xr:uid="{00000000-0005-0000-0000-00009D450000}"/>
    <cellStyle name="Normal 6 5 3 10" xfId="18654" xr:uid="{00000000-0005-0000-0000-00009E450000}"/>
    <cellStyle name="Normal 6 5 3 11" xfId="18655" xr:uid="{00000000-0005-0000-0000-00009F450000}"/>
    <cellStyle name="Normal 6 5 3 12" xfId="18656" xr:uid="{00000000-0005-0000-0000-0000A0450000}"/>
    <cellStyle name="Normal 6 5 3 13" xfId="18657" xr:uid="{00000000-0005-0000-0000-0000A1450000}"/>
    <cellStyle name="Normal 6 5 3 14" xfId="18658" xr:uid="{00000000-0005-0000-0000-0000A2450000}"/>
    <cellStyle name="Normal 6 5 3 15" xfId="18659" xr:uid="{00000000-0005-0000-0000-0000A3450000}"/>
    <cellStyle name="Normal 6 5 3 2" xfId="18660" xr:uid="{00000000-0005-0000-0000-0000A4450000}"/>
    <cellStyle name="Normal 6 5 3 3" xfId="18661" xr:uid="{00000000-0005-0000-0000-0000A5450000}"/>
    <cellStyle name="Normal 6 5 3 4" xfId="18662" xr:uid="{00000000-0005-0000-0000-0000A6450000}"/>
    <cellStyle name="Normal 6 5 3 5" xfId="18663" xr:uid="{00000000-0005-0000-0000-0000A7450000}"/>
    <cellStyle name="Normal 6 5 3 6" xfId="18664" xr:uid="{00000000-0005-0000-0000-0000A8450000}"/>
    <cellStyle name="Normal 6 5 3 7" xfId="18665" xr:uid="{00000000-0005-0000-0000-0000A9450000}"/>
    <cellStyle name="Normal 6 5 3 8" xfId="18666" xr:uid="{00000000-0005-0000-0000-0000AA450000}"/>
    <cellStyle name="Normal 6 5 3 9" xfId="18667" xr:uid="{00000000-0005-0000-0000-0000AB450000}"/>
    <cellStyle name="Normal 6 5 4" xfId="18668" xr:uid="{00000000-0005-0000-0000-0000AC450000}"/>
    <cellStyle name="Normal 6 5 4 10" xfId="18669" xr:uid="{00000000-0005-0000-0000-0000AD450000}"/>
    <cellStyle name="Normal 6 5 4 11" xfId="18670" xr:uid="{00000000-0005-0000-0000-0000AE450000}"/>
    <cellStyle name="Normal 6 5 4 12" xfId="18671" xr:uid="{00000000-0005-0000-0000-0000AF450000}"/>
    <cellStyle name="Normal 6 5 4 13" xfId="18672" xr:uid="{00000000-0005-0000-0000-0000B0450000}"/>
    <cellStyle name="Normal 6 5 4 14" xfId="18673" xr:uid="{00000000-0005-0000-0000-0000B1450000}"/>
    <cellStyle name="Normal 6 5 4 15" xfId="18674" xr:uid="{00000000-0005-0000-0000-0000B2450000}"/>
    <cellStyle name="Normal 6 5 4 2" xfId="18675" xr:uid="{00000000-0005-0000-0000-0000B3450000}"/>
    <cellStyle name="Normal 6 5 4 3" xfId="18676" xr:uid="{00000000-0005-0000-0000-0000B4450000}"/>
    <cellStyle name="Normal 6 5 4 4" xfId="18677" xr:uid="{00000000-0005-0000-0000-0000B5450000}"/>
    <cellStyle name="Normal 6 5 4 5" xfId="18678" xr:uid="{00000000-0005-0000-0000-0000B6450000}"/>
    <cellStyle name="Normal 6 5 4 6" xfId="18679" xr:uid="{00000000-0005-0000-0000-0000B7450000}"/>
    <cellStyle name="Normal 6 5 4 7" xfId="18680" xr:uid="{00000000-0005-0000-0000-0000B8450000}"/>
    <cellStyle name="Normal 6 5 4 8" xfId="18681" xr:uid="{00000000-0005-0000-0000-0000B9450000}"/>
    <cellStyle name="Normal 6 5 4 9" xfId="18682" xr:uid="{00000000-0005-0000-0000-0000BA450000}"/>
    <cellStyle name="Normal 6 5 5" xfId="18683" xr:uid="{00000000-0005-0000-0000-0000BB450000}"/>
    <cellStyle name="Normal 6 5 5 10" xfId="18684" xr:uid="{00000000-0005-0000-0000-0000BC450000}"/>
    <cellStyle name="Normal 6 5 5 11" xfId="18685" xr:uid="{00000000-0005-0000-0000-0000BD450000}"/>
    <cellStyle name="Normal 6 5 5 12" xfId="18686" xr:uid="{00000000-0005-0000-0000-0000BE450000}"/>
    <cellStyle name="Normal 6 5 5 13" xfId="18687" xr:uid="{00000000-0005-0000-0000-0000BF450000}"/>
    <cellStyle name="Normal 6 5 5 14" xfId="18688" xr:uid="{00000000-0005-0000-0000-0000C0450000}"/>
    <cellStyle name="Normal 6 5 5 15" xfId="18689" xr:uid="{00000000-0005-0000-0000-0000C1450000}"/>
    <cellStyle name="Normal 6 5 5 2" xfId="18690" xr:uid="{00000000-0005-0000-0000-0000C2450000}"/>
    <cellStyle name="Normal 6 5 5 3" xfId="18691" xr:uid="{00000000-0005-0000-0000-0000C3450000}"/>
    <cellStyle name="Normal 6 5 5 4" xfId="18692" xr:uid="{00000000-0005-0000-0000-0000C4450000}"/>
    <cellStyle name="Normal 6 5 5 5" xfId="18693" xr:uid="{00000000-0005-0000-0000-0000C5450000}"/>
    <cellStyle name="Normal 6 5 5 6" xfId="18694" xr:uid="{00000000-0005-0000-0000-0000C6450000}"/>
    <cellStyle name="Normal 6 5 5 7" xfId="18695" xr:uid="{00000000-0005-0000-0000-0000C7450000}"/>
    <cellStyle name="Normal 6 5 5 8" xfId="18696" xr:uid="{00000000-0005-0000-0000-0000C8450000}"/>
    <cellStyle name="Normal 6 5 5 9" xfId="18697" xr:uid="{00000000-0005-0000-0000-0000C9450000}"/>
    <cellStyle name="Normal 6 5 6" xfId="18698" xr:uid="{00000000-0005-0000-0000-0000CA450000}"/>
    <cellStyle name="Normal 6 5 6 10" xfId="18699" xr:uid="{00000000-0005-0000-0000-0000CB450000}"/>
    <cellStyle name="Normal 6 5 6 11" xfId="18700" xr:uid="{00000000-0005-0000-0000-0000CC450000}"/>
    <cellStyle name="Normal 6 5 6 12" xfId="18701" xr:uid="{00000000-0005-0000-0000-0000CD450000}"/>
    <cellStyle name="Normal 6 5 6 13" xfId="18702" xr:uid="{00000000-0005-0000-0000-0000CE450000}"/>
    <cellStyle name="Normal 6 5 6 14" xfId="18703" xr:uid="{00000000-0005-0000-0000-0000CF450000}"/>
    <cellStyle name="Normal 6 5 6 15" xfId="18704" xr:uid="{00000000-0005-0000-0000-0000D0450000}"/>
    <cellStyle name="Normal 6 5 6 2" xfId="18705" xr:uid="{00000000-0005-0000-0000-0000D1450000}"/>
    <cellStyle name="Normal 6 5 6 3" xfId="18706" xr:uid="{00000000-0005-0000-0000-0000D2450000}"/>
    <cellStyle name="Normal 6 5 6 4" xfId="18707" xr:uid="{00000000-0005-0000-0000-0000D3450000}"/>
    <cellStyle name="Normal 6 5 6 5" xfId="18708" xr:uid="{00000000-0005-0000-0000-0000D4450000}"/>
    <cellStyle name="Normal 6 5 6 6" xfId="18709" xr:uid="{00000000-0005-0000-0000-0000D5450000}"/>
    <cellStyle name="Normal 6 5 6 7" xfId="18710" xr:uid="{00000000-0005-0000-0000-0000D6450000}"/>
    <cellStyle name="Normal 6 5 6 8" xfId="18711" xr:uid="{00000000-0005-0000-0000-0000D7450000}"/>
    <cellStyle name="Normal 6 5 6 9" xfId="18712" xr:uid="{00000000-0005-0000-0000-0000D8450000}"/>
    <cellStyle name="Normal 6 5 7" xfId="18713" xr:uid="{00000000-0005-0000-0000-0000D9450000}"/>
    <cellStyle name="Normal 6 5 7 10" xfId="18714" xr:uid="{00000000-0005-0000-0000-0000DA450000}"/>
    <cellStyle name="Normal 6 5 7 11" xfId="18715" xr:uid="{00000000-0005-0000-0000-0000DB450000}"/>
    <cellStyle name="Normal 6 5 7 12" xfId="18716" xr:uid="{00000000-0005-0000-0000-0000DC450000}"/>
    <cellStyle name="Normal 6 5 7 13" xfId="18717" xr:uid="{00000000-0005-0000-0000-0000DD450000}"/>
    <cellStyle name="Normal 6 5 7 14" xfId="18718" xr:uid="{00000000-0005-0000-0000-0000DE450000}"/>
    <cellStyle name="Normal 6 5 7 15" xfId="18719" xr:uid="{00000000-0005-0000-0000-0000DF450000}"/>
    <cellStyle name="Normal 6 5 7 2" xfId="18720" xr:uid="{00000000-0005-0000-0000-0000E0450000}"/>
    <cellStyle name="Normal 6 5 7 3" xfId="18721" xr:uid="{00000000-0005-0000-0000-0000E1450000}"/>
    <cellStyle name="Normal 6 5 7 4" xfId="18722" xr:uid="{00000000-0005-0000-0000-0000E2450000}"/>
    <cellStyle name="Normal 6 5 7 5" xfId="18723" xr:uid="{00000000-0005-0000-0000-0000E3450000}"/>
    <cellStyle name="Normal 6 5 7 6" xfId="18724" xr:uid="{00000000-0005-0000-0000-0000E4450000}"/>
    <cellStyle name="Normal 6 5 7 7" xfId="18725" xr:uid="{00000000-0005-0000-0000-0000E5450000}"/>
    <cellStyle name="Normal 6 5 7 8" xfId="18726" xr:uid="{00000000-0005-0000-0000-0000E6450000}"/>
    <cellStyle name="Normal 6 5 7 9" xfId="18727" xr:uid="{00000000-0005-0000-0000-0000E7450000}"/>
    <cellStyle name="Normal 6 5 8" xfId="18728" xr:uid="{00000000-0005-0000-0000-0000E8450000}"/>
    <cellStyle name="Normal 6 5 8 10" xfId="18729" xr:uid="{00000000-0005-0000-0000-0000E9450000}"/>
    <cellStyle name="Normal 6 5 8 11" xfId="18730" xr:uid="{00000000-0005-0000-0000-0000EA450000}"/>
    <cellStyle name="Normal 6 5 8 12" xfId="18731" xr:uid="{00000000-0005-0000-0000-0000EB450000}"/>
    <cellStyle name="Normal 6 5 8 13" xfId="18732" xr:uid="{00000000-0005-0000-0000-0000EC450000}"/>
    <cellStyle name="Normal 6 5 8 14" xfId="18733" xr:uid="{00000000-0005-0000-0000-0000ED450000}"/>
    <cellStyle name="Normal 6 5 8 15" xfId="18734" xr:uid="{00000000-0005-0000-0000-0000EE450000}"/>
    <cellStyle name="Normal 6 5 8 2" xfId="18735" xr:uid="{00000000-0005-0000-0000-0000EF450000}"/>
    <cellStyle name="Normal 6 5 8 3" xfId="18736" xr:uid="{00000000-0005-0000-0000-0000F0450000}"/>
    <cellStyle name="Normal 6 5 8 4" xfId="18737" xr:uid="{00000000-0005-0000-0000-0000F1450000}"/>
    <cellStyle name="Normal 6 5 8 5" xfId="18738" xr:uid="{00000000-0005-0000-0000-0000F2450000}"/>
    <cellStyle name="Normal 6 5 8 6" xfId="18739" xr:uid="{00000000-0005-0000-0000-0000F3450000}"/>
    <cellStyle name="Normal 6 5 8 7" xfId="18740" xr:uid="{00000000-0005-0000-0000-0000F4450000}"/>
    <cellStyle name="Normal 6 5 8 8" xfId="18741" xr:uid="{00000000-0005-0000-0000-0000F5450000}"/>
    <cellStyle name="Normal 6 5 8 9" xfId="18742" xr:uid="{00000000-0005-0000-0000-0000F6450000}"/>
    <cellStyle name="Normal 6 5 9" xfId="18743" xr:uid="{00000000-0005-0000-0000-0000F7450000}"/>
    <cellStyle name="Normal 6 6" xfId="18744" xr:uid="{00000000-0005-0000-0000-0000F8450000}"/>
    <cellStyle name="Normal 6 6 10" xfId="18745" xr:uid="{00000000-0005-0000-0000-0000F9450000}"/>
    <cellStyle name="Normal 6 6 11" xfId="18746" xr:uid="{00000000-0005-0000-0000-0000FA450000}"/>
    <cellStyle name="Normal 6 6 12" xfId="18747" xr:uid="{00000000-0005-0000-0000-0000FB450000}"/>
    <cellStyle name="Normal 6 6 13" xfId="18748" xr:uid="{00000000-0005-0000-0000-0000FC450000}"/>
    <cellStyle name="Normal 6 6 14" xfId="18749" xr:uid="{00000000-0005-0000-0000-0000FD450000}"/>
    <cellStyle name="Normal 6 6 15" xfId="18750" xr:uid="{00000000-0005-0000-0000-0000FE450000}"/>
    <cellStyle name="Normal 6 6 16" xfId="18751" xr:uid="{00000000-0005-0000-0000-0000FF450000}"/>
    <cellStyle name="Normal 6 6 17" xfId="18752" xr:uid="{00000000-0005-0000-0000-000000460000}"/>
    <cellStyle name="Normal 6 6 18" xfId="18753" xr:uid="{00000000-0005-0000-0000-000001460000}"/>
    <cellStyle name="Normal 6 6 2" xfId="18754" xr:uid="{00000000-0005-0000-0000-000002460000}"/>
    <cellStyle name="Normal 6 6 2 10" xfId="18755" xr:uid="{00000000-0005-0000-0000-000003460000}"/>
    <cellStyle name="Normal 6 6 2 11" xfId="18756" xr:uid="{00000000-0005-0000-0000-000004460000}"/>
    <cellStyle name="Normal 6 6 2 12" xfId="18757" xr:uid="{00000000-0005-0000-0000-000005460000}"/>
    <cellStyle name="Normal 6 6 2 13" xfId="18758" xr:uid="{00000000-0005-0000-0000-000006460000}"/>
    <cellStyle name="Normal 6 6 2 14" xfId="18759" xr:uid="{00000000-0005-0000-0000-000007460000}"/>
    <cellStyle name="Normal 6 6 2 15" xfId="18760" xr:uid="{00000000-0005-0000-0000-000008460000}"/>
    <cellStyle name="Normal 6 6 2 2" xfId="18761" xr:uid="{00000000-0005-0000-0000-000009460000}"/>
    <cellStyle name="Normal 6 6 2 3" xfId="18762" xr:uid="{00000000-0005-0000-0000-00000A460000}"/>
    <cellStyle name="Normal 6 6 2 4" xfId="18763" xr:uid="{00000000-0005-0000-0000-00000B460000}"/>
    <cellStyle name="Normal 6 6 2 5" xfId="18764" xr:uid="{00000000-0005-0000-0000-00000C460000}"/>
    <cellStyle name="Normal 6 6 2 6" xfId="18765" xr:uid="{00000000-0005-0000-0000-00000D460000}"/>
    <cellStyle name="Normal 6 6 2 7" xfId="18766" xr:uid="{00000000-0005-0000-0000-00000E460000}"/>
    <cellStyle name="Normal 6 6 2 8" xfId="18767" xr:uid="{00000000-0005-0000-0000-00000F460000}"/>
    <cellStyle name="Normal 6 6 2 9" xfId="18768" xr:uid="{00000000-0005-0000-0000-000010460000}"/>
    <cellStyle name="Normal 6 6 3" xfId="18769" xr:uid="{00000000-0005-0000-0000-000011460000}"/>
    <cellStyle name="Normal 6 6 3 10" xfId="18770" xr:uid="{00000000-0005-0000-0000-000012460000}"/>
    <cellStyle name="Normal 6 6 3 11" xfId="18771" xr:uid="{00000000-0005-0000-0000-000013460000}"/>
    <cellStyle name="Normal 6 6 3 12" xfId="18772" xr:uid="{00000000-0005-0000-0000-000014460000}"/>
    <cellStyle name="Normal 6 6 3 13" xfId="18773" xr:uid="{00000000-0005-0000-0000-000015460000}"/>
    <cellStyle name="Normal 6 6 3 14" xfId="18774" xr:uid="{00000000-0005-0000-0000-000016460000}"/>
    <cellStyle name="Normal 6 6 3 15" xfId="18775" xr:uid="{00000000-0005-0000-0000-000017460000}"/>
    <cellStyle name="Normal 6 6 3 2" xfId="18776" xr:uid="{00000000-0005-0000-0000-000018460000}"/>
    <cellStyle name="Normal 6 6 3 3" xfId="18777" xr:uid="{00000000-0005-0000-0000-000019460000}"/>
    <cellStyle name="Normal 6 6 3 4" xfId="18778" xr:uid="{00000000-0005-0000-0000-00001A460000}"/>
    <cellStyle name="Normal 6 6 3 5" xfId="18779" xr:uid="{00000000-0005-0000-0000-00001B460000}"/>
    <cellStyle name="Normal 6 6 3 6" xfId="18780" xr:uid="{00000000-0005-0000-0000-00001C460000}"/>
    <cellStyle name="Normal 6 6 3 7" xfId="18781" xr:uid="{00000000-0005-0000-0000-00001D460000}"/>
    <cellStyle name="Normal 6 6 3 8" xfId="18782" xr:uid="{00000000-0005-0000-0000-00001E460000}"/>
    <cellStyle name="Normal 6 6 3 9" xfId="18783" xr:uid="{00000000-0005-0000-0000-00001F460000}"/>
    <cellStyle name="Normal 6 6 4" xfId="18784" xr:uid="{00000000-0005-0000-0000-000020460000}"/>
    <cellStyle name="Normal 6 6 4 10" xfId="18785" xr:uid="{00000000-0005-0000-0000-000021460000}"/>
    <cellStyle name="Normal 6 6 4 11" xfId="18786" xr:uid="{00000000-0005-0000-0000-000022460000}"/>
    <cellStyle name="Normal 6 6 4 12" xfId="18787" xr:uid="{00000000-0005-0000-0000-000023460000}"/>
    <cellStyle name="Normal 6 6 4 13" xfId="18788" xr:uid="{00000000-0005-0000-0000-000024460000}"/>
    <cellStyle name="Normal 6 6 4 14" xfId="18789" xr:uid="{00000000-0005-0000-0000-000025460000}"/>
    <cellStyle name="Normal 6 6 4 15" xfId="18790" xr:uid="{00000000-0005-0000-0000-000026460000}"/>
    <cellStyle name="Normal 6 6 4 2" xfId="18791" xr:uid="{00000000-0005-0000-0000-000027460000}"/>
    <cellStyle name="Normal 6 6 4 3" xfId="18792" xr:uid="{00000000-0005-0000-0000-000028460000}"/>
    <cellStyle name="Normal 6 6 4 4" xfId="18793" xr:uid="{00000000-0005-0000-0000-000029460000}"/>
    <cellStyle name="Normal 6 6 4 5" xfId="18794" xr:uid="{00000000-0005-0000-0000-00002A460000}"/>
    <cellStyle name="Normal 6 6 4 6" xfId="18795" xr:uid="{00000000-0005-0000-0000-00002B460000}"/>
    <cellStyle name="Normal 6 6 4 7" xfId="18796" xr:uid="{00000000-0005-0000-0000-00002C460000}"/>
    <cellStyle name="Normal 6 6 4 8" xfId="18797" xr:uid="{00000000-0005-0000-0000-00002D460000}"/>
    <cellStyle name="Normal 6 6 4 9" xfId="18798" xr:uid="{00000000-0005-0000-0000-00002E460000}"/>
    <cellStyle name="Normal 6 6 5" xfId="18799" xr:uid="{00000000-0005-0000-0000-00002F460000}"/>
    <cellStyle name="Normal 6 6 6" xfId="18800" xr:uid="{00000000-0005-0000-0000-000030460000}"/>
    <cellStyle name="Normal 6 6 7" xfId="18801" xr:uid="{00000000-0005-0000-0000-000031460000}"/>
    <cellStyle name="Normal 6 6 8" xfId="18802" xr:uid="{00000000-0005-0000-0000-000032460000}"/>
    <cellStyle name="Normal 6 6 9" xfId="18803" xr:uid="{00000000-0005-0000-0000-000033460000}"/>
    <cellStyle name="Normal 6 7" xfId="18804" xr:uid="{00000000-0005-0000-0000-000034460000}"/>
    <cellStyle name="Normal 6 7 10" xfId="18805" xr:uid="{00000000-0005-0000-0000-000035460000}"/>
    <cellStyle name="Normal 6 7 11" xfId="18806" xr:uid="{00000000-0005-0000-0000-000036460000}"/>
    <cellStyle name="Normal 6 7 12" xfId="18807" xr:uid="{00000000-0005-0000-0000-000037460000}"/>
    <cellStyle name="Normal 6 7 13" xfId="18808" xr:uid="{00000000-0005-0000-0000-000038460000}"/>
    <cellStyle name="Normal 6 7 14" xfId="18809" xr:uid="{00000000-0005-0000-0000-000039460000}"/>
    <cellStyle name="Normal 6 7 15" xfId="18810" xr:uid="{00000000-0005-0000-0000-00003A460000}"/>
    <cellStyle name="Normal 6 7 2" xfId="18811" xr:uid="{00000000-0005-0000-0000-00003B460000}"/>
    <cellStyle name="Normal 6 7 3" xfId="18812" xr:uid="{00000000-0005-0000-0000-00003C460000}"/>
    <cellStyle name="Normal 6 7 4" xfId="18813" xr:uid="{00000000-0005-0000-0000-00003D460000}"/>
    <cellStyle name="Normal 6 7 5" xfId="18814" xr:uid="{00000000-0005-0000-0000-00003E460000}"/>
    <cellStyle name="Normal 6 7 6" xfId="18815" xr:uid="{00000000-0005-0000-0000-00003F460000}"/>
    <cellStyle name="Normal 6 7 7" xfId="18816" xr:uid="{00000000-0005-0000-0000-000040460000}"/>
    <cellStyle name="Normal 6 7 8" xfId="18817" xr:uid="{00000000-0005-0000-0000-000041460000}"/>
    <cellStyle name="Normal 6 7 9" xfId="18818" xr:uid="{00000000-0005-0000-0000-000042460000}"/>
    <cellStyle name="Normal 6 8" xfId="18819" xr:uid="{00000000-0005-0000-0000-000043460000}"/>
    <cellStyle name="Normal 6 8 10" xfId="18820" xr:uid="{00000000-0005-0000-0000-000044460000}"/>
    <cellStyle name="Normal 6 8 11" xfId="18821" xr:uid="{00000000-0005-0000-0000-000045460000}"/>
    <cellStyle name="Normal 6 8 12" xfId="18822" xr:uid="{00000000-0005-0000-0000-000046460000}"/>
    <cellStyle name="Normal 6 8 13" xfId="18823" xr:uid="{00000000-0005-0000-0000-000047460000}"/>
    <cellStyle name="Normal 6 8 14" xfId="18824" xr:uid="{00000000-0005-0000-0000-000048460000}"/>
    <cellStyle name="Normal 6 8 15" xfId="18825" xr:uid="{00000000-0005-0000-0000-000049460000}"/>
    <cellStyle name="Normal 6 8 2" xfId="18826" xr:uid="{00000000-0005-0000-0000-00004A460000}"/>
    <cellStyle name="Normal 6 8 3" xfId="18827" xr:uid="{00000000-0005-0000-0000-00004B460000}"/>
    <cellStyle name="Normal 6 8 4" xfId="18828" xr:uid="{00000000-0005-0000-0000-00004C460000}"/>
    <cellStyle name="Normal 6 8 5" xfId="18829" xr:uid="{00000000-0005-0000-0000-00004D460000}"/>
    <cellStyle name="Normal 6 8 6" xfId="18830" xr:uid="{00000000-0005-0000-0000-00004E460000}"/>
    <cellStyle name="Normal 6 8 7" xfId="18831" xr:uid="{00000000-0005-0000-0000-00004F460000}"/>
    <cellStyle name="Normal 6 8 8" xfId="18832" xr:uid="{00000000-0005-0000-0000-000050460000}"/>
    <cellStyle name="Normal 6 8 9" xfId="18833" xr:uid="{00000000-0005-0000-0000-000051460000}"/>
    <cellStyle name="Normal 6 9" xfId="18834" xr:uid="{00000000-0005-0000-0000-000052460000}"/>
    <cellStyle name="Normal 6 9 10" xfId="18835" xr:uid="{00000000-0005-0000-0000-000053460000}"/>
    <cellStyle name="Normal 6 9 11" xfId="18836" xr:uid="{00000000-0005-0000-0000-000054460000}"/>
    <cellStyle name="Normal 6 9 12" xfId="18837" xr:uid="{00000000-0005-0000-0000-000055460000}"/>
    <cellStyle name="Normal 6 9 13" xfId="18838" xr:uid="{00000000-0005-0000-0000-000056460000}"/>
    <cellStyle name="Normal 6 9 14" xfId="18839" xr:uid="{00000000-0005-0000-0000-000057460000}"/>
    <cellStyle name="Normal 6 9 15" xfId="18840" xr:uid="{00000000-0005-0000-0000-000058460000}"/>
    <cellStyle name="Normal 6 9 2" xfId="18841" xr:uid="{00000000-0005-0000-0000-000059460000}"/>
    <cellStyle name="Normal 6 9 3" xfId="18842" xr:uid="{00000000-0005-0000-0000-00005A460000}"/>
    <cellStyle name="Normal 6 9 4" xfId="18843" xr:uid="{00000000-0005-0000-0000-00005B460000}"/>
    <cellStyle name="Normal 6 9 5" xfId="18844" xr:uid="{00000000-0005-0000-0000-00005C460000}"/>
    <cellStyle name="Normal 6 9 6" xfId="18845" xr:uid="{00000000-0005-0000-0000-00005D460000}"/>
    <cellStyle name="Normal 6 9 7" xfId="18846" xr:uid="{00000000-0005-0000-0000-00005E460000}"/>
    <cellStyle name="Normal 6 9 8" xfId="18847" xr:uid="{00000000-0005-0000-0000-00005F460000}"/>
    <cellStyle name="Normal 6 9 9" xfId="18848" xr:uid="{00000000-0005-0000-0000-000060460000}"/>
    <cellStyle name="Normal 7" xfId="100" xr:uid="{00000000-0005-0000-0000-000094000000}"/>
    <cellStyle name="Normal 7 10" xfId="18849" xr:uid="{00000000-0005-0000-0000-000062460000}"/>
    <cellStyle name="Normal 7 10 10" xfId="18850" xr:uid="{00000000-0005-0000-0000-000063460000}"/>
    <cellStyle name="Normal 7 10 11" xfId="18851" xr:uid="{00000000-0005-0000-0000-000064460000}"/>
    <cellStyle name="Normal 7 10 12" xfId="18852" xr:uid="{00000000-0005-0000-0000-000065460000}"/>
    <cellStyle name="Normal 7 10 13" xfId="18853" xr:uid="{00000000-0005-0000-0000-000066460000}"/>
    <cellStyle name="Normal 7 10 14" xfId="18854" xr:uid="{00000000-0005-0000-0000-000067460000}"/>
    <cellStyle name="Normal 7 10 15" xfId="18855" xr:uid="{00000000-0005-0000-0000-000068460000}"/>
    <cellStyle name="Normal 7 10 2" xfId="18856" xr:uid="{00000000-0005-0000-0000-000069460000}"/>
    <cellStyle name="Normal 7 10 3" xfId="18857" xr:uid="{00000000-0005-0000-0000-00006A460000}"/>
    <cellStyle name="Normal 7 10 4" xfId="18858" xr:uid="{00000000-0005-0000-0000-00006B460000}"/>
    <cellStyle name="Normal 7 10 5" xfId="18859" xr:uid="{00000000-0005-0000-0000-00006C460000}"/>
    <cellStyle name="Normal 7 10 6" xfId="18860" xr:uid="{00000000-0005-0000-0000-00006D460000}"/>
    <cellStyle name="Normal 7 10 7" xfId="18861" xr:uid="{00000000-0005-0000-0000-00006E460000}"/>
    <cellStyle name="Normal 7 10 8" xfId="18862" xr:uid="{00000000-0005-0000-0000-00006F460000}"/>
    <cellStyle name="Normal 7 10 9" xfId="18863" xr:uid="{00000000-0005-0000-0000-000070460000}"/>
    <cellStyle name="Normal 7 11" xfId="18864" xr:uid="{00000000-0005-0000-0000-000071460000}"/>
    <cellStyle name="Normal 7 11 10" xfId="18865" xr:uid="{00000000-0005-0000-0000-000072460000}"/>
    <cellStyle name="Normal 7 11 11" xfId="18866" xr:uid="{00000000-0005-0000-0000-000073460000}"/>
    <cellStyle name="Normal 7 11 12" xfId="18867" xr:uid="{00000000-0005-0000-0000-000074460000}"/>
    <cellStyle name="Normal 7 11 13" xfId="18868" xr:uid="{00000000-0005-0000-0000-000075460000}"/>
    <cellStyle name="Normal 7 11 14" xfId="18869" xr:uid="{00000000-0005-0000-0000-000076460000}"/>
    <cellStyle name="Normal 7 11 15" xfId="18870" xr:uid="{00000000-0005-0000-0000-000077460000}"/>
    <cellStyle name="Normal 7 11 2" xfId="18871" xr:uid="{00000000-0005-0000-0000-000078460000}"/>
    <cellStyle name="Normal 7 11 3" xfId="18872" xr:uid="{00000000-0005-0000-0000-000079460000}"/>
    <cellStyle name="Normal 7 11 4" xfId="18873" xr:uid="{00000000-0005-0000-0000-00007A460000}"/>
    <cellStyle name="Normal 7 11 5" xfId="18874" xr:uid="{00000000-0005-0000-0000-00007B460000}"/>
    <cellStyle name="Normal 7 11 6" xfId="18875" xr:uid="{00000000-0005-0000-0000-00007C460000}"/>
    <cellStyle name="Normal 7 11 7" xfId="18876" xr:uid="{00000000-0005-0000-0000-00007D460000}"/>
    <cellStyle name="Normal 7 11 8" xfId="18877" xr:uid="{00000000-0005-0000-0000-00007E460000}"/>
    <cellStyle name="Normal 7 11 9" xfId="18878" xr:uid="{00000000-0005-0000-0000-00007F460000}"/>
    <cellStyle name="Normal 7 12" xfId="18879" xr:uid="{00000000-0005-0000-0000-000080460000}"/>
    <cellStyle name="Normal 7 12 10" xfId="18880" xr:uid="{00000000-0005-0000-0000-000081460000}"/>
    <cellStyle name="Normal 7 12 11" xfId="18881" xr:uid="{00000000-0005-0000-0000-000082460000}"/>
    <cellStyle name="Normal 7 12 12" xfId="18882" xr:uid="{00000000-0005-0000-0000-000083460000}"/>
    <cellStyle name="Normal 7 12 13" xfId="18883" xr:uid="{00000000-0005-0000-0000-000084460000}"/>
    <cellStyle name="Normal 7 12 14" xfId="18884" xr:uid="{00000000-0005-0000-0000-000085460000}"/>
    <cellStyle name="Normal 7 12 15" xfId="18885" xr:uid="{00000000-0005-0000-0000-000086460000}"/>
    <cellStyle name="Normal 7 12 2" xfId="18886" xr:uid="{00000000-0005-0000-0000-000087460000}"/>
    <cellStyle name="Normal 7 12 3" xfId="18887" xr:uid="{00000000-0005-0000-0000-000088460000}"/>
    <cellStyle name="Normal 7 12 4" xfId="18888" xr:uid="{00000000-0005-0000-0000-000089460000}"/>
    <cellStyle name="Normal 7 12 5" xfId="18889" xr:uid="{00000000-0005-0000-0000-00008A460000}"/>
    <cellStyle name="Normal 7 12 6" xfId="18890" xr:uid="{00000000-0005-0000-0000-00008B460000}"/>
    <cellStyle name="Normal 7 12 7" xfId="18891" xr:uid="{00000000-0005-0000-0000-00008C460000}"/>
    <cellStyle name="Normal 7 12 8" xfId="18892" xr:uid="{00000000-0005-0000-0000-00008D460000}"/>
    <cellStyle name="Normal 7 12 9" xfId="18893" xr:uid="{00000000-0005-0000-0000-00008E460000}"/>
    <cellStyle name="Normal 7 13" xfId="18894" xr:uid="{00000000-0005-0000-0000-00008F460000}"/>
    <cellStyle name="Normal 7 13 2" xfId="18895" xr:uid="{00000000-0005-0000-0000-000090460000}"/>
    <cellStyle name="Normal 7 13 3" xfId="18896" xr:uid="{00000000-0005-0000-0000-000091460000}"/>
    <cellStyle name="Normal 7 14" xfId="18897" xr:uid="{00000000-0005-0000-0000-000092460000}"/>
    <cellStyle name="Normal 7 15" xfId="18898" xr:uid="{00000000-0005-0000-0000-000093460000}"/>
    <cellStyle name="Normal 7 16" xfId="18899" xr:uid="{00000000-0005-0000-0000-000094460000}"/>
    <cellStyle name="Normal 7 17" xfId="18900" xr:uid="{00000000-0005-0000-0000-000095460000}"/>
    <cellStyle name="Normal 7 18" xfId="18901" xr:uid="{00000000-0005-0000-0000-000096460000}"/>
    <cellStyle name="Normal 7 19" xfId="18902" xr:uid="{00000000-0005-0000-0000-000097460000}"/>
    <cellStyle name="Normal 7 2" xfId="172" xr:uid="{00000000-0005-0000-0000-00005F030000}"/>
    <cellStyle name="Normal 7 2 10" xfId="18904" xr:uid="{00000000-0005-0000-0000-000099460000}"/>
    <cellStyle name="Normal 7 2 11" xfId="18905" xr:uid="{00000000-0005-0000-0000-00009A460000}"/>
    <cellStyle name="Normal 7 2 12" xfId="18906" xr:uid="{00000000-0005-0000-0000-00009B460000}"/>
    <cellStyle name="Normal 7 2 13" xfId="18907" xr:uid="{00000000-0005-0000-0000-00009C460000}"/>
    <cellStyle name="Normal 7 2 14" xfId="18908" xr:uid="{00000000-0005-0000-0000-00009D460000}"/>
    <cellStyle name="Normal 7 2 15" xfId="18909" xr:uid="{00000000-0005-0000-0000-00009E460000}"/>
    <cellStyle name="Normal 7 2 16" xfId="18910" xr:uid="{00000000-0005-0000-0000-00009F460000}"/>
    <cellStyle name="Normal 7 2 17" xfId="18911" xr:uid="{00000000-0005-0000-0000-0000A0460000}"/>
    <cellStyle name="Normal 7 2 18" xfId="18912" xr:uid="{00000000-0005-0000-0000-0000A1460000}"/>
    <cellStyle name="Normal 7 2 19" xfId="18913" xr:uid="{00000000-0005-0000-0000-0000A2460000}"/>
    <cellStyle name="Normal 7 2 2" xfId="18914" xr:uid="{00000000-0005-0000-0000-0000A3460000}"/>
    <cellStyle name="Normal 7 2 2 10" xfId="18915" xr:uid="{00000000-0005-0000-0000-0000A4460000}"/>
    <cellStyle name="Normal 7 2 2 11" xfId="18916" xr:uid="{00000000-0005-0000-0000-0000A5460000}"/>
    <cellStyle name="Normal 7 2 2 12" xfId="18917" xr:uid="{00000000-0005-0000-0000-0000A6460000}"/>
    <cellStyle name="Normal 7 2 2 13" xfId="18918" xr:uid="{00000000-0005-0000-0000-0000A7460000}"/>
    <cellStyle name="Normal 7 2 2 14" xfId="18919" xr:uid="{00000000-0005-0000-0000-0000A8460000}"/>
    <cellStyle name="Normal 7 2 2 15" xfId="18920" xr:uid="{00000000-0005-0000-0000-0000A9460000}"/>
    <cellStyle name="Normal 7 2 2 16" xfId="18921" xr:uid="{00000000-0005-0000-0000-0000AA460000}"/>
    <cellStyle name="Normal 7 2 2 17" xfId="18922" xr:uid="{00000000-0005-0000-0000-0000AB460000}"/>
    <cellStyle name="Normal 7 2 2 18" xfId="18923" xr:uid="{00000000-0005-0000-0000-0000AC460000}"/>
    <cellStyle name="Normal 7 2 2 2" xfId="18924" xr:uid="{00000000-0005-0000-0000-0000AD460000}"/>
    <cellStyle name="Normal 7 2 2 2 2" xfId="18925" xr:uid="{00000000-0005-0000-0000-0000AE460000}"/>
    <cellStyle name="Normal 7 2 2 2 3" xfId="18926" xr:uid="{00000000-0005-0000-0000-0000AF460000}"/>
    <cellStyle name="Normal 7 2 2 3" xfId="18927" xr:uid="{00000000-0005-0000-0000-0000B0460000}"/>
    <cellStyle name="Normal 7 2 2 4" xfId="18928" xr:uid="{00000000-0005-0000-0000-0000B1460000}"/>
    <cellStyle name="Normal 7 2 2 5" xfId="18929" xr:uid="{00000000-0005-0000-0000-0000B2460000}"/>
    <cellStyle name="Normal 7 2 2 6" xfId="18930" xr:uid="{00000000-0005-0000-0000-0000B3460000}"/>
    <cellStyle name="Normal 7 2 2 7" xfId="18931" xr:uid="{00000000-0005-0000-0000-0000B4460000}"/>
    <cellStyle name="Normal 7 2 2 8" xfId="18932" xr:uid="{00000000-0005-0000-0000-0000B5460000}"/>
    <cellStyle name="Normal 7 2 2 9" xfId="18933" xr:uid="{00000000-0005-0000-0000-0000B6460000}"/>
    <cellStyle name="Normal 7 2 20" xfId="18934" xr:uid="{00000000-0005-0000-0000-0000B7460000}"/>
    <cellStyle name="Normal 7 2 21" xfId="18935" xr:uid="{00000000-0005-0000-0000-0000B8460000}"/>
    <cellStyle name="Normal 7 2 22" xfId="18903" xr:uid="{00000000-0005-0000-0000-000098460000}"/>
    <cellStyle name="Normal 7 2 3" xfId="18936" xr:uid="{00000000-0005-0000-0000-0000B9460000}"/>
    <cellStyle name="Normal 7 2 3 10" xfId="18937" xr:uid="{00000000-0005-0000-0000-0000BA460000}"/>
    <cellStyle name="Normal 7 2 3 11" xfId="18938" xr:uid="{00000000-0005-0000-0000-0000BB460000}"/>
    <cellStyle name="Normal 7 2 3 12" xfId="18939" xr:uid="{00000000-0005-0000-0000-0000BC460000}"/>
    <cellStyle name="Normal 7 2 3 13" xfId="18940" xr:uid="{00000000-0005-0000-0000-0000BD460000}"/>
    <cellStyle name="Normal 7 2 3 14" xfId="18941" xr:uid="{00000000-0005-0000-0000-0000BE460000}"/>
    <cellStyle name="Normal 7 2 3 15" xfId="18942" xr:uid="{00000000-0005-0000-0000-0000BF460000}"/>
    <cellStyle name="Normal 7 2 3 2" xfId="18943" xr:uid="{00000000-0005-0000-0000-0000C0460000}"/>
    <cellStyle name="Normal 7 2 3 3" xfId="18944" xr:uid="{00000000-0005-0000-0000-0000C1460000}"/>
    <cellStyle name="Normal 7 2 3 4" xfId="18945" xr:uid="{00000000-0005-0000-0000-0000C2460000}"/>
    <cellStyle name="Normal 7 2 3 5" xfId="18946" xr:uid="{00000000-0005-0000-0000-0000C3460000}"/>
    <cellStyle name="Normal 7 2 3 6" xfId="18947" xr:uid="{00000000-0005-0000-0000-0000C4460000}"/>
    <cellStyle name="Normal 7 2 3 7" xfId="18948" xr:uid="{00000000-0005-0000-0000-0000C5460000}"/>
    <cellStyle name="Normal 7 2 3 8" xfId="18949" xr:uid="{00000000-0005-0000-0000-0000C6460000}"/>
    <cellStyle name="Normal 7 2 3 9" xfId="18950" xr:uid="{00000000-0005-0000-0000-0000C7460000}"/>
    <cellStyle name="Normal 7 2 4" xfId="18951" xr:uid="{00000000-0005-0000-0000-0000C8460000}"/>
    <cellStyle name="Normal 7 2 4 10" xfId="18952" xr:uid="{00000000-0005-0000-0000-0000C9460000}"/>
    <cellStyle name="Normal 7 2 4 11" xfId="18953" xr:uid="{00000000-0005-0000-0000-0000CA460000}"/>
    <cellStyle name="Normal 7 2 4 12" xfId="18954" xr:uid="{00000000-0005-0000-0000-0000CB460000}"/>
    <cellStyle name="Normal 7 2 4 13" xfId="18955" xr:uid="{00000000-0005-0000-0000-0000CC460000}"/>
    <cellStyle name="Normal 7 2 4 14" xfId="18956" xr:uid="{00000000-0005-0000-0000-0000CD460000}"/>
    <cellStyle name="Normal 7 2 4 15" xfId="18957" xr:uid="{00000000-0005-0000-0000-0000CE460000}"/>
    <cellStyle name="Normal 7 2 4 2" xfId="18958" xr:uid="{00000000-0005-0000-0000-0000CF460000}"/>
    <cellStyle name="Normal 7 2 4 3" xfId="18959" xr:uid="{00000000-0005-0000-0000-0000D0460000}"/>
    <cellStyle name="Normal 7 2 4 4" xfId="18960" xr:uid="{00000000-0005-0000-0000-0000D1460000}"/>
    <cellStyle name="Normal 7 2 4 5" xfId="18961" xr:uid="{00000000-0005-0000-0000-0000D2460000}"/>
    <cellStyle name="Normal 7 2 4 6" xfId="18962" xr:uid="{00000000-0005-0000-0000-0000D3460000}"/>
    <cellStyle name="Normal 7 2 4 7" xfId="18963" xr:uid="{00000000-0005-0000-0000-0000D4460000}"/>
    <cellStyle name="Normal 7 2 4 8" xfId="18964" xr:uid="{00000000-0005-0000-0000-0000D5460000}"/>
    <cellStyle name="Normal 7 2 4 9" xfId="18965" xr:uid="{00000000-0005-0000-0000-0000D6460000}"/>
    <cellStyle name="Normal 7 2 5" xfId="18966" xr:uid="{00000000-0005-0000-0000-0000D7460000}"/>
    <cellStyle name="Normal 7 2 5 2" xfId="18967" xr:uid="{00000000-0005-0000-0000-0000D8460000}"/>
    <cellStyle name="Normal 7 2 5 3" xfId="18968" xr:uid="{00000000-0005-0000-0000-0000D9460000}"/>
    <cellStyle name="Normal 7 2 6" xfId="18969" xr:uid="{00000000-0005-0000-0000-0000DA460000}"/>
    <cellStyle name="Normal 7 2 7" xfId="18970" xr:uid="{00000000-0005-0000-0000-0000DB460000}"/>
    <cellStyle name="Normal 7 2 8" xfId="18971" xr:uid="{00000000-0005-0000-0000-0000DC460000}"/>
    <cellStyle name="Normal 7 2 9" xfId="18972" xr:uid="{00000000-0005-0000-0000-0000DD460000}"/>
    <cellStyle name="Normal 7 20" xfId="18973" xr:uid="{00000000-0005-0000-0000-0000DE460000}"/>
    <cellStyle name="Normal 7 21" xfId="18974" xr:uid="{00000000-0005-0000-0000-0000DF460000}"/>
    <cellStyle name="Normal 7 22" xfId="18975" xr:uid="{00000000-0005-0000-0000-0000E0460000}"/>
    <cellStyle name="Normal 7 23" xfId="18976" xr:uid="{00000000-0005-0000-0000-0000E1460000}"/>
    <cellStyle name="Normal 7 24" xfId="18977" xr:uid="{00000000-0005-0000-0000-0000E2460000}"/>
    <cellStyle name="Normal 7 25" xfId="18978" xr:uid="{00000000-0005-0000-0000-0000E3460000}"/>
    <cellStyle name="Normal 7 26" xfId="18979" xr:uid="{00000000-0005-0000-0000-0000E4460000}"/>
    <cellStyle name="Normal 7 27" xfId="18980" xr:uid="{00000000-0005-0000-0000-0000E5460000}"/>
    <cellStyle name="Normal 7 28" xfId="18981" xr:uid="{00000000-0005-0000-0000-0000E6460000}"/>
    <cellStyle name="Normal 7 29" xfId="18982" xr:uid="{00000000-0005-0000-0000-0000E7460000}"/>
    <cellStyle name="Normal 7 3" xfId="197" xr:uid="{00000000-0005-0000-0000-000060030000}"/>
    <cellStyle name="Normal 7 3 10" xfId="18984" xr:uid="{00000000-0005-0000-0000-0000E9460000}"/>
    <cellStyle name="Normal 7 3 11" xfId="18985" xr:uid="{00000000-0005-0000-0000-0000EA460000}"/>
    <cellStyle name="Normal 7 3 12" xfId="18986" xr:uid="{00000000-0005-0000-0000-0000EB460000}"/>
    <cellStyle name="Normal 7 3 13" xfId="18987" xr:uid="{00000000-0005-0000-0000-0000EC460000}"/>
    <cellStyle name="Normal 7 3 14" xfId="18988" xr:uid="{00000000-0005-0000-0000-0000ED460000}"/>
    <cellStyle name="Normal 7 3 15" xfId="18989" xr:uid="{00000000-0005-0000-0000-0000EE460000}"/>
    <cellStyle name="Normal 7 3 16" xfId="18990" xr:uid="{00000000-0005-0000-0000-0000EF460000}"/>
    <cellStyle name="Normal 7 3 17" xfId="18991" xr:uid="{00000000-0005-0000-0000-0000F0460000}"/>
    <cellStyle name="Normal 7 3 18" xfId="18992" xr:uid="{00000000-0005-0000-0000-0000F1460000}"/>
    <cellStyle name="Normal 7 3 19" xfId="18983" xr:uid="{00000000-0005-0000-0000-0000E8460000}"/>
    <cellStyle name="Normal 7 3 2" xfId="18993" xr:uid="{00000000-0005-0000-0000-0000F2460000}"/>
    <cellStyle name="Normal 7 3 2 2" xfId="18994" xr:uid="{00000000-0005-0000-0000-0000F3460000}"/>
    <cellStyle name="Normal 7 3 2 3" xfId="18995" xr:uid="{00000000-0005-0000-0000-0000F4460000}"/>
    <cellStyle name="Normal 7 3 3" xfId="18996" xr:uid="{00000000-0005-0000-0000-0000F5460000}"/>
    <cellStyle name="Normal 7 3 4" xfId="18997" xr:uid="{00000000-0005-0000-0000-0000F6460000}"/>
    <cellStyle name="Normal 7 3 5" xfId="18998" xr:uid="{00000000-0005-0000-0000-0000F7460000}"/>
    <cellStyle name="Normal 7 3 6" xfId="18999" xr:uid="{00000000-0005-0000-0000-0000F8460000}"/>
    <cellStyle name="Normal 7 3 7" xfId="19000" xr:uid="{00000000-0005-0000-0000-0000F9460000}"/>
    <cellStyle name="Normal 7 3 8" xfId="19001" xr:uid="{00000000-0005-0000-0000-0000FA460000}"/>
    <cellStyle name="Normal 7 3 9" xfId="19002" xr:uid="{00000000-0005-0000-0000-0000FB460000}"/>
    <cellStyle name="Normal 7 4" xfId="161" xr:uid="{00000000-0005-0000-0000-00005E030000}"/>
    <cellStyle name="Normal 7 4 10" xfId="19004" xr:uid="{00000000-0005-0000-0000-0000FD460000}"/>
    <cellStyle name="Normal 7 4 11" xfId="19005" xr:uid="{00000000-0005-0000-0000-0000FE460000}"/>
    <cellStyle name="Normal 7 4 12" xfId="19006" xr:uid="{00000000-0005-0000-0000-0000FF460000}"/>
    <cellStyle name="Normal 7 4 13" xfId="19007" xr:uid="{00000000-0005-0000-0000-000000470000}"/>
    <cellStyle name="Normal 7 4 14" xfId="19008" xr:uid="{00000000-0005-0000-0000-000001470000}"/>
    <cellStyle name="Normal 7 4 15" xfId="19009" xr:uid="{00000000-0005-0000-0000-000002470000}"/>
    <cellStyle name="Normal 7 4 16" xfId="19010" xr:uid="{00000000-0005-0000-0000-000003470000}"/>
    <cellStyle name="Normal 7 4 17" xfId="19003" xr:uid="{00000000-0005-0000-0000-0000FC460000}"/>
    <cellStyle name="Normal 7 4 2" xfId="19011" xr:uid="{00000000-0005-0000-0000-000004470000}"/>
    <cellStyle name="Normal 7 4 3" xfId="19012" xr:uid="{00000000-0005-0000-0000-000005470000}"/>
    <cellStyle name="Normal 7 4 4" xfId="19013" xr:uid="{00000000-0005-0000-0000-000006470000}"/>
    <cellStyle name="Normal 7 4 5" xfId="19014" xr:uid="{00000000-0005-0000-0000-000007470000}"/>
    <cellStyle name="Normal 7 4 6" xfId="19015" xr:uid="{00000000-0005-0000-0000-000008470000}"/>
    <cellStyle name="Normal 7 4 7" xfId="19016" xr:uid="{00000000-0005-0000-0000-000009470000}"/>
    <cellStyle name="Normal 7 4 8" xfId="19017" xr:uid="{00000000-0005-0000-0000-00000A470000}"/>
    <cellStyle name="Normal 7 4 9" xfId="19018" xr:uid="{00000000-0005-0000-0000-00000B470000}"/>
    <cellStyle name="Normal 7 5" xfId="19019" xr:uid="{00000000-0005-0000-0000-00000C470000}"/>
    <cellStyle name="Normal 7 5 10" xfId="19020" xr:uid="{00000000-0005-0000-0000-00000D470000}"/>
    <cellStyle name="Normal 7 5 11" xfId="19021" xr:uid="{00000000-0005-0000-0000-00000E470000}"/>
    <cellStyle name="Normal 7 5 12" xfId="19022" xr:uid="{00000000-0005-0000-0000-00000F470000}"/>
    <cellStyle name="Normal 7 5 13" xfId="19023" xr:uid="{00000000-0005-0000-0000-000010470000}"/>
    <cellStyle name="Normal 7 5 14" xfId="19024" xr:uid="{00000000-0005-0000-0000-000011470000}"/>
    <cellStyle name="Normal 7 5 15" xfId="19025" xr:uid="{00000000-0005-0000-0000-000012470000}"/>
    <cellStyle name="Normal 7 5 16" xfId="19026" xr:uid="{00000000-0005-0000-0000-000013470000}"/>
    <cellStyle name="Normal 7 5 2" xfId="19027" xr:uid="{00000000-0005-0000-0000-000014470000}"/>
    <cellStyle name="Normal 7 5 3" xfId="19028" xr:uid="{00000000-0005-0000-0000-000015470000}"/>
    <cellStyle name="Normal 7 5 4" xfId="19029" xr:uid="{00000000-0005-0000-0000-000016470000}"/>
    <cellStyle name="Normal 7 5 5" xfId="19030" xr:uid="{00000000-0005-0000-0000-000017470000}"/>
    <cellStyle name="Normal 7 5 6" xfId="19031" xr:uid="{00000000-0005-0000-0000-000018470000}"/>
    <cellStyle name="Normal 7 5 7" xfId="19032" xr:uid="{00000000-0005-0000-0000-000019470000}"/>
    <cellStyle name="Normal 7 5 8" xfId="19033" xr:uid="{00000000-0005-0000-0000-00001A470000}"/>
    <cellStyle name="Normal 7 5 9" xfId="19034" xr:uid="{00000000-0005-0000-0000-00001B470000}"/>
    <cellStyle name="Normal 7 6" xfId="19035" xr:uid="{00000000-0005-0000-0000-00001C470000}"/>
    <cellStyle name="Normal 7 6 10" xfId="19036" xr:uid="{00000000-0005-0000-0000-00001D470000}"/>
    <cellStyle name="Normal 7 6 11" xfId="19037" xr:uid="{00000000-0005-0000-0000-00001E470000}"/>
    <cellStyle name="Normal 7 6 12" xfId="19038" xr:uid="{00000000-0005-0000-0000-00001F470000}"/>
    <cellStyle name="Normal 7 6 13" xfId="19039" xr:uid="{00000000-0005-0000-0000-000020470000}"/>
    <cellStyle name="Normal 7 6 14" xfId="19040" xr:uid="{00000000-0005-0000-0000-000021470000}"/>
    <cellStyle name="Normal 7 6 15" xfId="19041" xr:uid="{00000000-0005-0000-0000-000022470000}"/>
    <cellStyle name="Normal 7 6 16" xfId="19042" xr:uid="{00000000-0005-0000-0000-000023470000}"/>
    <cellStyle name="Normal 7 6 2" xfId="19043" xr:uid="{00000000-0005-0000-0000-000024470000}"/>
    <cellStyle name="Normal 7 6 3" xfId="19044" xr:uid="{00000000-0005-0000-0000-000025470000}"/>
    <cellStyle name="Normal 7 6 4" xfId="19045" xr:uid="{00000000-0005-0000-0000-000026470000}"/>
    <cellStyle name="Normal 7 6 5" xfId="19046" xr:uid="{00000000-0005-0000-0000-000027470000}"/>
    <cellStyle name="Normal 7 6 6" xfId="19047" xr:uid="{00000000-0005-0000-0000-000028470000}"/>
    <cellStyle name="Normal 7 6 7" xfId="19048" xr:uid="{00000000-0005-0000-0000-000029470000}"/>
    <cellStyle name="Normal 7 6 8" xfId="19049" xr:uid="{00000000-0005-0000-0000-00002A470000}"/>
    <cellStyle name="Normal 7 6 9" xfId="19050" xr:uid="{00000000-0005-0000-0000-00002B470000}"/>
    <cellStyle name="Normal 7 7" xfId="19051" xr:uid="{00000000-0005-0000-0000-00002C470000}"/>
    <cellStyle name="Normal 7 7 10" xfId="19052" xr:uid="{00000000-0005-0000-0000-00002D470000}"/>
    <cellStyle name="Normal 7 7 11" xfId="19053" xr:uid="{00000000-0005-0000-0000-00002E470000}"/>
    <cellStyle name="Normal 7 7 12" xfId="19054" xr:uid="{00000000-0005-0000-0000-00002F470000}"/>
    <cellStyle name="Normal 7 7 13" xfId="19055" xr:uid="{00000000-0005-0000-0000-000030470000}"/>
    <cellStyle name="Normal 7 7 14" xfId="19056" xr:uid="{00000000-0005-0000-0000-000031470000}"/>
    <cellStyle name="Normal 7 7 15" xfId="19057" xr:uid="{00000000-0005-0000-0000-000032470000}"/>
    <cellStyle name="Normal 7 7 2" xfId="19058" xr:uid="{00000000-0005-0000-0000-000033470000}"/>
    <cellStyle name="Normal 7 7 3" xfId="19059" xr:uid="{00000000-0005-0000-0000-000034470000}"/>
    <cellStyle name="Normal 7 7 4" xfId="19060" xr:uid="{00000000-0005-0000-0000-000035470000}"/>
    <cellStyle name="Normal 7 7 5" xfId="19061" xr:uid="{00000000-0005-0000-0000-000036470000}"/>
    <cellStyle name="Normal 7 7 6" xfId="19062" xr:uid="{00000000-0005-0000-0000-000037470000}"/>
    <cellStyle name="Normal 7 7 7" xfId="19063" xr:uid="{00000000-0005-0000-0000-000038470000}"/>
    <cellStyle name="Normal 7 7 8" xfId="19064" xr:uid="{00000000-0005-0000-0000-000039470000}"/>
    <cellStyle name="Normal 7 7 9" xfId="19065" xr:uid="{00000000-0005-0000-0000-00003A470000}"/>
    <cellStyle name="Normal 7 8" xfId="19066" xr:uid="{00000000-0005-0000-0000-00003B470000}"/>
    <cellStyle name="Normal 7 8 10" xfId="19067" xr:uid="{00000000-0005-0000-0000-00003C470000}"/>
    <cellStyle name="Normal 7 8 11" xfId="19068" xr:uid="{00000000-0005-0000-0000-00003D470000}"/>
    <cellStyle name="Normal 7 8 12" xfId="19069" xr:uid="{00000000-0005-0000-0000-00003E470000}"/>
    <cellStyle name="Normal 7 8 13" xfId="19070" xr:uid="{00000000-0005-0000-0000-00003F470000}"/>
    <cellStyle name="Normal 7 8 14" xfId="19071" xr:uid="{00000000-0005-0000-0000-000040470000}"/>
    <cellStyle name="Normal 7 8 15" xfId="19072" xr:uid="{00000000-0005-0000-0000-000041470000}"/>
    <cellStyle name="Normal 7 8 2" xfId="19073" xr:uid="{00000000-0005-0000-0000-000042470000}"/>
    <cellStyle name="Normal 7 8 3" xfId="19074" xr:uid="{00000000-0005-0000-0000-000043470000}"/>
    <cellStyle name="Normal 7 8 4" xfId="19075" xr:uid="{00000000-0005-0000-0000-000044470000}"/>
    <cellStyle name="Normal 7 8 5" xfId="19076" xr:uid="{00000000-0005-0000-0000-000045470000}"/>
    <cellStyle name="Normal 7 8 6" xfId="19077" xr:uid="{00000000-0005-0000-0000-000046470000}"/>
    <cellStyle name="Normal 7 8 7" xfId="19078" xr:uid="{00000000-0005-0000-0000-000047470000}"/>
    <cellStyle name="Normal 7 8 8" xfId="19079" xr:uid="{00000000-0005-0000-0000-000048470000}"/>
    <cellStyle name="Normal 7 8 9" xfId="19080" xr:uid="{00000000-0005-0000-0000-000049470000}"/>
    <cellStyle name="Normal 7 9" xfId="19081" xr:uid="{00000000-0005-0000-0000-00004A470000}"/>
    <cellStyle name="Normal 7 9 10" xfId="19082" xr:uid="{00000000-0005-0000-0000-00004B470000}"/>
    <cellStyle name="Normal 7 9 11" xfId="19083" xr:uid="{00000000-0005-0000-0000-00004C470000}"/>
    <cellStyle name="Normal 7 9 12" xfId="19084" xr:uid="{00000000-0005-0000-0000-00004D470000}"/>
    <cellStyle name="Normal 7 9 13" xfId="19085" xr:uid="{00000000-0005-0000-0000-00004E470000}"/>
    <cellStyle name="Normal 7 9 14" xfId="19086" xr:uid="{00000000-0005-0000-0000-00004F470000}"/>
    <cellStyle name="Normal 7 9 15" xfId="19087" xr:uid="{00000000-0005-0000-0000-000050470000}"/>
    <cellStyle name="Normal 7 9 2" xfId="19088" xr:uid="{00000000-0005-0000-0000-000051470000}"/>
    <cellStyle name="Normal 7 9 3" xfId="19089" xr:uid="{00000000-0005-0000-0000-000052470000}"/>
    <cellStyle name="Normal 7 9 4" xfId="19090" xr:uid="{00000000-0005-0000-0000-000053470000}"/>
    <cellStyle name="Normal 7 9 5" xfId="19091" xr:uid="{00000000-0005-0000-0000-000054470000}"/>
    <cellStyle name="Normal 7 9 6" xfId="19092" xr:uid="{00000000-0005-0000-0000-000055470000}"/>
    <cellStyle name="Normal 7 9 7" xfId="19093" xr:uid="{00000000-0005-0000-0000-000056470000}"/>
    <cellStyle name="Normal 7 9 8" xfId="19094" xr:uid="{00000000-0005-0000-0000-000057470000}"/>
    <cellStyle name="Normal 7 9 9" xfId="19095" xr:uid="{00000000-0005-0000-0000-000058470000}"/>
    <cellStyle name="Normal 8" xfId="162" xr:uid="{00000000-0005-0000-0000-000061030000}"/>
    <cellStyle name="Normal 8 10" xfId="19096" xr:uid="{00000000-0005-0000-0000-00005A470000}"/>
    <cellStyle name="Normal 8 10 10" xfId="19097" xr:uid="{00000000-0005-0000-0000-00005B470000}"/>
    <cellStyle name="Normal 8 10 11" xfId="19098" xr:uid="{00000000-0005-0000-0000-00005C470000}"/>
    <cellStyle name="Normal 8 10 12" xfId="19099" xr:uid="{00000000-0005-0000-0000-00005D470000}"/>
    <cellStyle name="Normal 8 10 13" xfId="19100" xr:uid="{00000000-0005-0000-0000-00005E470000}"/>
    <cellStyle name="Normal 8 10 14" xfId="19101" xr:uid="{00000000-0005-0000-0000-00005F470000}"/>
    <cellStyle name="Normal 8 10 15" xfId="19102" xr:uid="{00000000-0005-0000-0000-000060470000}"/>
    <cellStyle name="Normal 8 10 2" xfId="19103" xr:uid="{00000000-0005-0000-0000-000061470000}"/>
    <cellStyle name="Normal 8 10 3" xfId="19104" xr:uid="{00000000-0005-0000-0000-000062470000}"/>
    <cellStyle name="Normal 8 10 4" xfId="19105" xr:uid="{00000000-0005-0000-0000-000063470000}"/>
    <cellStyle name="Normal 8 10 5" xfId="19106" xr:uid="{00000000-0005-0000-0000-000064470000}"/>
    <cellStyle name="Normal 8 10 6" xfId="19107" xr:uid="{00000000-0005-0000-0000-000065470000}"/>
    <cellStyle name="Normal 8 10 7" xfId="19108" xr:uid="{00000000-0005-0000-0000-000066470000}"/>
    <cellStyle name="Normal 8 10 8" xfId="19109" xr:uid="{00000000-0005-0000-0000-000067470000}"/>
    <cellStyle name="Normal 8 10 9" xfId="19110" xr:uid="{00000000-0005-0000-0000-000068470000}"/>
    <cellStyle name="Normal 8 11" xfId="19111" xr:uid="{00000000-0005-0000-0000-000069470000}"/>
    <cellStyle name="Normal 8 11 10" xfId="19112" xr:uid="{00000000-0005-0000-0000-00006A470000}"/>
    <cellStyle name="Normal 8 11 11" xfId="19113" xr:uid="{00000000-0005-0000-0000-00006B470000}"/>
    <cellStyle name="Normal 8 11 12" xfId="19114" xr:uid="{00000000-0005-0000-0000-00006C470000}"/>
    <cellStyle name="Normal 8 11 13" xfId="19115" xr:uid="{00000000-0005-0000-0000-00006D470000}"/>
    <cellStyle name="Normal 8 11 14" xfId="19116" xr:uid="{00000000-0005-0000-0000-00006E470000}"/>
    <cellStyle name="Normal 8 11 15" xfId="19117" xr:uid="{00000000-0005-0000-0000-00006F470000}"/>
    <cellStyle name="Normal 8 11 2" xfId="19118" xr:uid="{00000000-0005-0000-0000-000070470000}"/>
    <cellStyle name="Normal 8 11 3" xfId="19119" xr:uid="{00000000-0005-0000-0000-000071470000}"/>
    <cellStyle name="Normal 8 11 4" xfId="19120" xr:uid="{00000000-0005-0000-0000-000072470000}"/>
    <cellStyle name="Normal 8 11 5" xfId="19121" xr:uid="{00000000-0005-0000-0000-000073470000}"/>
    <cellStyle name="Normal 8 11 6" xfId="19122" xr:uid="{00000000-0005-0000-0000-000074470000}"/>
    <cellStyle name="Normal 8 11 7" xfId="19123" xr:uid="{00000000-0005-0000-0000-000075470000}"/>
    <cellStyle name="Normal 8 11 8" xfId="19124" xr:uid="{00000000-0005-0000-0000-000076470000}"/>
    <cellStyle name="Normal 8 11 9" xfId="19125" xr:uid="{00000000-0005-0000-0000-000077470000}"/>
    <cellStyle name="Normal 8 12" xfId="19126" xr:uid="{00000000-0005-0000-0000-000078470000}"/>
    <cellStyle name="Normal 8 12 10" xfId="19127" xr:uid="{00000000-0005-0000-0000-000079470000}"/>
    <cellStyle name="Normal 8 12 11" xfId="19128" xr:uid="{00000000-0005-0000-0000-00007A470000}"/>
    <cellStyle name="Normal 8 12 12" xfId="19129" xr:uid="{00000000-0005-0000-0000-00007B470000}"/>
    <cellStyle name="Normal 8 12 13" xfId="19130" xr:uid="{00000000-0005-0000-0000-00007C470000}"/>
    <cellStyle name="Normal 8 12 14" xfId="19131" xr:uid="{00000000-0005-0000-0000-00007D470000}"/>
    <cellStyle name="Normal 8 12 15" xfId="19132" xr:uid="{00000000-0005-0000-0000-00007E470000}"/>
    <cellStyle name="Normal 8 12 2" xfId="19133" xr:uid="{00000000-0005-0000-0000-00007F470000}"/>
    <cellStyle name="Normal 8 12 3" xfId="19134" xr:uid="{00000000-0005-0000-0000-000080470000}"/>
    <cellStyle name="Normal 8 12 4" xfId="19135" xr:uid="{00000000-0005-0000-0000-000081470000}"/>
    <cellStyle name="Normal 8 12 5" xfId="19136" xr:uid="{00000000-0005-0000-0000-000082470000}"/>
    <cellStyle name="Normal 8 12 6" xfId="19137" xr:uid="{00000000-0005-0000-0000-000083470000}"/>
    <cellStyle name="Normal 8 12 7" xfId="19138" xr:uid="{00000000-0005-0000-0000-000084470000}"/>
    <cellStyle name="Normal 8 12 8" xfId="19139" xr:uid="{00000000-0005-0000-0000-000085470000}"/>
    <cellStyle name="Normal 8 12 9" xfId="19140" xr:uid="{00000000-0005-0000-0000-000086470000}"/>
    <cellStyle name="Normal 8 13" xfId="19141" xr:uid="{00000000-0005-0000-0000-000087470000}"/>
    <cellStyle name="Normal 8 13 10" xfId="19142" xr:uid="{00000000-0005-0000-0000-000088470000}"/>
    <cellStyle name="Normal 8 13 11" xfId="19143" xr:uid="{00000000-0005-0000-0000-000089470000}"/>
    <cellStyle name="Normal 8 13 12" xfId="19144" xr:uid="{00000000-0005-0000-0000-00008A470000}"/>
    <cellStyle name="Normal 8 13 13" xfId="19145" xr:uid="{00000000-0005-0000-0000-00008B470000}"/>
    <cellStyle name="Normal 8 13 14" xfId="19146" xr:uid="{00000000-0005-0000-0000-00008C470000}"/>
    <cellStyle name="Normal 8 13 15" xfId="19147" xr:uid="{00000000-0005-0000-0000-00008D470000}"/>
    <cellStyle name="Normal 8 13 2" xfId="19148" xr:uid="{00000000-0005-0000-0000-00008E470000}"/>
    <cellStyle name="Normal 8 13 3" xfId="19149" xr:uid="{00000000-0005-0000-0000-00008F470000}"/>
    <cellStyle name="Normal 8 13 4" xfId="19150" xr:uid="{00000000-0005-0000-0000-000090470000}"/>
    <cellStyle name="Normal 8 13 5" xfId="19151" xr:uid="{00000000-0005-0000-0000-000091470000}"/>
    <cellStyle name="Normal 8 13 6" xfId="19152" xr:uid="{00000000-0005-0000-0000-000092470000}"/>
    <cellStyle name="Normal 8 13 7" xfId="19153" xr:uid="{00000000-0005-0000-0000-000093470000}"/>
    <cellStyle name="Normal 8 13 8" xfId="19154" xr:uid="{00000000-0005-0000-0000-000094470000}"/>
    <cellStyle name="Normal 8 13 9" xfId="19155" xr:uid="{00000000-0005-0000-0000-000095470000}"/>
    <cellStyle name="Normal 8 14" xfId="19156" xr:uid="{00000000-0005-0000-0000-000096470000}"/>
    <cellStyle name="Normal 8 14 10" xfId="19157" xr:uid="{00000000-0005-0000-0000-000097470000}"/>
    <cellStyle name="Normal 8 14 11" xfId="19158" xr:uid="{00000000-0005-0000-0000-000098470000}"/>
    <cellStyle name="Normal 8 14 12" xfId="19159" xr:uid="{00000000-0005-0000-0000-000099470000}"/>
    <cellStyle name="Normal 8 14 13" xfId="19160" xr:uid="{00000000-0005-0000-0000-00009A470000}"/>
    <cellStyle name="Normal 8 14 14" xfId="19161" xr:uid="{00000000-0005-0000-0000-00009B470000}"/>
    <cellStyle name="Normal 8 14 15" xfId="19162" xr:uid="{00000000-0005-0000-0000-00009C470000}"/>
    <cellStyle name="Normal 8 14 2" xfId="19163" xr:uid="{00000000-0005-0000-0000-00009D470000}"/>
    <cellStyle name="Normal 8 14 3" xfId="19164" xr:uid="{00000000-0005-0000-0000-00009E470000}"/>
    <cellStyle name="Normal 8 14 4" xfId="19165" xr:uid="{00000000-0005-0000-0000-00009F470000}"/>
    <cellStyle name="Normal 8 14 5" xfId="19166" xr:uid="{00000000-0005-0000-0000-0000A0470000}"/>
    <cellStyle name="Normal 8 14 6" xfId="19167" xr:uid="{00000000-0005-0000-0000-0000A1470000}"/>
    <cellStyle name="Normal 8 14 7" xfId="19168" xr:uid="{00000000-0005-0000-0000-0000A2470000}"/>
    <cellStyle name="Normal 8 14 8" xfId="19169" xr:uid="{00000000-0005-0000-0000-0000A3470000}"/>
    <cellStyle name="Normal 8 14 9" xfId="19170" xr:uid="{00000000-0005-0000-0000-0000A4470000}"/>
    <cellStyle name="Normal 8 15" xfId="19171" xr:uid="{00000000-0005-0000-0000-0000A5470000}"/>
    <cellStyle name="Normal 8 15 2" xfId="19172" xr:uid="{00000000-0005-0000-0000-0000A6470000}"/>
    <cellStyle name="Normal 8 15 3" xfId="19173" xr:uid="{00000000-0005-0000-0000-0000A7470000}"/>
    <cellStyle name="Normal 8 16" xfId="19174" xr:uid="{00000000-0005-0000-0000-0000A8470000}"/>
    <cellStyle name="Normal 8 17" xfId="19175" xr:uid="{00000000-0005-0000-0000-0000A9470000}"/>
    <cellStyle name="Normal 8 18" xfId="19176" xr:uid="{00000000-0005-0000-0000-0000AA470000}"/>
    <cellStyle name="Normal 8 19" xfId="19177" xr:uid="{00000000-0005-0000-0000-0000AB470000}"/>
    <cellStyle name="Normal 8 2" xfId="58" xr:uid="{E1137CEE-D94E-4DAF-8EFF-EEA56C0868E3}"/>
    <cellStyle name="Normal 8 2 10" xfId="19179" xr:uid="{00000000-0005-0000-0000-0000AD470000}"/>
    <cellStyle name="Normal 8 2 11" xfId="19180" xr:uid="{00000000-0005-0000-0000-0000AE470000}"/>
    <cellStyle name="Normal 8 2 12" xfId="19181" xr:uid="{00000000-0005-0000-0000-0000AF470000}"/>
    <cellStyle name="Normal 8 2 13" xfId="19182" xr:uid="{00000000-0005-0000-0000-0000B0470000}"/>
    <cellStyle name="Normal 8 2 14" xfId="19183" xr:uid="{00000000-0005-0000-0000-0000B1470000}"/>
    <cellStyle name="Normal 8 2 15" xfId="19184" xr:uid="{00000000-0005-0000-0000-0000B2470000}"/>
    <cellStyle name="Normal 8 2 16" xfId="19185" xr:uid="{00000000-0005-0000-0000-0000B3470000}"/>
    <cellStyle name="Normal 8 2 17" xfId="19186" xr:uid="{00000000-0005-0000-0000-0000B4470000}"/>
    <cellStyle name="Normal 8 2 18" xfId="19187" xr:uid="{00000000-0005-0000-0000-0000B5470000}"/>
    <cellStyle name="Normal 8 2 19" xfId="19188" xr:uid="{00000000-0005-0000-0000-0000B6470000}"/>
    <cellStyle name="Normal 8 2 2" xfId="910" xr:uid="{00000000-0005-0000-0000-000063030000}"/>
    <cellStyle name="Normal 8 2 2 10" xfId="19190" xr:uid="{00000000-0005-0000-0000-0000B8470000}"/>
    <cellStyle name="Normal 8 2 2 11" xfId="19191" xr:uid="{00000000-0005-0000-0000-0000B9470000}"/>
    <cellStyle name="Normal 8 2 2 12" xfId="19192" xr:uid="{00000000-0005-0000-0000-0000BA470000}"/>
    <cellStyle name="Normal 8 2 2 13" xfId="19193" xr:uid="{00000000-0005-0000-0000-0000BB470000}"/>
    <cellStyle name="Normal 8 2 2 14" xfId="19194" xr:uid="{00000000-0005-0000-0000-0000BC470000}"/>
    <cellStyle name="Normal 8 2 2 15" xfId="19195" xr:uid="{00000000-0005-0000-0000-0000BD470000}"/>
    <cellStyle name="Normal 8 2 2 16" xfId="19196" xr:uid="{00000000-0005-0000-0000-0000BE470000}"/>
    <cellStyle name="Normal 8 2 2 17" xfId="19197" xr:uid="{00000000-0005-0000-0000-0000BF470000}"/>
    <cellStyle name="Normal 8 2 2 18" xfId="19198" xr:uid="{00000000-0005-0000-0000-0000C0470000}"/>
    <cellStyle name="Normal 8 2 2 19" xfId="19199" xr:uid="{00000000-0005-0000-0000-0000C1470000}"/>
    <cellStyle name="Normal 8 2 2 2" xfId="920" xr:uid="{00000000-0005-0000-0000-000064030000}"/>
    <cellStyle name="Normal 8 2 2 2 10" xfId="19201" xr:uid="{00000000-0005-0000-0000-0000C3470000}"/>
    <cellStyle name="Normal 8 2 2 2 11" xfId="19202" xr:uid="{00000000-0005-0000-0000-0000C4470000}"/>
    <cellStyle name="Normal 8 2 2 2 12" xfId="19203" xr:uid="{00000000-0005-0000-0000-0000C5470000}"/>
    <cellStyle name="Normal 8 2 2 2 13" xfId="19204" xr:uid="{00000000-0005-0000-0000-0000C6470000}"/>
    <cellStyle name="Normal 8 2 2 2 14" xfId="19205" xr:uid="{00000000-0005-0000-0000-0000C7470000}"/>
    <cellStyle name="Normal 8 2 2 2 15" xfId="19206" xr:uid="{00000000-0005-0000-0000-0000C8470000}"/>
    <cellStyle name="Normal 8 2 2 2 16" xfId="19207" xr:uid="{00000000-0005-0000-0000-0000C9470000}"/>
    <cellStyle name="Normal 8 2 2 2 17" xfId="19208" xr:uid="{00000000-0005-0000-0000-0000CA470000}"/>
    <cellStyle name="Normal 8 2 2 2 18" xfId="19209" xr:uid="{00000000-0005-0000-0000-0000CB470000}"/>
    <cellStyle name="Normal 8 2 2 2 19" xfId="19210" xr:uid="{00000000-0005-0000-0000-0000CC470000}"/>
    <cellStyle name="Normal 8 2 2 2 2" xfId="19211" xr:uid="{00000000-0005-0000-0000-0000CD470000}"/>
    <cellStyle name="Normal 8 2 2 2 2 10" xfId="19212" xr:uid="{00000000-0005-0000-0000-0000CE470000}"/>
    <cellStyle name="Normal 8 2 2 2 2 11" xfId="19213" xr:uid="{00000000-0005-0000-0000-0000CF470000}"/>
    <cellStyle name="Normal 8 2 2 2 2 12" xfId="19214" xr:uid="{00000000-0005-0000-0000-0000D0470000}"/>
    <cellStyle name="Normal 8 2 2 2 2 13" xfId="19215" xr:uid="{00000000-0005-0000-0000-0000D1470000}"/>
    <cellStyle name="Normal 8 2 2 2 2 14" xfId="19216" xr:uid="{00000000-0005-0000-0000-0000D2470000}"/>
    <cellStyle name="Normal 8 2 2 2 2 15" xfId="19217" xr:uid="{00000000-0005-0000-0000-0000D3470000}"/>
    <cellStyle name="Normal 8 2 2 2 2 2" xfId="19218" xr:uid="{00000000-0005-0000-0000-0000D4470000}"/>
    <cellStyle name="Normal 8 2 2 2 2 3" xfId="19219" xr:uid="{00000000-0005-0000-0000-0000D5470000}"/>
    <cellStyle name="Normal 8 2 2 2 2 4" xfId="19220" xr:uid="{00000000-0005-0000-0000-0000D6470000}"/>
    <cellStyle name="Normal 8 2 2 2 2 5" xfId="19221" xr:uid="{00000000-0005-0000-0000-0000D7470000}"/>
    <cellStyle name="Normal 8 2 2 2 2 6" xfId="19222" xr:uid="{00000000-0005-0000-0000-0000D8470000}"/>
    <cellStyle name="Normal 8 2 2 2 2 7" xfId="19223" xr:uid="{00000000-0005-0000-0000-0000D9470000}"/>
    <cellStyle name="Normal 8 2 2 2 2 8" xfId="19224" xr:uid="{00000000-0005-0000-0000-0000DA470000}"/>
    <cellStyle name="Normal 8 2 2 2 2 9" xfId="19225" xr:uid="{00000000-0005-0000-0000-0000DB470000}"/>
    <cellStyle name="Normal 8 2 2 2 20" xfId="19200" xr:uid="{00000000-0005-0000-0000-0000C2470000}"/>
    <cellStyle name="Normal 8 2 2 2 3" xfId="19226" xr:uid="{00000000-0005-0000-0000-0000DC470000}"/>
    <cellStyle name="Normal 8 2 2 2 3 10" xfId="19227" xr:uid="{00000000-0005-0000-0000-0000DD470000}"/>
    <cellStyle name="Normal 8 2 2 2 3 11" xfId="19228" xr:uid="{00000000-0005-0000-0000-0000DE470000}"/>
    <cellStyle name="Normal 8 2 2 2 3 12" xfId="19229" xr:uid="{00000000-0005-0000-0000-0000DF470000}"/>
    <cellStyle name="Normal 8 2 2 2 3 13" xfId="19230" xr:uid="{00000000-0005-0000-0000-0000E0470000}"/>
    <cellStyle name="Normal 8 2 2 2 3 14" xfId="19231" xr:uid="{00000000-0005-0000-0000-0000E1470000}"/>
    <cellStyle name="Normal 8 2 2 2 3 15" xfId="19232" xr:uid="{00000000-0005-0000-0000-0000E2470000}"/>
    <cellStyle name="Normal 8 2 2 2 3 2" xfId="19233" xr:uid="{00000000-0005-0000-0000-0000E3470000}"/>
    <cellStyle name="Normal 8 2 2 2 3 3" xfId="19234" xr:uid="{00000000-0005-0000-0000-0000E4470000}"/>
    <cellStyle name="Normal 8 2 2 2 3 4" xfId="19235" xr:uid="{00000000-0005-0000-0000-0000E5470000}"/>
    <cellStyle name="Normal 8 2 2 2 3 5" xfId="19236" xr:uid="{00000000-0005-0000-0000-0000E6470000}"/>
    <cellStyle name="Normal 8 2 2 2 3 6" xfId="19237" xr:uid="{00000000-0005-0000-0000-0000E7470000}"/>
    <cellStyle name="Normal 8 2 2 2 3 7" xfId="19238" xr:uid="{00000000-0005-0000-0000-0000E8470000}"/>
    <cellStyle name="Normal 8 2 2 2 3 8" xfId="19239" xr:uid="{00000000-0005-0000-0000-0000E9470000}"/>
    <cellStyle name="Normal 8 2 2 2 3 9" xfId="19240" xr:uid="{00000000-0005-0000-0000-0000EA470000}"/>
    <cellStyle name="Normal 8 2 2 2 4" xfId="19241" xr:uid="{00000000-0005-0000-0000-0000EB470000}"/>
    <cellStyle name="Normal 8 2 2 2 4 10" xfId="19242" xr:uid="{00000000-0005-0000-0000-0000EC470000}"/>
    <cellStyle name="Normal 8 2 2 2 4 11" xfId="19243" xr:uid="{00000000-0005-0000-0000-0000ED470000}"/>
    <cellStyle name="Normal 8 2 2 2 4 12" xfId="19244" xr:uid="{00000000-0005-0000-0000-0000EE470000}"/>
    <cellStyle name="Normal 8 2 2 2 4 13" xfId="19245" xr:uid="{00000000-0005-0000-0000-0000EF470000}"/>
    <cellStyle name="Normal 8 2 2 2 4 14" xfId="19246" xr:uid="{00000000-0005-0000-0000-0000F0470000}"/>
    <cellStyle name="Normal 8 2 2 2 4 15" xfId="19247" xr:uid="{00000000-0005-0000-0000-0000F1470000}"/>
    <cellStyle name="Normal 8 2 2 2 4 2" xfId="19248" xr:uid="{00000000-0005-0000-0000-0000F2470000}"/>
    <cellStyle name="Normal 8 2 2 2 4 3" xfId="19249" xr:uid="{00000000-0005-0000-0000-0000F3470000}"/>
    <cellStyle name="Normal 8 2 2 2 4 4" xfId="19250" xr:uid="{00000000-0005-0000-0000-0000F4470000}"/>
    <cellStyle name="Normal 8 2 2 2 4 5" xfId="19251" xr:uid="{00000000-0005-0000-0000-0000F5470000}"/>
    <cellStyle name="Normal 8 2 2 2 4 6" xfId="19252" xr:uid="{00000000-0005-0000-0000-0000F6470000}"/>
    <cellStyle name="Normal 8 2 2 2 4 7" xfId="19253" xr:uid="{00000000-0005-0000-0000-0000F7470000}"/>
    <cellStyle name="Normal 8 2 2 2 4 8" xfId="19254" xr:uid="{00000000-0005-0000-0000-0000F8470000}"/>
    <cellStyle name="Normal 8 2 2 2 4 9" xfId="19255" xr:uid="{00000000-0005-0000-0000-0000F9470000}"/>
    <cellStyle name="Normal 8 2 2 2 5" xfId="19256" xr:uid="{00000000-0005-0000-0000-0000FA470000}"/>
    <cellStyle name="Normal 8 2 2 2 6" xfId="19257" xr:uid="{00000000-0005-0000-0000-0000FB470000}"/>
    <cellStyle name="Normal 8 2 2 2 7" xfId="19258" xr:uid="{00000000-0005-0000-0000-0000FC470000}"/>
    <cellStyle name="Normal 8 2 2 2 8" xfId="19259" xr:uid="{00000000-0005-0000-0000-0000FD470000}"/>
    <cellStyle name="Normal 8 2 2 2 9" xfId="19260" xr:uid="{00000000-0005-0000-0000-0000FE470000}"/>
    <cellStyle name="Normal 8 2 2 20" xfId="19261" xr:uid="{00000000-0005-0000-0000-0000FF470000}"/>
    <cellStyle name="Normal 8 2 2 21" xfId="19189" xr:uid="{00000000-0005-0000-0000-0000B7470000}"/>
    <cellStyle name="Normal 8 2 2 3" xfId="911" xr:uid="{00000000-0005-0000-0000-000065030000}"/>
    <cellStyle name="Normal 8 2 2 3 10" xfId="19263" xr:uid="{00000000-0005-0000-0000-000001480000}"/>
    <cellStyle name="Normal 8 2 2 3 11" xfId="19264" xr:uid="{00000000-0005-0000-0000-000002480000}"/>
    <cellStyle name="Normal 8 2 2 3 12" xfId="19265" xr:uid="{00000000-0005-0000-0000-000003480000}"/>
    <cellStyle name="Normal 8 2 2 3 13" xfId="19266" xr:uid="{00000000-0005-0000-0000-000004480000}"/>
    <cellStyle name="Normal 8 2 2 3 14" xfId="19267" xr:uid="{00000000-0005-0000-0000-000005480000}"/>
    <cellStyle name="Normal 8 2 2 3 15" xfId="19268" xr:uid="{00000000-0005-0000-0000-000006480000}"/>
    <cellStyle name="Normal 8 2 2 3 16" xfId="19262" xr:uid="{00000000-0005-0000-0000-000000480000}"/>
    <cellStyle name="Normal 8 2 2 3 2" xfId="19269" xr:uid="{00000000-0005-0000-0000-000007480000}"/>
    <cellStyle name="Normal 8 2 2 3 3" xfId="19270" xr:uid="{00000000-0005-0000-0000-000008480000}"/>
    <cellStyle name="Normal 8 2 2 3 4" xfId="19271" xr:uid="{00000000-0005-0000-0000-000009480000}"/>
    <cellStyle name="Normal 8 2 2 3 5" xfId="19272" xr:uid="{00000000-0005-0000-0000-00000A480000}"/>
    <cellStyle name="Normal 8 2 2 3 6" xfId="19273" xr:uid="{00000000-0005-0000-0000-00000B480000}"/>
    <cellStyle name="Normal 8 2 2 3 7" xfId="19274" xr:uid="{00000000-0005-0000-0000-00000C480000}"/>
    <cellStyle name="Normal 8 2 2 3 8" xfId="19275" xr:uid="{00000000-0005-0000-0000-00000D480000}"/>
    <cellStyle name="Normal 8 2 2 3 9" xfId="19276" xr:uid="{00000000-0005-0000-0000-00000E480000}"/>
    <cellStyle name="Normal 8 2 2 4" xfId="19277" xr:uid="{00000000-0005-0000-0000-00000F480000}"/>
    <cellStyle name="Normal 8 2 2 4 10" xfId="19278" xr:uid="{00000000-0005-0000-0000-000010480000}"/>
    <cellStyle name="Normal 8 2 2 4 11" xfId="19279" xr:uid="{00000000-0005-0000-0000-000011480000}"/>
    <cellStyle name="Normal 8 2 2 4 12" xfId="19280" xr:uid="{00000000-0005-0000-0000-000012480000}"/>
    <cellStyle name="Normal 8 2 2 4 13" xfId="19281" xr:uid="{00000000-0005-0000-0000-000013480000}"/>
    <cellStyle name="Normal 8 2 2 4 14" xfId="19282" xr:uid="{00000000-0005-0000-0000-000014480000}"/>
    <cellStyle name="Normal 8 2 2 4 15" xfId="19283" xr:uid="{00000000-0005-0000-0000-000015480000}"/>
    <cellStyle name="Normal 8 2 2 4 2" xfId="19284" xr:uid="{00000000-0005-0000-0000-000016480000}"/>
    <cellStyle name="Normal 8 2 2 4 3" xfId="19285" xr:uid="{00000000-0005-0000-0000-000017480000}"/>
    <cellStyle name="Normal 8 2 2 4 4" xfId="19286" xr:uid="{00000000-0005-0000-0000-000018480000}"/>
    <cellStyle name="Normal 8 2 2 4 5" xfId="19287" xr:uid="{00000000-0005-0000-0000-000019480000}"/>
    <cellStyle name="Normal 8 2 2 4 6" xfId="19288" xr:uid="{00000000-0005-0000-0000-00001A480000}"/>
    <cellStyle name="Normal 8 2 2 4 7" xfId="19289" xr:uid="{00000000-0005-0000-0000-00001B480000}"/>
    <cellStyle name="Normal 8 2 2 4 8" xfId="19290" xr:uid="{00000000-0005-0000-0000-00001C480000}"/>
    <cellStyle name="Normal 8 2 2 4 9" xfId="19291" xr:uid="{00000000-0005-0000-0000-00001D480000}"/>
    <cellStyle name="Normal 8 2 2 5" xfId="19292" xr:uid="{00000000-0005-0000-0000-00001E480000}"/>
    <cellStyle name="Normal 8 2 2 5 10" xfId="19293" xr:uid="{00000000-0005-0000-0000-00001F480000}"/>
    <cellStyle name="Normal 8 2 2 5 11" xfId="19294" xr:uid="{00000000-0005-0000-0000-000020480000}"/>
    <cellStyle name="Normal 8 2 2 5 12" xfId="19295" xr:uid="{00000000-0005-0000-0000-000021480000}"/>
    <cellStyle name="Normal 8 2 2 5 13" xfId="19296" xr:uid="{00000000-0005-0000-0000-000022480000}"/>
    <cellStyle name="Normal 8 2 2 5 14" xfId="19297" xr:uid="{00000000-0005-0000-0000-000023480000}"/>
    <cellStyle name="Normal 8 2 2 5 15" xfId="19298" xr:uid="{00000000-0005-0000-0000-000024480000}"/>
    <cellStyle name="Normal 8 2 2 5 2" xfId="19299" xr:uid="{00000000-0005-0000-0000-000025480000}"/>
    <cellStyle name="Normal 8 2 2 5 3" xfId="19300" xr:uid="{00000000-0005-0000-0000-000026480000}"/>
    <cellStyle name="Normal 8 2 2 5 4" xfId="19301" xr:uid="{00000000-0005-0000-0000-000027480000}"/>
    <cellStyle name="Normal 8 2 2 5 5" xfId="19302" xr:uid="{00000000-0005-0000-0000-000028480000}"/>
    <cellStyle name="Normal 8 2 2 5 6" xfId="19303" xr:uid="{00000000-0005-0000-0000-000029480000}"/>
    <cellStyle name="Normal 8 2 2 5 7" xfId="19304" xr:uid="{00000000-0005-0000-0000-00002A480000}"/>
    <cellStyle name="Normal 8 2 2 5 8" xfId="19305" xr:uid="{00000000-0005-0000-0000-00002B480000}"/>
    <cellStyle name="Normal 8 2 2 5 9" xfId="19306" xr:uid="{00000000-0005-0000-0000-00002C480000}"/>
    <cellStyle name="Normal 8 2 2 6" xfId="19307" xr:uid="{00000000-0005-0000-0000-00002D480000}"/>
    <cellStyle name="Normal 8 2 2 7" xfId="19308" xr:uid="{00000000-0005-0000-0000-00002E480000}"/>
    <cellStyle name="Normal 8 2 2 8" xfId="19309" xr:uid="{00000000-0005-0000-0000-00002F480000}"/>
    <cellStyle name="Normal 8 2 2 9" xfId="19310" xr:uid="{00000000-0005-0000-0000-000030480000}"/>
    <cellStyle name="Normal 8 2 2_CORRECTED COPY OF rA 5" xfId="19311" xr:uid="{00000000-0005-0000-0000-000031480000}"/>
    <cellStyle name="Normal 8 2 20" xfId="19312" xr:uid="{00000000-0005-0000-0000-000032480000}"/>
    <cellStyle name="Normal 8 2 21" xfId="19313" xr:uid="{00000000-0005-0000-0000-000033480000}"/>
    <cellStyle name="Normal 8 2 22" xfId="19314" xr:uid="{00000000-0005-0000-0000-000034480000}"/>
    <cellStyle name="Normal 8 2 23" xfId="19315" xr:uid="{00000000-0005-0000-0000-000035480000}"/>
    <cellStyle name="Normal 8 2 24" xfId="19316" xr:uid="{00000000-0005-0000-0000-000036480000}"/>
    <cellStyle name="Normal 8 2 25" xfId="19178" xr:uid="{00000000-0005-0000-0000-0000AC470000}"/>
    <cellStyle name="Normal 8 2 3" xfId="925" xr:uid="{00000000-0005-0000-0000-000066030000}"/>
    <cellStyle name="Normal 8 2 3 10" xfId="19318" xr:uid="{00000000-0005-0000-0000-000038480000}"/>
    <cellStyle name="Normal 8 2 3 11" xfId="19319" xr:uid="{00000000-0005-0000-0000-000039480000}"/>
    <cellStyle name="Normal 8 2 3 12" xfId="19320" xr:uid="{00000000-0005-0000-0000-00003A480000}"/>
    <cellStyle name="Normal 8 2 3 13" xfId="19321" xr:uid="{00000000-0005-0000-0000-00003B480000}"/>
    <cellStyle name="Normal 8 2 3 14" xfId="19322" xr:uid="{00000000-0005-0000-0000-00003C480000}"/>
    <cellStyle name="Normal 8 2 3 15" xfId="19323" xr:uid="{00000000-0005-0000-0000-00003D480000}"/>
    <cellStyle name="Normal 8 2 3 16" xfId="19324" xr:uid="{00000000-0005-0000-0000-00003E480000}"/>
    <cellStyle name="Normal 8 2 3 17" xfId="19325" xr:uid="{00000000-0005-0000-0000-00003F480000}"/>
    <cellStyle name="Normal 8 2 3 18" xfId="19326" xr:uid="{00000000-0005-0000-0000-000040480000}"/>
    <cellStyle name="Normal 8 2 3 19" xfId="19327" xr:uid="{00000000-0005-0000-0000-000041480000}"/>
    <cellStyle name="Normal 8 2 3 2" xfId="19328" xr:uid="{00000000-0005-0000-0000-000042480000}"/>
    <cellStyle name="Normal 8 2 3 2 10" xfId="19329" xr:uid="{00000000-0005-0000-0000-000043480000}"/>
    <cellStyle name="Normal 8 2 3 2 11" xfId="19330" xr:uid="{00000000-0005-0000-0000-000044480000}"/>
    <cellStyle name="Normal 8 2 3 2 12" xfId="19331" xr:uid="{00000000-0005-0000-0000-000045480000}"/>
    <cellStyle name="Normal 8 2 3 2 13" xfId="19332" xr:uid="{00000000-0005-0000-0000-000046480000}"/>
    <cellStyle name="Normal 8 2 3 2 14" xfId="19333" xr:uid="{00000000-0005-0000-0000-000047480000}"/>
    <cellStyle name="Normal 8 2 3 2 15" xfId="19334" xr:uid="{00000000-0005-0000-0000-000048480000}"/>
    <cellStyle name="Normal 8 2 3 2 2" xfId="19335" xr:uid="{00000000-0005-0000-0000-000049480000}"/>
    <cellStyle name="Normal 8 2 3 2 3" xfId="19336" xr:uid="{00000000-0005-0000-0000-00004A480000}"/>
    <cellStyle name="Normal 8 2 3 2 4" xfId="19337" xr:uid="{00000000-0005-0000-0000-00004B480000}"/>
    <cellStyle name="Normal 8 2 3 2 5" xfId="19338" xr:uid="{00000000-0005-0000-0000-00004C480000}"/>
    <cellStyle name="Normal 8 2 3 2 6" xfId="19339" xr:uid="{00000000-0005-0000-0000-00004D480000}"/>
    <cellStyle name="Normal 8 2 3 2 7" xfId="19340" xr:uid="{00000000-0005-0000-0000-00004E480000}"/>
    <cellStyle name="Normal 8 2 3 2 8" xfId="19341" xr:uid="{00000000-0005-0000-0000-00004F480000}"/>
    <cellStyle name="Normal 8 2 3 2 9" xfId="19342" xr:uid="{00000000-0005-0000-0000-000050480000}"/>
    <cellStyle name="Normal 8 2 3 20" xfId="19317" xr:uid="{00000000-0005-0000-0000-000037480000}"/>
    <cellStyle name="Normal 8 2 3 3" xfId="19343" xr:uid="{00000000-0005-0000-0000-000051480000}"/>
    <cellStyle name="Normal 8 2 3 3 10" xfId="19344" xr:uid="{00000000-0005-0000-0000-000052480000}"/>
    <cellStyle name="Normal 8 2 3 3 11" xfId="19345" xr:uid="{00000000-0005-0000-0000-000053480000}"/>
    <cellStyle name="Normal 8 2 3 3 12" xfId="19346" xr:uid="{00000000-0005-0000-0000-000054480000}"/>
    <cellStyle name="Normal 8 2 3 3 13" xfId="19347" xr:uid="{00000000-0005-0000-0000-000055480000}"/>
    <cellStyle name="Normal 8 2 3 3 14" xfId="19348" xr:uid="{00000000-0005-0000-0000-000056480000}"/>
    <cellStyle name="Normal 8 2 3 3 15" xfId="19349" xr:uid="{00000000-0005-0000-0000-000057480000}"/>
    <cellStyle name="Normal 8 2 3 3 2" xfId="19350" xr:uid="{00000000-0005-0000-0000-000058480000}"/>
    <cellStyle name="Normal 8 2 3 3 3" xfId="19351" xr:uid="{00000000-0005-0000-0000-000059480000}"/>
    <cellStyle name="Normal 8 2 3 3 4" xfId="19352" xr:uid="{00000000-0005-0000-0000-00005A480000}"/>
    <cellStyle name="Normal 8 2 3 3 5" xfId="19353" xr:uid="{00000000-0005-0000-0000-00005B480000}"/>
    <cellStyle name="Normal 8 2 3 3 6" xfId="19354" xr:uid="{00000000-0005-0000-0000-00005C480000}"/>
    <cellStyle name="Normal 8 2 3 3 7" xfId="19355" xr:uid="{00000000-0005-0000-0000-00005D480000}"/>
    <cellStyle name="Normal 8 2 3 3 8" xfId="19356" xr:uid="{00000000-0005-0000-0000-00005E480000}"/>
    <cellStyle name="Normal 8 2 3 3 9" xfId="19357" xr:uid="{00000000-0005-0000-0000-00005F480000}"/>
    <cellStyle name="Normal 8 2 3 4" xfId="19358" xr:uid="{00000000-0005-0000-0000-000060480000}"/>
    <cellStyle name="Normal 8 2 3 4 10" xfId="19359" xr:uid="{00000000-0005-0000-0000-000061480000}"/>
    <cellStyle name="Normal 8 2 3 4 11" xfId="19360" xr:uid="{00000000-0005-0000-0000-000062480000}"/>
    <cellStyle name="Normal 8 2 3 4 12" xfId="19361" xr:uid="{00000000-0005-0000-0000-000063480000}"/>
    <cellStyle name="Normal 8 2 3 4 13" xfId="19362" xr:uid="{00000000-0005-0000-0000-000064480000}"/>
    <cellStyle name="Normal 8 2 3 4 14" xfId="19363" xr:uid="{00000000-0005-0000-0000-000065480000}"/>
    <cellStyle name="Normal 8 2 3 4 15" xfId="19364" xr:uid="{00000000-0005-0000-0000-000066480000}"/>
    <cellStyle name="Normal 8 2 3 4 2" xfId="19365" xr:uid="{00000000-0005-0000-0000-000067480000}"/>
    <cellStyle name="Normal 8 2 3 4 3" xfId="19366" xr:uid="{00000000-0005-0000-0000-000068480000}"/>
    <cellStyle name="Normal 8 2 3 4 4" xfId="19367" xr:uid="{00000000-0005-0000-0000-000069480000}"/>
    <cellStyle name="Normal 8 2 3 4 5" xfId="19368" xr:uid="{00000000-0005-0000-0000-00006A480000}"/>
    <cellStyle name="Normal 8 2 3 4 6" xfId="19369" xr:uid="{00000000-0005-0000-0000-00006B480000}"/>
    <cellStyle name="Normal 8 2 3 4 7" xfId="19370" xr:uid="{00000000-0005-0000-0000-00006C480000}"/>
    <cellStyle name="Normal 8 2 3 4 8" xfId="19371" xr:uid="{00000000-0005-0000-0000-00006D480000}"/>
    <cellStyle name="Normal 8 2 3 4 9" xfId="19372" xr:uid="{00000000-0005-0000-0000-00006E480000}"/>
    <cellStyle name="Normal 8 2 3 5" xfId="19373" xr:uid="{00000000-0005-0000-0000-00006F480000}"/>
    <cellStyle name="Normal 8 2 3 6" xfId="19374" xr:uid="{00000000-0005-0000-0000-000070480000}"/>
    <cellStyle name="Normal 8 2 3 7" xfId="19375" xr:uid="{00000000-0005-0000-0000-000071480000}"/>
    <cellStyle name="Normal 8 2 3 8" xfId="19376" xr:uid="{00000000-0005-0000-0000-000072480000}"/>
    <cellStyle name="Normal 8 2 3 9" xfId="19377" xr:uid="{00000000-0005-0000-0000-000073480000}"/>
    <cellStyle name="Normal 8 2 4" xfId="915" xr:uid="{00000000-0005-0000-0000-000067030000}"/>
    <cellStyle name="Normal 8 2 4 10" xfId="19379" xr:uid="{00000000-0005-0000-0000-000075480000}"/>
    <cellStyle name="Normal 8 2 4 11" xfId="19380" xr:uid="{00000000-0005-0000-0000-000076480000}"/>
    <cellStyle name="Normal 8 2 4 12" xfId="19381" xr:uid="{00000000-0005-0000-0000-000077480000}"/>
    <cellStyle name="Normal 8 2 4 13" xfId="19382" xr:uid="{00000000-0005-0000-0000-000078480000}"/>
    <cellStyle name="Normal 8 2 4 14" xfId="19383" xr:uid="{00000000-0005-0000-0000-000079480000}"/>
    <cellStyle name="Normal 8 2 4 15" xfId="19384" xr:uid="{00000000-0005-0000-0000-00007A480000}"/>
    <cellStyle name="Normal 8 2 4 16" xfId="19385" xr:uid="{00000000-0005-0000-0000-00007B480000}"/>
    <cellStyle name="Normal 8 2 4 17" xfId="19386" xr:uid="{00000000-0005-0000-0000-00007C480000}"/>
    <cellStyle name="Normal 8 2 4 18" xfId="19387" xr:uid="{00000000-0005-0000-0000-00007D480000}"/>
    <cellStyle name="Normal 8 2 4 19" xfId="19388" xr:uid="{00000000-0005-0000-0000-00007E480000}"/>
    <cellStyle name="Normal 8 2 4 2" xfId="19389" xr:uid="{00000000-0005-0000-0000-00007F480000}"/>
    <cellStyle name="Normal 8 2 4 2 10" xfId="19390" xr:uid="{00000000-0005-0000-0000-000080480000}"/>
    <cellStyle name="Normal 8 2 4 2 11" xfId="19391" xr:uid="{00000000-0005-0000-0000-000081480000}"/>
    <cellStyle name="Normal 8 2 4 2 12" xfId="19392" xr:uid="{00000000-0005-0000-0000-000082480000}"/>
    <cellStyle name="Normal 8 2 4 2 13" xfId="19393" xr:uid="{00000000-0005-0000-0000-000083480000}"/>
    <cellStyle name="Normal 8 2 4 2 14" xfId="19394" xr:uid="{00000000-0005-0000-0000-000084480000}"/>
    <cellStyle name="Normal 8 2 4 2 15" xfId="19395" xr:uid="{00000000-0005-0000-0000-000085480000}"/>
    <cellStyle name="Normal 8 2 4 2 2" xfId="19396" xr:uid="{00000000-0005-0000-0000-000086480000}"/>
    <cellStyle name="Normal 8 2 4 2 3" xfId="19397" xr:uid="{00000000-0005-0000-0000-000087480000}"/>
    <cellStyle name="Normal 8 2 4 2 4" xfId="19398" xr:uid="{00000000-0005-0000-0000-000088480000}"/>
    <cellStyle name="Normal 8 2 4 2 5" xfId="19399" xr:uid="{00000000-0005-0000-0000-000089480000}"/>
    <cellStyle name="Normal 8 2 4 2 6" xfId="19400" xr:uid="{00000000-0005-0000-0000-00008A480000}"/>
    <cellStyle name="Normal 8 2 4 2 7" xfId="19401" xr:uid="{00000000-0005-0000-0000-00008B480000}"/>
    <cellStyle name="Normal 8 2 4 2 8" xfId="19402" xr:uid="{00000000-0005-0000-0000-00008C480000}"/>
    <cellStyle name="Normal 8 2 4 2 9" xfId="19403" xr:uid="{00000000-0005-0000-0000-00008D480000}"/>
    <cellStyle name="Normal 8 2 4 20" xfId="19378" xr:uid="{00000000-0005-0000-0000-000074480000}"/>
    <cellStyle name="Normal 8 2 4 3" xfId="19404" xr:uid="{00000000-0005-0000-0000-00008E480000}"/>
    <cellStyle name="Normal 8 2 4 3 10" xfId="19405" xr:uid="{00000000-0005-0000-0000-00008F480000}"/>
    <cellStyle name="Normal 8 2 4 3 11" xfId="19406" xr:uid="{00000000-0005-0000-0000-000090480000}"/>
    <cellStyle name="Normal 8 2 4 3 12" xfId="19407" xr:uid="{00000000-0005-0000-0000-000091480000}"/>
    <cellStyle name="Normal 8 2 4 3 13" xfId="19408" xr:uid="{00000000-0005-0000-0000-000092480000}"/>
    <cellStyle name="Normal 8 2 4 3 14" xfId="19409" xr:uid="{00000000-0005-0000-0000-000093480000}"/>
    <cellStyle name="Normal 8 2 4 3 15" xfId="19410" xr:uid="{00000000-0005-0000-0000-000094480000}"/>
    <cellStyle name="Normal 8 2 4 3 2" xfId="19411" xr:uid="{00000000-0005-0000-0000-000095480000}"/>
    <cellStyle name="Normal 8 2 4 3 3" xfId="19412" xr:uid="{00000000-0005-0000-0000-000096480000}"/>
    <cellStyle name="Normal 8 2 4 3 4" xfId="19413" xr:uid="{00000000-0005-0000-0000-000097480000}"/>
    <cellStyle name="Normal 8 2 4 3 5" xfId="19414" xr:uid="{00000000-0005-0000-0000-000098480000}"/>
    <cellStyle name="Normal 8 2 4 3 6" xfId="19415" xr:uid="{00000000-0005-0000-0000-000099480000}"/>
    <cellStyle name="Normal 8 2 4 3 7" xfId="19416" xr:uid="{00000000-0005-0000-0000-00009A480000}"/>
    <cellStyle name="Normal 8 2 4 3 8" xfId="19417" xr:uid="{00000000-0005-0000-0000-00009B480000}"/>
    <cellStyle name="Normal 8 2 4 3 9" xfId="19418" xr:uid="{00000000-0005-0000-0000-00009C480000}"/>
    <cellStyle name="Normal 8 2 4 4" xfId="19419" xr:uid="{00000000-0005-0000-0000-00009D480000}"/>
    <cellStyle name="Normal 8 2 4 4 10" xfId="19420" xr:uid="{00000000-0005-0000-0000-00009E480000}"/>
    <cellStyle name="Normal 8 2 4 4 11" xfId="19421" xr:uid="{00000000-0005-0000-0000-00009F480000}"/>
    <cellStyle name="Normal 8 2 4 4 12" xfId="19422" xr:uid="{00000000-0005-0000-0000-0000A0480000}"/>
    <cellStyle name="Normal 8 2 4 4 13" xfId="19423" xr:uid="{00000000-0005-0000-0000-0000A1480000}"/>
    <cellStyle name="Normal 8 2 4 4 14" xfId="19424" xr:uid="{00000000-0005-0000-0000-0000A2480000}"/>
    <cellStyle name="Normal 8 2 4 4 15" xfId="19425" xr:uid="{00000000-0005-0000-0000-0000A3480000}"/>
    <cellStyle name="Normal 8 2 4 4 2" xfId="19426" xr:uid="{00000000-0005-0000-0000-0000A4480000}"/>
    <cellStyle name="Normal 8 2 4 4 3" xfId="19427" xr:uid="{00000000-0005-0000-0000-0000A5480000}"/>
    <cellStyle name="Normal 8 2 4 4 4" xfId="19428" xr:uid="{00000000-0005-0000-0000-0000A6480000}"/>
    <cellStyle name="Normal 8 2 4 4 5" xfId="19429" xr:uid="{00000000-0005-0000-0000-0000A7480000}"/>
    <cellStyle name="Normal 8 2 4 4 6" xfId="19430" xr:uid="{00000000-0005-0000-0000-0000A8480000}"/>
    <cellStyle name="Normal 8 2 4 4 7" xfId="19431" xr:uid="{00000000-0005-0000-0000-0000A9480000}"/>
    <cellStyle name="Normal 8 2 4 4 8" xfId="19432" xr:uid="{00000000-0005-0000-0000-0000AA480000}"/>
    <cellStyle name="Normal 8 2 4 4 9" xfId="19433" xr:uid="{00000000-0005-0000-0000-0000AB480000}"/>
    <cellStyle name="Normal 8 2 4 5" xfId="19434" xr:uid="{00000000-0005-0000-0000-0000AC480000}"/>
    <cellStyle name="Normal 8 2 4 5 10" xfId="19435" xr:uid="{00000000-0005-0000-0000-0000AD480000}"/>
    <cellStyle name="Normal 8 2 4 5 11" xfId="19436" xr:uid="{00000000-0005-0000-0000-0000AE480000}"/>
    <cellStyle name="Normal 8 2 4 5 12" xfId="19437" xr:uid="{00000000-0005-0000-0000-0000AF480000}"/>
    <cellStyle name="Normal 8 2 4 5 13" xfId="19438" xr:uid="{00000000-0005-0000-0000-0000B0480000}"/>
    <cellStyle name="Normal 8 2 4 5 14" xfId="19439" xr:uid="{00000000-0005-0000-0000-0000B1480000}"/>
    <cellStyle name="Normal 8 2 4 5 15" xfId="19440" xr:uid="{00000000-0005-0000-0000-0000B2480000}"/>
    <cellStyle name="Normal 8 2 4 5 2" xfId="19441" xr:uid="{00000000-0005-0000-0000-0000B3480000}"/>
    <cellStyle name="Normal 8 2 4 5 3" xfId="19442" xr:uid="{00000000-0005-0000-0000-0000B4480000}"/>
    <cellStyle name="Normal 8 2 4 5 4" xfId="19443" xr:uid="{00000000-0005-0000-0000-0000B5480000}"/>
    <cellStyle name="Normal 8 2 4 5 5" xfId="19444" xr:uid="{00000000-0005-0000-0000-0000B6480000}"/>
    <cellStyle name="Normal 8 2 4 5 6" xfId="19445" xr:uid="{00000000-0005-0000-0000-0000B7480000}"/>
    <cellStyle name="Normal 8 2 4 5 7" xfId="19446" xr:uid="{00000000-0005-0000-0000-0000B8480000}"/>
    <cellStyle name="Normal 8 2 4 5 8" xfId="19447" xr:uid="{00000000-0005-0000-0000-0000B9480000}"/>
    <cellStyle name="Normal 8 2 4 5 9" xfId="19448" xr:uid="{00000000-0005-0000-0000-0000BA480000}"/>
    <cellStyle name="Normal 8 2 4 6" xfId="19449" xr:uid="{00000000-0005-0000-0000-0000BB480000}"/>
    <cellStyle name="Normal 8 2 4 7" xfId="19450" xr:uid="{00000000-0005-0000-0000-0000BC480000}"/>
    <cellStyle name="Normal 8 2 4 8" xfId="19451" xr:uid="{00000000-0005-0000-0000-0000BD480000}"/>
    <cellStyle name="Normal 8 2 4 9" xfId="19452" xr:uid="{00000000-0005-0000-0000-0000BE480000}"/>
    <cellStyle name="Normal 8 2 5" xfId="874" xr:uid="{00000000-0005-0000-0000-000062030000}"/>
    <cellStyle name="Normal 8 2 5 10" xfId="19454" xr:uid="{00000000-0005-0000-0000-0000C0480000}"/>
    <cellStyle name="Normal 8 2 5 11" xfId="19455" xr:uid="{00000000-0005-0000-0000-0000C1480000}"/>
    <cellStyle name="Normal 8 2 5 12" xfId="19456" xr:uid="{00000000-0005-0000-0000-0000C2480000}"/>
    <cellStyle name="Normal 8 2 5 13" xfId="19457" xr:uid="{00000000-0005-0000-0000-0000C3480000}"/>
    <cellStyle name="Normal 8 2 5 14" xfId="19458" xr:uid="{00000000-0005-0000-0000-0000C4480000}"/>
    <cellStyle name="Normal 8 2 5 15" xfId="19459" xr:uid="{00000000-0005-0000-0000-0000C5480000}"/>
    <cellStyle name="Normal 8 2 5 16" xfId="19460" xr:uid="{00000000-0005-0000-0000-0000C6480000}"/>
    <cellStyle name="Normal 8 2 5 17" xfId="19461" xr:uid="{00000000-0005-0000-0000-0000C7480000}"/>
    <cellStyle name="Normal 8 2 5 18" xfId="19462" xr:uid="{00000000-0005-0000-0000-0000C8480000}"/>
    <cellStyle name="Normal 8 2 5 19" xfId="19463" xr:uid="{00000000-0005-0000-0000-0000C9480000}"/>
    <cellStyle name="Normal 8 2 5 2" xfId="19464" xr:uid="{00000000-0005-0000-0000-0000CA480000}"/>
    <cellStyle name="Normal 8 2 5 2 10" xfId="19465" xr:uid="{00000000-0005-0000-0000-0000CB480000}"/>
    <cellStyle name="Normal 8 2 5 2 11" xfId="19466" xr:uid="{00000000-0005-0000-0000-0000CC480000}"/>
    <cellStyle name="Normal 8 2 5 2 12" xfId="19467" xr:uid="{00000000-0005-0000-0000-0000CD480000}"/>
    <cellStyle name="Normal 8 2 5 2 13" xfId="19468" xr:uid="{00000000-0005-0000-0000-0000CE480000}"/>
    <cellStyle name="Normal 8 2 5 2 14" xfId="19469" xr:uid="{00000000-0005-0000-0000-0000CF480000}"/>
    <cellStyle name="Normal 8 2 5 2 15" xfId="19470" xr:uid="{00000000-0005-0000-0000-0000D0480000}"/>
    <cellStyle name="Normal 8 2 5 2 2" xfId="19471" xr:uid="{00000000-0005-0000-0000-0000D1480000}"/>
    <cellStyle name="Normal 8 2 5 2 3" xfId="19472" xr:uid="{00000000-0005-0000-0000-0000D2480000}"/>
    <cellStyle name="Normal 8 2 5 2 4" xfId="19473" xr:uid="{00000000-0005-0000-0000-0000D3480000}"/>
    <cellStyle name="Normal 8 2 5 2 5" xfId="19474" xr:uid="{00000000-0005-0000-0000-0000D4480000}"/>
    <cellStyle name="Normal 8 2 5 2 6" xfId="19475" xr:uid="{00000000-0005-0000-0000-0000D5480000}"/>
    <cellStyle name="Normal 8 2 5 2 7" xfId="19476" xr:uid="{00000000-0005-0000-0000-0000D6480000}"/>
    <cellStyle name="Normal 8 2 5 2 8" xfId="19477" xr:uid="{00000000-0005-0000-0000-0000D7480000}"/>
    <cellStyle name="Normal 8 2 5 2 9" xfId="19478" xr:uid="{00000000-0005-0000-0000-0000D8480000}"/>
    <cellStyle name="Normal 8 2 5 20" xfId="19453" xr:uid="{00000000-0005-0000-0000-0000BF480000}"/>
    <cellStyle name="Normal 8 2 5 3" xfId="19479" xr:uid="{00000000-0005-0000-0000-0000D9480000}"/>
    <cellStyle name="Normal 8 2 5 3 10" xfId="19480" xr:uid="{00000000-0005-0000-0000-0000DA480000}"/>
    <cellStyle name="Normal 8 2 5 3 11" xfId="19481" xr:uid="{00000000-0005-0000-0000-0000DB480000}"/>
    <cellStyle name="Normal 8 2 5 3 12" xfId="19482" xr:uid="{00000000-0005-0000-0000-0000DC480000}"/>
    <cellStyle name="Normal 8 2 5 3 13" xfId="19483" xr:uid="{00000000-0005-0000-0000-0000DD480000}"/>
    <cellStyle name="Normal 8 2 5 3 14" xfId="19484" xr:uid="{00000000-0005-0000-0000-0000DE480000}"/>
    <cellStyle name="Normal 8 2 5 3 15" xfId="19485" xr:uid="{00000000-0005-0000-0000-0000DF480000}"/>
    <cellStyle name="Normal 8 2 5 3 2" xfId="19486" xr:uid="{00000000-0005-0000-0000-0000E0480000}"/>
    <cellStyle name="Normal 8 2 5 3 3" xfId="19487" xr:uid="{00000000-0005-0000-0000-0000E1480000}"/>
    <cellStyle name="Normal 8 2 5 3 4" xfId="19488" xr:uid="{00000000-0005-0000-0000-0000E2480000}"/>
    <cellStyle name="Normal 8 2 5 3 5" xfId="19489" xr:uid="{00000000-0005-0000-0000-0000E3480000}"/>
    <cellStyle name="Normal 8 2 5 3 6" xfId="19490" xr:uid="{00000000-0005-0000-0000-0000E4480000}"/>
    <cellStyle name="Normal 8 2 5 3 7" xfId="19491" xr:uid="{00000000-0005-0000-0000-0000E5480000}"/>
    <cellStyle name="Normal 8 2 5 3 8" xfId="19492" xr:uid="{00000000-0005-0000-0000-0000E6480000}"/>
    <cellStyle name="Normal 8 2 5 3 9" xfId="19493" xr:uid="{00000000-0005-0000-0000-0000E7480000}"/>
    <cellStyle name="Normal 8 2 5 4" xfId="19494" xr:uid="{00000000-0005-0000-0000-0000E8480000}"/>
    <cellStyle name="Normal 8 2 5 4 10" xfId="19495" xr:uid="{00000000-0005-0000-0000-0000E9480000}"/>
    <cellStyle name="Normal 8 2 5 4 11" xfId="19496" xr:uid="{00000000-0005-0000-0000-0000EA480000}"/>
    <cellStyle name="Normal 8 2 5 4 12" xfId="19497" xr:uid="{00000000-0005-0000-0000-0000EB480000}"/>
    <cellStyle name="Normal 8 2 5 4 13" xfId="19498" xr:uid="{00000000-0005-0000-0000-0000EC480000}"/>
    <cellStyle name="Normal 8 2 5 4 14" xfId="19499" xr:uid="{00000000-0005-0000-0000-0000ED480000}"/>
    <cellStyle name="Normal 8 2 5 4 15" xfId="19500" xr:uid="{00000000-0005-0000-0000-0000EE480000}"/>
    <cellStyle name="Normal 8 2 5 4 2" xfId="19501" xr:uid="{00000000-0005-0000-0000-0000EF480000}"/>
    <cellStyle name="Normal 8 2 5 4 3" xfId="19502" xr:uid="{00000000-0005-0000-0000-0000F0480000}"/>
    <cellStyle name="Normal 8 2 5 4 4" xfId="19503" xr:uid="{00000000-0005-0000-0000-0000F1480000}"/>
    <cellStyle name="Normal 8 2 5 4 5" xfId="19504" xr:uid="{00000000-0005-0000-0000-0000F2480000}"/>
    <cellStyle name="Normal 8 2 5 4 6" xfId="19505" xr:uid="{00000000-0005-0000-0000-0000F3480000}"/>
    <cellStyle name="Normal 8 2 5 4 7" xfId="19506" xr:uid="{00000000-0005-0000-0000-0000F4480000}"/>
    <cellStyle name="Normal 8 2 5 4 8" xfId="19507" xr:uid="{00000000-0005-0000-0000-0000F5480000}"/>
    <cellStyle name="Normal 8 2 5 4 9" xfId="19508" xr:uid="{00000000-0005-0000-0000-0000F6480000}"/>
    <cellStyle name="Normal 8 2 5 5" xfId="19509" xr:uid="{00000000-0005-0000-0000-0000F7480000}"/>
    <cellStyle name="Normal 8 2 5 5 10" xfId="19510" xr:uid="{00000000-0005-0000-0000-0000F8480000}"/>
    <cellStyle name="Normal 8 2 5 5 11" xfId="19511" xr:uid="{00000000-0005-0000-0000-0000F9480000}"/>
    <cellStyle name="Normal 8 2 5 5 12" xfId="19512" xr:uid="{00000000-0005-0000-0000-0000FA480000}"/>
    <cellStyle name="Normal 8 2 5 5 13" xfId="19513" xr:uid="{00000000-0005-0000-0000-0000FB480000}"/>
    <cellStyle name="Normal 8 2 5 5 14" xfId="19514" xr:uid="{00000000-0005-0000-0000-0000FC480000}"/>
    <cellStyle name="Normal 8 2 5 5 15" xfId="19515" xr:uid="{00000000-0005-0000-0000-0000FD480000}"/>
    <cellStyle name="Normal 8 2 5 5 2" xfId="19516" xr:uid="{00000000-0005-0000-0000-0000FE480000}"/>
    <cellStyle name="Normal 8 2 5 5 3" xfId="19517" xr:uid="{00000000-0005-0000-0000-0000FF480000}"/>
    <cellStyle name="Normal 8 2 5 5 4" xfId="19518" xr:uid="{00000000-0005-0000-0000-000000490000}"/>
    <cellStyle name="Normal 8 2 5 5 5" xfId="19519" xr:uid="{00000000-0005-0000-0000-000001490000}"/>
    <cellStyle name="Normal 8 2 5 5 6" xfId="19520" xr:uid="{00000000-0005-0000-0000-000002490000}"/>
    <cellStyle name="Normal 8 2 5 5 7" xfId="19521" xr:uid="{00000000-0005-0000-0000-000003490000}"/>
    <cellStyle name="Normal 8 2 5 5 8" xfId="19522" xr:uid="{00000000-0005-0000-0000-000004490000}"/>
    <cellStyle name="Normal 8 2 5 5 9" xfId="19523" xr:uid="{00000000-0005-0000-0000-000005490000}"/>
    <cellStyle name="Normal 8 2 5 6" xfId="19524" xr:uid="{00000000-0005-0000-0000-000006490000}"/>
    <cellStyle name="Normal 8 2 5 7" xfId="19525" xr:uid="{00000000-0005-0000-0000-000007490000}"/>
    <cellStyle name="Normal 8 2 5 8" xfId="19526" xr:uid="{00000000-0005-0000-0000-000008490000}"/>
    <cellStyle name="Normal 8 2 5 9" xfId="19527" xr:uid="{00000000-0005-0000-0000-000009490000}"/>
    <cellStyle name="Normal 8 2 6" xfId="19528" xr:uid="{00000000-0005-0000-0000-00000A490000}"/>
    <cellStyle name="Normal 8 2 6 10" xfId="19529" xr:uid="{00000000-0005-0000-0000-00000B490000}"/>
    <cellStyle name="Normal 8 2 6 11" xfId="19530" xr:uid="{00000000-0005-0000-0000-00000C490000}"/>
    <cellStyle name="Normal 8 2 6 12" xfId="19531" xr:uid="{00000000-0005-0000-0000-00000D490000}"/>
    <cellStyle name="Normal 8 2 6 13" xfId="19532" xr:uid="{00000000-0005-0000-0000-00000E490000}"/>
    <cellStyle name="Normal 8 2 6 14" xfId="19533" xr:uid="{00000000-0005-0000-0000-00000F490000}"/>
    <cellStyle name="Normal 8 2 6 15" xfId="19534" xr:uid="{00000000-0005-0000-0000-000010490000}"/>
    <cellStyle name="Normal 8 2 6 16" xfId="19535" xr:uid="{00000000-0005-0000-0000-000011490000}"/>
    <cellStyle name="Normal 8 2 6 17" xfId="19536" xr:uid="{00000000-0005-0000-0000-000012490000}"/>
    <cellStyle name="Normal 8 2 6 18" xfId="19537" xr:uid="{00000000-0005-0000-0000-000013490000}"/>
    <cellStyle name="Normal 8 2 6 19" xfId="19538" xr:uid="{00000000-0005-0000-0000-000014490000}"/>
    <cellStyle name="Normal 8 2 6 2" xfId="19539" xr:uid="{00000000-0005-0000-0000-000015490000}"/>
    <cellStyle name="Normal 8 2 6 2 10" xfId="19540" xr:uid="{00000000-0005-0000-0000-000016490000}"/>
    <cellStyle name="Normal 8 2 6 2 11" xfId="19541" xr:uid="{00000000-0005-0000-0000-000017490000}"/>
    <cellStyle name="Normal 8 2 6 2 12" xfId="19542" xr:uid="{00000000-0005-0000-0000-000018490000}"/>
    <cellStyle name="Normal 8 2 6 2 13" xfId="19543" xr:uid="{00000000-0005-0000-0000-000019490000}"/>
    <cellStyle name="Normal 8 2 6 2 14" xfId="19544" xr:uid="{00000000-0005-0000-0000-00001A490000}"/>
    <cellStyle name="Normal 8 2 6 2 15" xfId="19545" xr:uid="{00000000-0005-0000-0000-00001B490000}"/>
    <cellStyle name="Normal 8 2 6 2 2" xfId="19546" xr:uid="{00000000-0005-0000-0000-00001C490000}"/>
    <cellStyle name="Normal 8 2 6 2 3" xfId="19547" xr:uid="{00000000-0005-0000-0000-00001D490000}"/>
    <cellStyle name="Normal 8 2 6 2 4" xfId="19548" xr:uid="{00000000-0005-0000-0000-00001E490000}"/>
    <cellStyle name="Normal 8 2 6 2 5" xfId="19549" xr:uid="{00000000-0005-0000-0000-00001F490000}"/>
    <cellStyle name="Normal 8 2 6 2 6" xfId="19550" xr:uid="{00000000-0005-0000-0000-000020490000}"/>
    <cellStyle name="Normal 8 2 6 2 7" xfId="19551" xr:uid="{00000000-0005-0000-0000-000021490000}"/>
    <cellStyle name="Normal 8 2 6 2 8" xfId="19552" xr:uid="{00000000-0005-0000-0000-000022490000}"/>
    <cellStyle name="Normal 8 2 6 2 9" xfId="19553" xr:uid="{00000000-0005-0000-0000-000023490000}"/>
    <cellStyle name="Normal 8 2 6 3" xfId="19554" xr:uid="{00000000-0005-0000-0000-000024490000}"/>
    <cellStyle name="Normal 8 2 6 3 10" xfId="19555" xr:uid="{00000000-0005-0000-0000-000025490000}"/>
    <cellStyle name="Normal 8 2 6 3 11" xfId="19556" xr:uid="{00000000-0005-0000-0000-000026490000}"/>
    <cellStyle name="Normal 8 2 6 3 12" xfId="19557" xr:uid="{00000000-0005-0000-0000-000027490000}"/>
    <cellStyle name="Normal 8 2 6 3 13" xfId="19558" xr:uid="{00000000-0005-0000-0000-000028490000}"/>
    <cellStyle name="Normal 8 2 6 3 14" xfId="19559" xr:uid="{00000000-0005-0000-0000-000029490000}"/>
    <cellStyle name="Normal 8 2 6 3 15" xfId="19560" xr:uid="{00000000-0005-0000-0000-00002A490000}"/>
    <cellStyle name="Normal 8 2 6 3 2" xfId="19561" xr:uid="{00000000-0005-0000-0000-00002B490000}"/>
    <cellStyle name="Normal 8 2 6 3 3" xfId="19562" xr:uid="{00000000-0005-0000-0000-00002C490000}"/>
    <cellStyle name="Normal 8 2 6 3 4" xfId="19563" xr:uid="{00000000-0005-0000-0000-00002D490000}"/>
    <cellStyle name="Normal 8 2 6 3 5" xfId="19564" xr:uid="{00000000-0005-0000-0000-00002E490000}"/>
    <cellStyle name="Normal 8 2 6 3 6" xfId="19565" xr:uid="{00000000-0005-0000-0000-00002F490000}"/>
    <cellStyle name="Normal 8 2 6 3 7" xfId="19566" xr:uid="{00000000-0005-0000-0000-000030490000}"/>
    <cellStyle name="Normal 8 2 6 3 8" xfId="19567" xr:uid="{00000000-0005-0000-0000-000031490000}"/>
    <cellStyle name="Normal 8 2 6 3 9" xfId="19568" xr:uid="{00000000-0005-0000-0000-000032490000}"/>
    <cellStyle name="Normal 8 2 6 4" xfId="19569" xr:uid="{00000000-0005-0000-0000-000033490000}"/>
    <cellStyle name="Normal 8 2 6 4 10" xfId="19570" xr:uid="{00000000-0005-0000-0000-000034490000}"/>
    <cellStyle name="Normal 8 2 6 4 11" xfId="19571" xr:uid="{00000000-0005-0000-0000-000035490000}"/>
    <cellStyle name="Normal 8 2 6 4 12" xfId="19572" xr:uid="{00000000-0005-0000-0000-000036490000}"/>
    <cellStyle name="Normal 8 2 6 4 13" xfId="19573" xr:uid="{00000000-0005-0000-0000-000037490000}"/>
    <cellStyle name="Normal 8 2 6 4 14" xfId="19574" xr:uid="{00000000-0005-0000-0000-000038490000}"/>
    <cellStyle name="Normal 8 2 6 4 15" xfId="19575" xr:uid="{00000000-0005-0000-0000-000039490000}"/>
    <cellStyle name="Normal 8 2 6 4 2" xfId="19576" xr:uid="{00000000-0005-0000-0000-00003A490000}"/>
    <cellStyle name="Normal 8 2 6 4 3" xfId="19577" xr:uid="{00000000-0005-0000-0000-00003B490000}"/>
    <cellStyle name="Normal 8 2 6 4 4" xfId="19578" xr:uid="{00000000-0005-0000-0000-00003C490000}"/>
    <cellStyle name="Normal 8 2 6 4 5" xfId="19579" xr:uid="{00000000-0005-0000-0000-00003D490000}"/>
    <cellStyle name="Normal 8 2 6 4 6" xfId="19580" xr:uid="{00000000-0005-0000-0000-00003E490000}"/>
    <cellStyle name="Normal 8 2 6 4 7" xfId="19581" xr:uid="{00000000-0005-0000-0000-00003F490000}"/>
    <cellStyle name="Normal 8 2 6 4 8" xfId="19582" xr:uid="{00000000-0005-0000-0000-000040490000}"/>
    <cellStyle name="Normal 8 2 6 4 9" xfId="19583" xr:uid="{00000000-0005-0000-0000-000041490000}"/>
    <cellStyle name="Normal 8 2 6 5" xfId="19584" xr:uid="{00000000-0005-0000-0000-000042490000}"/>
    <cellStyle name="Normal 8 2 6 5 10" xfId="19585" xr:uid="{00000000-0005-0000-0000-000043490000}"/>
    <cellStyle name="Normal 8 2 6 5 11" xfId="19586" xr:uid="{00000000-0005-0000-0000-000044490000}"/>
    <cellStyle name="Normal 8 2 6 5 12" xfId="19587" xr:uid="{00000000-0005-0000-0000-000045490000}"/>
    <cellStyle name="Normal 8 2 6 5 13" xfId="19588" xr:uid="{00000000-0005-0000-0000-000046490000}"/>
    <cellStyle name="Normal 8 2 6 5 14" xfId="19589" xr:uid="{00000000-0005-0000-0000-000047490000}"/>
    <cellStyle name="Normal 8 2 6 5 15" xfId="19590" xr:uid="{00000000-0005-0000-0000-000048490000}"/>
    <cellStyle name="Normal 8 2 6 5 2" xfId="19591" xr:uid="{00000000-0005-0000-0000-000049490000}"/>
    <cellStyle name="Normal 8 2 6 5 3" xfId="19592" xr:uid="{00000000-0005-0000-0000-00004A490000}"/>
    <cellStyle name="Normal 8 2 6 5 4" xfId="19593" xr:uid="{00000000-0005-0000-0000-00004B490000}"/>
    <cellStyle name="Normal 8 2 6 5 5" xfId="19594" xr:uid="{00000000-0005-0000-0000-00004C490000}"/>
    <cellStyle name="Normal 8 2 6 5 6" xfId="19595" xr:uid="{00000000-0005-0000-0000-00004D490000}"/>
    <cellStyle name="Normal 8 2 6 5 7" xfId="19596" xr:uid="{00000000-0005-0000-0000-00004E490000}"/>
    <cellStyle name="Normal 8 2 6 5 8" xfId="19597" xr:uid="{00000000-0005-0000-0000-00004F490000}"/>
    <cellStyle name="Normal 8 2 6 5 9" xfId="19598" xr:uid="{00000000-0005-0000-0000-000050490000}"/>
    <cellStyle name="Normal 8 2 6 6" xfId="19599" xr:uid="{00000000-0005-0000-0000-000051490000}"/>
    <cellStyle name="Normal 8 2 6 7" xfId="19600" xr:uid="{00000000-0005-0000-0000-000052490000}"/>
    <cellStyle name="Normal 8 2 6 8" xfId="19601" xr:uid="{00000000-0005-0000-0000-000053490000}"/>
    <cellStyle name="Normal 8 2 6 9" xfId="19602" xr:uid="{00000000-0005-0000-0000-000054490000}"/>
    <cellStyle name="Normal 8 2 7" xfId="19603" xr:uid="{00000000-0005-0000-0000-000055490000}"/>
    <cellStyle name="Normal 8 2 7 10" xfId="19604" xr:uid="{00000000-0005-0000-0000-000056490000}"/>
    <cellStyle name="Normal 8 2 7 11" xfId="19605" xr:uid="{00000000-0005-0000-0000-000057490000}"/>
    <cellStyle name="Normal 8 2 7 12" xfId="19606" xr:uid="{00000000-0005-0000-0000-000058490000}"/>
    <cellStyle name="Normal 8 2 7 13" xfId="19607" xr:uid="{00000000-0005-0000-0000-000059490000}"/>
    <cellStyle name="Normal 8 2 7 14" xfId="19608" xr:uid="{00000000-0005-0000-0000-00005A490000}"/>
    <cellStyle name="Normal 8 2 7 15" xfId="19609" xr:uid="{00000000-0005-0000-0000-00005B490000}"/>
    <cellStyle name="Normal 8 2 7 2" xfId="19610" xr:uid="{00000000-0005-0000-0000-00005C490000}"/>
    <cellStyle name="Normal 8 2 7 3" xfId="19611" xr:uid="{00000000-0005-0000-0000-00005D490000}"/>
    <cellStyle name="Normal 8 2 7 4" xfId="19612" xr:uid="{00000000-0005-0000-0000-00005E490000}"/>
    <cellStyle name="Normal 8 2 7 5" xfId="19613" xr:uid="{00000000-0005-0000-0000-00005F490000}"/>
    <cellStyle name="Normal 8 2 7 6" xfId="19614" xr:uid="{00000000-0005-0000-0000-000060490000}"/>
    <cellStyle name="Normal 8 2 7 7" xfId="19615" xr:uid="{00000000-0005-0000-0000-000061490000}"/>
    <cellStyle name="Normal 8 2 7 8" xfId="19616" xr:uid="{00000000-0005-0000-0000-000062490000}"/>
    <cellStyle name="Normal 8 2 7 9" xfId="19617" xr:uid="{00000000-0005-0000-0000-000063490000}"/>
    <cellStyle name="Normal 8 2 8" xfId="19618" xr:uid="{00000000-0005-0000-0000-000064490000}"/>
    <cellStyle name="Normal 8 2 8 10" xfId="19619" xr:uid="{00000000-0005-0000-0000-000065490000}"/>
    <cellStyle name="Normal 8 2 8 11" xfId="19620" xr:uid="{00000000-0005-0000-0000-000066490000}"/>
    <cellStyle name="Normal 8 2 8 12" xfId="19621" xr:uid="{00000000-0005-0000-0000-000067490000}"/>
    <cellStyle name="Normal 8 2 8 13" xfId="19622" xr:uid="{00000000-0005-0000-0000-000068490000}"/>
    <cellStyle name="Normal 8 2 8 14" xfId="19623" xr:uid="{00000000-0005-0000-0000-000069490000}"/>
    <cellStyle name="Normal 8 2 8 15" xfId="19624" xr:uid="{00000000-0005-0000-0000-00006A490000}"/>
    <cellStyle name="Normal 8 2 8 2" xfId="19625" xr:uid="{00000000-0005-0000-0000-00006B490000}"/>
    <cellStyle name="Normal 8 2 8 3" xfId="19626" xr:uid="{00000000-0005-0000-0000-00006C490000}"/>
    <cellStyle name="Normal 8 2 8 4" xfId="19627" xr:uid="{00000000-0005-0000-0000-00006D490000}"/>
    <cellStyle name="Normal 8 2 8 5" xfId="19628" xr:uid="{00000000-0005-0000-0000-00006E490000}"/>
    <cellStyle name="Normal 8 2 8 6" xfId="19629" xr:uid="{00000000-0005-0000-0000-00006F490000}"/>
    <cellStyle name="Normal 8 2 8 7" xfId="19630" xr:uid="{00000000-0005-0000-0000-000070490000}"/>
    <cellStyle name="Normal 8 2 8 8" xfId="19631" xr:uid="{00000000-0005-0000-0000-000071490000}"/>
    <cellStyle name="Normal 8 2 8 9" xfId="19632" xr:uid="{00000000-0005-0000-0000-000072490000}"/>
    <cellStyle name="Normal 8 2 9" xfId="19633" xr:uid="{00000000-0005-0000-0000-000073490000}"/>
    <cellStyle name="Normal 8 2 9 10" xfId="19634" xr:uid="{00000000-0005-0000-0000-000074490000}"/>
    <cellStyle name="Normal 8 2 9 11" xfId="19635" xr:uid="{00000000-0005-0000-0000-000075490000}"/>
    <cellStyle name="Normal 8 2 9 12" xfId="19636" xr:uid="{00000000-0005-0000-0000-000076490000}"/>
    <cellStyle name="Normal 8 2 9 13" xfId="19637" xr:uid="{00000000-0005-0000-0000-000077490000}"/>
    <cellStyle name="Normal 8 2 9 14" xfId="19638" xr:uid="{00000000-0005-0000-0000-000078490000}"/>
    <cellStyle name="Normal 8 2 9 15" xfId="19639" xr:uid="{00000000-0005-0000-0000-000079490000}"/>
    <cellStyle name="Normal 8 2 9 2" xfId="19640" xr:uid="{00000000-0005-0000-0000-00007A490000}"/>
    <cellStyle name="Normal 8 2 9 3" xfId="19641" xr:uid="{00000000-0005-0000-0000-00007B490000}"/>
    <cellStyle name="Normal 8 2 9 4" xfId="19642" xr:uid="{00000000-0005-0000-0000-00007C490000}"/>
    <cellStyle name="Normal 8 2 9 5" xfId="19643" xr:uid="{00000000-0005-0000-0000-00007D490000}"/>
    <cellStyle name="Normal 8 2 9 6" xfId="19644" xr:uid="{00000000-0005-0000-0000-00007E490000}"/>
    <cellStyle name="Normal 8 2 9 7" xfId="19645" xr:uid="{00000000-0005-0000-0000-00007F490000}"/>
    <cellStyle name="Normal 8 2 9 8" xfId="19646" xr:uid="{00000000-0005-0000-0000-000080490000}"/>
    <cellStyle name="Normal 8 2 9 9" xfId="19647" xr:uid="{00000000-0005-0000-0000-000081490000}"/>
    <cellStyle name="Normal 8 2_CORRECTED COPY OF rA 5" xfId="19648" xr:uid="{00000000-0005-0000-0000-000082490000}"/>
    <cellStyle name="Normal 8 20" xfId="19649" xr:uid="{00000000-0005-0000-0000-000083490000}"/>
    <cellStyle name="Normal 8 21" xfId="19650" xr:uid="{00000000-0005-0000-0000-000084490000}"/>
    <cellStyle name="Normal 8 22" xfId="19651" xr:uid="{00000000-0005-0000-0000-000085490000}"/>
    <cellStyle name="Normal 8 23" xfId="19652" xr:uid="{00000000-0005-0000-0000-000086490000}"/>
    <cellStyle name="Normal 8 24" xfId="19653" xr:uid="{00000000-0005-0000-0000-000087490000}"/>
    <cellStyle name="Normal 8 25" xfId="19654" xr:uid="{00000000-0005-0000-0000-000088490000}"/>
    <cellStyle name="Normal 8 26" xfId="19655" xr:uid="{00000000-0005-0000-0000-000089490000}"/>
    <cellStyle name="Normal 8 27" xfId="19656" xr:uid="{00000000-0005-0000-0000-00008A490000}"/>
    <cellStyle name="Normal 8 28" xfId="19657" xr:uid="{00000000-0005-0000-0000-00008B490000}"/>
    <cellStyle name="Normal 8 29" xfId="19658" xr:uid="{00000000-0005-0000-0000-00008C490000}"/>
    <cellStyle name="Normal 8 3" xfId="907" xr:uid="{00000000-0005-0000-0000-000068030000}"/>
    <cellStyle name="Normal 8 3 10" xfId="19660" xr:uid="{00000000-0005-0000-0000-00008E490000}"/>
    <cellStyle name="Normal 8 3 11" xfId="19661" xr:uid="{00000000-0005-0000-0000-00008F490000}"/>
    <cellStyle name="Normal 8 3 12" xfId="19662" xr:uid="{00000000-0005-0000-0000-000090490000}"/>
    <cellStyle name="Normal 8 3 13" xfId="19663" xr:uid="{00000000-0005-0000-0000-000091490000}"/>
    <cellStyle name="Normal 8 3 14" xfId="19664" xr:uid="{00000000-0005-0000-0000-000092490000}"/>
    <cellStyle name="Normal 8 3 15" xfId="19665" xr:uid="{00000000-0005-0000-0000-000093490000}"/>
    <cellStyle name="Normal 8 3 16" xfId="19666" xr:uid="{00000000-0005-0000-0000-000094490000}"/>
    <cellStyle name="Normal 8 3 17" xfId="19667" xr:uid="{00000000-0005-0000-0000-000095490000}"/>
    <cellStyle name="Normal 8 3 18" xfId="19668" xr:uid="{00000000-0005-0000-0000-000096490000}"/>
    <cellStyle name="Normal 8 3 19" xfId="19669" xr:uid="{00000000-0005-0000-0000-000097490000}"/>
    <cellStyle name="Normal 8 3 2" xfId="906" xr:uid="{00000000-0005-0000-0000-000069030000}"/>
    <cellStyle name="Normal 8 3 2 10" xfId="19671" xr:uid="{00000000-0005-0000-0000-000099490000}"/>
    <cellStyle name="Normal 8 3 2 11" xfId="19672" xr:uid="{00000000-0005-0000-0000-00009A490000}"/>
    <cellStyle name="Normal 8 3 2 12" xfId="19673" xr:uid="{00000000-0005-0000-0000-00009B490000}"/>
    <cellStyle name="Normal 8 3 2 13" xfId="19674" xr:uid="{00000000-0005-0000-0000-00009C490000}"/>
    <cellStyle name="Normal 8 3 2 14" xfId="19675" xr:uid="{00000000-0005-0000-0000-00009D490000}"/>
    <cellStyle name="Normal 8 3 2 15" xfId="19676" xr:uid="{00000000-0005-0000-0000-00009E490000}"/>
    <cellStyle name="Normal 8 3 2 16" xfId="19677" xr:uid="{00000000-0005-0000-0000-00009F490000}"/>
    <cellStyle name="Normal 8 3 2 17" xfId="19678" xr:uid="{00000000-0005-0000-0000-0000A0490000}"/>
    <cellStyle name="Normal 8 3 2 18" xfId="19679" xr:uid="{00000000-0005-0000-0000-0000A1490000}"/>
    <cellStyle name="Normal 8 3 2 19" xfId="19680" xr:uid="{00000000-0005-0000-0000-0000A2490000}"/>
    <cellStyle name="Normal 8 3 2 2" xfId="19681" xr:uid="{00000000-0005-0000-0000-0000A3490000}"/>
    <cellStyle name="Normal 8 3 2 2 10" xfId="19682" xr:uid="{00000000-0005-0000-0000-0000A4490000}"/>
    <cellStyle name="Normal 8 3 2 2 11" xfId="19683" xr:uid="{00000000-0005-0000-0000-0000A5490000}"/>
    <cellStyle name="Normal 8 3 2 2 12" xfId="19684" xr:uid="{00000000-0005-0000-0000-0000A6490000}"/>
    <cellStyle name="Normal 8 3 2 2 13" xfId="19685" xr:uid="{00000000-0005-0000-0000-0000A7490000}"/>
    <cellStyle name="Normal 8 3 2 2 14" xfId="19686" xr:uid="{00000000-0005-0000-0000-0000A8490000}"/>
    <cellStyle name="Normal 8 3 2 2 15" xfId="19687" xr:uid="{00000000-0005-0000-0000-0000A9490000}"/>
    <cellStyle name="Normal 8 3 2 2 2" xfId="19688" xr:uid="{00000000-0005-0000-0000-0000AA490000}"/>
    <cellStyle name="Normal 8 3 2 2 3" xfId="19689" xr:uid="{00000000-0005-0000-0000-0000AB490000}"/>
    <cellStyle name="Normal 8 3 2 2 4" xfId="19690" xr:uid="{00000000-0005-0000-0000-0000AC490000}"/>
    <cellStyle name="Normal 8 3 2 2 5" xfId="19691" xr:uid="{00000000-0005-0000-0000-0000AD490000}"/>
    <cellStyle name="Normal 8 3 2 2 6" xfId="19692" xr:uid="{00000000-0005-0000-0000-0000AE490000}"/>
    <cellStyle name="Normal 8 3 2 2 7" xfId="19693" xr:uid="{00000000-0005-0000-0000-0000AF490000}"/>
    <cellStyle name="Normal 8 3 2 2 8" xfId="19694" xr:uid="{00000000-0005-0000-0000-0000B0490000}"/>
    <cellStyle name="Normal 8 3 2 2 9" xfId="19695" xr:uid="{00000000-0005-0000-0000-0000B1490000}"/>
    <cellStyle name="Normal 8 3 2 20" xfId="19696" xr:uid="{00000000-0005-0000-0000-0000B2490000}"/>
    <cellStyle name="Normal 8 3 2 21" xfId="19697" xr:uid="{00000000-0005-0000-0000-0000B3490000}"/>
    <cellStyle name="Normal 8 3 2 22" xfId="19698" xr:uid="{00000000-0005-0000-0000-0000B4490000}"/>
    <cellStyle name="Normal 8 3 2 23" xfId="19699" xr:uid="{00000000-0005-0000-0000-0000B5490000}"/>
    <cellStyle name="Normal 8 3 2 24" xfId="19670" xr:uid="{00000000-0005-0000-0000-000098490000}"/>
    <cellStyle name="Normal 8 3 2 3" xfId="19700" xr:uid="{00000000-0005-0000-0000-0000B6490000}"/>
    <cellStyle name="Normal 8 3 2 3 10" xfId="19701" xr:uid="{00000000-0005-0000-0000-0000B7490000}"/>
    <cellStyle name="Normal 8 3 2 3 11" xfId="19702" xr:uid="{00000000-0005-0000-0000-0000B8490000}"/>
    <cellStyle name="Normal 8 3 2 3 12" xfId="19703" xr:uid="{00000000-0005-0000-0000-0000B9490000}"/>
    <cellStyle name="Normal 8 3 2 3 13" xfId="19704" xr:uid="{00000000-0005-0000-0000-0000BA490000}"/>
    <cellStyle name="Normal 8 3 2 3 14" xfId="19705" xr:uid="{00000000-0005-0000-0000-0000BB490000}"/>
    <cellStyle name="Normal 8 3 2 3 15" xfId="19706" xr:uid="{00000000-0005-0000-0000-0000BC490000}"/>
    <cellStyle name="Normal 8 3 2 3 2" xfId="19707" xr:uid="{00000000-0005-0000-0000-0000BD490000}"/>
    <cellStyle name="Normal 8 3 2 3 3" xfId="19708" xr:uid="{00000000-0005-0000-0000-0000BE490000}"/>
    <cellStyle name="Normal 8 3 2 3 4" xfId="19709" xr:uid="{00000000-0005-0000-0000-0000BF490000}"/>
    <cellStyle name="Normal 8 3 2 3 5" xfId="19710" xr:uid="{00000000-0005-0000-0000-0000C0490000}"/>
    <cellStyle name="Normal 8 3 2 3 6" xfId="19711" xr:uid="{00000000-0005-0000-0000-0000C1490000}"/>
    <cellStyle name="Normal 8 3 2 3 7" xfId="19712" xr:uid="{00000000-0005-0000-0000-0000C2490000}"/>
    <cellStyle name="Normal 8 3 2 3 8" xfId="19713" xr:uid="{00000000-0005-0000-0000-0000C3490000}"/>
    <cellStyle name="Normal 8 3 2 3 9" xfId="19714" xr:uid="{00000000-0005-0000-0000-0000C4490000}"/>
    <cellStyle name="Normal 8 3 2 4" xfId="19715" xr:uid="{00000000-0005-0000-0000-0000C5490000}"/>
    <cellStyle name="Normal 8 3 2 4 10" xfId="19716" xr:uid="{00000000-0005-0000-0000-0000C6490000}"/>
    <cellStyle name="Normal 8 3 2 4 11" xfId="19717" xr:uid="{00000000-0005-0000-0000-0000C7490000}"/>
    <cellStyle name="Normal 8 3 2 4 12" xfId="19718" xr:uid="{00000000-0005-0000-0000-0000C8490000}"/>
    <cellStyle name="Normal 8 3 2 4 13" xfId="19719" xr:uid="{00000000-0005-0000-0000-0000C9490000}"/>
    <cellStyle name="Normal 8 3 2 4 14" xfId="19720" xr:uid="{00000000-0005-0000-0000-0000CA490000}"/>
    <cellStyle name="Normal 8 3 2 4 15" xfId="19721" xr:uid="{00000000-0005-0000-0000-0000CB490000}"/>
    <cellStyle name="Normal 8 3 2 4 2" xfId="19722" xr:uid="{00000000-0005-0000-0000-0000CC490000}"/>
    <cellStyle name="Normal 8 3 2 4 3" xfId="19723" xr:uid="{00000000-0005-0000-0000-0000CD490000}"/>
    <cellStyle name="Normal 8 3 2 4 4" xfId="19724" xr:uid="{00000000-0005-0000-0000-0000CE490000}"/>
    <cellStyle name="Normal 8 3 2 4 5" xfId="19725" xr:uid="{00000000-0005-0000-0000-0000CF490000}"/>
    <cellStyle name="Normal 8 3 2 4 6" xfId="19726" xr:uid="{00000000-0005-0000-0000-0000D0490000}"/>
    <cellStyle name="Normal 8 3 2 4 7" xfId="19727" xr:uid="{00000000-0005-0000-0000-0000D1490000}"/>
    <cellStyle name="Normal 8 3 2 4 8" xfId="19728" xr:uid="{00000000-0005-0000-0000-0000D2490000}"/>
    <cellStyle name="Normal 8 3 2 4 9" xfId="19729" xr:uid="{00000000-0005-0000-0000-0000D3490000}"/>
    <cellStyle name="Normal 8 3 2 5" xfId="19730" xr:uid="{00000000-0005-0000-0000-0000D4490000}"/>
    <cellStyle name="Normal 8 3 2 5 10" xfId="19731" xr:uid="{00000000-0005-0000-0000-0000D5490000}"/>
    <cellStyle name="Normal 8 3 2 5 11" xfId="19732" xr:uid="{00000000-0005-0000-0000-0000D6490000}"/>
    <cellStyle name="Normal 8 3 2 5 12" xfId="19733" xr:uid="{00000000-0005-0000-0000-0000D7490000}"/>
    <cellStyle name="Normal 8 3 2 5 13" xfId="19734" xr:uid="{00000000-0005-0000-0000-0000D8490000}"/>
    <cellStyle name="Normal 8 3 2 5 14" xfId="19735" xr:uid="{00000000-0005-0000-0000-0000D9490000}"/>
    <cellStyle name="Normal 8 3 2 5 15" xfId="19736" xr:uid="{00000000-0005-0000-0000-0000DA490000}"/>
    <cellStyle name="Normal 8 3 2 5 2" xfId="19737" xr:uid="{00000000-0005-0000-0000-0000DB490000}"/>
    <cellStyle name="Normal 8 3 2 5 3" xfId="19738" xr:uid="{00000000-0005-0000-0000-0000DC490000}"/>
    <cellStyle name="Normal 8 3 2 5 4" xfId="19739" xr:uid="{00000000-0005-0000-0000-0000DD490000}"/>
    <cellStyle name="Normal 8 3 2 5 5" xfId="19740" xr:uid="{00000000-0005-0000-0000-0000DE490000}"/>
    <cellStyle name="Normal 8 3 2 5 6" xfId="19741" xr:uid="{00000000-0005-0000-0000-0000DF490000}"/>
    <cellStyle name="Normal 8 3 2 5 7" xfId="19742" xr:uid="{00000000-0005-0000-0000-0000E0490000}"/>
    <cellStyle name="Normal 8 3 2 5 8" xfId="19743" xr:uid="{00000000-0005-0000-0000-0000E1490000}"/>
    <cellStyle name="Normal 8 3 2 5 9" xfId="19744" xr:uid="{00000000-0005-0000-0000-0000E2490000}"/>
    <cellStyle name="Normal 8 3 2 6" xfId="19745" xr:uid="{00000000-0005-0000-0000-0000E3490000}"/>
    <cellStyle name="Normal 8 3 2 6 10" xfId="19746" xr:uid="{00000000-0005-0000-0000-0000E4490000}"/>
    <cellStyle name="Normal 8 3 2 6 11" xfId="19747" xr:uid="{00000000-0005-0000-0000-0000E5490000}"/>
    <cellStyle name="Normal 8 3 2 6 12" xfId="19748" xr:uid="{00000000-0005-0000-0000-0000E6490000}"/>
    <cellStyle name="Normal 8 3 2 6 13" xfId="19749" xr:uid="{00000000-0005-0000-0000-0000E7490000}"/>
    <cellStyle name="Normal 8 3 2 6 14" xfId="19750" xr:uid="{00000000-0005-0000-0000-0000E8490000}"/>
    <cellStyle name="Normal 8 3 2 6 15" xfId="19751" xr:uid="{00000000-0005-0000-0000-0000E9490000}"/>
    <cellStyle name="Normal 8 3 2 6 2" xfId="19752" xr:uid="{00000000-0005-0000-0000-0000EA490000}"/>
    <cellStyle name="Normal 8 3 2 6 3" xfId="19753" xr:uid="{00000000-0005-0000-0000-0000EB490000}"/>
    <cellStyle name="Normal 8 3 2 6 4" xfId="19754" xr:uid="{00000000-0005-0000-0000-0000EC490000}"/>
    <cellStyle name="Normal 8 3 2 6 5" xfId="19755" xr:uid="{00000000-0005-0000-0000-0000ED490000}"/>
    <cellStyle name="Normal 8 3 2 6 6" xfId="19756" xr:uid="{00000000-0005-0000-0000-0000EE490000}"/>
    <cellStyle name="Normal 8 3 2 6 7" xfId="19757" xr:uid="{00000000-0005-0000-0000-0000EF490000}"/>
    <cellStyle name="Normal 8 3 2 6 8" xfId="19758" xr:uid="{00000000-0005-0000-0000-0000F0490000}"/>
    <cellStyle name="Normal 8 3 2 6 9" xfId="19759" xr:uid="{00000000-0005-0000-0000-0000F1490000}"/>
    <cellStyle name="Normal 8 3 2 7" xfId="19760" xr:uid="{00000000-0005-0000-0000-0000F2490000}"/>
    <cellStyle name="Normal 8 3 2 7 10" xfId="19761" xr:uid="{00000000-0005-0000-0000-0000F3490000}"/>
    <cellStyle name="Normal 8 3 2 7 11" xfId="19762" xr:uid="{00000000-0005-0000-0000-0000F4490000}"/>
    <cellStyle name="Normal 8 3 2 7 12" xfId="19763" xr:uid="{00000000-0005-0000-0000-0000F5490000}"/>
    <cellStyle name="Normal 8 3 2 7 13" xfId="19764" xr:uid="{00000000-0005-0000-0000-0000F6490000}"/>
    <cellStyle name="Normal 8 3 2 7 14" xfId="19765" xr:uid="{00000000-0005-0000-0000-0000F7490000}"/>
    <cellStyle name="Normal 8 3 2 7 15" xfId="19766" xr:uid="{00000000-0005-0000-0000-0000F8490000}"/>
    <cellStyle name="Normal 8 3 2 7 2" xfId="19767" xr:uid="{00000000-0005-0000-0000-0000F9490000}"/>
    <cellStyle name="Normal 8 3 2 7 3" xfId="19768" xr:uid="{00000000-0005-0000-0000-0000FA490000}"/>
    <cellStyle name="Normal 8 3 2 7 4" xfId="19769" xr:uid="{00000000-0005-0000-0000-0000FB490000}"/>
    <cellStyle name="Normal 8 3 2 7 5" xfId="19770" xr:uid="{00000000-0005-0000-0000-0000FC490000}"/>
    <cellStyle name="Normal 8 3 2 7 6" xfId="19771" xr:uid="{00000000-0005-0000-0000-0000FD490000}"/>
    <cellStyle name="Normal 8 3 2 7 7" xfId="19772" xr:uid="{00000000-0005-0000-0000-0000FE490000}"/>
    <cellStyle name="Normal 8 3 2 7 8" xfId="19773" xr:uid="{00000000-0005-0000-0000-0000FF490000}"/>
    <cellStyle name="Normal 8 3 2 7 9" xfId="19774" xr:uid="{00000000-0005-0000-0000-0000004A0000}"/>
    <cellStyle name="Normal 8 3 2 8" xfId="19775" xr:uid="{00000000-0005-0000-0000-0000014A0000}"/>
    <cellStyle name="Normal 8 3 2 8 10" xfId="19776" xr:uid="{00000000-0005-0000-0000-0000024A0000}"/>
    <cellStyle name="Normal 8 3 2 8 11" xfId="19777" xr:uid="{00000000-0005-0000-0000-0000034A0000}"/>
    <cellStyle name="Normal 8 3 2 8 12" xfId="19778" xr:uid="{00000000-0005-0000-0000-0000044A0000}"/>
    <cellStyle name="Normal 8 3 2 8 13" xfId="19779" xr:uid="{00000000-0005-0000-0000-0000054A0000}"/>
    <cellStyle name="Normal 8 3 2 8 14" xfId="19780" xr:uid="{00000000-0005-0000-0000-0000064A0000}"/>
    <cellStyle name="Normal 8 3 2 8 15" xfId="19781" xr:uid="{00000000-0005-0000-0000-0000074A0000}"/>
    <cellStyle name="Normal 8 3 2 8 2" xfId="19782" xr:uid="{00000000-0005-0000-0000-0000084A0000}"/>
    <cellStyle name="Normal 8 3 2 8 3" xfId="19783" xr:uid="{00000000-0005-0000-0000-0000094A0000}"/>
    <cellStyle name="Normal 8 3 2 8 4" xfId="19784" xr:uid="{00000000-0005-0000-0000-00000A4A0000}"/>
    <cellStyle name="Normal 8 3 2 8 5" xfId="19785" xr:uid="{00000000-0005-0000-0000-00000B4A0000}"/>
    <cellStyle name="Normal 8 3 2 8 6" xfId="19786" xr:uid="{00000000-0005-0000-0000-00000C4A0000}"/>
    <cellStyle name="Normal 8 3 2 8 7" xfId="19787" xr:uid="{00000000-0005-0000-0000-00000D4A0000}"/>
    <cellStyle name="Normal 8 3 2 8 8" xfId="19788" xr:uid="{00000000-0005-0000-0000-00000E4A0000}"/>
    <cellStyle name="Normal 8 3 2 8 9" xfId="19789" xr:uid="{00000000-0005-0000-0000-00000F4A0000}"/>
    <cellStyle name="Normal 8 3 2 9" xfId="19790" xr:uid="{00000000-0005-0000-0000-0000104A0000}"/>
    <cellStyle name="Normal 8 3 20" xfId="19791" xr:uid="{00000000-0005-0000-0000-0000114A0000}"/>
    <cellStyle name="Normal 8 3 21" xfId="19792" xr:uid="{00000000-0005-0000-0000-0000124A0000}"/>
    <cellStyle name="Normal 8 3 22" xfId="19793" xr:uid="{00000000-0005-0000-0000-0000134A0000}"/>
    <cellStyle name="Normal 8 3 23" xfId="19794" xr:uid="{00000000-0005-0000-0000-0000144A0000}"/>
    <cellStyle name="Normal 8 3 24" xfId="19795" xr:uid="{00000000-0005-0000-0000-0000154A0000}"/>
    <cellStyle name="Normal 8 3 25" xfId="19659" xr:uid="{00000000-0005-0000-0000-00008D490000}"/>
    <cellStyle name="Normal 8 3 3" xfId="919" xr:uid="{00000000-0005-0000-0000-00006A030000}"/>
    <cellStyle name="Normal 8 3 3 10" xfId="19797" xr:uid="{00000000-0005-0000-0000-0000174A0000}"/>
    <cellStyle name="Normal 8 3 3 11" xfId="19798" xr:uid="{00000000-0005-0000-0000-0000184A0000}"/>
    <cellStyle name="Normal 8 3 3 12" xfId="19799" xr:uid="{00000000-0005-0000-0000-0000194A0000}"/>
    <cellStyle name="Normal 8 3 3 13" xfId="19800" xr:uid="{00000000-0005-0000-0000-00001A4A0000}"/>
    <cellStyle name="Normal 8 3 3 14" xfId="19801" xr:uid="{00000000-0005-0000-0000-00001B4A0000}"/>
    <cellStyle name="Normal 8 3 3 15" xfId="19802" xr:uid="{00000000-0005-0000-0000-00001C4A0000}"/>
    <cellStyle name="Normal 8 3 3 16" xfId="19796" xr:uid="{00000000-0005-0000-0000-0000164A0000}"/>
    <cellStyle name="Normal 8 3 3 2" xfId="19803" xr:uid="{00000000-0005-0000-0000-00001D4A0000}"/>
    <cellStyle name="Normal 8 3 3 3" xfId="19804" xr:uid="{00000000-0005-0000-0000-00001E4A0000}"/>
    <cellStyle name="Normal 8 3 3 4" xfId="19805" xr:uid="{00000000-0005-0000-0000-00001F4A0000}"/>
    <cellStyle name="Normal 8 3 3 5" xfId="19806" xr:uid="{00000000-0005-0000-0000-0000204A0000}"/>
    <cellStyle name="Normal 8 3 3 6" xfId="19807" xr:uid="{00000000-0005-0000-0000-0000214A0000}"/>
    <cellStyle name="Normal 8 3 3 7" xfId="19808" xr:uid="{00000000-0005-0000-0000-0000224A0000}"/>
    <cellStyle name="Normal 8 3 3 8" xfId="19809" xr:uid="{00000000-0005-0000-0000-0000234A0000}"/>
    <cellStyle name="Normal 8 3 3 9" xfId="19810" xr:uid="{00000000-0005-0000-0000-0000244A0000}"/>
    <cellStyle name="Normal 8 3 4" xfId="19811" xr:uid="{00000000-0005-0000-0000-0000254A0000}"/>
    <cellStyle name="Normal 8 3 4 10" xfId="19812" xr:uid="{00000000-0005-0000-0000-0000264A0000}"/>
    <cellStyle name="Normal 8 3 4 11" xfId="19813" xr:uid="{00000000-0005-0000-0000-0000274A0000}"/>
    <cellStyle name="Normal 8 3 4 12" xfId="19814" xr:uid="{00000000-0005-0000-0000-0000284A0000}"/>
    <cellStyle name="Normal 8 3 4 13" xfId="19815" xr:uid="{00000000-0005-0000-0000-0000294A0000}"/>
    <cellStyle name="Normal 8 3 4 14" xfId="19816" xr:uid="{00000000-0005-0000-0000-00002A4A0000}"/>
    <cellStyle name="Normal 8 3 4 15" xfId="19817" xr:uid="{00000000-0005-0000-0000-00002B4A0000}"/>
    <cellStyle name="Normal 8 3 4 2" xfId="19818" xr:uid="{00000000-0005-0000-0000-00002C4A0000}"/>
    <cellStyle name="Normal 8 3 4 3" xfId="19819" xr:uid="{00000000-0005-0000-0000-00002D4A0000}"/>
    <cellStyle name="Normal 8 3 4 4" xfId="19820" xr:uid="{00000000-0005-0000-0000-00002E4A0000}"/>
    <cellStyle name="Normal 8 3 4 5" xfId="19821" xr:uid="{00000000-0005-0000-0000-00002F4A0000}"/>
    <cellStyle name="Normal 8 3 4 6" xfId="19822" xr:uid="{00000000-0005-0000-0000-0000304A0000}"/>
    <cellStyle name="Normal 8 3 4 7" xfId="19823" xr:uid="{00000000-0005-0000-0000-0000314A0000}"/>
    <cellStyle name="Normal 8 3 4 8" xfId="19824" xr:uid="{00000000-0005-0000-0000-0000324A0000}"/>
    <cellStyle name="Normal 8 3 4 9" xfId="19825" xr:uid="{00000000-0005-0000-0000-0000334A0000}"/>
    <cellStyle name="Normal 8 3 5" xfId="19826" xr:uid="{00000000-0005-0000-0000-0000344A0000}"/>
    <cellStyle name="Normal 8 3 5 10" xfId="19827" xr:uid="{00000000-0005-0000-0000-0000354A0000}"/>
    <cellStyle name="Normal 8 3 5 11" xfId="19828" xr:uid="{00000000-0005-0000-0000-0000364A0000}"/>
    <cellStyle name="Normal 8 3 5 12" xfId="19829" xr:uid="{00000000-0005-0000-0000-0000374A0000}"/>
    <cellStyle name="Normal 8 3 5 13" xfId="19830" xr:uid="{00000000-0005-0000-0000-0000384A0000}"/>
    <cellStyle name="Normal 8 3 5 14" xfId="19831" xr:uid="{00000000-0005-0000-0000-0000394A0000}"/>
    <cellStyle name="Normal 8 3 5 15" xfId="19832" xr:uid="{00000000-0005-0000-0000-00003A4A0000}"/>
    <cellStyle name="Normal 8 3 5 2" xfId="19833" xr:uid="{00000000-0005-0000-0000-00003B4A0000}"/>
    <cellStyle name="Normal 8 3 5 3" xfId="19834" xr:uid="{00000000-0005-0000-0000-00003C4A0000}"/>
    <cellStyle name="Normal 8 3 5 4" xfId="19835" xr:uid="{00000000-0005-0000-0000-00003D4A0000}"/>
    <cellStyle name="Normal 8 3 5 5" xfId="19836" xr:uid="{00000000-0005-0000-0000-00003E4A0000}"/>
    <cellStyle name="Normal 8 3 5 6" xfId="19837" xr:uid="{00000000-0005-0000-0000-00003F4A0000}"/>
    <cellStyle name="Normal 8 3 5 7" xfId="19838" xr:uid="{00000000-0005-0000-0000-0000404A0000}"/>
    <cellStyle name="Normal 8 3 5 8" xfId="19839" xr:uid="{00000000-0005-0000-0000-0000414A0000}"/>
    <cellStyle name="Normal 8 3 5 9" xfId="19840" xr:uid="{00000000-0005-0000-0000-0000424A0000}"/>
    <cellStyle name="Normal 8 3 6" xfId="19841" xr:uid="{00000000-0005-0000-0000-0000434A0000}"/>
    <cellStyle name="Normal 8 3 6 10" xfId="19842" xr:uid="{00000000-0005-0000-0000-0000444A0000}"/>
    <cellStyle name="Normal 8 3 6 11" xfId="19843" xr:uid="{00000000-0005-0000-0000-0000454A0000}"/>
    <cellStyle name="Normal 8 3 6 12" xfId="19844" xr:uid="{00000000-0005-0000-0000-0000464A0000}"/>
    <cellStyle name="Normal 8 3 6 13" xfId="19845" xr:uid="{00000000-0005-0000-0000-0000474A0000}"/>
    <cellStyle name="Normal 8 3 6 14" xfId="19846" xr:uid="{00000000-0005-0000-0000-0000484A0000}"/>
    <cellStyle name="Normal 8 3 6 15" xfId="19847" xr:uid="{00000000-0005-0000-0000-0000494A0000}"/>
    <cellStyle name="Normal 8 3 6 2" xfId="19848" xr:uid="{00000000-0005-0000-0000-00004A4A0000}"/>
    <cellStyle name="Normal 8 3 6 3" xfId="19849" xr:uid="{00000000-0005-0000-0000-00004B4A0000}"/>
    <cellStyle name="Normal 8 3 6 4" xfId="19850" xr:uid="{00000000-0005-0000-0000-00004C4A0000}"/>
    <cellStyle name="Normal 8 3 6 5" xfId="19851" xr:uid="{00000000-0005-0000-0000-00004D4A0000}"/>
    <cellStyle name="Normal 8 3 6 6" xfId="19852" xr:uid="{00000000-0005-0000-0000-00004E4A0000}"/>
    <cellStyle name="Normal 8 3 6 7" xfId="19853" xr:uid="{00000000-0005-0000-0000-00004F4A0000}"/>
    <cellStyle name="Normal 8 3 6 8" xfId="19854" xr:uid="{00000000-0005-0000-0000-0000504A0000}"/>
    <cellStyle name="Normal 8 3 6 9" xfId="19855" xr:uid="{00000000-0005-0000-0000-0000514A0000}"/>
    <cellStyle name="Normal 8 3 7" xfId="19856" xr:uid="{00000000-0005-0000-0000-0000524A0000}"/>
    <cellStyle name="Normal 8 3 7 10" xfId="19857" xr:uid="{00000000-0005-0000-0000-0000534A0000}"/>
    <cellStyle name="Normal 8 3 7 11" xfId="19858" xr:uid="{00000000-0005-0000-0000-0000544A0000}"/>
    <cellStyle name="Normal 8 3 7 12" xfId="19859" xr:uid="{00000000-0005-0000-0000-0000554A0000}"/>
    <cellStyle name="Normal 8 3 7 13" xfId="19860" xr:uid="{00000000-0005-0000-0000-0000564A0000}"/>
    <cellStyle name="Normal 8 3 7 14" xfId="19861" xr:uid="{00000000-0005-0000-0000-0000574A0000}"/>
    <cellStyle name="Normal 8 3 7 15" xfId="19862" xr:uid="{00000000-0005-0000-0000-0000584A0000}"/>
    <cellStyle name="Normal 8 3 7 2" xfId="19863" xr:uid="{00000000-0005-0000-0000-0000594A0000}"/>
    <cellStyle name="Normal 8 3 7 3" xfId="19864" xr:uid="{00000000-0005-0000-0000-00005A4A0000}"/>
    <cellStyle name="Normal 8 3 7 4" xfId="19865" xr:uid="{00000000-0005-0000-0000-00005B4A0000}"/>
    <cellStyle name="Normal 8 3 7 5" xfId="19866" xr:uid="{00000000-0005-0000-0000-00005C4A0000}"/>
    <cellStyle name="Normal 8 3 7 6" xfId="19867" xr:uid="{00000000-0005-0000-0000-00005D4A0000}"/>
    <cellStyle name="Normal 8 3 7 7" xfId="19868" xr:uid="{00000000-0005-0000-0000-00005E4A0000}"/>
    <cellStyle name="Normal 8 3 7 8" xfId="19869" xr:uid="{00000000-0005-0000-0000-00005F4A0000}"/>
    <cellStyle name="Normal 8 3 7 9" xfId="19870" xr:uid="{00000000-0005-0000-0000-0000604A0000}"/>
    <cellStyle name="Normal 8 3 8" xfId="19871" xr:uid="{00000000-0005-0000-0000-0000614A0000}"/>
    <cellStyle name="Normal 8 3 8 10" xfId="19872" xr:uid="{00000000-0005-0000-0000-0000624A0000}"/>
    <cellStyle name="Normal 8 3 8 11" xfId="19873" xr:uid="{00000000-0005-0000-0000-0000634A0000}"/>
    <cellStyle name="Normal 8 3 8 12" xfId="19874" xr:uid="{00000000-0005-0000-0000-0000644A0000}"/>
    <cellStyle name="Normal 8 3 8 13" xfId="19875" xr:uid="{00000000-0005-0000-0000-0000654A0000}"/>
    <cellStyle name="Normal 8 3 8 14" xfId="19876" xr:uid="{00000000-0005-0000-0000-0000664A0000}"/>
    <cellStyle name="Normal 8 3 8 15" xfId="19877" xr:uid="{00000000-0005-0000-0000-0000674A0000}"/>
    <cellStyle name="Normal 8 3 8 2" xfId="19878" xr:uid="{00000000-0005-0000-0000-0000684A0000}"/>
    <cellStyle name="Normal 8 3 8 3" xfId="19879" xr:uid="{00000000-0005-0000-0000-0000694A0000}"/>
    <cellStyle name="Normal 8 3 8 4" xfId="19880" xr:uid="{00000000-0005-0000-0000-00006A4A0000}"/>
    <cellStyle name="Normal 8 3 8 5" xfId="19881" xr:uid="{00000000-0005-0000-0000-00006B4A0000}"/>
    <cellStyle name="Normal 8 3 8 6" xfId="19882" xr:uid="{00000000-0005-0000-0000-00006C4A0000}"/>
    <cellStyle name="Normal 8 3 8 7" xfId="19883" xr:uid="{00000000-0005-0000-0000-00006D4A0000}"/>
    <cellStyle name="Normal 8 3 8 8" xfId="19884" xr:uid="{00000000-0005-0000-0000-00006E4A0000}"/>
    <cellStyle name="Normal 8 3 8 9" xfId="19885" xr:uid="{00000000-0005-0000-0000-00006F4A0000}"/>
    <cellStyle name="Normal 8 3 9" xfId="19886" xr:uid="{00000000-0005-0000-0000-0000704A0000}"/>
    <cellStyle name="Normal 8 3 9 10" xfId="19887" xr:uid="{00000000-0005-0000-0000-0000714A0000}"/>
    <cellStyle name="Normal 8 3 9 11" xfId="19888" xr:uid="{00000000-0005-0000-0000-0000724A0000}"/>
    <cellStyle name="Normal 8 3 9 12" xfId="19889" xr:uid="{00000000-0005-0000-0000-0000734A0000}"/>
    <cellStyle name="Normal 8 3 9 13" xfId="19890" xr:uid="{00000000-0005-0000-0000-0000744A0000}"/>
    <cellStyle name="Normal 8 3 9 14" xfId="19891" xr:uid="{00000000-0005-0000-0000-0000754A0000}"/>
    <cellStyle name="Normal 8 3 9 15" xfId="19892" xr:uid="{00000000-0005-0000-0000-0000764A0000}"/>
    <cellStyle name="Normal 8 3 9 2" xfId="19893" xr:uid="{00000000-0005-0000-0000-0000774A0000}"/>
    <cellStyle name="Normal 8 3 9 3" xfId="19894" xr:uid="{00000000-0005-0000-0000-0000784A0000}"/>
    <cellStyle name="Normal 8 3 9 4" xfId="19895" xr:uid="{00000000-0005-0000-0000-0000794A0000}"/>
    <cellStyle name="Normal 8 3 9 5" xfId="19896" xr:uid="{00000000-0005-0000-0000-00007A4A0000}"/>
    <cellStyle name="Normal 8 3 9 6" xfId="19897" xr:uid="{00000000-0005-0000-0000-00007B4A0000}"/>
    <cellStyle name="Normal 8 3 9 7" xfId="19898" xr:uid="{00000000-0005-0000-0000-00007C4A0000}"/>
    <cellStyle name="Normal 8 3 9 8" xfId="19899" xr:uid="{00000000-0005-0000-0000-00007D4A0000}"/>
    <cellStyle name="Normal 8 3 9 9" xfId="19900" xr:uid="{00000000-0005-0000-0000-00007E4A0000}"/>
    <cellStyle name="Normal 8 30" xfId="19901" xr:uid="{00000000-0005-0000-0000-00007F4A0000}"/>
    <cellStyle name="Normal 8 31" xfId="19902" xr:uid="{00000000-0005-0000-0000-0000804A0000}"/>
    <cellStyle name="Normal 8 4" xfId="909" xr:uid="{00000000-0005-0000-0000-00006B030000}"/>
    <cellStyle name="Normal 8 4 10" xfId="19904" xr:uid="{00000000-0005-0000-0000-0000824A0000}"/>
    <cellStyle name="Normal 8 4 11" xfId="19905" xr:uid="{00000000-0005-0000-0000-0000834A0000}"/>
    <cellStyle name="Normal 8 4 12" xfId="19906" xr:uid="{00000000-0005-0000-0000-0000844A0000}"/>
    <cellStyle name="Normal 8 4 13" xfId="19907" xr:uid="{00000000-0005-0000-0000-0000854A0000}"/>
    <cellStyle name="Normal 8 4 14" xfId="19908" xr:uid="{00000000-0005-0000-0000-0000864A0000}"/>
    <cellStyle name="Normal 8 4 15" xfId="19909" xr:uid="{00000000-0005-0000-0000-0000874A0000}"/>
    <cellStyle name="Normal 8 4 16" xfId="19910" xr:uid="{00000000-0005-0000-0000-0000884A0000}"/>
    <cellStyle name="Normal 8 4 17" xfId="19911" xr:uid="{00000000-0005-0000-0000-0000894A0000}"/>
    <cellStyle name="Normal 8 4 18" xfId="19912" xr:uid="{00000000-0005-0000-0000-00008A4A0000}"/>
    <cellStyle name="Normal 8 4 19" xfId="19913" xr:uid="{00000000-0005-0000-0000-00008B4A0000}"/>
    <cellStyle name="Normal 8 4 2" xfId="19914" xr:uid="{00000000-0005-0000-0000-00008C4A0000}"/>
    <cellStyle name="Normal 8 4 2 10" xfId="19915" xr:uid="{00000000-0005-0000-0000-00008D4A0000}"/>
    <cellStyle name="Normal 8 4 2 11" xfId="19916" xr:uid="{00000000-0005-0000-0000-00008E4A0000}"/>
    <cellStyle name="Normal 8 4 2 12" xfId="19917" xr:uid="{00000000-0005-0000-0000-00008F4A0000}"/>
    <cellStyle name="Normal 8 4 2 13" xfId="19918" xr:uid="{00000000-0005-0000-0000-0000904A0000}"/>
    <cellStyle name="Normal 8 4 2 14" xfId="19919" xr:uid="{00000000-0005-0000-0000-0000914A0000}"/>
    <cellStyle name="Normal 8 4 2 15" xfId="19920" xr:uid="{00000000-0005-0000-0000-0000924A0000}"/>
    <cellStyle name="Normal 8 4 2 16" xfId="19921" xr:uid="{00000000-0005-0000-0000-0000934A0000}"/>
    <cellStyle name="Normal 8 4 2 17" xfId="19922" xr:uid="{00000000-0005-0000-0000-0000944A0000}"/>
    <cellStyle name="Normal 8 4 2 18" xfId="19923" xr:uid="{00000000-0005-0000-0000-0000954A0000}"/>
    <cellStyle name="Normal 8 4 2 19" xfId="19924" xr:uid="{00000000-0005-0000-0000-0000964A0000}"/>
    <cellStyle name="Normal 8 4 2 2" xfId="19925" xr:uid="{00000000-0005-0000-0000-0000974A0000}"/>
    <cellStyle name="Normal 8 4 2 2 10" xfId="19926" xr:uid="{00000000-0005-0000-0000-0000984A0000}"/>
    <cellStyle name="Normal 8 4 2 2 11" xfId="19927" xr:uid="{00000000-0005-0000-0000-0000994A0000}"/>
    <cellStyle name="Normal 8 4 2 2 12" xfId="19928" xr:uid="{00000000-0005-0000-0000-00009A4A0000}"/>
    <cellStyle name="Normal 8 4 2 2 13" xfId="19929" xr:uid="{00000000-0005-0000-0000-00009B4A0000}"/>
    <cellStyle name="Normal 8 4 2 2 14" xfId="19930" xr:uid="{00000000-0005-0000-0000-00009C4A0000}"/>
    <cellStyle name="Normal 8 4 2 2 15" xfId="19931" xr:uid="{00000000-0005-0000-0000-00009D4A0000}"/>
    <cellStyle name="Normal 8 4 2 2 2" xfId="19932" xr:uid="{00000000-0005-0000-0000-00009E4A0000}"/>
    <cellStyle name="Normal 8 4 2 2 3" xfId="19933" xr:uid="{00000000-0005-0000-0000-00009F4A0000}"/>
    <cellStyle name="Normal 8 4 2 2 4" xfId="19934" xr:uid="{00000000-0005-0000-0000-0000A04A0000}"/>
    <cellStyle name="Normal 8 4 2 2 5" xfId="19935" xr:uid="{00000000-0005-0000-0000-0000A14A0000}"/>
    <cellStyle name="Normal 8 4 2 2 6" xfId="19936" xr:uid="{00000000-0005-0000-0000-0000A24A0000}"/>
    <cellStyle name="Normal 8 4 2 2 7" xfId="19937" xr:uid="{00000000-0005-0000-0000-0000A34A0000}"/>
    <cellStyle name="Normal 8 4 2 2 8" xfId="19938" xr:uid="{00000000-0005-0000-0000-0000A44A0000}"/>
    <cellStyle name="Normal 8 4 2 2 9" xfId="19939" xr:uid="{00000000-0005-0000-0000-0000A54A0000}"/>
    <cellStyle name="Normal 8 4 2 3" xfId="19940" xr:uid="{00000000-0005-0000-0000-0000A64A0000}"/>
    <cellStyle name="Normal 8 4 2 3 10" xfId="19941" xr:uid="{00000000-0005-0000-0000-0000A74A0000}"/>
    <cellStyle name="Normal 8 4 2 3 11" xfId="19942" xr:uid="{00000000-0005-0000-0000-0000A84A0000}"/>
    <cellStyle name="Normal 8 4 2 3 12" xfId="19943" xr:uid="{00000000-0005-0000-0000-0000A94A0000}"/>
    <cellStyle name="Normal 8 4 2 3 13" xfId="19944" xr:uid="{00000000-0005-0000-0000-0000AA4A0000}"/>
    <cellStyle name="Normal 8 4 2 3 14" xfId="19945" xr:uid="{00000000-0005-0000-0000-0000AB4A0000}"/>
    <cellStyle name="Normal 8 4 2 3 15" xfId="19946" xr:uid="{00000000-0005-0000-0000-0000AC4A0000}"/>
    <cellStyle name="Normal 8 4 2 3 2" xfId="19947" xr:uid="{00000000-0005-0000-0000-0000AD4A0000}"/>
    <cellStyle name="Normal 8 4 2 3 3" xfId="19948" xr:uid="{00000000-0005-0000-0000-0000AE4A0000}"/>
    <cellStyle name="Normal 8 4 2 3 4" xfId="19949" xr:uid="{00000000-0005-0000-0000-0000AF4A0000}"/>
    <cellStyle name="Normal 8 4 2 3 5" xfId="19950" xr:uid="{00000000-0005-0000-0000-0000B04A0000}"/>
    <cellStyle name="Normal 8 4 2 3 6" xfId="19951" xr:uid="{00000000-0005-0000-0000-0000B14A0000}"/>
    <cellStyle name="Normal 8 4 2 3 7" xfId="19952" xr:uid="{00000000-0005-0000-0000-0000B24A0000}"/>
    <cellStyle name="Normal 8 4 2 3 8" xfId="19953" xr:uid="{00000000-0005-0000-0000-0000B34A0000}"/>
    <cellStyle name="Normal 8 4 2 3 9" xfId="19954" xr:uid="{00000000-0005-0000-0000-0000B44A0000}"/>
    <cellStyle name="Normal 8 4 2 4" xfId="19955" xr:uid="{00000000-0005-0000-0000-0000B54A0000}"/>
    <cellStyle name="Normal 8 4 2 4 10" xfId="19956" xr:uid="{00000000-0005-0000-0000-0000B64A0000}"/>
    <cellStyle name="Normal 8 4 2 4 11" xfId="19957" xr:uid="{00000000-0005-0000-0000-0000B74A0000}"/>
    <cellStyle name="Normal 8 4 2 4 12" xfId="19958" xr:uid="{00000000-0005-0000-0000-0000B84A0000}"/>
    <cellStyle name="Normal 8 4 2 4 13" xfId="19959" xr:uid="{00000000-0005-0000-0000-0000B94A0000}"/>
    <cellStyle name="Normal 8 4 2 4 14" xfId="19960" xr:uid="{00000000-0005-0000-0000-0000BA4A0000}"/>
    <cellStyle name="Normal 8 4 2 4 15" xfId="19961" xr:uid="{00000000-0005-0000-0000-0000BB4A0000}"/>
    <cellStyle name="Normal 8 4 2 4 2" xfId="19962" xr:uid="{00000000-0005-0000-0000-0000BC4A0000}"/>
    <cellStyle name="Normal 8 4 2 4 3" xfId="19963" xr:uid="{00000000-0005-0000-0000-0000BD4A0000}"/>
    <cellStyle name="Normal 8 4 2 4 4" xfId="19964" xr:uid="{00000000-0005-0000-0000-0000BE4A0000}"/>
    <cellStyle name="Normal 8 4 2 4 5" xfId="19965" xr:uid="{00000000-0005-0000-0000-0000BF4A0000}"/>
    <cellStyle name="Normal 8 4 2 4 6" xfId="19966" xr:uid="{00000000-0005-0000-0000-0000C04A0000}"/>
    <cellStyle name="Normal 8 4 2 4 7" xfId="19967" xr:uid="{00000000-0005-0000-0000-0000C14A0000}"/>
    <cellStyle name="Normal 8 4 2 4 8" xfId="19968" xr:uid="{00000000-0005-0000-0000-0000C24A0000}"/>
    <cellStyle name="Normal 8 4 2 4 9" xfId="19969" xr:uid="{00000000-0005-0000-0000-0000C34A0000}"/>
    <cellStyle name="Normal 8 4 2 5" xfId="19970" xr:uid="{00000000-0005-0000-0000-0000C44A0000}"/>
    <cellStyle name="Normal 8 4 2 6" xfId="19971" xr:uid="{00000000-0005-0000-0000-0000C54A0000}"/>
    <cellStyle name="Normal 8 4 2 7" xfId="19972" xr:uid="{00000000-0005-0000-0000-0000C64A0000}"/>
    <cellStyle name="Normal 8 4 2 8" xfId="19973" xr:uid="{00000000-0005-0000-0000-0000C74A0000}"/>
    <cellStyle name="Normal 8 4 2 9" xfId="19974" xr:uid="{00000000-0005-0000-0000-0000C84A0000}"/>
    <cellStyle name="Normal 8 4 20" xfId="19975" xr:uid="{00000000-0005-0000-0000-0000C94A0000}"/>
    <cellStyle name="Normal 8 4 21" xfId="19903" xr:uid="{00000000-0005-0000-0000-0000814A0000}"/>
    <cellStyle name="Normal 8 4 3" xfId="19976" xr:uid="{00000000-0005-0000-0000-0000CA4A0000}"/>
    <cellStyle name="Normal 8 4 3 10" xfId="19977" xr:uid="{00000000-0005-0000-0000-0000CB4A0000}"/>
    <cellStyle name="Normal 8 4 3 11" xfId="19978" xr:uid="{00000000-0005-0000-0000-0000CC4A0000}"/>
    <cellStyle name="Normal 8 4 3 12" xfId="19979" xr:uid="{00000000-0005-0000-0000-0000CD4A0000}"/>
    <cellStyle name="Normal 8 4 3 13" xfId="19980" xr:uid="{00000000-0005-0000-0000-0000CE4A0000}"/>
    <cellStyle name="Normal 8 4 3 14" xfId="19981" xr:uid="{00000000-0005-0000-0000-0000CF4A0000}"/>
    <cellStyle name="Normal 8 4 3 15" xfId="19982" xr:uid="{00000000-0005-0000-0000-0000D04A0000}"/>
    <cellStyle name="Normal 8 4 3 2" xfId="19983" xr:uid="{00000000-0005-0000-0000-0000D14A0000}"/>
    <cellStyle name="Normal 8 4 3 3" xfId="19984" xr:uid="{00000000-0005-0000-0000-0000D24A0000}"/>
    <cellStyle name="Normal 8 4 3 4" xfId="19985" xr:uid="{00000000-0005-0000-0000-0000D34A0000}"/>
    <cellStyle name="Normal 8 4 3 5" xfId="19986" xr:uid="{00000000-0005-0000-0000-0000D44A0000}"/>
    <cellStyle name="Normal 8 4 3 6" xfId="19987" xr:uid="{00000000-0005-0000-0000-0000D54A0000}"/>
    <cellStyle name="Normal 8 4 3 7" xfId="19988" xr:uid="{00000000-0005-0000-0000-0000D64A0000}"/>
    <cellStyle name="Normal 8 4 3 8" xfId="19989" xr:uid="{00000000-0005-0000-0000-0000D74A0000}"/>
    <cellStyle name="Normal 8 4 3 9" xfId="19990" xr:uid="{00000000-0005-0000-0000-0000D84A0000}"/>
    <cellStyle name="Normal 8 4 4" xfId="19991" xr:uid="{00000000-0005-0000-0000-0000D94A0000}"/>
    <cellStyle name="Normal 8 4 4 10" xfId="19992" xr:uid="{00000000-0005-0000-0000-0000DA4A0000}"/>
    <cellStyle name="Normal 8 4 4 11" xfId="19993" xr:uid="{00000000-0005-0000-0000-0000DB4A0000}"/>
    <cellStyle name="Normal 8 4 4 12" xfId="19994" xr:uid="{00000000-0005-0000-0000-0000DC4A0000}"/>
    <cellStyle name="Normal 8 4 4 13" xfId="19995" xr:uid="{00000000-0005-0000-0000-0000DD4A0000}"/>
    <cellStyle name="Normal 8 4 4 14" xfId="19996" xr:uid="{00000000-0005-0000-0000-0000DE4A0000}"/>
    <cellStyle name="Normal 8 4 4 15" xfId="19997" xr:uid="{00000000-0005-0000-0000-0000DF4A0000}"/>
    <cellStyle name="Normal 8 4 4 2" xfId="19998" xr:uid="{00000000-0005-0000-0000-0000E04A0000}"/>
    <cellStyle name="Normal 8 4 4 3" xfId="19999" xr:uid="{00000000-0005-0000-0000-0000E14A0000}"/>
    <cellStyle name="Normal 8 4 4 4" xfId="20000" xr:uid="{00000000-0005-0000-0000-0000E24A0000}"/>
    <cellStyle name="Normal 8 4 4 5" xfId="20001" xr:uid="{00000000-0005-0000-0000-0000E34A0000}"/>
    <cellStyle name="Normal 8 4 4 6" xfId="20002" xr:uid="{00000000-0005-0000-0000-0000E44A0000}"/>
    <cellStyle name="Normal 8 4 4 7" xfId="20003" xr:uid="{00000000-0005-0000-0000-0000E54A0000}"/>
    <cellStyle name="Normal 8 4 4 8" xfId="20004" xr:uid="{00000000-0005-0000-0000-0000E64A0000}"/>
    <cellStyle name="Normal 8 4 4 9" xfId="20005" xr:uid="{00000000-0005-0000-0000-0000E74A0000}"/>
    <cellStyle name="Normal 8 4 5" xfId="20006" xr:uid="{00000000-0005-0000-0000-0000E84A0000}"/>
    <cellStyle name="Normal 8 4 5 10" xfId="20007" xr:uid="{00000000-0005-0000-0000-0000E94A0000}"/>
    <cellStyle name="Normal 8 4 5 11" xfId="20008" xr:uid="{00000000-0005-0000-0000-0000EA4A0000}"/>
    <cellStyle name="Normal 8 4 5 12" xfId="20009" xr:uid="{00000000-0005-0000-0000-0000EB4A0000}"/>
    <cellStyle name="Normal 8 4 5 13" xfId="20010" xr:uid="{00000000-0005-0000-0000-0000EC4A0000}"/>
    <cellStyle name="Normal 8 4 5 14" xfId="20011" xr:uid="{00000000-0005-0000-0000-0000ED4A0000}"/>
    <cellStyle name="Normal 8 4 5 15" xfId="20012" xr:uid="{00000000-0005-0000-0000-0000EE4A0000}"/>
    <cellStyle name="Normal 8 4 5 2" xfId="20013" xr:uid="{00000000-0005-0000-0000-0000EF4A0000}"/>
    <cellStyle name="Normal 8 4 5 3" xfId="20014" xr:uid="{00000000-0005-0000-0000-0000F04A0000}"/>
    <cellStyle name="Normal 8 4 5 4" xfId="20015" xr:uid="{00000000-0005-0000-0000-0000F14A0000}"/>
    <cellStyle name="Normal 8 4 5 5" xfId="20016" xr:uid="{00000000-0005-0000-0000-0000F24A0000}"/>
    <cellStyle name="Normal 8 4 5 6" xfId="20017" xr:uid="{00000000-0005-0000-0000-0000F34A0000}"/>
    <cellStyle name="Normal 8 4 5 7" xfId="20018" xr:uid="{00000000-0005-0000-0000-0000F44A0000}"/>
    <cellStyle name="Normal 8 4 5 8" xfId="20019" xr:uid="{00000000-0005-0000-0000-0000F54A0000}"/>
    <cellStyle name="Normal 8 4 5 9" xfId="20020" xr:uid="{00000000-0005-0000-0000-0000F64A0000}"/>
    <cellStyle name="Normal 8 4 6" xfId="20021" xr:uid="{00000000-0005-0000-0000-0000F74A0000}"/>
    <cellStyle name="Normal 8 4 7" xfId="20022" xr:uid="{00000000-0005-0000-0000-0000F84A0000}"/>
    <cellStyle name="Normal 8 4 8" xfId="20023" xr:uid="{00000000-0005-0000-0000-0000F94A0000}"/>
    <cellStyle name="Normal 8 4 9" xfId="20024" xr:uid="{00000000-0005-0000-0000-0000FA4A0000}"/>
    <cellStyle name="Normal 8 4_CORRECTED COPY OF rA 5" xfId="20025" xr:uid="{00000000-0005-0000-0000-0000FB4A0000}"/>
    <cellStyle name="Normal 8 5" xfId="932" xr:uid="{00000000-0005-0000-0000-00006C030000}"/>
    <cellStyle name="Normal 8 5 10" xfId="20027" xr:uid="{00000000-0005-0000-0000-0000FD4A0000}"/>
    <cellStyle name="Normal 8 5 11" xfId="20028" xr:uid="{00000000-0005-0000-0000-0000FE4A0000}"/>
    <cellStyle name="Normal 8 5 12" xfId="20029" xr:uid="{00000000-0005-0000-0000-0000FF4A0000}"/>
    <cellStyle name="Normal 8 5 13" xfId="20030" xr:uid="{00000000-0005-0000-0000-0000004B0000}"/>
    <cellStyle name="Normal 8 5 14" xfId="20031" xr:uid="{00000000-0005-0000-0000-0000014B0000}"/>
    <cellStyle name="Normal 8 5 15" xfId="20032" xr:uid="{00000000-0005-0000-0000-0000024B0000}"/>
    <cellStyle name="Normal 8 5 16" xfId="20033" xr:uid="{00000000-0005-0000-0000-0000034B0000}"/>
    <cellStyle name="Normal 8 5 17" xfId="20034" xr:uid="{00000000-0005-0000-0000-0000044B0000}"/>
    <cellStyle name="Normal 8 5 18" xfId="20035" xr:uid="{00000000-0005-0000-0000-0000054B0000}"/>
    <cellStyle name="Normal 8 5 19" xfId="20036" xr:uid="{00000000-0005-0000-0000-0000064B0000}"/>
    <cellStyle name="Normal 8 5 2" xfId="20037" xr:uid="{00000000-0005-0000-0000-0000074B0000}"/>
    <cellStyle name="Normal 8 5 2 10" xfId="20038" xr:uid="{00000000-0005-0000-0000-0000084B0000}"/>
    <cellStyle name="Normal 8 5 2 11" xfId="20039" xr:uid="{00000000-0005-0000-0000-0000094B0000}"/>
    <cellStyle name="Normal 8 5 2 12" xfId="20040" xr:uid="{00000000-0005-0000-0000-00000A4B0000}"/>
    <cellStyle name="Normal 8 5 2 13" xfId="20041" xr:uid="{00000000-0005-0000-0000-00000B4B0000}"/>
    <cellStyle name="Normal 8 5 2 14" xfId="20042" xr:uid="{00000000-0005-0000-0000-00000C4B0000}"/>
    <cellStyle name="Normal 8 5 2 15" xfId="20043" xr:uid="{00000000-0005-0000-0000-00000D4B0000}"/>
    <cellStyle name="Normal 8 5 2 2" xfId="20044" xr:uid="{00000000-0005-0000-0000-00000E4B0000}"/>
    <cellStyle name="Normal 8 5 2 3" xfId="20045" xr:uid="{00000000-0005-0000-0000-00000F4B0000}"/>
    <cellStyle name="Normal 8 5 2 4" xfId="20046" xr:uid="{00000000-0005-0000-0000-0000104B0000}"/>
    <cellStyle name="Normal 8 5 2 5" xfId="20047" xr:uid="{00000000-0005-0000-0000-0000114B0000}"/>
    <cellStyle name="Normal 8 5 2 6" xfId="20048" xr:uid="{00000000-0005-0000-0000-0000124B0000}"/>
    <cellStyle name="Normal 8 5 2 7" xfId="20049" xr:uid="{00000000-0005-0000-0000-0000134B0000}"/>
    <cellStyle name="Normal 8 5 2 8" xfId="20050" xr:uid="{00000000-0005-0000-0000-0000144B0000}"/>
    <cellStyle name="Normal 8 5 2 9" xfId="20051" xr:uid="{00000000-0005-0000-0000-0000154B0000}"/>
    <cellStyle name="Normal 8 5 20" xfId="20026" xr:uid="{00000000-0005-0000-0000-0000FC4A0000}"/>
    <cellStyle name="Normal 8 5 3" xfId="20052" xr:uid="{00000000-0005-0000-0000-0000164B0000}"/>
    <cellStyle name="Normal 8 5 3 10" xfId="20053" xr:uid="{00000000-0005-0000-0000-0000174B0000}"/>
    <cellStyle name="Normal 8 5 3 11" xfId="20054" xr:uid="{00000000-0005-0000-0000-0000184B0000}"/>
    <cellStyle name="Normal 8 5 3 12" xfId="20055" xr:uid="{00000000-0005-0000-0000-0000194B0000}"/>
    <cellStyle name="Normal 8 5 3 13" xfId="20056" xr:uid="{00000000-0005-0000-0000-00001A4B0000}"/>
    <cellStyle name="Normal 8 5 3 14" xfId="20057" xr:uid="{00000000-0005-0000-0000-00001B4B0000}"/>
    <cellStyle name="Normal 8 5 3 15" xfId="20058" xr:uid="{00000000-0005-0000-0000-00001C4B0000}"/>
    <cellStyle name="Normal 8 5 3 2" xfId="20059" xr:uid="{00000000-0005-0000-0000-00001D4B0000}"/>
    <cellStyle name="Normal 8 5 3 3" xfId="20060" xr:uid="{00000000-0005-0000-0000-00001E4B0000}"/>
    <cellStyle name="Normal 8 5 3 4" xfId="20061" xr:uid="{00000000-0005-0000-0000-00001F4B0000}"/>
    <cellStyle name="Normal 8 5 3 5" xfId="20062" xr:uid="{00000000-0005-0000-0000-0000204B0000}"/>
    <cellStyle name="Normal 8 5 3 6" xfId="20063" xr:uid="{00000000-0005-0000-0000-0000214B0000}"/>
    <cellStyle name="Normal 8 5 3 7" xfId="20064" xr:uid="{00000000-0005-0000-0000-0000224B0000}"/>
    <cellStyle name="Normal 8 5 3 8" xfId="20065" xr:uid="{00000000-0005-0000-0000-0000234B0000}"/>
    <cellStyle name="Normal 8 5 3 9" xfId="20066" xr:uid="{00000000-0005-0000-0000-0000244B0000}"/>
    <cellStyle name="Normal 8 5 4" xfId="20067" xr:uid="{00000000-0005-0000-0000-0000254B0000}"/>
    <cellStyle name="Normal 8 5 4 10" xfId="20068" xr:uid="{00000000-0005-0000-0000-0000264B0000}"/>
    <cellStyle name="Normal 8 5 4 11" xfId="20069" xr:uid="{00000000-0005-0000-0000-0000274B0000}"/>
    <cellStyle name="Normal 8 5 4 12" xfId="20070" xr:uid="{00000000-0005-0000-0000-0000284B0000}"/>
    <cellStyle name="Normal 8 5 4 13" xfId="20071" xr:uid="{00000000-0005-0000-0000-0000294B0000}"/>
    <cellStyle name="Normal 8 5 4 14" xfId="20072" xr:uid="{00000000-0005-0000-0000-00002A4B0000}"/>
    <cellStyle name="Normal 8 5 4 15" xfId="20073" xr:uid="{00000000-0005-0000-0000-00002B4B0000}"/>
    <cellStyle name="Normal 8 5 4 2" xfId="20074" xr:uid="{00000000-0005-0000-0000-00002C4B0000}"/>
    <cellStyle name="Normal 8 5 4 3" xfId="20075" xr:uid="{00000000-0005-0000-0000-00002D4B0000}"/>
    <cellStyle name="Normal 8 5 4 4" xfId="20076" xr:uid="{00000000-0005-0000-0000-00002E4B0000}"/>
    <cellStyle name="Normal 8 5 4 5" xfId="20077" xr:uid="{00000000-0005-0000-0000-00002F4B0000}"/>
    <cellStyle name="Normal 8 5 4 6" xfId="20078" xr:uid="{00000000-0005-0000-0000-0000304B0000}"/>
    <cellStyle name="Normal 8 5 4 7" xfId="20079" xr:uid="{00000000-0005-0000-0000-0000314B0000}"/>
    <cellStyle name="Normal 8 5 4 8" xfId="20080" xr:uid="{00000000-0005-0000-0000-0000324B0000}"/>
    <cellStyle name="Normal 8 5 4 9" xfId="20081" xr:uid="{00000000-0005-0000-0000-0000334B0000}"/>
    <cellStyle name="Normal 8 5 5" xfId="20082" xr:uid="{00000000-0005-0000-0000-0000344B0000}"/>
    <cellStyle name="Normal 8 5 6" xfId="20083" xr:uid="{00000000-0005-0000-0000-0000354B0000}"/>
    <cellStyle name="Normal 8 5 7" xfId="20084" xr:uid="{00000000-0005-0000-0000-0000364B0000}"/>
    <cellStyle name="Normal 8 5 8" xfId="20085" xr:uid="{00000000-0005-0000-0000-0000374B0000}"/>
    <cellStyle name="Normal 8 5 9" xfId="20086" xr:uid="{00000000-0005-0000-0000-0000384B0000}"/>
    <cellStyle name="Normal 8 6" xfId="939" xr:uid="{00000000-0005-0000-0000-00006D030000}"/>
    <cellStyle name="Normal 8 6 10" xfId="20088" xr:uid="{00000000-0005-0000-0000-00003A4B0000}"/>
    <cellStyle name="Normal 8 6 11" xfId="20089" xr:uid="{00000000-0005-0000-0000-00003B4B0000}"/>
    <cellStyle name="Normal 8 6 12" xfId="20090" xr:uid="{00000000-0005-0000-0000-00003C4B0000}"/>
    <cellStyle name="Normal 8 6 13" xfId="20091" xr:uid="{00000000-0005-0000-0000-00003D4B0000}"/>
    <cellStyle name="Normal 8 6 14" xfId="20092" xr:uid="{00000000-0005-0000-0000-00003E4B0000}"/>
    <cellStyle name="Normal 8 6 15" xfId="20093" xr:uid="{00000000-0005-0000-0000-00003F4B0000}"/>
    <cellStyle name="Normal 8 6 16" xfId="20094" xr:uid="{00000000-0005-0000-0000-0000404B0000}"/>
    <cellStyle name="Normal 8 6 17" xfId="20095" xr:uid="{00000000-0005-0000-0000-0000414B0000}"/>
    <cellStyle name="Normal 8 6 18" xfId="20096" xr:uid="{00000000-0005-0000-0000-0000424B0000}"/>
    <cellStyle name="Normal 8 6 19" xfId="20097" xr:uid="{00000000-0005-0000-0000-0000434B0000}"/>
    <cellStyle name="Normal 8 6 2" xfId="20098" xr:uid="{00000000-0005-0000-0000-0000444B0000}"/>
    <cellStyle name="Normal 8 6 2 10" xfId="20099" xr:uid="{00000000-0005-0000-0000-0000454B0000}"/>
    <cellStyle name="Normal 8 6 2 11" xfId="20100" xr:uid="{00000000-0005-0000-0000-0000464B0000}"/>
    <cellStyle name="Normal 8 6 2 12" xfId="20101" xr:uid="{00000000-0005-0000-0000-0000474B0000}"/>
    <cellStyle name="Normal 8 6 2 13" xfId="20102" xr:uid="{00000000-0005-0000-0000-0000484B0000}"/>
    <cellStyle name="Normal 8 6 2 14" xfId="20103" xr:uid="{00000000-0005-0000-0000-0000494B0000}"/>
    <cellStyle name="Normal 8 6 2 15" xfId="20104" xr:uid="{00000000-0005-0000-0000-00004A4B0000}"/>
    <cellStyle name="Normal 8 6 2 2" xfId="20105" xr:uid="{00000000-0005-0000-0000-00004B4B0000}"/>
    <cellStyle name="Normal 8 6 2 3" xfId="20106" xr:uid="{00000000-0005-0000-0000-00004C4B0000}"/>
    <cellStyle name="Normal 8 6 2 4" xfId="20107" xr:uid="{00000000-0005-0000-0000-00004D4B0000}"/>
    <cellStyle name="Normal 8 6 2 5" xfId="20108" xr:uid="{00000000-0005-0000-0000-00004E4B0000}"/>
    <cellStyle name="Normal 8 6 2 6" xfId="20109" xr:uid="{00000000-0005-0000-0000-00004F4B0000}"/>
    <cellStyle name="Normal 8 6 2 7" xfId="20110" xr:uid="{00000000-0005-0000-0000-0000504B0000}"/>
    <cellStyle name="Normal 8 6 2 8" xfId="20111" xr:uid="{00000000-0005-0000-0000-0000514B0000}"/>
    <cellStyle name="Normal 8 6 2 9" xfId="20112" xr:uid="{00000000-0005-0000-0000-0000524B0000}"/>
    <cellStyle name="Normal 8 6 20" xfId="20087" xr:uid="{00000000-0005-0000-0000-0000394B0000}"/>
    <cellStyle name="Normal 8 6 3" xfId="20113" xr:uid="{00000000-0005-0000-0000-0000534B0000}"/>
    <cellStyle name="Normal 8 6 3 10" xfId="20114" xr:uid="{00000000-0005-0000-0000-0000544B0000}"/>
    <cellStyle name="Normal 8 6 3 11" xfId="20115" xr:uid="{00000000-0005-0000-0000-0000554B0000}"/>
    <cellStyle name="Normal 8 6 3 12" xfId="20116" xr:uid="{00000000-0005-0000-0000-0000564B0000}"/>
    <cellStyle name="Normal 8 6 3 13" xfId="20117" xr:uid="{00000000-0005-0000-0000-0000574B0000}"/>
    <cellStyle name="Normal 8 6 3 14" xfId="20118" xr:uid="{00000000-0005-0000-0000-0000584B0000}"/>
    <cellStyle name="Normal 8 6 3 15" xfId="20119" xr:uid="{00000000-0005-0000-0000-0000594B0000}"/>
    <cellStyle name="Normal 8 6 3 2" xfId="20120" xr:uid="{00000000-0005-0000-0000-00005A4B0000}"/>
    <cellStyle name="Normal 8 6 3 3" xfId="20121" xr:uid="{00000000-0005-0000-0000-00005B4B0000}"/>
    <cellStyle name="Normal 8 6 3 4" xfId="20122" xr:uid="{00000000-0005-0000-0000-00005C4B0000}"/>
    <cellStyle name="Normal 8 6 3 5" xfId="20123" xr:uid="{00000000-0005-0000-0000-00005D4B0000}"/>
    <cellStyle name="Normal 8 6 3 6" xfId="20124" xr:uid="{00000000-0005-0000-0000-00005E4B0000}"/>
    <cellStyle name="Normal 8 6 3 7" xfId="20125" xr:uid="{00000000-0005-0000-0000-00005F4B0000}"/>
    <cellStyle name="Normal 8 6 3 8" xfId="20126" xr:uid="{00000000-0005-0000-0000-0000604B0000}"/>
    <cellStyle name="Normal 8 6 3 9" xfId="20127" xr:uid="{00000000-0005-0000-0000-0000614B0000}"/>
    <cellStyle name="Normal 8 6 4" xfId="20128" xr:uid="{00000000-0005-0000-0000-0000624B0000}"/>
    <cellStyle name="Normal 8 6 4 10" xfId="20129" xr:uid="{00000000-0005-0000-0000-0000634B0000}"/>
    <cellStyle name="Normal 8 6 4 11" xfId="20130" xr:uid="{00000000-0005-0000-0000-0000644B0000}"/>
    <cellStyle name="Normal 8 6 4 12" xfId="20131" xr:uid="{00000000-0005-0000-0000-0000654B0000}"/>
    <cellStyle name="Normal 8 6 4 13" xfId="20132" xr:uid="{00000000-0005-0000-0000-0000664B0000}"/>
    <cellStyle name="Normal 8 6 4 14" xfId="20133" xr:uid="{00000000-0005-0000-0000-0000674B0000}"/>
    <cellStyle name="Normal 8 6 4 15" xfId="20134" xr:uid="{00000000-0005-0000-0000-0000684B0000}"/>
    <cellStyle name="Normal 8 6 4 2" xfId="20135" xr:uid="{00000000-0005-0000-0000-0000694B0000}"/>
    <cellStyle name="Normal 8 6 4 3" xfId="20136" xr:uid="{00000000-0005-0000-0000-00006A4B0000}"/>
    <cellStyle name="Normal 8 6 4 4" xfId="20137" xr:uid="{00000000-0005-0000-0000-00006B4B0000}"/>
    <cellStyle name="Normal 8 6 4 5" xfId="20138" xr:uid="{00000000-0005-0000-0000-00006C4B0000}"/>
    <cellStyle name="Normal 8 6 4 6" xfId="20139" xr:uid="{00000000-0005-0000-0000-00006D4B0000}"/>
    <cellStyle name="Normal 8 6 4 7" xfId="20140" xr:uid="{00000000-0005-0000-0000-00006E4B0000}"/>
    <cellStyle name="Normal 8 6 4 8" xfId="20141" xr:uid="{00000000-0005-0000-0000-00006F4B0000}"/>
    <cellStyle name="Normal 8 6 4 9" xfId="20142" xr:uid="{00000000-0005-0000-0000-0000704B0000}"/>
    <cellStyle name="Normal 8 6 5" xfId="20143" xr:uid="{00000000-0005-0000-0000-0000714B0000}"/>
    <cellStyle name="Normal 8 6 6" xfId="20144" xr:uid="{00000000-0005-0000-0000-0000724B0000}"/>
    <cellStyle name="Normal 8 6 7" xfId="20145" xr:uid="{00000000-0005-0000-0000-0000734B0000}"/>
    <cellStyle name="Normal 8 6 8" xfId="20146" xr:uid="{00000000-0005-0000-0000-0000744B0000}"/>
    <cellStyle name="Normal 8 6 9" xfId="20147" xr:uid="{00000000-0005-0000-0000-0000754B0000}"/>
    <cellStyle name="Normal 8 7" xfId="219" xr:uid="{00000000-0005-0000-0000-00006E030000}"/>
    <cellStyle name="Normal 8 7 10" xfId="20149" xr:uid="{00000000-0005-0000-0000-0000774B0000}"/>
    <cellStyle name="Normal 8 7 11" xfId="20150" xr:uid="{00000000-0005-0000-0000-0000784B0000}"/>
    <cellStyle name="Normal 8 7 12" xfId="20151" xr:uid="{00000000-0005-0000-0000-0000794B0000}"/>
    <cellStyle name="Normal 8 7 13" xfId="20152" xr:uid="{00000000-0005-0000-0000-00007A4B0000}"/>
    <cellStyle name="Normal 8 7 14" xfId="20153" xr:uid="{00000000-0005-0000-0000-00007B4B0000}"/>
    <cellStyle name="Normal 8 7 15" xfId="20154" xr:uid="{00000000-0005-0000-0000-00007C4B0000}"/>
    <cellStyle name="Normal 8 7 16" xfId="20148" xr:uid="{00000000-0005-0000-0000-0000764B0000}"/>
    <cellStyle name="Normal 8 7 2" xfId="20155" xr:uid="{00000000-0005-0000-0000-00007D4B0000}"/>
    <cellStyle name="Normal 8 7 3" xfId="20156" xr:uid="{00000000-0005-0000-0000-00007E4B0000}"/>
    <cellStyle name="Normal 8 7 4" xfId="20157" xr:uid="{00000000-0005-0000-0000-00007F4B0000}"/>
    <cellStyle name="Normal 8 7 5" xfId="20158" xr:uid="{00000000-0005-0000-0000-0000804B0000}"/>
    <cellStyle name="Normal 8 7 6" xfId="20159" xr:uid="{00000000-0005-0000-0000-0000814B0000}"/>
    <cellStyle name="Normal 8 7 7" xfId="20160" xr:uid="{00000000-0005-0000-0000-0000824B0000}"/>
    <cellStyle name="Normal 8 7 8" xfId="20161" xr:uid="{00000000-0005-0000-0000-0000834B0000}"/>
    <cellStyle name="Normal 8 7 9" xfId="20162" xr:uid="{00000000-0005-0000-0000-0000844B0000}"/>
    <cellStyle name="Normal 8 8" xfId="20163" xr:uid="{00000000-0005-0000-0000-0000854B0000}"/>
    <cellStyle name="Normal 8 8 10" xfId="20164" xr:uid="{00000000-0005-0000-0000-0000864B0000}"/>
    <cellStyle name="Normal 8 8 11" xfId="20165" xr:uid="{00000000-0005-0000-0000-0000874B0000}"/>
    <cellStyle name="Normal 8 8 12" xfId="20166" xr:uid="{00000000-0005-0000-0000-0000884B0000}"/>
    <cellStyle name="Normal 8 8 13" xfId="20167" xr:uid="{00000000-0005-0000-0000-0000894B0000}"/>
    <cellStyle name="Normal 8 8 14" xfId="20168" xr:uid="{00000000-0005-0000-0000-00008A4B0000}"/>
    <cellStyle name="Normal 8 8 15" xfId="20169" xr:uid="{00000000-0005-0000-0000-00008B4B0000}"/>
    <cellStyle name="Normal 8 8 2" xfId="20170" xr:uid="{00000000-0005-0000-0000-00008C4B0000}"/>
    <cellStyle name="Normal 8 8 3" xfId="20171" xr:uid="{00000000-0005-0000-0000-00008D4B0000}"/>
    <cellStyle name="Normal 8 8 4" xfId="20172" xr:uid="{00000000-0005-0000-0000-00008E4B0000}"/>
    <cellStyle name="Normal 8 8 5" xfId="20173" xr:uid="{00000000-0005-0000-0000-00008F4B0000}"/>
    <cellStyle name="Normal 8 8 6" xfId="20174" xr:uid="{00000000-0005-0000-0000-0000904B0000}"/>
    <cellStyle name="Normal 8 8 7" xfId="20175" xr:uid="{00000000-0005-0000-0000-0000914B0000}"/>
    <cellStyle name="Normal 8 8 8" xfId="20176" xr:uid="{00000000-0005-0000-0000-0000924B0000}"/>
    <cellStyle name="Normal 8 8 9" xfId="20177" xr:uid="{00000000-0005-0000-0000-0000934B0000}"/>
    <cellStyle name="Normal 8 9" xfId="20178" xr:uid="{00000000-0005-0000-0000-0000944B0000}"/>
    <cellStyle name="Normal 8 9 10" xfId="20179" xr:uid="{00000000-0005-0000-0000-0000954B0000}"/>
    <cellStyle name="Normal 8 9 11" xfId="20180" xr:uid="{00000000-0005-0000-0000-0000964B0000}"/>
    <cellStyle name="Normal 8 9 12" xfId="20181" xr:uid="{00000000-0005-0000-0000-0000974B0000}"/>
    <cellStyle name="Normal 8 9 13" xfId="20182" xr:uid="{00000000-0005-0000-0000-0000984B0000}"/>
    <cellStyle name="Normal 8 9 14" xfId="20183" xr:uid="{00000000-0005-0000-0000-0000994B0000}"/>
    <cellStyle name="Normal 8 9 15" xfId="20184" xr:uid="{00000000-0005-0000-0000-00009A4B0000}"/>
    <cellStyle name="Normal 8 9 2" xfId="20185" xr:uid="{00000000-0005-0000-0000-00009B4B0000}"/>
    <cellStyle name="Normal 8 9 3" xfId="20186" xr:uid="{00000000-0005-0000-0000-00009C4B0000}"/>
    <cellStyle name="Normal 8 9 4" xfId="20187" xr:uid="{00000000-0005-0000-0000-00009D4B0000}"/>
    <cellStyle name="Normal 8 9 5" xfId="20188" xr:uid="{00000000-0005-0000-0000-00009E4B0000}"/>
    <cellStyle name="Normal 8 9 6" xfId="20189" xr:uid="{00000000-0005-0000-0000-00009F4B0000}"/>
    <cellStyle name="Normal 8 9 7" xfId="20190" xr:uid="{00000000-0005-0000-0000-0000A04B0000}"/>
    <cellStyle name="Normal 8 9 8" xfId="20191" xr:uid="{00000000-0005-0000-0000-0000A14B0000}"/>
    <cellStyle name="Normal 8 9 9" xfId="20192" xr:uid="{00000000-0005-0000-0000-0000A24B0000}"/>
    <cellStyle name="Normal 8_CORRECTED COPY OF rA 5" xfId="20193" xr:uid="{00000000-0005-0000-0000-0000A34B0000}"/>
    <cellStyle name="Normal 81" xfId="951" xr:uid="{00000000-0005-0000-0000-00006F030000}"/>
    <cellStyle name="Normal 87" xfId="42" xr:uid="{00000000-0005-0000-0000-000034000000}"/>
    <cellStyle name="Normal 87 2" xfId="37272" xr:uid="{034AD26F-5B7F-46CB-B694-B29D9AC2F8E5}"/>
    <cellStyle name="Normal 87 4 2" xfId="48" xr:uid="{00000000-0005-0000-0000-000035000000}"/>
    <cellStyle name="Normal 88 2" xfId="977" xr:uid="{E9BD3510-1BB2-4DCA-B3B6-2792E961E62D}"/>
    <cellStyle name="Normal 9" xfId="163" xr:uid="{00000000-0005-0000-0000-000070030000}"/>
    <cellStyle name="Normal 9 10" xfId="20194" xr:uid="{00000000-0005-0000-0000-0000A54B0000}"/>
    <cellStyle name="Normal 9 10 2" xfId="20195" xr:uid="{00000000-0005-0000-0000-0000A64B0000}"/>
    <cellStyle name="Normal 9 10 3" xfId="20196" xr:uid="{00000000-0005-0000-0000-0000A74B0000}"/>
    <cellStyle name="Normal 9 11" xfId="20197" xr:uid="{00000000-0005-0000-0000-0000A84B0000}"/>
    <cellStyle name="Normal 9 12" xfId="20198" xr:uid="{00000000-0005-0000-0000-0000A94B0000}"/>
    <cellStyle name="Normal 9 13" xfId="20199" xr:uid="{00000000-0005-0000-0000-0000AA4B0000}"/>
    <cellStyle name="Normal 9 14" xfId="20200" xr:uid="{00000000-0005-0000-0000-0000AB4B0000}"/>
    <cellStyle name="Normal 9 15" xfId="20201" xr:uid="{00000000-0005-0000-0000-0000AC4B0000}"/>
    <cellStyle name="Normal 9 16" xfId="20202" xr:uid="{00000000-0005-0000-0000-0000AD4B0000}"/>
    <cellStyle name="Normal 9 17" xfId="20203" xr:uid="{00000000-0005-0000-0000-0000AE4B0000}"/>
    <cellStyle name="Normal 9 18" xfId="20204" xr:uid="{00000000-0005-0000-0000-0000AF4B0000}"/>
    <cellStyle name="Normal 9 19" xfId="20205" xr:uid="{00000000-0005-0000-0000-0000B04B0000}"/>
    <cellStyle name="Normal 9 2" xfId="815" xr:uid="{00000000-0005-0000-0000-000071030000}"/>
    <cellStyle name="Normal 9 2 10" xfId="20207" xr:uid="{00000000-0005-0000-0000-0000B24B0000}"/>
    <cellStyle name="Normal 9 2 11" xfId="20208" xr:uid="{00000000-0005-0000-0000-0000B34B0000}"/>
    <cellStyle name="Normal 9 2 12" xfId="20209" xr:uid="{00000000-0005-0000-0000-0000B44B0000}"/>
    <cellStyle name="Normal 9 2 13" xfId="20210" xr:uid="{00000000-0005-0000-0000-0000B54B0000}"/>
    <cellStyle name="Normal 9 2 14" xfId="20211" xr:uid="{00000000-0005-0000-0000-0000B64B0000}"/>
    <cellStyle name="Normal 9 2 15" xfId="20212" xr:uid="{00000000-0005-0000-0000-0000B74B0000}"/>
    <cellStyle name="Normal 9 2 16" xfId="20213" xr:uid="{00000000-0005-0000-0000-0000B84B0000}"/>
    <cellStyle name="Normal 9 2 17" xfId="20214" xr:uid="{00000000-0005-0000-0000-0000B94B0000}"/>
    <cellStyle name="Normal 9 2 18" xfId="20215" xr:uid="{00000000-0005-0000-0000-0000BA4B0000}"/>
    <cellStyle name="Normal 9 2 19" xfId="20216" xr:uid="{00000000-0005-0000-0000-0000BB4B0000}"/>
    <cellStyle name="Normal 9 2 2" xfId="20217" xr:uid="{00000000-0005-0000-0000-0000BC4B0000}"/>
    <cellStyle name="Normal 9 2 2 10" xfId="20218" xr:uid="{00000000-0005-0000-0000-0000BD4B0000}"/>
    <cellStyle name="Normal 9 2 2 11" xfId="20219" xr:uid="{00000000-0005-0000-0000-0000BE4B0000}"/>
    <cellStyle name="Normal 9 2 2 12" xfId="20220" xr:uid="{00000000-0005-0000-0000-0000BF4B0000}"/>
    <cellStyle name="Normal 9 2 2 13" xfId="20221" xr:uid="{00000000-0005-0000-0000-0000C04B0000}"/>
    <cellStyle name="Normal 9 2 2 14" xfId="20222" xr:uid="{00000000-0005-0000-0000-0000C14B0000}"/>
    <cellStyle name="Normal 9 2 2 15" xfId="20223" xr:uid="{00000000-0005-0000-0000-0000C24B0000}"/>
    <cellStyle name="Normal 9 2 2 16" xfId="20224" xr:uid="{00000000-0005-0000-0000-0000C34B0000}"/>
    <cellStyle name="Normal 9 2 2 17" xfId="20225" xr:uid="{00000000-0005-0000-0000-0000C44B0000}"/>
    <cellStyle name="Normal 9 2 2 18" xfId="20226" xr:uid="{00000000-0005-0000-0000-0000C54B0000}"/>
    <cellStyle name="Normal 9 2 2 19" xfId="20227" xr:uid="{00000000-0005-0000-0000-0000C64B0000}"/>
    <cellStyle name="Normal 9 2 2 2" xfId="20228" xr:uid="{00000000-0005-0000-0000-0000C74B0000}"/>
    <cellStyle name="Normal 9 2 2 2 10" xfId="20229" xr:uid="{00000000-0005-0000-0000-0000C84B0000}"/>
    <cellStyle name="Normal 9 2 2 2 11" xfId="20230" xr:uid="{00000000-0005-0000-0000-0000C94B0000}"/>
    <cellStyle name="Normal 9 2 2 2 12" xfId="20231" xr:uid="{00000000-0005-0000-0000-0000CA4B0000}"/>
    <cellStyle name="Normal 9 2 2 2 13" xfId="20232" xr:uid="{00000000-0005-0000-0000-0000CB4B0000}"/>
    <cellStyle name="Normal 9 2 2 2 14" xfId="20233" xr:uid="{00000000-0005-0000-0000-0000CC4B0000}"/>
    <cellStyle name="Normal 9 2 2 2 15" xfId="20234" xr:uid="{00000000-0005-0000-0000-0000CD4B0000}"/>
    <cellStyle name="Normal 9 2 2 2 2" xfId="20235" xr:uid="{00000000-0005-0000-0000-0000CE4B0000}"/>
    <cellStyle name="Normal 9 2 2 2 3" xfId="20236" xr:uid="{00000000-0005-0000-0000-0000CF4B0000}"/>
    <cellStyle name="Normal 9 2 2 2 4" xfId="20237" xr:uid="{00000000-0005-0000-0000-0000D04B0000}"/>
    <cellStyle name="Normal 9 2 2 2 5" xfId="20238" xr:uid="{00000000-0005-0000-0000-0000D14B0000}"/>
    <cellStyle name="Normal 9 2 2 2 6" xfId="20239" xr:uid="{00000000-0005-0000-0000-0000D24B0000}"/>
    <cellStyle name="Normal 9 2 2 2 7" xfId="20240" xr:uid="{00000000-0005-0000-0000-0000D34B0000}"/>
    <cellStyle name="Normal 9 2 2 2 8" xfId="20241" xr:uid="{00000000-0005-0000-0000-0000D44B0000}"/>
    <cellStyle name="Normal 9 2 2 2 9" xfId="20242" xr:uid="{00000000-0005-0000-0000-0000D54B0000}"/>
    <cellStyle name="Normal 9 2 2 3" xfId="20243" xr:uid="{00000000-0005-0000-0000-0000D64B0000}"/>
    <cellStyle name="Normal 9 2 2 3 10" xfId="20244" xr:uid="{00000000-0005-0000-0000-0000D74B0000}"/>
    <cellStyle name="Normal 9 2 2 3 11" xfId="20245" xr:uid="{00000000-0005-0000-0000-0000D84B0000}"/>
    <cellStyle name="Normal 9 2 2 3 12" xfId="20246" xr:uid="{00000000-0005-0000-0000-0000D94B0000}"/>
    <cellStyle name="Normal 9 2 2 3 13" xfId="20247" xr:uid="{00000000-0005-0000-0000-0000DA4B0000}"/>
    <cellStyle name="Normal 9 2 2 3 14" xfId="20248" xr:uid="{00000000-0005-0000-0000-0000DB4B0000}"/>
    <cellStyle name="Normal 9 2 2 3 15" xfId="20249" xr:uid="{00000000-0005-0000-0000-0000DC4B0000}"/>
    <cellStyle name="Normal 9 2 2 3 2" xfId="20250" xr:uid="{00000000-0005-0000-0000-0000DD4B0000}"/>
    <cellStyle name="Normal 9 2 2 3 3" xfId="20251" xr:uid="{00000000-0005-0000-0000-0000DE4B0000}"/>
    <cellStyle name="Normal 9 2 2 3 4" xfId="20252" xr:uid="{00000000-0005-0000-0000-0000DF4B0000}"/>
    <cellStyle name="Normal 9 2 2 3 5" xfId="20253" xr:uid="{00000000-0005-0000-0000-0000E04B0000}"/>
    <cellStyle name="Normal 9 2 2 3 6" xfId="20254" xr:uid="{00000000-0005-0000-0000-0000E14B0000}"/>
    <cellStyle name="Normal 9 2 2 3 7" xfId="20255" xr:uid="{00000000-0005-0000-0000-0000E24B0000}"/>
    <cellStyle name="Normal 9 2 2 3 8" xfId="20256" xr:uid="{00000000-0005-0000-0000-0000E34B0000}"/>
    <cellStyle name="Normal 9 2 2 3 9" xfId="20257" xr:uid="{00000000-0005-0000-0000-0000E44B0000}"/>
    <cellStyle name="Normal 9 2 2 4" xfId="20258" xr:uid="{00000000-0005-0000-0000-0000E54B0000}"/>
    <cellStyle name="Normal 9 2 2 4 10" xfId="20259" xr:uid="{00000000-0005-0000-0000-0000E64B0000}"/>
    <cellStyle name="Normal 9 2 2 4 11" xfId="20260" xr:uid="{00000000-0005-0000-0000-0000E74B0000}"/>
    <cellStyle name="Normal 9 2 2 4 12" xfId="20261" xr:uid="{00000000-0005-0000-0000-0000E84B0000}"/>
    <cellStyle name="Normal 9 2 2 4 13" xfId="20262" xr:uid="{00000000-0005-0000-0000-0000E94B0000}"/>
    <cellStyle name="Normal 9 2 2 4 14" xfId="20263" xr:uid="{00000000-0005-0000-0000-0000EA4B0000}"/>
    <cellStyle name="Normal 9 2 2 4 15" xfId="20264" xr:uid="{00000000-0005-0000-0000-0000EB4B0000}"/>
    <cellStyle name="Normal 9 2 2 4 2" xfId="20265" xr:uid="{00000000-0005-0000-0000-0000EC4B0000}"/>
    <cellStyle name="Normal 9 2 2 4 3" xfId="20266" xr:uid="{00000000-0005-0000-0000-0000ED4B0000}"/>
    <cellStyle name="Normal 9 2 2 4 4" xfId="20267" xr:uid="{00000000-0005-0000-0000-0000EE4B0000}"/>
    <cellStyle name="Normal 9 2 2 4 5" xfId="20268" xr:uid="{00000000-0005-0000-0000-0000EF4B0000}"/>
    <cellStyle name="Normal 9 2 2 4 6" xfId="20269" xr:uid="{00000000-0005-0000-0000-0000F04B0000}"/>
    <cellStyle name="Normal 9 2 2 4 7" xfId="20270" xr:uid="{00000000-0005-0000-0000-0000F14B0000}"/>
    <cellStyle name="Normal 9 2 2 4 8" xfId="20271" xr:uid="{00000000-0005-0000-0000-0000F24B0000}"/>
    <cellStyle name="Normal 9 2 2 4 9" xfId="20272" xr:uid="{00000000-0005-0000-0000-0000F34B0000}"/>
    <cellStyle name="Normal 9 2 2 5" xfId="20273" xr:uid="{00000000-0005-0000-0000-0000F44B0000}"/>
    <cellStyle name="Normal 9 2 2 5 10" xfId="20274" xr:uid="{00000000-0005-0000-0000-0000F54B0000}"/>
    <cellStyle name="Normal 9 2 2 5 11" xfId="20275" xr:uid="{00000000-0005-0000-0000-0000F64B0000}"/>
    <cellStyle name="Normal 9 2 2 5 12" xfId="20276" xr:uid="{00000000-0005-0000-0000-0000F74B0000}"/>
    <cellStyle name="Normal 9 2 2 5 13" xfId="20277" xr:uid="{00000000-0005-0000-0000-0000F84B0000}"/>
    <cellStyle name="Normal 9 2 2 5 14" xfId="20278" xr:uid="{00000000-0005-0000-0000-0000F94B0000}"/>
    <cellStyle name="Normal 9 2 2 5 15" xfId="20279" xr:uid="{00000000-0005-0000-0000-0000FA4B0000}"/>
    <cellStyle name="Normal 9 2 2 5 2" xfId="20280" xr:uid="{00000000-0005-0000-0000-0000FB4B0000}"/>
    <cellStyle name="Normal 9 2 2 5 3" xfId="20281" xr:uid="{00000000-0005-0000-0000-0000FC4B0000}"/>
    <cellStyle name="Normal 9 2 2 5 4" xfId="20282" xr:uid="{00000000-0005-0000-0000-0000FD4B0000}"/>
    <cellStyle name="Normal 9 2 2 5 5" xfId="20283" xr:uid="{00000000-0005-0000-0000-0000FE4B0000}"/>
    <cellStyle name="Normal 9 2 2 5 6" xfId="20284" xr:uid="{00000000-0005-0000-0000-0000FF4B0000}"/>
    <cellStyle name="Normal 9 2 2 5 7" xfId="20285" xr:uid="{00000000-0005-0000-0000-0000004C0000}"/>
    <cellStyle name="Normal 9 2 2 5 8" xfId="20286" xr:uid="{00000000-0005-0000-0000-0000014C0000}"/>
    <cellStyle name="Normal 9 2 2 5 9" xfId="20287" xr:uid="{00000000-0005-0000-0000-0000024C0000}"/>
    <cellStyle name="Normal 9 2 2 6" xfId="20288" xr:uid="{00000000-0005-0000-0000-0000034C0000}"/>
    <cellStyle name="Normal 9 2 2 7" xfId="20289" xr:uid="{00000000-0005-0000-0000-0000044C0000}"/>
    <cellStyle name="Normal 9 2 2 8" xfId="20290" xr:uid="{00000000-0005-0000-0000-0000054C0000}"/>
    <cellStyle name="Normal 9 2 2 9" xfId="20291" xr:uid="{00000000-0005-0000-0000-0000064C0000}"/>
    <cellStyle name="Normal 9 2 20" xfId="20292" xr:uid="{00000000-0005-0000-0000-0000074C0000}"/>
    <cellStyle name="Normal 9 2 21" xfId="20293" xr:uid="{00000000-0005-0000-0000-0000084C0000}"/>
    <cellStyle name="Normal 9 2 22" xfId="20294" xr:uid="{00000000-0005-0000-0000-0000094C0000}"/>
    <cellStyle name="Normal 9 2 23" xfId="20206" xr:uid="{00000000-0005-0000-0000-0000B14B0000}"/>
    <cellStyle name="Normal 9 2 3" xfId="20295" xr:uid="{00000000-0005-0000-0000-00000A4C0000}"/>
    <cellStyle name="Normal 9 2 3 10" xfId="20296" xr:uid="{00000000-0005-0000-0000-00000B4C0000}"/>
    <cellStyle name="Normal 9 2 3 11" xfId="20297" xr:uid="{00000000-0005-0000-0000-00000C4C0000}"/>
    <cellStyle name="Normal 9 2 3 12" xfId="20298" xr:uid="{00000000-0005-0000-0000-00000D4C0000}"/>
    <cellStyle name="Normal 9 2 3 13" xfId="20299" xr:uid="{00000000-0005-0000-0000-00000E4C0000}"/>
    <cellStyle name="Normal 9 2 3 14" xfId="20300" xr:uid="{00000000-0005-0000-0000-00000F4C0000}"/>
    <cellStyle name="Normal 9 2 3 15" xfId="20301" xr:uid="{00000000-0005-0000-0000-0000104C0000}"/>
    <cellStyle name="Normal 9 2 3 16" xfId="20302" xr:uid="{00000000-0005-0000-0000-0000114C0000}"/>
    <cellStyle name="Normal 9 2 3 17" xfId="20303" xr:uid="{00000000-0005-0000-0000-0000124C0000}"/>
    <cellStyle name="Normal 9 2 3 18" xfId="20304" xr:uid="{00000000-0005-0000-0000-0000134C0000}"/>
    <cellStyle name="Normal 9 2 3 19" xfId="20305" xr:uid="{00000000-0005-0000-0000-0000144C0000}"/>
    <cellStyle name="Normal 9 2 3 2" xfId="20306" xr:uid="{00000000-0005-0000-0000-0000154C0000}"/>
    <cellStyle name="Normal 9 2 3 2 10" xfId="20307" xr:uid="{00000000-0005-0000-0000-0000164C0000}"/>
    <cellStyle name="Normal 9 2 3 2 11" xfId="20308" xr:uid="{00000000-0005-0000-0000-0000174C0000}"/>
    <cellStyle name="Normal 9 2 3 2 12" xfId="20309" xr:uid="{00000000-0005-0000-0000-0000184C0000}"/>
    <cellStyle name="Normal 9 2 3 2 13" xfId="20310" xr:uid="{00000000-0005-0000-0000-0000194C0000}"/>
    <cellStyle name="Normal 9 2 3 2 14" xfId="20311" xr:uid="{00000000-0005-0000-0000-00001A4C0000}"/>
    <cellStyle name="Normal 9 2 3 2 15" xfId="20312" xr:uid="{00000000-0005-0000-0000-00001B4C0000}"/>
    <cellStyle name="Normal 9 2 3 2 2" xfId="20313" xr:uid="{00000000-0005-0000-0000-00001C4C0000}"/>
    <cellStyle name="Normal 9 2 3 2 3" xfId="20314" xr:uid="{00000000-0005-0000-0000-00001D4C0000}"/>
    <cellStyle name="Normal 9 2 3 2 4" xfId="20315" xr:uid="{00000000-0005-0000-0000-00001E4C0000}"/>
    <cellStyle name="Normal 9 2 3 2 5" xfId="20316" xr:uid="{00000000-0005-0000-0000-00001F4C0000}"/>
    <cellStyle name="Normal 9 2 3 2 6" xfId="20317" xr:uid="{00000000-0005-0000-0000-0000204C0000}"/>
    <cellStyle name="Normal 9 2 3 2 7" xfId="20318" xr:uid="{00000000-0005-0000-0000-0000214C0000}"/>
    <cellStyle name="Normal 9 2 3 2 8" xfId="20319" xr:uid="{00000000-0005-0000-0000-0000224C0000}"/>
    <cellStyle name="Normal 9 2 3 2 9" xfId="20320" xr:uid="{00000000-0005-0000-0000-0000234C0000}"/>
    <cellStyle name="Normal 9 2 3 3" xfId="20321" xr:uid="{00000000-0005-0000-0000-0000244C0000}"/>
    <cellStyle name="Normal 9 2 3 3 10" xfId="20322" xr:uid="{00000000-0005-0000-0000-0000254C0000}"/>
    <cellStyle name="Normal 9 2 3 3 11" xfId="20323" xr:uid="{00000000-0005-0000-0000-0000264C0000}"/>
    <cellStyle name="Normal 9 2 3 3 12" xfId="20324" xr:uid="{00000000-0005-0000-0000-0000274C0000}"/>
    <cellStyle name="Normal 9 2 3 3 13" xfId="20325" xr:uid="{00000000-0005-0000-0000-0000284C0000}"/>
    <cellStyle name="Normal 9 2 3 3 14" xfId="20326" xr:uid="{00000000-0005-0000-0000-0000294C0000}"/>
    <cellStyle name="Normal 9 2 3 3 15" xfId="20327" xr:uid="{00000000-0005-0000-0000-00002A4C0000}"/>
    <cellStyle name="Normal 9 2 3 3 2" xfId="20328" xr:uid="{00000000-0005-0000-0000-00002B4C0000}"/>
    <cellStyle name="Normal 9 2 3 3 3" xfId="20329" xr:uid="{00000000-0005-0000-0000-00002C4C0000}"/>
    <cellStyle name="Normal 9 2 3 3 4" xfId="20330" xr:uid="{00000000-0005-0000-0000-00002D4C0000}"/>
    <cellStyle name="Normal 9 2 3 3 5" xfId="20331" xr:uid="{00000000-0005-0000-0000-00002E4C0000}"/>
    <cellStyle name="Normal 9 2 3 3 6" xfId="20332" xr:uid="{00000000-0005-0000-0000-00002F4C0000}"/>
    <cellStyle name="Normal 9 2 3 3 7" xfId="20333" xr:uid="{00000000-0005-0000-0000-0000304C0000}"/>
    <cellStyle name="Normal 9 2 3 3 8" xfId="20334" xr:uid="{00000000-0005-0000-0000-0000314C0000}"/>
    <cellStyle name="Normal 9 2 3 3 9" xfId="20335" xr:uid="{00000000-0005-0000-0000-0000324C0000}"/>
    <cellStyle name="Normal 9 2 3 4" xfId="20336" xr:uid="{00000000-0005-0000-0000-0000334C0000}"/>
    <cellStyle name="Normal 9 2 3 4 10" xfId="20337" xr:uid="{00000000-0005-0000-0000-0000344C0000}"/>
    <cellStyle name="Normal 9 2 3 4 11" xfId="20338" xr:uid="{00000000-0005-0000-0000-0000354C0000}"/>
    <cellStyle name="Normal 9 2 3 4 12" xfId="20339" xr:uid="{00000000-0005-0000-0000-0000364C0000}"/>
    <cellStyle name="Normal 9 2 3 4 13" xfId="20340" xr:uid="{00000000-0005-0000-0000-0000374C0000}"/>
    <cellStyle name="Normal 9 2 3 4 14" xfId="20341" xr:uid="{00000000-0005-0000-0000-0000384C0000}"/>
    <cellStyle name="Normal 9 2 3 4 15" xfId="20342" xr:uid="{00000000-0005-0000-0000-0000394C0000}"/>
    <cellStyle name="Normal 9 2 3 4 2" xfId="20343" xr:uid="{00000000-0005-0000-0000-00003A4C0000}"/>
    <cellStyle name="Normal 9 2 3 4 3" xfId="20344" xr:uid="{00000000-0005-0000-0000-00003B4C0000}"/>
    <cellStyle name="Normal 9 2 3 4 4" xfId="20345" xr:uid="{00000000-0005-0000-0000-00003C4C0000}"/>
    <cellStyle name="Normal 9 2 3 4 5" xfId="20346" xr:uid="{00000000-0005-0000-0000-00003D4C0000}"/>
    <cellStyle name="Normal 9 2 3 4 6" xfId="20347" xr:uid="{00000000-0005-0000-0000-00003E4C0000}"/>
    <cellStyle name="Normal 9 2 3 4 7" xfId="20348" xr:uid="{00000000-0005-0000-0000-00003F4C0000}"/>
    <cellStyle name="Normal 9 2 3 4 8" xfId="20349" xr:uid="{00000000-0005-0000-0000-0000404C0000}"/>
    <cellStyle name="Normal 9 2 3 4 9" xfId="20350" xr:uid="{00000000-0005-0000-0000-0000414C0000}"/>
    <cellStyle name="Normal 9 2 3 5" xfId="20351" xr:uid="{00000000-0005-0000-0000-0000424C0000}"/>
    <cellStyle name="Normal 9 2 3 5 10" xfId="20352" xr:uid="{00000000-0005-0000-0000-0000434C0000}"/>
    <cellStyle name="Normal 9 2 3 5 11" xfId="20353" xr:uid="{00000000-0005-0000-0000-0000444C0000}"/>
    <cellStyle name="Normal 9 2 3 5 12" xfId="20354" xr:uid="{00000000-0005-0000-0000-0000454C0000}"/>
    <cellStyle name="Normal 9 2 3 5 13" xfId="20355" xr:uid="{00000000-0005-0000-0000-0000464C0000}"/>
    <cellStyle name="Normal 9 2 3 5 14" xfId="20356" xr:uid="{00000000-0005-0000-0000-0000474C0000}"/>
    <cellStyle name="Normal 9 2 3 5 15" xfId="20357" xr:uid="{00000000-0005-0000-0000-0000484C0000}"/>
    <cellStyle name="Normal 9 2 3 5 2" xfId="20358" xr:uid="{00000000-0005-0000-0000-0000494C0000}"/>
    <cellStyle name="Normal 9 2 3 5 3" xfId="20359" xr:uid="{00000000-0005-0000-0000-00004A4C0000}"/>
    <cellStyle name="Normal 9 2 3 5 4" xfId="20360" xr:uid="{00000000-0005-0000-0000-00004B4C0000}"/>
    <cellStyle name="Normal 9 2 3 5 5" xfId="20361" xr:uid="{00000000-0005-0000-0000-00004C4C0000}"/>
    <cellStyle name="Normal 9 2 3 5 6" xfId="20362" xr:uid="{00000000-0005-0000-0000-00004D4C0000}"/>
    <cellStyle name="Normal 9 2 3 5 7" xfId="20363" xr:uid="{00000000-0005-0000-0000-00004E4C0000}"/>
    <cellStyle name="Normal 9 2 3 5 8" xfId="20364" xr:uid="{00000000-0005-0000-0000-00004F4C0000}"/>
    <cellStyle name="Normal 9 2 3 5 9" xfId="20365" xr:uid="{00000000-0005-0000-0000-0000504C0000}"/>
    <cellStyle name="Normal 9 2 3 6" xfId="20366" xr:uid="{00000000-0005-0000-0000-0000514C0000}"/>
    <cellStyle name="Normal 9 2 3 7" xfId="20367" xr:uid="{00000000-0005-0000-0000-0000524C0000}"/>
    <cellStyle name="Normal 9 2 3 8" xfId="20368" xr:uid="{00000000-0005-0000-0000-0000534C0000}"/>
    <cellStyle name="Normal 9 2 3 9" xfId="20369" xr:uid="{00000000-0005-0000-0000-0000544C0000}"/>
    <cellStyle name="Normal 9 2 4" xfId="20370" xr:uid="{00000000-0005-0000-0000-0000554C0000}"/>
    <cellStyle name="Normal 9 2 4 10" xfId="20371" xr:uid="{00000000-0005-0000-0000-0000564C0000}"/>
    <cellStyle name="Normal 9 2 4 11" xfId="20372" xr:uid="{00000000-0005-0000-0000-0000574C0000}"/>
    <cellStyle name="Normal 9 2 4 12" xfId="20373" xr:uid="{00000000-0005-0000-0000-0000584C0000}"/>
    <cellStyle name="Normal 9 2 4 13" xfId="20374" xr:uid="{00000000-0005-0000-0000-0000594C0000}"/>
    <cellStyle name="Normal 9 2 4 14" xfId="20375" xr:uid="{00000000-0005-0000-0000-00005A4C0000}"/>
    <cellStyle name="Normal 9 2 4 15" xfId="20376" xr:uid="{00000000-0005-0000-0000-00005B4C0000}"/>
    <cellStyle name="Normal 9 2 4 16" xfId="20377" xr:uid="{00000000-0005-0000-0000-00005C4C0000}"/>
    <cellStyle name="Normal 9 2 4 17" xfId="20378" xr:uid="{00000000-0005-0000-0000-00005D4C0000}"/>
    <cellStyle name="Normal 9 2 4 18" xfId="20379" xr:uid="{00000000-0005-0000-0000-00005E4C0000}"/>
    <cellStyle name="Normal 9 2 4 19" xfId="20380" xr:uid="{00000000-0005-0000-0000-00005F4C0000}"/>
    <cellStyle name="Normal 9 2 4 2" xfId="20381" xr:uid="{00000000-0005-0000-0000-0000604C0000}"/>
    <cellStyle name="Normal 9 2 4 2 10" xfId="20382" xr:uid="{00000000-0005-0000-0000-0000614C0000}"/>
    <cellStyle name="Normal 9 2 4 2 11" xfId="20383" xr:uid="{00000000-0005-0000-0000-0000624C0000}"/>
    <cellStyle name="Normal 9 2 4 2 12" xfId="20384" xr:uid="{00000000-0005-0000-0000-0000634C0000}"/>
    <cellStyle name="Normal 9 2 4 2 13" xfId="20385" xr:uid="{00000000-0005-0000-0000-0000644C0000}"/>
    <cellStyle name="Normal 9 2 4 2 14" xfId="20386" xr:uid="{00000000-0005-0000-0000-0000654C0000}"/>
    <cellStyle name="Normal 9 2 4 2 15" xfId="20387" xr:uid="{00000000-0005-0000-0000-0000664C0000}"/>
    <cellStyle name="Normal 9 2 4 2 2" xfId="20388" xr:uid="{00000000-0005-0000-0000-0000674C0000}"/>
    <cellStyle name="Normal 9 2 4 2 3" xfId="20389" xr:uid="{00000000-0005-0000-0000-0000684C0000}"/>
    <cellStyle name="Normal 9 2 4 2 4" xfId="20390" xr:uid="{00000000-0005-0000-0000-0000694C0000}"/>
    <cellStyle name="Normal 9 2 4 2 5" xfId="20391" xr:uid="{00000000-0005-0000-0000-00006A4C0000}"/>
    <cellStyle name="Normal 9 2 4 2 6" xfId="20392" xr:uid="{00000000-0005-0000-0000-00006B4C0000}"/>
    <cellStyle name="Normal 9 2 4 2 7" xfId="20393" xr:uid="{00000000-0005-0000-0000-00006C4C0000}"/>
    <cellStyle name="Normal 9 2 4 2 8" xfId="20394" xr:uid="{00000000-0005-0000-0000-00006D4C0000}"/>
    <cellStyle name="Normal 9 2 4 2 9" xfId="20395" xr:uid="{00000000-0005-0000-0000-00006E4C0000}"/>
    <cellStyle name="Normal 9 2 4 3" xfId="20396" xr:uid="{00000000-0005-0000-0000-00006F4C0000}"/>
    <cellStyle name="Normal 9 2 4 3 10" xfId="20397" xr:uid="{00000000-0005-0000-0000-0000704C0000}"/>
    <cellStyle name="Normal 9 2 4 3 11" xfId="20398" xr:uid="{00000000-0005-0000-0000-0000714C0000}"/>
    <cellStyle name="Normal 9 2 4 3 12" xfId="20399" xr:uid="{00000000-0005-0000-0000-0000724C0000}"/>
    <cellStyle name="Normal 9 2 4 3 13" xfId="20400" xr:uid="{00000000-0005-0000-0000-0000734C0000}"/>
    <cellStyle name="Normal 9 2 4 3 14" xfId="20401" xr:uid="{00000000-0005-0000-0000-0000744C0000}"/>
    <cellStyle name="Normal 9 2 4 3 15" xfId="20402" xr:uid="{00000000-0005-0000-0000-0000754C0000}"/>
    <cellStyle name="Normal 9 2 4 3 2" xfId="20403" xr:uid="{00000000-0005-0000-0000-0000764C0000}"/>
    <cellStyle name="Normal 9 2 4 3 3" xfId="20404" xr:uid="{00000000-0005-0000-0000-0000774C0000}"/>
    <cellStyle name="Normal 9 2 4 3 4" xfId="20405" xr:uid="{00000000-0005-0000-0000-0000784C0000}"/>
    <cellStyle name="Normal 9 2 4 3 5" xfId="20406" xr:uid="{00000000-0005-0000-0000-0000794C0000}"/>
    <cellStyle name="Normal 9 2 4 3 6" xfId="20407" xr:uid="{00000000-0005-0000-0000-00007A4C0000}"/>
    <cellStyle name="Normal 9 2 4 3 7" xfId="20408" xr:uid="{00000000-0005-0000-0000-00007B4C0000}"/>
    <cellStyle name="Normal 9 2 4 3 8" xfId="20409" xr:uid="{00000000-0005-0000-0000-00007C4C0000}"/>
    <cellStyle name="Normal 9 2 4 3 9" xfId="20410" xr:uid="{00000000-0005-0000-0000-00007D4C0000}"/>
    <cellStyle name="Normal 9 2 4 4" xfId="20411" xr:uid="{00000000-0005-0000-0000-00007E4C0000}"/>
    <cellStyle name="Normal 9 2 4 4 10" xfId="20412" xr:uid="{00000000-0005-0000-0000-00007F4C0000}"/>
    <cellStyle name="Normal 9 2 4 4 11" xfId="20413" xr:uid="{00000000-0005-0000-0000-0000804C0000}"/>
    <cellStyle name="Normal 9 2 4 4 12" xfId="20414" xr:uid="{00000000-0005-0000-0000-0000814C0000}"/>
    <cellStyle name="Normal 9 2 4 4 13" xfId="20415" xr:uid="{00000000-0005-0000-0000-0000824C0000}"/>
    <cellStyle name="Normal 9 2 4 4 14" xfId="20416" xr:uid="{00000000-0005-0000-0000-0000834C0000}"/>
    <cellStyle name="Normal 9 2 4 4 15" xfId="20417" xr:uid="{00000000-0005-0000-0000-0000844C0000}"/>
    <cellStyle name="Normal 9 2 4 4 2" xfId="20418" xr:uid="{00000000-0005-0000-0000-0000854C0000}"/>
    <cellStyle name="Normal 9 2 4 4 3" xfId="20419" xr:uid="{00000000-0005-0000-0000-0000864C0000}"/>
    <cellStyle name="Normal 9 2 4 4 4" xfId="20420" xr:uid="{00000000-0005-0000-0000-0000874C0000}"/>
    <cellStyle name="Normal 9 2 4 4 5" xfId="20421" xr:uid="{00000000-0005-0000-0000-0000884C0000}"/>
    <cellStyle name="Normal 9 2 4 4 6" xfId="20422" xr:uid="{00000000-0005-0000-0000-0000894C0000}"/>
    <cellStyle name="Normal 9 2 4 4 7" xfId="20423" xr:uid="{00000000-0005-0000-0000-00008A4C0000}"/>
    <cellStyle name="Normal 9 2 4 4 8" xfId="20424" xr:uid="{00000000-0005-0000-0000-00008B4C0000}"/>
    <cellStyle name="Normal 9 2 4 4 9" xfId="20425" xr:uid="{00000000-0005-0000-0000-00008C4C0000}"/>
    <cellStyle name="Normal 9 2 4 5" xfId="20426" xr:uid="{00000000-0005-0000-0000-00008D4C0000}"/>
    <cellStyle name="Normal 9 2 4 5 10" xfId="20427" xr:uid="{00000000-0005-0000-0000-00008E4C0000}"/>
    <cellStyle name="Normal 9 2 4 5 11" xfId="20428" xr:uid="{00000000-0005-0000-0000-00008F4C0000}"/>
    <cellStyle name="Normal 9 2 4 5 12" xfId="20429" xr:uid="{00000000-0005-0000-0000-0000904C0000}"/>
    <cellStyle name="Normal 9 2 4 5 13" xfId="20430" xr:uid="{00000000-0005-0000-0000-0000914C0000}"/>
    <cellStyle name="Normal 9 2 4 5 14" xfId="20431" xr:uid="{00000000-0005-0000-0000-0000924C0000}"/>
    <cellStyle name="Normal 9 2 4 5 15" xfId="20432" xr:uid="{00000000-0005-0000-0000-0000934C0000}"/>
    <cellStyle name="Normal 9 2 4 5 2" xfId="20433" xr:uid="{00000000-0005-0000-0000-0000944C0000}"/>
    <cellStyle name="Normal 9 2 4 5 3" xfId="20434" xr:uid="{00000000-0005-0000-0000-0000954C0000}"/>
    <cellStyle name="Normal 9 2 4 5 4" xfId="20435" xr:uid="{00000000-0005-0000-0000-0000964C0000}"/>
    <cellStyle name="Normal 9 2 4 5 5" xfId="20436" xr:uid="{00000000-0005-0000-0000-0000974C0000}"/>
    <cellStyle name="Normal 9 2 4 5 6" xfId="20437" xr:uid="{00000000-0005-0000-0000-0000984C0000}"/>
    <cellStyle name="Normal 9 2 4 5 7" xfId="20438" xr:uid="{00000000-0005-0000-0000-0000994C0000}"/>
    <cellStyle name="Normal 9 2 4 5 8" xfId="20439" xr:uid="{00000000-0005-0000-0000-00009A4C0000}"/>
    <cellStyle name="Normal 9 2 4 5 9" xfId="20440" xr:uid="{00000000-0005-0000-0000-00009B4C0000}"/>
    <cellStyle name="Normal 9 2 4 6" xfId="20441" xr:uid="{00000000-0005-0000-0000-00009C4C0000}"/>
    <cellStyle name="Normal 9 2 4 7" xfId="20442" xr:uid="{00000000-0005-0000-0000-00009D4C0000}"/>
    <cellStyle name="Normal 9 2 4 8" xfId="20443" xr:uid="{00000000-0005-0000-0000-00009E4C0000}"/>
    <cellStyle name="Normal 9 2 4 9" xfId="20444" xr:uid="{00000000-0005-0000-0000-00009F4C0000}"/>
    <cellStyle name="Normal 9 2 5" xfId="20445" xr:uid="{00000000-0005-0000-0000-0000A04C0000}"/>
    <cellStyle name="Normal 9 2 5 10" xfId="20446" xr:uid="{00000000-0005-0000-0000-0000A14C0000}"/>
    <cellStyle name="Normal 9 2 5 11" xfId="20447" xr:uid="{00000000-0005-0000-0000-0000A24C0000}"/>
    <cellStyle name="Normal 9 2 5 12" xfId="20448" xr:uid="{00000000-0005-0000-0000-0000A34C0000}"/>
    <cellStyle name="Normal 9 2 5 13" xfId="20449" xr:uid="{00000000-0005-0000-0000-0000A44C0000}"/>
    <cellStyle name="Normal 9 2 5 14" xfId="20450" xr:uid="{00000000-0005-0000-0000-0000A54C0000}"/>
    <cellStyle name="Normal 9 2 5 15" xfId="20451" xr:uid="{00000000-0005-0000-0000-0000A64C0000}"/>
    <cellStyle name="Normal 9 2 5 2" xfId="20452" xr:uid="{00000000-0005-0000-0000-0000A74C0000}"/>
    <cellStyle name="Normal 9 2 5 3" xfId="20453" xr:uid="{00000000-0005-0000-0000-0000A84C0000}"/>
    <cellStyle name="Normal 9 2 5 4" xfId="20454" xr:uid="{00000000-0005-0000-0000-0000A94C0000}"/>
    <cellStyle name="Normal 9 2 5 5" xfId="20455" xr:uid="{00000000-0005-0000-0000-0000AA4C0000}"/>
    <cellStyle name="Normal 9 2 5 6" xfId="20456" xr:uid="{00000000-0005-0000-0000-0000AB4C0000}"/>
    <cellStyle name="Normal 9 2 5 7" xfId="20457" xr:uid="{00000000-0005-0000-0000-0000AC4C0000}"/>
    <cellStyle name="Normal 9 2 5 8" xfId="20458" xr:uid="{00000000-0005-0000-0000-0000AD4C0000}"/>
    <cellStyle name="Normal 9 2 5 9" xfId="20459" xr:uid="{00000000-0005-0000-0000-0000AE4C0000}"/>
    <cellStyle name="Normal 9 2 6" xfId="20460" xr:uid="{00000000-0005-0000-0000-0000AF4C0000}"/>
    <cellStyle name="Normal 9 2 6 10" xfId="20461" xr:uid="{00000000-0005-0000-0000-0000B04C0000}"/>
    <cellStyle name="Normal 9 2 6 11" xfId="20462" xr:uid="{00000000-0005-0000-0000-0000B14C0000}"/>
    <cellStyle name="Normal 9 2 6 12" xfId="20463" xr:uid="{00000000-0005-0000-0000-0000B24C0000}"/>
    <cellStyle name="Normal 9 2 6 13" xfId="20464" xr:uid="{00000000-0005-0000-0000-0000B34C0000}"/>
    <cellStyle name="Normal 9 2 6 14" xfId="20465" xr:uid="{00000000-0005-0000-0000-0000B44C0000}"/>
    <cellStyle name="Normal 9 2 6 15" xfId="20466" xr:uid="{00000000-0005-0000-0000-0000B54C0000}"/>
    <cellStyle name="Normal 9 2 6 2" xfId="20467" xr:uid="{00000000-0005-0000-0000-0000B64C0000}"/>
    <cellStyle name="Normal 9 2 6 3" xfId="20468" xr:uid="{00000000-0005-0000-0000-0000B74C0000}"/>
    <cellStyle name="Normal 9 2 6 4" xfId="20469" xr:uid="{00000000-0005-0000-0000-0000B84C0000}"/>
    <cellStyle name="Normal 9 2 6 5" xfId="20470" xr:uid="{00000000-0005-0000-0000-0000B94C0000}"/>
    <cellStyle name="Normal 9 2 6 6" xfId="20471" xr:uid="{00000000-0005-0000-0000-0000BA4C0000}"/>
    <cellStyle name="Normal 9 2 6 7" xfId="20472" xr:uid="{00000000-0005-0000-0000-0000BB4C0000}"/>
    <cellStyle name="Normal 9 2 6 8" xfId="20473" xr:uid="{00000000-0005-0000-0000-0000BC4C0000}"/>
    <cellStyle name="Normal 9 2 6 9" xfId="20474" xr:uid="{00000000-0005-0000-0000-0000BD4C0000}"/>
    <cellStyle name="Normal 9 2 7" xfId="20475" xr:uid="{00000000-0005-0000-0000-0000BE4C0000}"/>
    <cellStyle name="Normal 9 2 7 10" xfId="20476" xr:uid="{00000000-0005-0000-0000-0000BF4C0000}"/>
    <cellStyle name="Normal 9 2 7 11" xfId="20477" xr:uid="{00000000-0005-0000-0000-0000C04C0000}"/>
    <cellStyle name="Normal 9 2 7 12" xfId="20478" xr:uid="{00000000-0005-0000-0000-0000C14C0000}"/>
    <cellStyle name="Normal 9 2 7 13" xfId="20479" xr:uid="{00000000-0005-0000-0000-0000C24C0000}"/>
    <cellStyle name="Normal 9 2 7 14" xfId="20480" xr:uid="{00000000-0005-0000-0000-0000C34C0000}"/>
    <cellStyle name="Normal 9 2 7 15" xfId="20481" xr:uid="{00000000-0005-0000-0000-0000C44C0000}"/>
    <cellStyle name="Normal 9 2 7 2" xfId="20482" xr:uid="{00000000-0005-0000-0000-0000C54C0000}"/>
    <cellStyle name="Normal 9 2 7 3" xfId="20483" xr:uid="{00000000-0005-0000-0000-0000C64C0000}"/>
    <cellStyle name="Normal 9 2 7 4" xfId="20484" xr:uid="{00000000-0005-0000-0000-0000C74C0000}"/>
    <cellStyle name="Normal 9 2 7 5" xfId="20485" xr:uid="{00000000-0005-0000-0000-0000C84C0000}"/>
    <cellStyle name="Normal 9 2 7 6" xfId="20486" xr:uid="{00000000-0005-0000-0000-0000C94C0000}"/>
    <cellStyle name="Normal 9 2 7 7" xfId="20487" xr:uid="{00000000-0005-0000-0000-0000CA4C0000}"/>
    <cellStyle name="Normal 9 2 7 8" xfId="20488" xr:uid="{00000000-0005-0000-0000-0000CB4C0000}"/>
    <cellStyle name="Normal 9 2 7 9" xfId="20489" xr:uid="{00000000-0005-0000-0000-0000CC4C0000}"/>
    <cellStyle name="Normal 9 2 8" xfId="20490" xr:uid="{00000000-0005-0000-0000-0000CD4C0000}"/>
    <cellStyle name="Normal 9 2 9" xfId="20491" xr:uid="{00000000-0005-0000-0000-0000CE4C0000}"/>
    <cellStyle name="Normal 9 20" xfId="20492" xr:uid="{00000000-0005-0000-0000-0000CF4C0000}"/>
    <cellStyle name="Normal 9 21" xfId="20493" xr:uid="{00000000-0005-0000-0000-0000D04C0000}"/>
    <cellStyle name="Normal 9 22" xfId="20494" xr:uid="{00000000-0005-0000-0000-0000D14C0000}"/>
    <cellStyle name="Normal 9 23" xfId="20495" xr:uid="{00000000-0005-0000-0000-0000D24C0000}"/>
    <cellStyle name="Normal 9 24" xfId="20496" xr:uid="{00000000-0005-0000-0000-0000D34C0000}"/>
    <cellStyle name="Normal 9 25" xfId="20497" xr:uid="{00000000-0005-0000-0000-0000D44C0000}"/>
    <cellStyle name="Normal 9 26" xfId="20498" xr:uid="{00000000-0005-0000-0000-0000D54C0000}"/>
    <cellStyle name="Normal 9 3" xfId="20499" xr:uid="{00000000-0005-0000-0000-0000D64C0000}"/>
    <cellStyle name="Normal 9 3 10" xfId="20500" xr:uid="{00000000-0005-0000-0000-0000D74C0000}"/>
    <cellStyle name="Normal 9 3 11" xfId="20501" xr:uid="{00000000-0005-0000-0000-0000D84C0000}"/>
    <cellStyle name="Normal 9 3 12" xfId="20502" xr:uid="{00000000-0005-0000-0000-0000D94C0000}"/>
    <cellStyle name="Normal 9 3 13" xfId="20503" xr:uid="{00000000-0005-0000-0000-0000DA4C0000}"/>
    <cellStyle name="Normal 9 3 14" xfId="20504" xr:uid="{00000000-0005-0000-0000-0000DB4C0000}"/>
    <cellStyle name="Normal 9 3 15" xfId="20505" xr:uid="{00000000-0005-0000-0000-0000DC4C0000}"/>
    <cellStyle name="Normal 9 3 2" xfId="20506" xr:uid="{00000000-0005-0000-0000-0000DD4C0000}"/>
    <cellStyle name="Normal 9 3 3" xfId="20507" xr:uid="{00000000-0005-0000-0000-0000DE4C0000}"/>
    <cellStyle name="Normal 9 3 4" xfId="20508" xr:uid="{00000000-0005-0000-0000-0000DF4C0000}"/>
    <cellStyle name="Normal 9 3 5" xfId="20509" xr:uid="{00000000-0005-0000-0000-0000E04C0000}"/>
    <cellStyle name="Normal 9 3 6" xfId="20510" xr:uid="{00000000-0005-0000-0000-0000E14C0000}"/>
    <cellStyle name="Normal 9 3 7" xfId="20511" xr:uid="{00000000-0005-0000-0000-0000E24C0000}"/>
    <cellStyle name="Normal 9 3 8" xfId="20512" xr:uid="{00000000-0005-0000-0000-0000E34C0000}"/>
    <cellStyle name="Normal 9 3 9" xfId="20513" xr:uid="{00000000-0005-0000-0000-0000E44C0000}"/>
    <cellStyle name="Normal 9 4" xfId="20514" xr:uid="{00000000-0005-0000-0000-0000E54C0000}"/>
    <cellStyle name="Normal 9 4 10" xfId="20515" xr:uid="{00000000-0005-0000-0000-0000E64C0000}"/>
    <cellStyle name="Normal 9 4 11" xfId="20516" xr:uid="{00000000-0005-0000-0000-0000E74C0000}"/>
    <cellStyle name="Normal 9 4 12" xfId="20517" xr:uid="{00000000-0005-0000-0000-0000E84C0000}"/>
    <cellStyle name="Normal 9 4 13" xfId="20518" xr:uid="{00000000-0005-0000-0000-0000E94C0000}"/>
    <cellStyle name="Normal 9 4 14" xfId="20519" xr:uid="{00000000-0005-0000-0000-0000EA4C0000}"/>
    <cellStyle name="Normal 9 4 15" xfId="20520" xr:uid="{00000000-0005-0000-0000-0000EB4C0000}"/>
    <cellStyle name="Normal 9 4 16" xfId="20521" xr:uid="{00000000-0005-0000-0000-0000EC4C0000}"/>
    <cellStyle name="Normal 9 4 17" xfId="20522" xr:uid="{00000000-0005-0000-0000-0000ED4C0000}"/>
    <cellStyle name="Normal 9 4 18" xfId="20523" xr:uid="{00000000-0005-0000-0000-0000EE4C0000}"/>
    <cellStyle name="Normal 9 4 19" xfId="20524" xr:uid="{00000000-0005-0000-0000-0000EF4C0000}"/>
    <cellStyle name="Normal 9 4 2" xfId="20525" xr:uid="{00000000-0005-0000-0000-0000F04C0000}"/>
    <cellStyle name="Normal 9 4 2 10" xfId="20526" xr:uid="{00000000-0005-0000-0000-0000F14C0000}"/>
    <cellStyle name="Normal 9 4 2 11" xfId="20527" xr:uid="{00000000-0005-0000-0000-0000F24C0000}"/>
    <cellStyle name="Normal 9 4 2 12" xfId="20528" xr:uid="{00000000-0005-0000-0000-0000F34C0000}"/>
    <cellStyle name="Normal 9 4 2 13" xfId="20529" xr:uid="{00000000-0005-0000-0000-0000F44C0000}"/>
    <cellStyle name="Normal 9 4 2 14" xfId="20530" xr:uid="{00000000-0005-0000-0000-0000F54C0000}"/>
    <cellStyle name="Normal 9 4 2 15" xfId="20531" xr:uid="{00000000-0005-0000-0000-0000F64C0000}"/>
    <cellStyle name="Normal 9 4 2 2" xfId="20532" xr:uid="{00000000-0005-0000-0000-0000F74C0000}"/>
    <cellStyle name="Normal 9 4 2 3" xfId="20533" xr:uid="{00000000-0005-0000-0000-0000F84C0000}"/>
    <cellStyle name="Normal 9 4 2 4" xfId="20534" xr:uid="{00000000-0005-0000-0000-0000F94C0000}"/>
    <cellStyle name="Normal 9 4 2 5" xfId="20535" xr:uid="{00000000-0005-0000-0000-0000FA4C0000}"/>
    <cellStyle name="Normal 9 4 2 6" xfId="20536" xr:uid="{00000000-0005-0000-0000-0000FB4C0000}"/>
    <cellStyle name="Normal 9 4 2 7" xfId="20537" xr:uid="{00000000-0005-0000-0000-0000FC4C0000}"/>
    <cellStyle name="Normal 9 4 2 8" xfId="20538" xr:uid="{00000000-0005-0000-0000-0000FD4C0000}"/>
    <cellStyle name="Normal 9 4 2 9" xfId="20539" xr:uid="{00000000-0005-0000-0000-0000FE4C0000}"/>
    <cellStyle name="Normal 9 4 3" xfId="20540" xr:uid="{00000000-0005-0000-0000-0000FF4C0000}"/>
    <cellStyle name="Normal 9 4 3 10" xfId="20541" xr:uid="{00000000-0005-0000-0000-0000004D0000}"/>
    <cellStyle name="Normal 9 4 3 11" xfId="20542" xr:uid="{00000000-0005-0000-0000-0000014D0000}"/>
    <cellStyle name="Normal 9 4 3 12" xfId="20543" xr:uid="{00000000-0005-0000-0000-0000024D0000}"/>
    <cellStyle name="Normal 9 4 3 13" xfId="20544" xr:uid="{00000000-0005-0000-0000-0000034D0000}"/>
    <cellStyle name="Normal 9 4 3 14" xfId="20545" xr:uid="{00000000-0005-0000-0000-0000044D0000}"/>
    <cellStyle name="Normal 9 4 3 15" xfId="20546" xr:uid="{00000000-0005-0000-0000-0000054D0000}"/>
    <cellStyle name="Normal 9 4 3 2" xfId="20547" xr:uid="{00000000-0005-0000-0000-0000064D0000}"/>
    <cellStyle name="Normal 9 4 3 3" xfId="20548" xr:uid="{00000000-0005-0000-0000-0000074D0000}"/>
    <cellStyle name="Normal 9 4 3 4" xfId="20549" xr:uid="{00000000-0005-0000-0000-0000084D0000}"/>
    <cellStyle name="Normal 9 4 3 5" xfId="20550" xr:uid="{00000000-0005-0000-0000-0000094D0000}"/>
    <cellStyle name="Normal 9 4 3 6" xfId="20551" xr:uid="{00000000-0005-0000-0000-00000A4D0000}"/>
    <cellStyle name="Normal 9 4 3 7" xfId="20552" xr:uid="{00000000-0005-0000-0000-00000B4D0000}"/>
    <cellStyle name="Normal 9 4 3 8" xfId="20553" xr:uid="{00000000-0005-0000-0000-00000C4D0000}"/>
    <cellStyle name="Normal 9 4 3 9" xfId="20554" xr:uid="{00000000-0005-0000-0000-00000D4D0000}"/>
    <cellStyle name="Normal 9 4 4" xfId="20555" xr:uid="{00000000-0005-0000-0000-00000E4D0000}"/>
    <cellStyle name="Normal 9 4 4 10" xfId="20556" xr:uid="{00000000-0005-0000-0000-00000F4D0000}"/>
    <cellStyle name="Normal 9 4 4 11" xfId="20557" xr:uid="{00000000-0005-0000-0000-0000104D0000}"/>
    <cellStyle name="Normal 9 4 4 12" xfId="20558" xr:uid="{00000000-0005-0000-0000-0000114D0000}"/>
    <cellStyle name="Normal 9 4 4 13" xfId="20559" xr:uid="{00000000-0005-0000-0000-0000124D0000}"/>
    <cellStyle name="Normal 9 4 4 14" xfId="20560" xr:uid="{00000000-0005-0000-0000-0000134D0000}"/>
    <cellStyle name="Normal 9 4 4 15" xfId="20561" xr:uid="{00000000-0005-0000-0000-0000144D0000}"/>
    <cellStyle name="Normal 9 4 4 2" xfId="20562" xr:uid="{00000000-0005-0000-0000-0000154D0000}"/>
    <cellStyle name="Normal 9 4 4 3" xfId="20563" xr:uid="{00000000-0005-0000-0000-0000164D0000}"/>
    <cellStyle name="Normal 9 4 4 4" xfId="20564" xr:uid="{00000000-0005-0000-0000-0000174D0000}"/>
    <cellStyle name="Normal 9 4 4 5" xfId="20565" xr:uid="{00000000-0005-0000-0000-0000184D0000}"/>
    <cellStyle name="Normal 9 4 4 6" xfId="20566" xr:uid="{00000000-0005-0000-0000-0000194D0000}"/>
    <cellStyle name="Normal 9 4 4 7" xfId="20567" xr:uid="{00000000-0005-0000-0000-00001A4D0000}"/>
    <cellStyle name="Normal 9 4 4 8" xfId="20568" xr:uid="{00000000-0005-0000-0000-00001B4D0000}"/>
    <cellStyle name="Normal 9 4 4 9" xfId="20569" xr:uid="{00000000-0005-0000-0000-00001C4D0000}"/>
    <cellStyle name="Normal 9 4 5" xfId="20570" xr:uid="{00000000-0005-0000-0000-00001D4D0000}"/>
    <cellStyle name="Normal 9 4 5 10" xfId="20571" xr:uid="{00000000-0005-0000-0000-00001E4D0000}"/>
    <cellStyle name="Normal 9 4 5 11" xfId="20572" xr:uid="{00000000-0005-0000-0000-00001F4D0000}"/>
    <cellStyle name="Normal 9 4 5 12" xfId="20573" xr:uid="{00000000-0005-0000-0000-0000204D0000}"/>
    <cellStyle name="Normal 9 4 5 13" xfId="20574" xr:uid="{00000000-0005-0000-0000-0000214D0000}"/>
    <cellStyle name="Normal 9 4 5 14" xfId="20575" xr:uid="{00000000-0005-0000-0000-0000224D0000}"/>
    <cellStyle name="Normal 9 4 5 15" xfId="20576" xr:uid="{00000000-0005-0000-0000-0000234D0000}"/>
    <cellStyle name="Normal 9 4 5 2" xfId="20577" xr:uid="{00000000-0005-0000-0000-0000244D0000}"/>
    <cellStyle name="Normal 9 4 5 3" xfId="20578" xr:uid="{00000000-0005-0000-0000-0000254D0000}"/>
    <cellStyle name="Normal 9 4 5 4" xfId="20579" xr:uid="{00000000-0005-0000-0000-0000264D0000}"/>
    <cellStyle name="Normal 9 4 5 5" xfId="20580" xr:uid="{00000000-0005-0000-0000-0000274D0000}"/>
    <cellStyle name="Normal 9 4 5 6" xfId="20581" xr:uid="{00000000-0005-0000-0000-0000284D0000}"/>
    <cellStyle name="Normal 9 4 5 7" xfId="20582" xr:uid="{00000000-0005-0000-0000-0000294D0000}"/>
    <cellStyle name="Normal 9 4 5 8" xfId="20583" xr:uid="{00000000-0005-0000-0000-00002A4D0000}"/>
    <cellStyle name="Normal 9 4 5 9" xfId="20584" xr:uid="{00000000-0005-0000-0000-00002B4D0000}"/>
    <cellStyle name="Normal 9 4 6" xfId="20585" xr:uid="{00000000-0005-0000-0000-00002C4D0000}"/>
    <cellStyle name="Normal 9 4 7" xfId="20586" xr:uid="{00000000-0005-0000-0000-00002D4D0000}"/>
    <cellStyle name="Normal 9 4 8" xfId="20587" xr:uid="{00000000-0005-0000-0000-00002E4D0000}"/>
    <cellStyle name="Normal 9 4 9" xfId="20588" xr:uid="{00000000-0005-0000-0000-00002F4D0000}"/>
    <cellStyle name="Normal 9 5" xfId="20589" xr:uid="{00000000-0005-0000-0000-0000304D0000}"/>
    <cellStyle name="Normal 9 5 10" xfId="20590" xr:uid="{00000000-0005-0000-0000-0000314D0000}"/>
    <cellStyle name="Normal 9 5 11" xfId="20591" xr:uid="{00000000-0005-0000-0000-0000324D0000}"/>
    <cellStyle name="Normal 9 5 12" xfId="20592" xr:uid="{00000000-0005-0000-0000-0000334D0000}"/>
    <cellStyle name="Normal 9 5 13" xfId="20593" xr:uid="{00000000-0005-0000-0000-0000344D0000}"/>
    <cellStyle name="Normal 9 5 14" xfId="20594" xr:uid="{00000000-0005-0000-0000-0000354D0000}"/>
    <cellStyle name="Normal 9 5 15" xfId="20595" xr:uid="{00000000-0005-0000-0000-0000364D0000}"/>
    <cellStyle name="Normal 9 5 16" xfId="20596" xr:uid="{00000000-0005-0000-0000-0000374D0000}"/>
    <cellStyle name="Normal 9 5 17" xfId="20597" xr:uid="{00000000-0005-0000-0000-0000384D0000}"/>
    <cellStyle name="Normal 9 5 18" xfId="20598" xr:uid="{00000000-0005-0000-0000-0000394D0000}"/>
    <cellStyle name="Normal 9 5 19" xfId="20599" xr:uid="{00000000-0005-0000-0000-00003A4D0000}"/>
    <cellStyle name="Normal 9 5 2" xfId="20600" xr:uid="{00000000-0005-0000-0000-00003B4D0000}"/>
    <cellStyle name="Normal 9 5 2 10" xfId="20601" xr:uid="{00000000-0005-0000-0000-00003C4D0000}"/>
    <cellStyle name="Normal 9 5 2 11" xfId="20602" xr:uid="{00000000-0005-0000-0000-00003D4D0000}"/>
    <cellStyle name="Normal 9 5 2 12" xfId="20603" xr:uid="{00000000-0005-0000-0000-00003E4D0000}"/>
    <cellStyle name="Normal 9 5 2 13" xfId="20604" xr:uid="{00000000-0005-0000-0000-00003F4D0000}"/>
    <cellStyle name="Normal 9 5 2 14" xfId="20605" xr:uid="{00000000-0005-0000-0000-0000404D0000}"/>
    <cellStyle name="Normal 9 5 2 15" xfId="20606" xr:uid="{00000000-0005-0000-0000-0000414D0000}"/>
    <cellStyle name="Normal 9 5 2 2" xfId="20607" xr:uid="{00000000-0005-0000-0000-0000424D0000}"/>
    <cellStyle name="Normal 9 5 2 3" xfId="20608" xr:uid="{00000000-0005-0000-0000-0000434D0000}"/>
    <cellStyle name="Normal 9 5 2 4" xfId="20609" xr:uid="{00000000-0005-0000-0000-0000444D0000}"/>
    <cellStyle name="Normal 9 5 2 5" xfId="20610" xr:uid="{00000000-0005-0000-0000-0000454D0000}"/>
    <cellStyle name="Normal 9 5 2 6" xfId="20611" xr:uid="{00000000-0005-0000-0000-0000464D0000}"/>
    <cellStyle name="Normal 9 5 2 7" xfId="20612" xr:uid="{00000000-0005-0000-0000-0000474D0000}"/>
    <cellStyle name="Normal 9 5 2 8" xfId="20613" xr:uid="{00000000-0005-0000-0000-0000484D0000}"/>
    <cellStyle name="Normal 9 5 2 9" xfId="20614" xr:uid="{00000000-0005-0000-0000-0000494D0000}"/>
    <cellStyle name="Normal 9 5 3" xfId="20615" xr:uid="{00000000-0005-0000-0000-00004A4D0000}"/>
    <cellStyle name="Normal 9 5 3 10" xfId="20616" xr:uid="{00000000-0005-0000-0000-00004B4D0000}"/>
    <cellStyle name="Normal 9 5 3 11" xfId="20617" xr:uid="{00000000-0005-0000-0000-00004C4D0000}"/>
    <cellStyle name="Normal 9 5 3 12" xfId="20618" xr:uid="{00000000-0005-0000-0000-00004D4D0000}"/>
    <cellStyle name="Normal 9 5 3 13" xfId="20619" xr:uid="{00000000-0005-0000-0000-00004E4D0000}"/>
    <cellStyle name="Normal 9 5 3 14" xfId="20620" xr:uid="{00000000-0005-0000-0000-00004F4D0000}"/>
    <cellStyle name="Normal 9 5 3 15" xfId="20621" xr:uid="{00000000-0005-0000-0000-0000504D0000}"/>
    <cellStyle name="Normal 9 5 3 2" xfId="20622" xr:uid="{00000000-0005-0000-0000-0000514D0000}"/>
    <cellStyle name="Normal 9 5 3 3" xfId="20623" xr:uid="{00000000-0005-0000-0000-0000524D0000}"/>
    <cellStyle name="Normal 9 5 3 4" xfId="20624" xr:uid="{00000000-0005-0000-0000-0000534D0000}"/>
    <cellStyle name="Normal 9 5 3 5" xfId="20625" xr:uid="{00000000-0005-0000-0000-0000544D0000}"/>
    <cellStyle name="Normal 9 5 3 6" xfId="20626" xr:uid="{00000000-0005-0000-0000-0000554D0000}"/>
    <cellStyle name="Normal 9 5 3 7" xfId="20627" xr:uid="{00000000-0005-0000-0000-0000564D0000}"/>
    <cellStyle name="Normal 9 5 3 8" xfId="20628" xr:uid="{00000000-0005-0000-0000-0000574D0000}"/>
    <cellStyle name="Normal 9 5 3 9" xfId="20629" xr:uid="{00000000-0005-0000-0000-0000584D0000}"/>
    <cellStyle name="Normal 9 5 4" xfId="20630" xr:uid="{00000000-0005-0000-0000-0000594D0000}"/>
    <cellStyle name="Normal 9 5 4 10" xfId="20631" xr:uid="{00000000-0005-0000-0000-00005A4D0000}"/>
    <cellStyle name="Normal 9 5 4 11" xfId="20632" xr:uid="{00000000-0005-0000-0000-00005B4D0000}"/>
    <cellStyle name="Normal 9 5 4 12" xfId="20633" xr:uid="{00000000-0005-0000-0000-00005C4D0000}"/>
    <cellStyle name="Normal 9 5 4 13" xfId="20634" xr:uid="{00000000-0005-0000-0000-00005D4D0000}"/>
    <cellStyle name="Normal 9 5 4 14" xfId="20635" xr:uid="{00000000-0005-0000-0000-00005E4D0000}"/>
    <cellStyle name="Normal 9 5 4 15" xfId="20636" xr:uid="{00000000-0005-0000-0000-00005F4D0000}"/>
    <cellStyle name="Normal 9 5 4 2" xfId="20637" xr:uid="{00000000-0005-0000-0000-0000604D0000}"/>
    <cellStyle name="Normal 9 5 4 3" xfId="20638" xr:uid="{00000000-0005-0000-0000-0000614D0000}"/>
    <cellStyle name="Normal 9 5 4 4" xfId="20639" xr:uid="{00000000-0005-0000-0000-0000624D0000}"/>
    <cellStyle name="Normal 9 5 4 5" xfId="20640" xr:uid="{00000000-0005-0000-0000-0000634D0000}"/>
    <cellStyle name="Normal 9 5 4 6" xfId="20641" xr:uid="{00000000-0005-0000-0000-0000644D0000}"/>
    <cellStyle name="Normal 9 5 4 7" xfId="20642" xr:uid="{00000000-0005-0000-0000-0000654D0000}"/>
    <cellStyle name="Normal 9 5 4 8" xfId="20643" xr:uid="{00000000-0005-0000-0000-0000664D0000}"/>
    <cellStyle name="Normal 9 5 4 9" xfId="20644" xr:uid="{00000000-0005-0000-0000-0000674D0000}"/>
    <cellStyle name="Normal 9 5 5" xfId="20645" xr:uid="{00000000-0005-0000-0000-0000684D0000}"/>
    <cellStyle name="Normal 9 5 5 10" xfId="20646" xr:uid="{00000000-0005-0000-0000-0000694D0000}"/>
    <cellStyle name="Normal 9 5 5 11" xfId="20647" xr:uid="{00000000-0005-0000-0000-00006A4D0000}"/>
    <cellStyle name="Normal 9 5 5 12" xfId="20648" xr:uid="{00000000-0005-0000-0000-00006B4D0000}"/>
    <cellStyle name="Normal 9 5 5 13" xfId="20649" xr:uid="{00000000-0005-0000-0000-00006C4D0000}"/>
    <cellStyle name="Normal 9 5 5 14" xfId="20650" xr:uid="{00000000-0005-0000-0000-00006D4D0000}"/>
    <cellStyle name="Normal 9 5 5 15" xfId="20651" xr:uid="{00000000-0005-0000-0000-00006E4D0000}"/>
    <cellStyle name="Normal 9 5 5 2" xfId="20652" xr:uid="{00000000-0005-0000-0000-00006F4D0000}"/>
    <cellStyle name="Normal 9 5 5 3" xfId="20653" xr:uid="{00000000-0005-0000-0000-0000704D0000}"/>
    <cellStyle name="Normal 9 5 5 4" xfId="20654" xr:uid="{00000000-0005-0000-0000-0000714D0000}"/>
    <cellStyle name="Normal 9 5 5 5" xfId="20655" xr:uid="{00000000-0005-0000-0000-0000724D0000}"/>
    <cellStyle name="Normal 9 5 5 6" xfId="20656" xr:uid="{00000000-0005-0000-0000-0000734D0000}"/>
    <cellStyle name="Normal 9 5 5 7" xfId="20657" xr:uid="{00000000-0005-0000-0000-0000744D0000}"/>
    <cellStyle name="Normal 9 5 5 8" xfId="20658" xr:uid="{00000000-0005-0000-0000-0000754D0000}"/>
    <cellStyle name="Normal 9 5 5 9" xfId="20659" xr:uid="{00000000-0005-0000-0000-0000764D0000}"/>
    <cellStyle name="Normal 9 5 6" xfId="20660" xr:uid="{00000000-0005-0000-0000-0000774D0000}"/>
    <cellStyle name="Normal 9 5 7" xfId="20661" xr:uid="{00000000-0005-0000-0000-0000784D0000}"/>
    <cellStyle name="Normal 9 5 8" xfId="20662" xr:uid="{00000000-0005-0000-0000-0000794D0000}"/>
    <cellStyle name="Normal 9 5 9" xfId="20663" xr:uid="{00000000-0005-0000-0000-00007A4D0000}"/>
    <cellStyle name="Normal 9 6" xfId="20664" xr:uid="{00000000-0005-0000-0000-00007B4D0000}"/>
    <cellStyle name="Normal 9 6 10" xfId="20665" xr:uid="{00000000-0005-0000-0000-00007C4D0000}"/>
    <cellStyle name="Normal 9 6 11" xfId="20666" xr:uid="{00000000-0005-0000-0000-00007D4D0000}"/>
    <cellStyle name="Normal 9 6 12" xfId="20667" xr:uid="{00000000-0005-0000-0000-00007E4D0000}"/>
    <cellStyle name="Normal 9 6 13" xfId="20668" xr:uid="{00000000-0005-0000-0000-00007F4D0000}"/>
    <cellStyle name="Normal 9 6 14" xfId="20669" xr:uid="{00000000-0005-0000-0000-0000804D0000}"/>
    <cellStyle name="Normal 9 6 15" xfId="20670" xr:uid="{00000000-0005-0000-0000-0000814D0000}"/>
    <cellStyle name="Normal 9 6 16" xfId="20671" xr:uid="{00000000-0005-0000-0000-0000824D0000}"/>
    <cellStyle name="Normal 9 6 17" xfId="20672" xr:uid="{00000000-0005-0000-0000-0000834D0000}"/>
    <cellStyle name="Normal 9 6 18" xfId="20673" xr:uid="{00000000-0005-0000-0000-0000844D0000}"/>
    <cellStyle name="Normal 9 6 19" xfId="20674" xr:uid="{00000000-0005-0000-0000-0000854D0000}"/>
    <cellStyle name="Normal 9 6 2" xfId="20675" xr:uid="{00000000-0005-0000-0000-0000864D0000}"/>
    <cellStyle name="Normal 9 6 2 10" xfId="20676" xr:uid="{00000000-0005-0000-0000-0000874D0000}"/>
    <cellStyle name="Normal 9 6 2 11" xfId="20677" xr:uid="{00000000-0005-0000-0000-0000884D0000}"/>
    <cellStyle name="Normal 9 6 2 12" xfId="20678" xr:uid="{00000000-0005-0000-0000-0000894D0000}"/>
    <cellStyle name="Normal 9 6 2 13" xfId="20679" xr:uid="{00000000-0005-0000-0000-00008A4D0000}"/>
    <cellStyle name="Normal 9 6 2 14" xfId="20680" xr:uid="{00000000-0005-0000-0000-00008B4D0000}"/>
    <cellStyle name="Normal 9 6 2 15" xfId="20681" xr:uid="{00000000-0005-0000-0000-00008C4D0000}"/>
    <cellStyle name="Normal 9 6 2 2" xfId="20682" xr:uid="{00000000-0005-0000-0000-00008D4D0000}"/>
    <cellStyle name="Normal 9 6 2 3" xfId="20683" xr:uid="{00000000-0005-0000-0000-00008E4D0000}"/>
    <cellStyle name="Normal 9 6 2 4" xfId="20684" xr:uid="{00000000-0005-0000-0000-00008F4D0000}"/>
    <cellStyle name="Normal 9 6 2 5" xfId="20685" xr:uid="{00000000-0005-0000-0000-0000904D0000}"/>
    <cellStyle name="Normal 9 6 2 6" xfId="20686" xr:uid="{00000000-0005-0000-0000-0000914D0000}"/>
    <cellStyle name="Normal 9 6 2 7" xfId="20687" xr:uid="{00000000-0005-0000-0000-0000924D0000}"/>
    <cellStyle name="Normal 9 6 2 8" xfId="20688" xr:uid="{00000000-0005-0000-0000-0000934D0000}"/>
    <cellStyle name="Normal 9 6 2 9" xfId="20689" xr:uid="{00000000-0005-0000-0000-0000944D0000}"/>
    <cellStyle name="Normal 9 6 3" xfId="20690" xr:uid="{00000000-0005-0000-0000-0000954D0000}"/>
    <cellStyle name="Normal 9 6 3 10" xfId="20691" xr:uid="{00000000-0005-0000-0000-0000964D0000}"/>
    <cellStyle name="Normal 9 6 3 11" xfId="20692" xr:uid="{00000000-0005-0000-0000-0000974D0000}"/>
    <cellStyle name="Normal 9 6 3 12" xfId="20693" xr:uid="{00000000-0005-0000-0000-0000984D0000}"/>
    <cellStyle name="Normal 9 6 3 13" xfId="20694" xr:uid="{00000000-0005-0000-0000-0000994D0000}"/>
    <cellStyle name="Normal 9 6 3 14" xfId="20695" xr:uid="{00000000-0005-0000-0000-00009A4D0000}"/>
    <cellStyle name="Normal 9 6 3 15" xfId="20696" xr:uid="{00000000-0005-0000-0000-00009B4D0000}"/>
    <cellStyle name="Normal 9 6 3 2" xfId="20697" xr:uid="{00000000-0005-0000-0000-00009C4D0000}"/>
    <cellStyle name="Normal 9 6 3 3" xfId="20698" xr:uid="{00000000-0005-0000-0000-00009D4D0000}"/>
    <cellStyle name="Normal 9 6 3 4" xfId="20699" xr:uid="{00000000-0005-0000-0000-00009E4D0000}"/>
    <cellStyle name="Normal 9 6 3 5" xfId="20700" xr:uid="{00000000-0005-0000-0000-00009F4D0000}"/>
    <cellStyle name="Normal 9 6 3 6" xfId="20701" xr:uid="{00000000-0005-0000-0000-0000A04D0000}"/>
    <cellStyle name="Normal 9 6 3 7" xfId="20702" xr:uid="{00000000-0005-0000-0000-0000A14D0000}"/>
    <cellStyle name="Normal 9 6 3 8" xfId="20703" xr:uid="{00000000-0005-0000-0000-0000A24D0000}"/>
    <cellStyle name="Normal 9 6 3 9" xfId="20704" xr:uid="{00000000-0005-0000-0000-0000A34D0000}"/>
    <cellStyle name="Normal 9 6 4" xfId="20705" xr:uid="{00000000-0005-0000-0000-0000A44D0000}"/>
    <cellStyle name="Normal 9 6 4 10" xfId="20706" xr:uid="{00000000-0005-0000-0000-0000A54D0000}"/>
    <cellStyle name="Normal 9 6 4 11" xfId="20707" xr:uid="{00000000-0005-0000-0000-0000A64D0000}"/>
    <cellStyle name="Normal 9 6 4 12" xfId="20708" xr:uid="{00000000-0005-0000-0000-0000A74D0000}"/>
    <cellStyle name="Normal 9 6 4 13" xfId="20709" xr:uid="{00000000-0005-0000-0000-0000A84D0000}"/>
    <cellStyle name="Normal 9 6 4 14" xfId="20710" xr:uid="{00000000-0005-0000-0000-0000A94D0000}"/>
    <cellStyle name="Normal 9 6 4 15" xfId="20711" xr:uid="{00000000-0005-0000-0000-0000AA4D0000}"/>
    <cellStyle name="Normal 9 6 4 2" xfId="20712" xr:uid="{00000000-0005-0000-0000-0000AB4D0000}"/>
    <cellStyle name="Normal 9 6 4 3" xfId="20713" xr:uid="{00000000-0005-0000-0000-0000AC4D0000}"/>
    <cellStyle name="Normal 9 6 4 4" xfId="20714" xr:uid="{00000000-0005-0000-0000-0000AD4D0000}"/>
    <cellStyle name="Normal 9 6 4 5" xfId="20715" xr:uid="{00000000-0005-0000-0000-0000AE4D0000}"/>
    <cellStyle name="Normal 9 6 4 6" xfId="20716" xr:uid="{00000000-0005-0000-0000-0000AF4D0000}"/>
    <cellStyle name="Normal 9 6 4 7" xfId="20717" xr:uid="{00000000-0005-0000-0000-0000B04D0000}"/>
    <cellStyle name="Normal 9 6 4 8" xfId="20718" xr:uid="{00000000-0005-0000-0000-0000B14D0000}"/>
    <cellStyle name="Normal 9 6 4 9" xfId="20719" xr:uid="{00000000-0005-0000-0000-0000B24D0000}"/>
    <cellStyle name="Normal 9 6 5" xfId="20720" xr:uid="{00000000-0005-0000-0000-0000B34D0000}"/>
    <cellStyle name="Normal 9 6 5 10" xfId="20721" xr:uid="{00000000-0005-0000-0000-0000B44D0000}"/>
    <cellStyle name="Normal 9 6 5 11" xfId="20722" xr:uid="{00000000-0005-0000-0000-0000B54D0000}"/>
    <cellStyle name="Normal 9 6 5 12" xfId="20723" xr:uid="{00000000-0005-0000-0000-0000B64D0000}"/>
    <cellStyle name="Normal 9 6 5 13" xfId="20724" xr:uid="{00000000-0005-0000-0000-0000B74D0000}"/>
    <cellStyle name="Normal 9 6 5 14" xfId="20725" xr:uid="{00000000-0005-0000-0000-0000B84D0000}"/>
    <cellStyle name="Normal 9 6 5 15" xfId="20726" xr:uid="{00000000-0005-0000-0000-0000B94D0000}"/>
    <cellStyle name="Normal 9 6 5 2" xfId="20727" xr:uid="{00000000-0005-0000-0000-0000BA4D0000}"/>
    <cellStyle name="Normal 9 6 5 3" xfId="20728" xr:uid="{00000000-0005-0000-0000-0000BB4D0000}"/>
    <cellStyle name="Normal 9 6 5 4" xfId="20729" xr:uid="{00000000-0005-0000-0000-0000BC4D0000}"/>
    <cellStyle name="Normal 9 6 5 5" xfId="20730" xr:uid="{00000000-0005-0000-0000-0000BD4D0000}"/>
    <cellStyle name="Normal 9 6 5 6" xfId="20731" xr:uid="{00000000-0005-0000-0000-0000BE4D0000}"/>
    <cellStyle name="Normal 9 6 5 7" xfId="20732" xr:uid="{00000000-0005-0000-0000-0000BF4D0000}"/>
    <cellStyle name="Normal 9 6 5 8" xfId="20733" xr:uid="{00000000-0005-0000-0000-0000C04D0000}"/>
    <cellStyle name="Normal 9 6 5 9" xfId="20734" xr:uid="{00000000-0005-0000-0000-0000C14D0000}"/>
    <cellStyle name="Normal 9 6 6" xfId="20735" xr:uid="{00000000-0005-0000-0000-0000C24D0000}"/>
    <cellStyle name="Normal 9 6 7" xfId="20736" xr:uid="{00000000-0005-0000-0000-0000C34D0000}"/>
    <cellStyle name="Normal 9 6 8" xfId="20737" xr:uid="{00000000-0005-0000-0000-0000C44D0000}"/>
    <cellStyle name="Normal 9 6 9" xfId="20738" xr:uid="{00000000-0005-0000-0000-0000C54D0000}"/>
    <cellStyle name="Normal 9 7" xfId="20739" xr:uid="{00000000-0005-0000-0000-0000C64D0000}"/>
    <cellStyle name="Normal 9 7 10" xfId="20740" xr:uid="{00000000-0005-0000-0000-0000C74D0000}"/>
    <cellStyle name="Normal 9 7 11" xfId="20741" xr:uid="{00000000-0005-0000-0000-0000C84D0000}"/>
    <cellStyle name="Normal 9 7 12" xfId="20742" xr:uid="{00000000-0005-0000-0000-0000C94D0000}"/>
    <cellStyle name="Normal 9 7 13" xfId="20743" xr:uid="{00000000-0005-0000-0000-0000CA4D0000}"/>
    <cellStyle name="Normal 9 7 14" xfId="20744" xr:uid="{00000000-0005-0000-0000-0000CB4D0000}"/>
    <cellStyle name="Normal 9 7 15" xfId="20745" xr:uid="{00000000-0005-0000-0000-0000CC4D0000}"/>
    <cellStyle name="Normal 9 7 2" xfId="20746" xr:uid="{00000000-0005-0000-0000-0000CD4D0000}"/>
    <cellStyle name="Normal 9 7 3" xfId="20747" xr:uid="{00000000-0005-0000-0000-0000CE4D0000}"/>
    <cellStyle name="Normal 9 7 4" xfId="20748" xr:uid="{00000000-0005-0000-0000-0000CF4D0000}"/>
    <cellStyle name="Normal 9 7 5" xfId="20749" xr:uid="{00000000-0005-0000-0000-0000D04D0000}"/>
    <cellStyle name="Normal 9 7 6" xfId="20750" xr:uid="{00000000-0005-0000-0000-0000D14D0000}"/>
    <cellStyle name="Normal 9 7 7" xfId="20751" xr:uid="{00000000-0005-0000-0000-0000D24D0000}"/>
    <cellStyle name="Normal 9 7 8" xfId="20752" xr:uid="{00000000-0005-0000-0000-0000D34D0000}"/>
    <cellStyle name="Normal 9 7 9" xfId="20753" xr:uid="{00000000-0005-0000-0000-0000D44D0000}"/>
    <cellStyle name="Normal 9 8" xfId="20754" xr:uid="{00000000-0005-0000-0000-0000D54D0000}"/>
    <cellStyle name="Normal 9 8 10" xfId="20755" xr:uid="{00000000-0005-0000-0000-0000D64D0000}"/>
    <cellStyle name="Normal 9 8 11" xfId="20756" xr:uid="{00000000-0005-0000-0000-0000D74D0000}"/>
    <cellStyle name="Normal 9 8 12" xfId="20757" xr:uid="{00000000-0005-0000-0000-0000D84D0000}"/>
    <cellStyle name="Normal 9 8 13" xfId="20758" xr:uid="{00000000-0005-0000-0000-0000D94D0000}"/>
    <cellStyle name="Normal 9 8 14" xfId="20759" xr:uid="{00000000-0005-0000-0000-0000DA4D0000}"/>
    <cellStyle name="Normal 9 8 15" xfId="20760" xr:uid="{00000000-0005-0000-0000-0000DB4D0000}"/>
    <cellStyle name="Normal 9 8 2" xfId="20761" xr:uid="{00000000-0005-0000-0000-0000DC4D0000}"/>
    <cellStyle name="Normal 9 8 3" xfId="20762" xr:uid="{00000000-0005-0000-0000-0000DD4D0000}"/>
    <cellStyle name="Normal 9 8 4" xfId="20763" xr:uid="{00000000-0005-0000-0000-0000DE4D0000}"/>
    <cellStyle name="Normal 9 8 5" xfId="20764" xr:uid="{00000000-0005-0000-0000-0000DF4D0000}"/>
    <cellStyle name="Normal 9 8 6" xfId="20765" xr:uid="{00000000-0005-0000-0000-0000E04D0000}"/>
    <cellStyle name="Normal 9 8 7" xfId="20766" xr:uid="{00000000-0005-0000-0000-0000E14D0000}"/>
    <cellStyle name="Normal 9 8 8" xfId="20767" xr:uid="{00000000-0005-0000-0000-0000E24D0000}"/>
    <cellStyle name="Normal 9 8 9" xfId="20768" xr:uid="{00000000-0005-0000-0000-0000E34D0000}"/>
    <cellStyle name="Normal 9 9" xfId="20769" xr:uid="{00000000-0005-0000-0000-0000E44D0000}"/>
    <cellStyle name="Normal 9 9 10" xfId="20770" xr:uid="{00000000-0005-0000-0000-0000E54D0000}"/>
    <cellStyle name="Normal 9 9 11" xfId="20771" xr:uid="{00000000-0005-0000-0000-0000E64D0000}"/>
    <cellStyle name="Normal 9 9 12" xfId="20772" xr:uid="{00000000-0005-0000-0000-0000E74D0000}"/>
    <cellStyle name="Normal 9 9 13" xfId="20773" xr:uid="{00000000-0005-0000-0000-0000E84D0000}"/>
    <cellStyle name="Normal 9 9 14" xfId="20774" xr:uid="{00000000-0005-0000-0000-0000E94D0000}"/>
    <cellStyle name="Normal 9 9 15" xfId="20775" xr:uid="{00000000-0005-0000-0000-0000EA4D0000}"/>
    <cellStyle name="Normal 9 9 2" xfId="20776" xr:uid="{00000000-0005-0000-0000-0000EB4D0000}"/>
    <cellStyle name="Normal 9 9 3" xfId="20777" xr:uid="{00000000-0005-0000-0000-0000EC4D0000}"/>
    <cellStyle name="Normal 9 9 4" xfId="20778" xr:uid="{00000000-0005-0000-0000-0000ED4D0000}"/>
    <cellStyle name="Normal 9 9 5" xfId="20779" xr:uid="{00000000-0005-0000-0000-0000EE4D0000}"/>
    <cellStyle name="Normal 9 9 6" xfId="20780" xr:uid="{00000000-0005-0000-0000-0000EF4D0000}"/>
    <cellStyle name="Normal 9 9 7" xfId="20781" xr:uid="{00000000-0005-0000-0000-0000F04D0000}"/>
    <cellStyle name="Normal 9 9 8" xfId="20782" xr:uid="{00000000-0005-0000-0000-0000F14D0000}"/>
    <cellStyle name="Normal 9 9 9" xfId="20783" xr:uid="{00000000-0005-0000-0000-0000F24D0000}"/>
    <cellStyle name="Normal 9_CORRECTED COPY OF rA 5" xfId="20784" xr:uid="{00000000-0005-0000-0000-0000F34D0000}"/>
    <cellStyle name="Normal 90" xfId="974" xr:uid="{F7C07A4E-765B-48C4-8C64-3504E318D402}"/>
    <cellStyle name="Normal 94" xfId="64" xr:uid="{9933AEA4-C31B-4409-ACCE-E32E0235BD48}"/>
    <cellStyle name="Normal_BMS - BOQ" xfId="37271" xr:uid="{98A3D437-2985-4F0B-8B40-B0705BA6461C}"/>
    <cellStyle name="Normal_BOQ-30 08 (2)" xfId="37269" xr:uid="{A94EB622-FB24-4F0C-975C-61D409815D13}"/>
    <cellStyle name="Normal_EB-4" xfId="37270" xr:uid="{B4935049-D2CB-4194-B8A2-3748AFC8E16E}"/>
    <cellStyle name="Normal_ele.boq.l.t 2" xfId="92" xr:uid="{C0364997-FA2D-4B28-B8ED-015ACCCCEAEC}"/>
    <cellStyle name="Normal_India Mumbai Project - NetSolRev1" xfId="93" xr:uid="{2E1759E0-40A9-4C65-BD85-82C38DFB2A52}"/>
    <cellStyle name="Normal_Quantities of the materials" xfId="94" xr:uid="{CF902E70-AE36-40F8-BA1A-F74C0AD57005}"/>
    <cellStyle name="Normal_Sheet1" xfId="95" xr:uid="{2448B519-B9E0-4255-8828-D1684B68FF65}"/>
    <cellStyle name="Normal_TCS BBSR INTERNAL ELEC  BOQ REV-D 03.01.07" xfId="91" xr:uid="{4492B7DC-591A-432A-9188-ABE389DAB63C}"/>
    <cellStyle name="Normale_laroux" xfId="20785" xr:uid="{00000000-0005-0000-0000-0000F64D0000}"/>
    <cellStyle name="Note 2" xfId="164" xr:uid="{00000000-0005-0000-0000-00007C030000}"/>
    <cellStyle name="Note 2 10" xfId="20787" xr:uid="{00000000-0005-0000-0000-0000F84D0000}"/>
    <cellStyle name="Note 2 10 10" xfId="20788" xr:uid="{00000000-0005-0000-0000-0000F94D0000}"/>
    <cellStyle name="Note 2 10 11" xfId="20789" xr:uid="{00000000-0005-0000-0000-0000FA4D0000}"/>
    <cellStyle name="Note 2 10 12" xfId="20790" xr:uid="{00000000-0005-0000-0000-0000FB4D0000}"/>
    <cellStyle name="Note 2 10 13" xfId="20791" xr:uid="{00000000-0005-0000-0000-0000FC4D0000}"/>
    <cellStyle name="Note 2 10 14" xfId="20792" xr:uid="{00000000-0005-0000-0000-0000FD4D0000}"/>
    <cellStyle name="Note 2 10 15" xfId="20793" xr:uid="{00000000-0005-0000-0000-0000FE4D0000}"/>
    <cellStyle name="Note 2 10 16" xfId="20794" xr:uid="{00000000-0005-0000-0000-0000FF4D0000}"/>
    <cellStyle name="Note 2 10 17" xfId="20795" xr:uid="{00000000-0005-0000-0000-0000004E0000}"/>
    <cellStyle name="Note 2 10 18" xfId="20796" xr:uid="{00000000-0005-0000-0000-0000014E0000}"/>
    <cellStyle name="Note 2 10 19" xfId="20797" xr:uid="{00000000-0005-0000-0000-0000024E0000}"/>
    <cellStyle name="Note 2 10 2" xfId="20798" xr:uid="{00000000-0005-0000-0000-0000034E0000}"/>
    <cellStyle name="Note 2 10 2 10" xfId="20799" xr:uid="{00000000-0005-0000-0000-0000044E0000}"/>
    <cellStyle name="Note 2 10 2 11" xfId="20800" xr:uid="{00000000-0005-0000-0000-0000054E0000}"/>
    <cellStyle name="Note 2 10 2 12" xfId="20801" xr:uid="{00000000-0005-0000-0000-0000064E0000}"/>
    <cellStyle name="Note 2 10 2 13" xfId="20802" xr:uid="{00000000-0005-0000-0000-0000074E0000}"/>
    <cellStyle name="Note 2 10 2 14" xfId="20803" xr:uid="{00000000-0005-0000-0000-0000084E0000}"/>
    <cellStyle name="Note 2 10 2 15" xfId="20804" xr:uid="{00000000-0005-0000-0000-0000094E0000}"/>
    <cellStyle name="Note 2 10 2 16" xfId="20805" xr:uid="{00000000-0005-0000-0000-00000A4E0000}"/>
    <cellStyle name="Note 2 10 2 17" xfId="20806" xr:uid="{00000000-0005-0000-0000-00000B4E0000}"/>
    <cellStyle name="Note 2 10 2 18" xfId="20807" xr:uid="{00000000-0005-0000-0000-00000C4E0000}"/>
    <cellStyle name="Note 2 10 2 19" xfId="20808" xr:uid="{00000000-0005-0000-0000-00000D4E0000}"/>
    <cellStyle name="Note 2 10 2 2" xfId="20809" xr:uid="{00000000-0005-0000-0000-00000E4E0000}"/>
    <cellStyle name="Note 2 10 2 2 10" xfId="20810" xr:uid="{00000000-0005-0000-0000-00000F4E0000}"/>
    <cellStyle name="Note 2 10 2 2 11" xfId="20811" xr:uid="{00000000-0005-0000-0000-0000104E0000}"/>
    <cellStyle name="Note 2 10 2 2 12" xfId="20812" xr:uid="{00000000-0005-0000-0000-0000114E0000}"/>
    <cellStyle name="Note 2 10 2 2 13" xfId="20813" xr:uid="{00000000-0005-0000-0000-0000124E0000}"/>
    <cellStyle name="Note 2 10 2 2 14" xfId="20814" xr:uid="{00000000-0005-0000-0000-0000134E0000}"/>
    <cellStyle name="Note 2 10 2 2 15" xfId="20815" xr:uid="{00000000-0005-0000-0000-0000144E0000}"/>
    <cellStyle name="Note 2 10 2 2 16" xfId="20816" xr:uid="{00000000-0005-0000-0000-0000154E0000}"/>
    <cellStyle name="Note 2 10 2 2 17" xfId="20817" xr:uid="{00000000-0005-0000-0000-0000164E0000}"/>
    <cellStyle name="Note 2 10 2 2 18" xfId="20818" xr:uid="{00000000-0005-0000-0000-0000174E0000}"/>
    <cellStyle name="Note 2 10 2 2 19" xfId="20819" xr:uid="{00000000-0005-0000-0000-0000184E0000}"/>
    <cellStyle name="Note 2 10 2 2 2" xfId="20820" xr:uid="{00000000-0005-0000-0000-0000194E0000}"/>
    <cellStyle name="Note 2 10 2 2 2 10" xfId="20821" xr:uid="{00000000-0005-0000-0000-00001A4E0000}"/>
    <cellStyle name="Note 2 10 2 2 2 11" xfId="20822" xr:uid="{00000000-0005-0000-0000-00001B4E0000}"/>
    <cellStyle name="Note 2 10 2 2 2 12" xfId="20823" xr:uid="{00000000-0005-0000-0000-00001C4E0000}"/>
    <cellStyle name="Note 2 10 2 2 2 13" xfId="20824" xr:uid="{00000000-0005-0000-0000-00001D4E0000}"/>
    <cellStyle name="Note 2 10 2 2 2 14" xfId="20825" xr:uid="{00000000-0005-0000-0000-00001E4E0000}"/>
    <cellStyle name="Note 2 10 2 2 2 15" xfId="20826" xr:uid="{00000000-0005-0000-0000-00001F4E0000}"/>
    <cellStyle name="Note 2 10 2 2 2 2" xfId="20827" xr:uid="{00000000-0005-0000-0000-0000204E0000}"/>
    <cellStyle name="Note 2 10 2 2 2 3" xfId="20828" xr:uid="{00000000-0005-0000-0000-0000214E0000}"/>
    <cellStyle name="Note 2 10 2 2 2 4" xfId="20829" xr:uid="{00000000-0005-0000-0000-0000224E0000}"/>
    <cellStyle name="Note 2 10 2 2 2 5" xfId="20830" xr:uid="{00000000-0005-0000-0000-0000234E0000}"/>
    <cellStyle name="Note 2 10 2 2 2 6" xfId="20831" xr:uid="{00000000-0005-0000-0000-0000244E0000}"/>
    <cellStyle name="Note 2 10 2 2 2 7" xfId="20832" xr:uid="{00000000-0005-0000-0000-0000254E0000}"/>
    <cellStyle name="Note 2 10 2 2 2 8" xfId="20833" xr:uid="{00000000-0005-0000-0000-0000264E0000}"/>
    <cellStyle name="Note 2 10 2 2 2 9" xfId="20834" xr:uid="{00000000-0005-0000-0000-0000274E0000}"/>
    <cellStyle name="Note 2 10 2 2 20" xfId="20835" xr:uid="{00000000-0005-0000-0000-0000284E0000}"/>
    <cellStyle name="Note 2 10 2 2 3" xfId="20836" xr:uid="{00000000-0005-0000-0000-0000294E0000}"/>
    <cellStyle name="Note 2 10 2 2 3 10" xfId="20837" xr:uid="{00000000-0005-0000-0000-00002A4E0000}"/>
    <cellStyle name="Note 2 10 2 2 3 11" xfId="20838" xr:uid="{00000000-0005-0000-0000-00002B4E0000}"/>
    <cellStyle name="Note 2 10 2 2 3 12" xfId="20839" xr:uid="{00000000-0005-0000-0000-00002C4E0000}"/>
    <cellStyle name="Note 2 10 2 2 3 13" xfId="20840" xr:uid="{00000000-0005-0000-0000-00002D4E0000}"/>
    <cellStyle name="Note 2 10 2 2 3 14" xfId="20841" xr:uid="{00000000-0005-0000-0000-00002E4E0000}"/>
    <cellStyle name="Note 2 10 2 2 3 15" xfId="20842" xr:uid="{00000000-0005-0000-0000-00002F4E0000}"/>
    <cellStyle name="Note 2 10 2 2 3 2" xfId="20843" xr:uid="{00000000-0005-0000-0000-0000304E0000}"/>
    <cellStyle name="Note 2 10 2 2 3 3" xfId="20844" xr:uid="{00000000-0005-0000-0000-0000314E0000}"/>
    <cellStyle name="Note 2 10 2 2 3 4" xfId="20845" xr:uid="{00000000-0005-0000-0000-0000324E0000}"/>
    <cellStyle name="Note 2 10 2 2 3 5" xfId="20846" xr:uid="{00000000-0005-0000-0000-0000334E0000}"/>
    <cellStyle name="Note 2 10 2 2 3 6" xfId="20847" xr:uid="{00000000-0005-0000-0000-0000344E0000}"/>
    <cellStyle name="Note 2 10 2 2 3 7" xfId="20848" xr:uid="{00000000-0005-0000-0000-0000354E0000}"/>
    <cellStyle name="Note 2 10 2 2 3 8" xfId="20849" xr:uid="{00000000-0005-0000-0000-0000364E0000}"/>
    <cellStyle name="Note 2 10 2 2 3 9" xfId="20850" xr:uid="{00000000-0005-0000-0000-0000374E0000}"/>
    <cellStyle name="Note 2 10 2 2 4" xfId="20851" xr:uid="{00000000-0005-0000-0000-0000384E0000}"/>
    <cellStyle name="Note 2 10 2 2 4 10" xfId="20852" xr:uid="{00000000-0005-0000-0000-0000394E0000}"/>
    <cellStyle name="Note 2 10 2 2 4 11" xfId="20853" xr:uid="{00000000-0005-0000-0000-00003A4E0000}"/>
    <cellStyle name="Note 2 10 2 2 4 12" xfId="20854" xr:uid="{00000000-0005-0000-0000-00003B4E0000}"/>
    <cellStyle name="Note 2 10 2 2 4 13" xfId="20855" xr:uid="{00000000-0005-0000-0000-00003C4E0000}"/>
    <cellStyle name="Note 2 10 2 2 4 14" xfId="20856" xr:uid="{00000000-0005-0000-0000-00003D4E0000}"/>
    <cellStyle name="Note 2 10 2 2 4 15" xfId="20857" xr:uid="{00000000-0005-0000-0000-00003E4E0000}"/>
    <cellStyle name="Note 2 10 2 2 4 2" xfId="20858" xr:uid="{00000000-0005-0000-0000-00003F4E0000}"/>
    <cellStyle name="Note 2 10 2 2 4 3" xfId="20859" xr:uid="{00000000-0005-0000-0000-0000404E0000}"/>
    <cellStyle name="Note 2 10 2 2 4 4" xfId="20860" xr:uid="{00000000-0005-0000-0000-0000414E0000}"/>
    <cellStyle name="Note 2 10 2 2 4 5" xfId="20861" xr:uid="{00000000-0005-0000-0000-0000424E0000}"/>
    <cellStyle name="Note 2 10 2 2 4 6" xfId="20862" xr:uid="{00000000-0005-0000-0000-0000434E0000}"/>
    <cellStyle name="Note 2 10 2 2 4 7" xfId="20863" xr:uid="{00000000-0005-0000-0000-0000444E0000}"/>
    <cellStyle name="Note 2 10 2 2 4 8" xfId="20864" xr:uid="{00000000-0005-0000-0000-0000454E0000}"/>
    <cellStyle name="Note 2 10 2 2 4 9" xfId="20865" xr:uid="{00000000-0005-0000-0000-0000464E0000}"/>
    <cellStyle name="Note 2 10 2 2 5" xfId="20866" xr:uid="{00000000-0005-0000-0000-0000474E0000}"/>
    <cellStyle name="Note 2 10 2 2 5 10" xfId="20867" xr:uid="{00000000-0005-0000-0000-0000484E0000}"/>
    <cellStyle name="Note 2 10 2 2 5 11" xfId="20868" xr:uid="{00000000-0005-0000-0000-0000494E0000}"/>
    <cellStyle name="Note 2 10 2 2 5 12" xfId="20869" xr:uid="{00000000-0005-0000-0000-00004A4E0000}"/>
    <cellStyle name="Note 2 10 2 2 5 13" xfId="20870" xr:uid="{00000000-0005-0000-0000-00004B4E0000}"/>
    <cellStyle name="Note 2 10 2 2 5 14" xfId="20871" xr:uid="{00000000-0005-0000-0000-00004C4E0000}"/>
    <cellStyle name="Note 2 10 2 2 5 15" xfId="20872" xr:uid="{00000000-0005-0000-0000-00004D4E0000}"/>
    <cellStyle name="Note 2 10 2 2 5 2" xfId="20873" xr:uid="{00000000-0005-0000-0000-00004E4E0000}"/>
    <cellStyle name="Note 2 10 2 2 5 3" xfId="20874" xr:uid="{00000000-0005-0000-0000-00004F4E0000}"/>
    <cellStyle name="Note 2 10 2 2 5 4" xfId="20875" xr:uid="{00000000-0005-0000-0000-0000504E0000}"/>
    <cellStyle name="Note 2 10 2 2 5 5" xfId="20876" xr:uid="{00000000-0005-0000-0000-0000514E0000}"/>
    <cellStyle name="Note 2 10 2 2 5 6" xfId="20877" xr:uid="{00000000-0005-0000-0000-0000524E0000}"/>
    <cellStyle name="Note 2 10 2 2 5 7" xfId="20878" xr:uid="{00000000-0005-0000-0000-0000534E0000}"/>
    <cellStyle name="Note 2 10 2 2 5 8" xfId="20879" xr:uid="{00000000-0005-0000-0000-0000544E0000}"/>
    <cellStyle name="Note 2 10 2 2 5 9" xfId="20880" xr:uid="{00000000-0005-0000-0000-0000554E0000}"/>
    <cellStyle name="Note 2 10 2 2 6" xfId="20881" xr:uid="{00000000-0005-0000-0000-0000564E0000}"/>
    <cellStyle name="Note 2 10 2 2 7" xfId="20882" xr:uid="{00000000-0005-0000-0000-0000574E0000}"/>
    <cellStyle name="Note 2 10 2 2 8" xfId="20883" xr:uid="{00000000-0005-0000-0000-0000584E0000}"/>
    <cellStyle name="Note 2 10 2 2 9" xfId="20884" xr:uid="{00000000-0005-0000-0000-0000594E0000}"/>
    <cellStyle name="Note 2 10 2 20" xfId="20885" xr:uid="{00000000-0005-0000-0000-00005A4E0000}"/>
    <cellStyle name="Note 2 10 2 21" xfId="20886" xr:uid="{00000000-0005-0000-0000-00005B4E0000}"/>
    <cellStyle name="Note 2 10 2 22" xfId="20887" xr:uid="{00000000-0005-0000-0000-00005C4E0000}"/>
    <cellStyle name="Note 2 10 2 23" xfId="20888" xr:uid="{00000000-0005-0000-0000-00005D4E0000}"/>
    <cellStyle name="Note 2 10 2 3" xfId="20889" xr:uid="{00000000-0005-0000-0000-00005E4E0000}"/>
    <cellStyle name="Note 2 10 2 3 10" xfId="20890" xr:uid="{00000000-0005-0000-0000-00005F4E0000}"/>
    <cellStyle name="Note 2 10 2 3 11" xfId="20891" xr:uid="{00000000-0005-0000-0000-0000604E0000}"/>
    <cellStyle name="Note 2 10 2 3 12" xfId="20892" xr:uid="{00000000-0005-0000-0000-0000614E0000}"/>
    <cellStyle name="Note 2 10 2 3 13" xfId="20893" xr:uid="{00000000-0005-0000-0000-0000624E0000}"/>
    <cellStyle name="Note 2 10 2 3 14" xfId="20894" xr:uid="{00000000-0005-0000-0000-0000634E0000}"/>
    <cellStyle name="Note 2 10 2 3 15" xfId="20895" xr:uid="{00000000-0005-0000-0000-0000644E0000}"/>
    <cellStyle name="Note 2 10 2 3 16" xfId="20896" xr:uid="{00000000-0005-0000-0000-0000654E0000}"/>
    <cellStyle name="Note 2 10 2 3 17" xfId="20897" xr:uid="{00000000-0005-0000-0000-0000664E0000}"/>
    <cellStyle name="Note 2 10 2 3 18" xfId="20898" xr:uid="{00000000-0005-0000-0000-0000674E0000}"/>
    <cellStyle name="Note 2 10 2 3 19" xfId="20899" xr:uid="{00000000-0005-0000-0000-0000684E0000}"/>
    <cellStyle name="Note 2 10 2 3 2" xfId="20900" xr:uid="{00000000-0005-0000-0000-0000694E0000}"/>
    <cellStyle name="Note 2 10 2 3 2 10" xfId="20901" xr:uid="{00000000-0005-0000-0000-00006A4E0000}"/>
    <cellStyle name="Note 2 10 2 3 2 11" xfId="20902" xr:uid="{00000000-0005-0000-0000-00006B4E0000}"/>
    <cellStyle name="Note 2 10 2 3 2 12" xfId="20903" xr:uid="{00000000-0005-0000-0000-00006C4E0000}"/>
    <cellStyle name="Note 2 10 2 3 2 13" xfId="20904" xr:uid="{00000000-0005-0000-0000-00006D4E0000}"/>
    <cellStyle name="Note 2 10 2 3 2 14" xfId="20905" xr:uid="{00000000-0005-0000-0000-00006E4E0000}"/>
    <cellStyle name="Note 2 10 2 3 2 15" xfId="20906" xr:uid="{00000000-0005-0000-0000-00006F4E0000}"/>
    <cellStyle name="Note 2 10 2 3 2 2" xfId="20907" xr:uid="{00000000-0005-0000-0000-0000704E0000}"/>
    <cellStyle name="Note 2 10 2 3 2 3" xfId="20908" xr:uid="{00000000-0005-0000-0000-0000714E0000}"/>
    <cellStyle name="Note 2 10 2 3 2 4" xfId="20909" xr:uid="{00000000-0005-0000-0000-0000724E0000}"/>
    <cellStyle name="Note 2 10 2 3 2 5" xfId="20910" xr:uid="{00000000-0005-0000-0000-0000734E0000}"/>
    <cellStyle name="Note 2 10 2 3 2 6" xfId="20911" xr:uid="{00000000-0005-0000-0000-0000744E0000}"/>
    <cellStyle name="Note 2 10 2 3 2 7" xfId="20912" xr:uid="{00000000-0005-0000-0000-0000754E0000}"/>
    <cellStyle name="Note 2 10 2 3 2 8" xfId="20913" xr:uid="{00000000-0005-0000-0000-0000764E0000}"/>
    <cellStyle name="Note 2 10 2 3 2 9" xfId="20914" xr:uid="{00000000-0005-0000-0000-0000774E0000}"/>
    <cellStyle name="Note 2 10 2 3 20" xfId="20915" xr:uid="{00000000-0005-0000-0000-0000784E0000}"/>
    <cellStyle name="Note 2 10 2 3 3" xfId="20916" xr:uid="{00000000-0005-0000-0000-0000794E0000}"/>
    <cellStyle name="Note 2 10 2 3 3 10" xfId="20917" xr:uid="{00000000-0005-0000-0000-00007A4E0000}"/>
    <cellStyle name="Note 2 10 2 3 3 11" xfId="20918" xr:uid="{00000000-0005-0000-0000-00007B4E0000}"/>
    <cellStyle name="Note 2 10 2 3 3 12" xfId="20919" xr:uid="{00000000-0005-0000-0000-00007C4E0000}"/>
    <cellStyle name="Note 2 10 2 3 3 13" xfId="20920" xr:uid="{00000000-0005-0000-0000-00007D4E0000}"/>
    <cellStyle name="Note 2 10 2 3 3 14" xfId="20921" xr:uid="{00000000-0005-0000-0000-00007E4E0000}"/>
    <cellStyle name="Note 2 10 2 3 3 15" xfId="20922" xr:uid="{00000000-0005-0000-0000-00007F4E0000}"/>
    <cellStyle name="Note 2 10 2 3 3 2" xfId="20923" xr:uid="{00000000-0005-0000-0000-0000804E0000}"/>
    <cellStyle name="Note 2 10 2 3 3 3" xfId="20924" xr:uid="{00000000-0005-0000-0000-0000814E0000}"/>
    <cellStyle name="Note 2 10 2 3 3 4" xfId="20925" xr:uid="{00000000-0005-0000-0000-0000824E0000}"/>
    <cellStyle name="Note 2 10 2 3 3 5" xfId="20926" xr:uid="{00000000-0005-0000-0000-0000834E0000}"/>
    <cellStyle name="Note 2 10 2 3 3 6" xfId="20927" xr:uid="{00000000-0005-0000-0000-0000844E0000}"/>
    <cellStyle name="Note 2 10 2 3 3 7" xfId="20928" xr:uid="{00000000-0005-0000-0000-0000854E0000}"/>
    <cellStyle name="Note 2 10 2 3 3 8" xfId="20929" xr:uid="{00000000-0005-0000-0000-0000864E0000}"/>
    <cellStyle name="Note 2 10 2 3 3 9" xfId="20930" xr:uid="{00000000-0005-0000-0000-0000874E0000}"/>
    <cellStyle name="Note 2 10 2 3 4" xfId="20931" xr:uid="{00000000-0005-0000-0000-0000884E0000}"/>
    <cellStyle name="Note 2 10 2 3 4 10" xfId="20932" xr:uid="{00000000-0005-0000-0000-0000894E0000}"/>
    <cellStyle name="Note 2 10 2 3 4 11" xfId="20933" xr:uid="{00000000-0005-0000-0000-00008A4E0000}"/>
    <cellStyle name="Note 2 10 2 3 4 12" xfId="20934" xr:uid="{00000000-0005-0000-0000-00008B4E0000}"/>
    <cellStyle name="Note 2 10 2 3 4 13" xfId="20935" xr:uid="{00000000-0005-0000-0000-00008C4E0000}"/>
    <cellStyle name="Note 2 10 2 3 4 14" xfId="20936" xr:uid="{00000000-0005-0000-0000-00008D4E0000}"/>
    <cellStyle name="Note 2 10 2 3 4 15" xfId="20937" xr:uid="{00000000-0005-0000-0000-00008E4E0000}"/>
    <cellStyle name="Note 2 10 2 3 4 2" xfId="20938" xr:uid="{00000000-0005-0000-0000-00008F4E0000}"/>
    <cellStyle name="Note 2 10 2 3 4 3" xfId="20939" xr:uid="{00000000-0005-0000-0000-0000904E0000}"/>
    <cellStyle name="Note 2 10 2 3 4 4" xfId="20940" xr:uid="{00000000-0005-0000-0000-0000914E0000}"/>
    <cellStyle name="Note 2 10 2 3 4 5" xfId="20941" xr:uid="{00000000-0005-0000-0000-0000924E0000}"/>
    <cellStyle name="Note 2 10 2 3 4 6" xfId="20942" xr:uid="{00000000-0005-0000-0000-0000934E0000}"/>
    <cellStyle name="Note 2 10 2 3 4 7" xfId="20943" xr:uid="{00000000-0005-0000-0000-0000944E0000}"/>
    <cellStyle name="Note 2 10 2 3 4 8" xfId="20944" xr:uid="{00000000-0005-0000-0000-0000954E0000}"/>
    <cellStyle name="Note 2 10 2 3 4 9" xfId="20945" xr:uid="{00000000-0005-0000-0000-0000964E0000}"/>
    <cellStyle name="Note 2 10 2 3 5" xfId="20946" xr:uid="{00000000-0005-0000-0000-0000974E0000}"/>
    <cellStyle name="Note 2 10 2 3 5 10" xfId="20947" xr:uid="{00000000-0005-0000-0000-0000984E0000}"/>
    <cellStyle name="Note 2 10 2 3 5 11" xfId="20948" xr:uid="{00000000-0005-0000-0000-0000994E0000}"/>
    <cellStyle name="Note 2 10 2 3 5 12" xfId="20949" xr:uid="{00000000-0005-0000-0000-00009A4E0000}"/>
    <cellStyle name="Note 2 10 2 3 5 13" xfId="20950" xr:uid="{00000000-0005-0000-0000-00009B4E0000}"/>
    <cellStyle name="Note 2 10 2 3 5 14" xfId="20951" xr:uid="{00000000-0005-0000-0000-00009C4E0000}"/>
    <cellStyle name="Note 2 10 2 3 5 15" xfId="20952" xr:uid="{00000000-0005-0000-0000-00009D4E0000}"/>
    <cellStyle name="Note 2 10 2 3 5 2" xfId="20953" xr:uid="{00000000-0005-0000-0000-00009E4E0000}"/>
    <cellStyle name="Note 2 10 2 3 5 3" xfId="20954" xr:uid="{00000000-0005-0000-0000-00009F4E0000}"/>
    <cellStyle name="Note 2 10 2 3 5 4" xfId="20955" xr:uid="{00000000-0005-0000-0000-0000A04E0000}"/>
    <cellStyle name="Note 2 10 2 3 5 5" xfId="20956" xr:uid="{00000000-0005-0000-0000-0000A14E0000}"/>
    <cellStyle name="Note 2 10 2 3 5 6" xfId="20957" xr:uid="{00000000-0005-0000-0000-0000A24E0000}"/>
    <cellStyle name="Note 2 10 2 3 5 7" xfId="20958" xr:uid="{00000000-0005-0000-0000-0000A34E0000}"/>
    <cellStyle name="Note 2 10 2 3 5 8" xfId="20959" xr:uid="{00000000-0005-0000-0000-0000A44E0000}"/>
    <cellStyle name="Note 2 10 2 3 5 9" xfId="20960" xr:uid="{00000000-0005-0000-0000-0000A54E0000}"/>
    <cellStyle name="Note 2 10 2 3 6" xfId="20961" xr:uid="{00000000-0005-0000-0000-0000A64E0000}"/>
    <cellStyle name="Note 2 10 2 3 7" xfId="20962" xr:uid="{00000000-0005-0000-0000-0000A74E0000}"/>
    <cellStyle name="Note 2 10 2 3 8" xfId="20963" xr:uid="{00000000-0005-0000-0000-0000A84E0000}"/>
    <cellStyle name="Note 2 10 2 3 9" xfId="20964" xr:uid="{00000000-0005-0000-0000-0000A94E0000}"/>
    <cellStyle name="Note 2 10 2 4" xfId="20965" xr:uid="{00000000-0005-0000-0000-0000AA4E0000}"/>
    <cellStyle name="Note 2 10 2 4 10" xfId="20966" xr:uid="{00000000-0005-0000-0000-0000AB4E0000}"/>
    <cellStyle name="Note 2 10 2 4 11" xfId="20967" xr:uid="{00000000-0005-0000-0000-0000AC4E0000}"/>
    <cellStyle name="Note 2 10 2 4 12" xfId="20968" xr:uid="{00000000-0005-0000-0000-0000AD4E0000}"/>
    <cellStyle name="Note 2 10 2 4 13" xfId="20969" xr:uid="{00000000-0005-0000-0000-0000AE4E0000}"/>
    <cellStyle name="Note 2 10 2 4 14" xfId="20970" xr:uid="{00000000-0005-0000-0000-0000AF4E0000}"/>
    <cellStyle name="Note 2 10 2 4 15" xfId="20971" xr:uid="{00000000-0005-0000-0000-0000B04E0000}"/>
    <cellStyle name="Note 2 10 2 4 16" xfId="20972" xr:uid="{00000000-0005-0000-0000-0000B14E0000}"/>
    <cellStyle name="Note 2 10 2 4 17" xfId="20973" xr:uid="{00000000-0005-0000-0000-0000B24E0000}"/>
    <cellStyle name="Note 2 10 2 4 18" xfId="20974" xr:uid="{00000000-0005-0000-0000-0000B34E0000}"/>
    <cellStyle name="Note 2 10 2 4 19" xfId="20975" xr:uid="{00000000-0005-0000-0000-0000B44E0000}"/>
    <cellStyle name="Note 2 10 2 4 2" xfId="20976" xr:uid="{00000000-0005-0000-0000-0000B54E0000}"/>
    <cellStyle name="Note 2 10 2 4 2 10" xfId="20977" xr:uid="{00000000-0005-0000-0000-0000B64E0000}"/>
    <cellStyle name="Note 2 10 2 4 2 11" xfId="20978" xr:uid="{00000000-0005-0000-0000-0000B74E0000}"/>
    <cellStyle name="Note 2 10 2 4 2 12" xfId="20979" xr:uid="{00000000-0005-0000-0000-0000B84E0000}"/>
    <cellStyle name="Note 2 10 2 4 2 13" xfId="20980" xr:uid="{00000000-0005-0000-0000-0000B94E0000}"/>
    <cellStyle name="Note 2 10 2 4 2 14" xfId="20981" xr:uid="{00000000-0005-0000-0000-0000BA4E0000}"/>
    <cellStyle name="Note 2 10 2 4 2 15" xfId="20982" xr:uid="{00000000-0005-0000-0000-0000BB4E0000}"/>
    <cellStyle name="Note 2 10 2 4 2 2" xfId="20983" xr:uid="{00000000-0005-0000-0000-0000BC4E0000}"/>
    <cellStyle name="Note 2 10 2 4 2 3" xfId="20984" xr:uid="{00000000-0005-0000-0000-0000BD4E0000}"/>
    <cellStyle name="Note 2 10 2 4 2 4" xfId="20985" xr:uid="{00000000-0005-0000-0000-0000BE4E0000}"/>
    <cellStyle name="Note 2 10 2 4 2 5" xfId="20986" xr:uid="{00000000-0005-0000-0000-0000BF4E0000}"/>
    <cellStyle name="Note 2 10 2 4 2 6" xfId="20987" xr:uid="{00000000-0005-0000-0000-0000C04E0000}"/>
    <cellStyle name="Note 2 10 2 4 2 7" xfId="20988" xr:uid="{00000000-0005-0000-0000-0000C14E0000}"/>
    <cellStyle name="Note 2 10 2 4 2 8" xfId="20989" xr:uid="{00000000-0005-0000-0000-0000C24E0000}"/>
    <cellStyle name="Note 2 10 2 4 2 9" xfId="20990" xr:uid="{00000000-0005-0000-0000-0000C34E0000}"/>
    <cellStyle name="Note 2 10 2 4 20" xfId="20991" xr:uid="{00000000-0005-0000-0000-0000C44E0000}"/>
    <cellStyle name="Note 2 10 2 4 3" xfId="20992" xr:uid="{00000000-0005-0000-0000-0000C54E0000}"/>
    <cellStyle name="Note 2 10 2 4 3 10" xfId="20993" xr:uid="{00000000-0005-0000-0000-0000C64E0000}"/>
    <cellStyle name="Note 2 10 2 4 3 11" xfId="20994" xr:uid="{00000000-0005-0000-0000-0000C74E0000}"/>
    <cellStyle name="Note 2 10 2 4 3 12" xfId="20995" xr:uid="{00000000-0005-0000-0000-0000C84E0000}"/>
    <cellStyle name="Note 2 10 2 4 3 13" xfId="20996" xr:uid="{00000000-0005-0000-0000-0000C94E0000}"/>
    <cellStyle name="Note 2 10 2 4 3 14" xfId="20997" xr:uid="{00000000-0005-0000-0000-0000CA4E0000}"/>
    <cellStyle name="Note 2 10 2 4 3 15" xfId="20998" xr:uid="{00000000-0005-0000-0000-0000CB4E0000}"/>
    <cellStyle name="Note 2 10 2 4 3 2" xfId="20999" xr:uid="{00000000-0005-0000-0000-0000CC4E0000}"/>
    <cellStyle name="Note 2 10 2 4 3 3" xfId="21000" xr:uid="{00000000-0005-0000-0000-0000CD4E0000}"/>
    <cellStyle name="Note 2 10 2 4 3 4" xfId="21001" xr:uid="{00000000-0005-0000-0000-0000CE4E0000}"/>
    <cellStyle name="Note 2 10 2 4 3 5" xfId="21002" xr:uid="{00000000-0005-0000-0000-0000CF4E0000}"/>
    <cellStyle name="Note 2 10 2 4 3 6" xfId="21003" xr:uid="{00000000-0005-0000-0000-0000D04E0000}"/>
    <cellStyle name="Note 2 10 2 4 3 7" xfId="21004" xr:uid="{00000000-0005-0000-0000-0000D14E0000}"/>
    <cellStyle name="Note 2 10 2 4 3 8" xfId="21005" xr:uid="{00000000-0005-0000-0000-0000D24E0000}"/>
    <cellStyle name="Note 2 10 2 4 3 9" xfId="21006" xr:uid="{00000000-0005-0000-0000-0000D34E0000}"/>
    <cellStyle name="Note 2 10 2 4 4" xfId="21007" xr:uid="{00000000-0005-0000-0000-0000D44E0000}"/>
    <cellStyle name="Note 2 10 2 4 4 10" xfId="21008" xr:uid="{00000000-0005-0000-0000-0000D54E0000}"/>
    <cellStyle name="Note 2 10 2 4 4 11" xfId="21009" xr:uid="{00000000-0005-0000-0000-0000D64E0000}"/>
    <cellStyle name="Note 2 10 2 4 4 12" xfId="21010" xr:uid="{00000000-0005-0000-0000-0000D74E0000}"/>
    <cellStyle name="Note 2 10 2 4 4 13" xfId="21011" xr:uid="{00000000-0005-0000-0000-0000D84E0000}"/>
    <cellStyle name="Note 2 10 2 4 4 14" xfId="21012" xr:uid="{00000000-0005-0000-0000-0000D94E0000}"/>
    <cellStyle name="Note 2 10 2 4 4 15" xfId="21013" xr:uid="{00000000-0005-0000-0000-0000DA4E0000}"/>
    <cellStyle name="Note 2 10 2 4 4 2" xfId="21014" xr:uid="{00000000-0005-0000-0000-0000DB4E0000}"/>
    <cellStyle name="Note 2 10 2 4 4 3" xfId="21015" xr:uid="{00000000-0005-0000-0000-0000DC4E0000}"/>
    <cellStyle name="Note 2 10 2 4 4 4" xfId="21016" xr:uid="{00000000-0005-0000-0000-0000DD4E0000}"/>
    <cellStyle name="Note 2 10 2 4 4 5" xfId="21017" xr:uid="{00000000-0005-0000-0000-0000DE4E0000}"/>
    <cellStyle name="Note 2 10 2 4 4 6" xfId="21018" xr:uid="{00000000-0005-0000-0000-0000DF4E0000}"/>
    <cellStyle name="Note 2 10 2 4 4 7" xfId="21019" xr:uid="{00000000-0005-0000-0000-0000E04E0000}"/>
    <cellStyle name="Note 2 10 2 4 4 8" xfId="21020" xr:uid="{00000000-0005-0000-0000-0000E14E0000}"/>
    <cellStyle name="Note 2 10 2 4 4 9" xfId="21021" xr:uid="{00000000-0005-0000-0000-0000E24E0000}"/>
    <cellStyle name="Note 2 10 2 4 5" xfId="21022" xr:uid="{00000000-0005-0000-0000-0000E34E0000}"/>
    <cellStyle name="Note 2 10 2 4 5 10" xfId="21023" xr:uid="{00000000-0005-0000-0000-0000E44E0000}"/>
    <cellStyle name="Note 2 10 2 4 5 11" xfId="21024" xr:uid="{00000000-0005-0000-0000-0000E54E0000}"/>
    <cellStyle name="Note 2 10 2 4 5 12" xfId="21025" xr:uid="{00000000-0005-0000-0000-0000E64E0000}"/>
    <cellStyle name="Note 2 10 2 4 5 13" xfId="21026" xr:uid="{00000000-0005-0000-0000-0000E74E0000}"/>
    <cellStyle name="Note 2 10 2 4 5 14" xfId="21027" xr:uid="{00000000-0005-0000-0000-0000E84E0000}"/>
    <cellStyle name="Note 2 10 2 4 5 15" xfId="21028" xr:uid="{00000000-0005-0000-0000-0000E94E0000}"/>
    <cellStyle name="Note 2 10 2 4 5 2" xfId="21029" xr:uid="{00000000-0005-0000-0000-0000EA4E0000}"/>
    <cellStyle name="Note 2 10 2 4 5 3" xfId="21030" xr:uid="{00000000-0005-0000-0000-0000EB4E0000}"/>
    <cellStyle name="Note 2 10 2 4 5 4" xfId="21031" xr:uid="{00000000-0005-0000-0000-0000EC4E0000}"/>
    <cellStyle name="Note 2 10 2 4 5 5" xfId="21032" xr:uid="{00000000-0005-0000-0000-0000ED4E0000}"/>
    <cellStyle name="Note 2 10 2 4 5 6" xfId="21033" xr:uid="{00000000-0005-0000-0000-0000EE4E0000}"/>
    <cellStyle name="Note 2 10 2 4 5 7" xfId="21034" xr:uid="{00000000-0005-0000-0000-0000EF4E0000}"/>
    <cellStyle name="Note 2 10 2 4 5 8" xfId="21035" xr:uid="{00000000-0005-0000-0000-0000F04E0000}"/>
    <cellStyle name="Note 2 10 2 4 5 9" xfId="21036" xr:uid="{00000000-0005-0000-0000-0000F14E0000}"/>
    <cellStyle name="Note 2 10 2 4 6" xfId="21037" xr:uid="{00000000-0005-0000-0000-0000F24E0000}"/>
    <cellStyle name="Note 2 10 2 4 7" xfId="21038" xr:uid="{00000000-0005-0000-0000-0000F34E0000}"/>
    <cellStyle name="Note 2 10 2 4 8" xfId="21039" xr:uid="{00000000-0005-0000-0000-0000F44E0000}"/>
    <cellStyle name="Note 2 10 2 4 9" xfId="21040" xr:uid="{00000000-0005-0000-0000-0000F54E0000}"/>
    <cellStyle name="Note 2 10 2 5" xfId="21041" xr:uid="{00000000-0005-0000-0000-0000F64E0000}"/>
    <cellStyle name="Note 2 10 2 5 10" xfId="21042" xr:uid="{00000000-0005-0000-0000-0000F74E0000}"/>
    <cellStyle name="Note 2 10 2 5 11" xfId="21043" xr:uid="{00000000-0005-0000-0000-0000F84E0000}"/>
    <cellStyle name="Note 2 10 2 5 12" xfId="21044" xr:uid="{00000000-0005-0000-0000-0000F94E0000}"/>
    <cellStyle name="Note 2 10 2 5 13" xfId="21045" xr:uid="{00000000-0005-0000-0000-0000FA4E0000}"/>
    <cellStyle name="Note 2 10 2 5 14" xfId="21046" xr:uid="{00000000-0005-0000-0000-0000FB4E0000}"/>
    <cellStyle name="Note 2 10 2 5 15" xfId="21047" xr:uid="{00000000-0005-0000-0000-0000FC4E0000}"/>
    <cellStyle name="Note 2 10 2 5 2" xfId="21048" xr:uid="{00000000-0005-0000-0000-0000FD4E0000}"/>
    <cellStyle name="Note 2 10 2 5 3" xfId="21049" xr:uid="{00000000-0005-0000-0000-0000FE4E0000}"/>
    <cellStyle name="Note 2 10 2 5 4" xfId="21050" xr:uid="{00000000-0005-0000-0000-0000FF4E0000}"/>
    <cellStyle name="Note 2 10 2 5 5" xfId="21051" xr:uid="{00000000-0005-0000-0000-0000004F0000}"/>
    <cellStyle name="Note 2 10 2 5 6" xfId="21052" xr:uid="{00000000-0005-0000-0000-0000014F0000}"/>
    <cellStyle name="Note 2 10 2 5 7" xfId="21053" xr:uid="{00000000-0005-0000-0000-0000024F0000}"/>
    <cellStyle name="Note 2 10 2 5 8" xfId="21054" xr:uid="{00000000-0005-0000-0000-0000034F0000}"/>
    <cellStyle name="Note 2 10 2 5 9" xfId="21055" xr:uid="{00000000-0005-0000-0000-0000044F0000}"/>
    <cellStyle name="Note 2 10 2 6" xfId="21056" xr:uid="{00000000-0005-0000-0000-0000054F0000}"/>
    <cellStyle name="Note 2 10 2 6 10" xfId="21057" xr:uid="{00000000-0005-0000-0000-0000064F0000}"/>
    <cellStyle name="Note 2 10 2 6 11" xfId="21058" xr:uid="{00000000-0005-0000-0000-0000074F0000}"/>
    <cellStyle name="Note 2 10 2 6 12" xfId="21059" xr:uid="{00000000-0005-0000-0000-0000084F0000}"/>
    <cellStyle name="Note 2 10 2 6 13" xfId="21060" xr:uid="{00000000-0005-0000-0000-0000094F0000}"/>
    <cellStyle name="Note 2 10 2 6 14" xfId="21061" xr:uid="{00000000-0005-0000-0000-00000A4F0000}"/>
    <cellStyle name="Note 2 10 2 6 15" xfId="21062" xr:uid="{00000000-0005-0000-0000-00000B4F0000}"/>
    <cellStyle name="Note 2 10 2 6 2" xfId="21063" xr:uid="{00000000-0005-0000-0000-00000C4F0000}"/>
    <cellStyle name="Note 2 10 2 6 3" xfId="21064" xr:uid="{00000000-0005-0000-0000-00000D4F0000}"/>
    <cellStyle name="Note 2 10 2 6 4" xfId="21065" xr:uid="{00000000-0005-0000-0000-00000E4F0000}"/>
    <cellStyle name="Note 2 10 2 6 5" xfId="21066" xr:uid="{00000000-0005-0000-0000-00000F4F0000}"/>
    <cellStyle name="Note 2 10 2 6 6" xfId="21067" xr:uid="{00000000-0005-0000-0000-0000104F0000}"/>
    <cellStyle name="Note 2 10 2 6 7" xfId="21068" xr:uid="{00000000-0005-0000-0000-0000114F0000}"/>
    <cellStyle name="Note 2 10 2 6 8" xfId="21069" xr:uid="{00000000-0005-0000-0000-0000124F0000}"/>
    <cellStyle name="Note 2 10 2 6 9" xfId="21070" xr:uid="{00000000-0005-0000-0000-0000134F0000}"/>
    <cellStyle name="Note 2 10 2 7" xfId="21071" xr:uid="{00000000-0005-0000-0000-0000144F0000}"/>
    <cellStyle name="Note 2 10 2 7 10" xfId="21072" xr:uid="{00000000-0005-0000-0000-0000154F0000}"/>
    <cellStyle name="Note 2 10 2 7 11" xfId="21073" xr:uid="{00000000-0005-0000-0000-0000164F0000}"/>
    <cellStyle name="Note 2 10 2 7 12" xfId="21074" xr:uid="{00000000-0005-0000-0000-0000174F0000}"/>
    <cellStyle name="Note 2 10 2 7 13" xfId="21075" xr:uid="{00000000-0005-0000-0000-0000184F0000}"/>
    <cellStyle name="Note 2 10 2 7 14" xfId="21076" xr:uid="{00000000-0005-0000-0000-0000194F0000}"/>
    <cellStyle name="Note 2 10 2 7 15" xfId="21077" xr:uid="{00000000-0005-0000-0000-00001A4F0000}"/>
    <cellStyle name="Note 2 10 2 7 2" xfId="21078" xr:uid="{00000000-0005-0000-0000-00001B4F0000}"/>
    <cellStyle name="Note 2 10 2 7 3" xfId="21079" xr:uid="{00000000-0005-0000-0000-00001C4F0000}"/>
    <cellStyle name="Note 2 10 2 7 4" xfId="21080" xr:uid="{00000000-0005-0000-0000-00001D4F0000}"/>
    <cellStyle name="Note 2 10 2 7 5" xfId="21081" xr:uid="{00000000-0005-0000-0000-00001E4F0000}"/>
    <cellStyle name="Note 2 10 2 7 6" xfId="21082" xr:uid="{00000000-0005-0000-0000-00001F4F0000}"/>
    <cellStyle name="Note 2 10 2 7 7" xfId="21083" xr:uid="{00000000-0005-0000-0000-0000204F0000}"/>
    <cellStyle name="Note 2 10 2 7 8" xfId="21084" xr:uid="{00000000-0005-0000-0000-0000214F0000}"/>
    <cellStyle name="Note 2 10 2 7 9" xfId="21085" xr:uid="{00000000-0005-0000-0000-0000224F0000}"/>
    <cellStyle name="Note 2 10 2 8" xfId="21086" xr:uid="{00000000-0005-0000-0000-0000234F0000}"/>
    <cellStyle name="Note 2 10 2 8 10" xfId="21087" xr:uid="{00000000-0005-0000-0000-0000244F0000}"/>
    <cellStyle name="Note 2 10 2 8 11" xfId="21088" xr:uid="{00000000-0005-0000-0000-0000254F0000}"/>
    <cellStyle name="Note 2 10 2 8 12" xfId="21089" xr:uid="{00000000-0005-0000-0000-0000264F0000}"/>
    <cellStyle name="Note 2 10 2 8 13" xfId="21090" xr:uid="{00000000-0005-0000-0000-0000274F0000}"/>
    <cellStyle name="Note 2 10 2 8 14" xfId="21091" xr:uid="{00000000-0005-0000-0000-0000284F0000}"/>
    <cellStyle name="Note 2 10 2 8 15" xfId="21092" xr:uid="{00000000-0005-0000-0000-0000294F0000}"/>
    <cellStyle name="Note 2 10 2 8 2" xfId="21093" xr:uid="{00000000-0005-0000-0000-00002A4F0000}"/>
    <cellStyle name="Note 2 10 2 8 3" xfId="21094" xr:uid="{00000000-0005-0000-0000-00002B4F0000}"/>
    <cellStyle name="Note 2 10 2 8 4" xfId="21095" xr:uid="{00000000-0005-0000-0000-00002C4F0000}"/>
    <cellStyle name="Note 2 10 2 8 5" xfId="21096" xr:uid="{00000000-0005-0000-0000-00002D4F0000}"/>
    <cellStyle name="Note 2 10 2 8 6" xfId="21097" xr:uid="{00000000-0005-0000-0000-00002E4F0000}"/>
    <cellStyle name="Note 2 10 2 8 7" xfId="21098" xr:uid="{00000000-0005-0000-0000-00002F4F0000}"/>
    <cellStyle name="Note 2 10 2 8 8" xfId="21099" xr:uid="{00000000-0005-0000-0000-0000304F0000}"/>
    <cellStyle name="Note 2 10 2 8 9" xfId="21100" xr:uid="{00000000-0005-0000-0000-0000314F0000}"/>
    <cellStyle name="Note 2 10 2 9" xfId="21101" xr:uid="{00000000-0005-0000-0000-0000324F0000}"/>
    <cellStyle name="Note 2 10 20" xfId="21102" xr:uid="{00000000-0005-0000-0000-0000334F0000}"/>
    <cellStyle name="Note 2 10 21" xfId="21103" xr:uid="{00000000-0005-0000-0000-0000344F0000}"/>
    <cellStyle name="Note 2 10 22" xfId="21104" xr:uid="{00000000-0005-0000-0000-0000354F0000}"/>
    <cellStyle name="Note 2 10 23" xfId="21105" xr:uid="{00000000-0005-0000-0000-0000364F0000}"/>
    <cellStyle name="Note 2 10 24" xfId="21106" xr:uid="{00000000-0005-0000-0000-0000374F0000}"/>
    <cellStyle name="Note 2 10 3" xfId="21107" xr:uid="{00000000-0005-0000-0000-0000384F0000}"/>
    <cellStyle name="Note 2 10 3 10" xfId="21108" xr:uid="{00000000-0005-0000-0000-0000394F0000}"/>
    <cellStyle name="Note 2 10 3 11" xfId="21109" xr:uid="{00000000-0005-0000-0000-00003A4F0000}"/>
    <cellStyle name="Note 2 10 3 12" xfId="21110" xr:uid="{00000000-0005-0000-0000-00003B4F0000}"/>
    <cellStyle name="Note 2 10 3 13" xfId="21111" xr:uid="{00000000-0005-0000-0000-00003C4F0000}"/>
    <cellStyle name="Note 2 10 3 14" xfId="21112" xr:uid="{00000000-0005-0000-0000-00003D4F0000}"/>
    <cellStyle name="Note 2 10 3 15" xfId="21113" xr:uid="{00000000-0005-0000-0000-00003E4F0000}"/>
    <cellStyle name="Note 2 10 3 16" xfId="21114" xr:uid="{00000000-0005-0000-0000-00003F4F0000}"/>
    <cellStyle name="Note 2 10 3 17" xfId="21115" xr:uid="{00000000-0005-0000-0000-0000404F0000}"/>
    <cellStyle name="Note 2 10 3 18" xfId="21116" xr:uid="{00000000-0005-0000-0000-0000414F0000}"/>
    <cellStyle name="Note 2 10 3 19" xfId="21117" xr:uid="{00000000-0005-0000-0000-0000424F0000}"/>
    <cellStyle name="Note 2 10 3 2" xfId="21118" xr:uid="{00000000-0005-0000-0000-0000434F0000}"/>
    <cellStyle name="Note 2 10 3 2 10" xfId="21119" xr:uid="{00000000-0005-0000-0000-0000444F0000}"/>
    <cellStyle name="Note 2 10 3 2 11" xfId="21120" xr:uid="{00000000-0005-0000-0000-0000454F0000}"/>
    <cellStyle name="Note 2 10 3 2 12" xfId="21121" xr:uid="{00000000-0005-0000-0000-0000464F0000}"/>
    <cellStyle name="Note 2 10 3 2 13" xfId="21122" xr:uid="{00000000-0005-0000-0000-0000474F0000}"/>
    <cellStyle name="Note 2 10 3 2 14" xfId="21123" xr:uid="{00000000-0005-0000-0000-0000484F0000}"/>
    <cellStyle name="Note 2 10 3 2 15" xfId="21124" xr:uid="{00000000-0005-0000-0000-0000494F0000}"/>
    <cellStyle name="Note 2 10 3 2 2" xfId="21125" xr:uid="{00000000-0005-0000-0000-00004A4F0000}"/>
    <cellStyle name="Note 2 10 3 2 3" xfId="21126" xr:uid="{00000000-0005-0000-0000-00004B4F0000}"/>
    <cellStyle name="Note 2 10 3 2 4" xfId="21127" xr:uid="{00000000-0005-0000-0000-00004C4F0000}"/>
    <cellStyle name="Note 2 10 3 2 5" xfId="21128" xr:uid="{00000000-0005-0000-0000-00004D4F0000}"/>
    <cellStyle name="Note 2 10 3 2 6" xfId="21129" xr:uid="{00000000-0005-0000-0000-00004E4F0000}"/>
    <cellStyle name="Note 2 10 3 2 7" xfId="21130" xr:uid="{00000000-0005-0000-0000-00004F4F0000}"/>
    <cellStyle name="Note 2 10 3 2 8" xfId="21131" xr:uid="{00000000-0005-0000-0000-0000504F0000}"/>
    <cellStyle name="Note 2 10 3 2 9" xfId="21132" xr:uid="{00000000-0005-0000-0000-0000514F0000}"/>
    <cellStyle name="Note 2 10 3 20" xfId="21133" xr:uid="{00000000-0005-0000-0000-0000524F0000}"/>
    <cellStyle name="Note 2 10 3 3" xfId="21134" xr:uid="{00000000-0005-0000-0000-0000534F0000}"/>
    <cellStyle name="Note 2 10 3 3 10" xfId="21135" xr:uid="{00000000-0005-0000-0000-0000544F0000}"/>
    <cellStyle name="Note 2 10 3 3 11" xfId="21136" xr:uid="{00000000-0005-0000-0000-0000554F0000}"/>
    <cellStyle name="Note 2 10 3 3 12" xfId="21137" xr:uid="{00000000-0005-0000-0000-0000564F0000}"/>
    <cellStyle name="Note 2 10 3 3 13" xfId="21138" xr:uid="{00000000-0005-0000-0000-0000574F0000}"/>
    <cellStyle name="Note 2 10 3 3 14" xfId="21139" xr:uid="{00000000-0005-0000-0000-0000584F0000}"/>
    <cellStyle name="Note 2 10 3 3 15" xfId="21140" xr:uid="{00000000-0005-0000-0000-0000594F0000}"/>
    <cellStyle name="Note 2 10 3 3 2" xfId="21141" xr:uid="{00000000-0005-0000-0000-00005A4F0000}"/>
    <cellStyle name="Note 2 10 3 3 3" xfId="21142" xr:uid="{00000000-0005-0000-0000-00005B4F0000}"/>
    <cellStyle name="Note 2 10 3 3 4" xfId="21143" xr:uid="{00000000-0005-0000-0000-00005C4F0000}"/>
    <cellStyle name="Note 2 10 3 3 5" xfId="21144" xr:uid="{00000000-0005-0000-0000-00005D4F0000}"/>
    <cellStyle name="Note 2 10 3 3 6" xfId="21145" xr:uid="{00000000-0005-0000-0000-00005E4F0000}"/>
    <cellStyle name="Note 2 10 3 3 7" xfId="21146" xr:uid="{00000000-0005-0000-0000-00005F4F0000}"/>
    <cellStyle name="Note 2 10 3 3 8" xfId="21147" xr:uid="{00000000-0005-0000-0000-0000604F0000}"/>
    <cellStyle name="Note 2 10 3 3 9" xfId="21148" xr:uid="{00000000-0005-0000-0000-0000614F0000}"/>
    <cellStyle name="Note 2 10 3 4" xfId="21149" xr:uid="{00000000-0005-0000-0000-0000624F0000}"/>
    <cellStyle name="Note 2 10 3 4 10" xfId="21150" xr:uid="{00000000-0005-0000-0000-0000634F0000}"/>
    <cellStyle name="Note 2 10 3 4 11" xfId="21151" xr:uid="{00000000-0005-0000-0000-0000644F0000}"/>
    <cellStyle name="Note 2 10 3 4 12" xfId="21152" xr:uid="{00000000-0005-0000-0000-0000654F0000}"/>
    <cellStyle name="Note 2 10 3 4 13" xfId="21153" xr:uid="{00000000-0005-0000-0000-0000664F0000}"/>
    <cellStyle name="Note 2 10 3 4 14" xfId="21154" xr:uid="{00000000-0005-0000-0000-0000674F0000}"/>
    <cellStyle name="Note 2 10 3 4 15" xfId="21155" xr:uid="{00000000-0005-0000-0000-0000684F0000}"/>
    <cellStyle name="Note 2 10 3 4 2" xfId="21156" xr:uid="{00000000-0005-0000-0000-0000694F0000}"/>
    <cellStyle name="Note 2 10 3 4 3" xfId="21157" xr:uid="{00000000-0005-0000-0000-00006A4F0000}"/>
    <cellStyle name="Note 2 10 3 4 4" xfId="21158" xr:uid="{00000000-0005-0000-0000-00006B4F0000}"/>
    <cellStyle name="Note 2 10 3 4 5" xfId="21159" xr:uid="{00000000-0005-0000-0000-00006C4F0000}"/>
    <cellStyle name="Note 2 10 3 4 6" xfId="21160" xr:uid="{00000000-0005-0000-0000-00006D4F0000}"/>
    <cellStyle name="Note 2 10 3 4 7" xfId="21161" xr:uid="{00000000-0005-0000-0000-00006E4F0000}"/>
    <cellStyle name="Note 2 10 3 4 8" xfId="21162" xr:uid="{00000000-0005-0000-0000-00006F4F0000}"/>
    <cellStyle name="Note 2 10 3 4 9" xfId="21163" xr:uid="{00000000-0005-0000-0000-0000704F0000}"/>
    <cellStyle name="Note 2 10 3 5" xfId="21164" xr:uid="{00000000-0005-0000-0000-0000714F0000}"/>
    <cellStyle name="Note 2 10 3 5 10" xfId="21165" xr:uid="{00000000-0005-0000-0000-0000724F0000}"/>
    <cellStyle name="Note 2 10 3 5 11" xfId="21166" xr:uid="{00000000-0005-0000-0000-0000734F0000}"/>
    <cellStyle name="Note 2 10 3 5 12" xfId="21167" xr:uid="{00000000-0005-0000-0000-0000744F0000}"/>
    <cellStyle name="Note 2 10 3 5 13" xfId="21168" xr:uid="{00000000-0005-0000-0000-0000754F0000}"/>
    <cellStyle name="Note 2 10 3 5 14" xfId="21169" xr:uid="{00000000-0005-0000-0000-0000764F0000}"/>
    <cellStyle name="Note 2 10 3 5 15" xfId="21170" xr:uid="{00000000-0005-0000-0000-0000774F0000}"/>
    <cellStyle name="Note 2 10 3 5 2" xfId="21171" xr:uid="{00000000-0005-0000-0000-0000784F0000}"/>
    <cellStyle name="Note 2 10 3 5 3" xfId="21172" xr:uid="{00000000-0005-0000-0000-0000794F0000}"/>
    <cellStyle name="Note 2 10 3 5 4" xfId="21173" xr:uid="{00000000-0005-0000-0000-00007A4F0000}"/>
    <cellStyle name="Note 2 10 3 5 5" xfId="21174" xr:uid="{00000000-0005-0000-0000-00007B4F0000}"/>
    <cellStyle name="Note 2 10 3 5 6" xfId="21175" xr:uid="{00000000-0005-0000-0000-00007C4F0000}"/>
    <cellStyle name="Note 2 10 3 5 7" xfId="21176" xr:uid="{00000000-0005-0000-0000-00007D4F0000}"/>
    <cellStyle name="Note 2 10 3 5 8" xfId="21177" xr:uid="{00000000-0005-0000-0000-00007E4F0000}"/>
    <cellStyle name="Note 2 10 3 5 9" xfId="21178" xr:uid="{00000000-0005-0000-0000-00007F4F0000}"/>
    <cellStyle name="Note 2 10 3 6" xfId="21179" xr:uid="{00000000-0005-0000-0000-0000804F0000}"/>
    <cellStyle name="Note 2 10 3 7" xfId="21180" xr:uid="{00000000-0005-0000-0000-0000814F0000}"/>
    <cellStyle name="Note 2 10 3 8" xfId="21181" xr:uid="{00000000-0005-0000-0000-0000824F0000}"/>
    <cellStyle name="Note 2 10 3 9" xfId="21182" xr:uid="{00000000-0005-0000-0000-0000834F0000}"/>
    <cellStyle name="Note 2 10 4" xfId="21183" xr:uid="{00000000-0005-0000-0000-0000844F0000}"/>
    <cellStyle name="Note 2 10 4 10" xfId="21184" xr:uid="{00000000-0005-0000-0000-0000854F0000}"/>
    <cellStyle name="Note 2 10 4 11" xfId="21185" xr:uid="{00000000-0005-0000-0000-0000864F0000}"/>
    <cellStyle name="Note 2 10 4 12" xfId="21186" xr:uid="{00000000-0005-0000-0000-0000874F0000}"/>
    <cellStyle name="Note 2 10 4 13" xfId="21187" xr:uid="{00000000-0005-0000-0000-0000884F0000}"/>
    <cellStyle name="Note 2 10 4 14" xfId="21188" xr:uid="{00000000-0005-0000-0000-0000894F0000}"/>
    <cellStyle name="Note 2 10 4 15" xfId="21189" xr:uid="{00000000-0005-0000-0000-00008A4F0000}"/>
    <cellStyle name="Note 2 10 4 16" xfId="21190" xr:uid="{00000000-0005-0000-0000-00008B4F0000}"/>
    <cellStyle name="Note 2 10 4 17" xfId="21191" xr:uid="{00000000-0005-0000-0000-00008C4F0000}"/>
    <cellStyle name="Note 2 10 4 18" xfId="21192" xr:uid="{00000000-0005-0000-0000-00008D4F0000}"/>
    <cellStyle name="Note 2 10 4 19" xfId="21193" xr:uid="{00000000-0005-0000-0000-00008E4F0000}"/>
    <cellStyle name="Note 2 10 4 2" xfId="21194" xr:uid="{00000000-0005-0000-0000-00008F4F0000}"/>
    <cellStyle name="Note 2 10 4 2 10" xfId="21195" xr:uid="{00000000-0005-0000-0000-0000904F0000}"/>
    <cellStyle name="Note 2 10 4 2 11" xfId="21196" xr:uid="{00000000-0005-0000-0000-0000914F0000}"/>
    <cellStyle name="Note 2 10 4 2 12" xfId="21197" xr:uid="{00000000-0005-0000-0000-0000924F0000}"/>
    <cellStyle name="Note 2 10 4 2 13" xfId="21198" xr:uid="{00000000-0005-0000-0000-0000934F0000}"/>
    <cellStyle name="Note 2 10 4 2 14" xfId="21199" xr:uid="{00000000-0005-0000-0000-0000944F0000}"/>
    <cellStyle name="Note 2 10 4 2 15" xfId="21200" xr:uid="{00000000-0005-0000-0000-0000954F0000}"/>
    <cellStyle name="Note 2 10 4 2 2" xfId="21201" xr:uid="{00000000-0005-0000-0000-0000964F0000}"/>
    <cellStyle name="Note 2 10 4 2 3" xfId="21202" xr:uid="{00000000-0005-0000-0000-0000974F0000}"/>
    <cellStyle name="Note 2 10 4 2 4" xfId="21203" xr:uid="{00000000-0005-0000-0000-0000984F0000}"/>
    <cellStyle name="Note 2 10 4 2 5" xfId="21204" xr:uid="{00000000-0005-0000-0000-0000994F0000}"/>
    <cellStyle name="Note 2 10 4 2 6" xfId="21205" xr:uid="{00000000-0005-0000-0000-00009A4F0000}"/>
    <cellStyle name="Note 2 10 4 2 7" xfId="21206" xr:uid="{00000000-0005-0000-0000-00009B4F0000}"/>
    <cellStyle name="Note 2 10 4 2 8" xfId="21207" xr:uid="{00000000-0005-0000-0000-00009C4F0000}"/>
    <cellStyle name="Note 2 10 4 2 9" xfId="21208" xr:uid="{00000000-0005-0000-0000-00009D4F0000}"/>
    <cellStyle name="Note 2 10 4 20" xfId="21209" xr:uid="{00000000-0005-0000-0000-00009E4F0000}"/>
    <cellStyle name="Note 2 10 4 3" xfId="21210" xr:uid="{00000000-0005-0000-0000-00009F4F0000}"/>
    <cellStyle name="Note 2 10 4 3 10" xfId="21211" xr:uid="{00000000-0005-0000-0000-0000A04F0000}"/>
    <cellStyle name="Note 2 10 4 3 11" xfId="21212" xr:uid="{00000000-0005-0000-0000-0000A14F0000}"/>
    <cellStyle name="Note 2 10 4 3 12" xfId="21213" xr:uid="{00000000-0005-0000-0000-0000A24F0000}"/>
    <cellStyle name="Note 2 10 4 3 13" xfId="21214" xr:uid="{00000000-0005-0000-0000-0000A34F0000}"/>
    <cellStyle name="Note 2 10 4 3 14" xfId="21215" xr:uid="{00000000-0005-0000-0000-0000A44F0000}"/>
    <cellStyle name="Note 2 10 4 3 15" xfId="21216" xr:uid="{00000000-0005-0000-0000-0000A54F0000}"/>
    <cellStyle name="Note 2 10 4 3 2" xfId="21217" xr:uid="{00000000-0005-0000-0000-0000A64F0000}"/>
    <cellStyle name="Note 2 10 4 3 3" xfId="21218" xr:uid="{00000000-0005-0000-0000-0000A74F0000}"/>
    <cellStyle name="Note 2 10 4 3 4" xfId="21219" xr:uid="{00000000-0005-0000-0000-0000A84F0000}"/>
    <cellStyle name="Note 2 10 4 3 5" xfId="21220" xr:uid="{00000000-0005-0000-0000-0000A94F0000}"/>
    <cellStyle name="Note 2 10 4 3 6" xfId="21221" xr:uid="{00000000-0005-0000-0000-0000AA4F0000}"/>
    <cellStyle name="Note 2 10 4 3 7" xfId="21222" xr:uid="{00000000-0005-0000-0000-0000AB4F0000}"/>
    <cellStyle name="Note 2 10 4 3 8" xfId="21223" xr:uid="{00000000-0005-0000-0000-0000AC4F0000}"/>
    <cellStyle name="Note 2 10 4 3 9" xfId="21224" xr:uid="{00000000-0005-0000-0000-0000AD4F0000}"/>
    <cellStyle name="Note 2 10 4 4" xfId="21225" xr:uid="{00000000-0005-0000-0000-0000AE4F0000}"/>
    <cellStyle name="Note 2 10 4 4 10" xfId="21226" xr:uid="{00000000-0005-0000-0000-0000AF4F0000}"/>
    <cellStyle name="Note 2 10 4 4 11" xfId="21227" xr:uid="{00000000-0005-0000-0000-0000B04F0000}"/>
    <cellStyle name="Note 2 10 4 4 12" xfId="21228" xr:uid="{00000000-0005-0000-0000-0000B14F0000}"/>
    <cellStyle name="Note 2 10 4 4 13" xfId="21229" xr:uid="{00000000-0005-0000-0000-0000B24F0000}"/>
    <cellStyle name="Note 2 10 4 4 14" xfId="21230" xr:uid="{00000000-0005-0000-0000-0000B34F0000}"/>
    <cellStyle name="Note 2 10 4 4 15" xfId="21231" xr:uid="{00000000-0005-0000-0000-0000B44F0000}"/>
    <cellStyle name="Note 2 10 4 4 2" xfId="21232" xr:uid="{00000000-0005-0000-0000-0000B54F0000}"/>
    <cellStyle name="Note 2 10 4 4 3" xfId="21233" xr:uid="{00000000-0005-0000-0000-0000B64F0000}"/>
    <cellStyle name="Note 2 10 4 4 4" xfId="21234" xr:uid="{00000000-0005-0000-0000-0000B74F0000}"/>
    <cellStyle name="Note 2 10 4 4 5" xfId="21235" xr:uid="{00000000-0005-0000-0000-0000B84F0000}"/>
    <cellStyle name="Note 2 10 4 4 6" xfId="21236" xr:uid="{00000000-0005-0000-0000-0000B94F0000}"/>
    <cellStyle name="Note 2 10 4 4 7" xfId="21237" xr:uid="{00000000-0005-0000-0000-0000BA4F0000}"/>
    <cellStyle name="Note 2 10 4 4 8" xfId="21238" xr:uid="{00000000-0005-0000-0000-0000BB4F0000}"/>
    <cellStyle name="Note 2 10 4 4 9" xfId="21239" xr:uid="{00000000-0005-0000-0000-0000BC4F0000}"/>
    <cellStyle name="Note 2 10 4 5" xfId="21240" xr:uid="{00000000-0005-0000-0000-0000BD4F0000}"/>
    <cellStyle name="Note 2 10 4 5 10" xfId="21241" xr:uid="{00000000-0005-0000-0000-0000BE4F0000}"/>
    <cellStyle name="Note 2 10 4 5 11" xfId="21242" xr:uid="{00000000-0005-0000-0000-0000BF4F0000}"/>
    <cellStyle name="Note 2 10 4 5 12" xfId="21243" xr:uid="{00000000-0005-0000-0000-0000C04F0000}"/>
    <cellStyle name="Note 2 10 4 5 13" xfId="21244" xr:uid="{00000000-0005-0000-0000-0000C14F0000}"/>
    <cellStyle name="Note 2 10 4 5 14" xfId="21245" xr:uid="{00000000-0005-0000-0000-0000C24F0000}"/>
    <cellStyle name="Note 2 10 4 5 15" xfId="21246" xr:uid="{00000000-0005-0000-0000-0000C34F0000}"/>
    <cellStyle name="Note 2 10 4 5 2" xfId="21247" xr:uid="{00000000-0005-0000-0000-0000C44F0000}"/>
    <cellStyle name="Note 2 10 4 5 3" xfId="21248" xr:uid="{00000000-0005-0000-0000-0000C54F0000}"/>
    <cellStyle name="Note 2 10 4 5 4" xfId="21249" xr:uid="{00000000-0005-0000-0000-0000C64F0000}"/>
    <cellStyle name="Note 2 10 4 5 5" xfId="21250" xr:uid="{00000000-0005-0000-0000-0000C74F0000}"/>
    <cellStyle name="Note 2 10 4 5 6" xfId="21251" xr:uid="{00000000-0005-0000-0000-0000C84F0000}"/>
    <cellStyle name="Note 2 10 4 5 7" xfId="21252" xr:uid="{00000000-0005-0000-0000-0000C94F0000}"/>
    <cellStyle name="Note 2 10 4 5 8" xfId="21253" xr:uid="{00000000-0005-0000-0000-0000CA4F0000}"/>
    <cellStyle name="Note 2 10 4 5 9" xfId="21254" xr:uid="{00000000-0005-0000-0000-0000CB4F0000}"/>
    <cellStyle name="Note 2 10 4 6" xfId="21255" xr:uid="{00000000-0005-0000-0000-0000CC4F0000}"/>
    <cellStyle name="Note 2 10 4 7" xfId="21256" xr:uid="{00000000-0005-0000-0000-0000CD4F0000}"/>
    <cellStyle name="Note 2 10 4 8" xfId="21257" xr:uid="{00000000-0005-0000-0000-0000CE4F0000}"/>
    <cellStyle name="Note 2 10 4 9" xfId="21258" xr:uid="{00000000-0005-0000-0000-0000CF4F0000}"/>
    <cellStyle name="Note 2 10 5" xfId="21259" xr:uid="{00000000-0005-0000-0000-0000D04F0000}"/>
    <cellStyle name="Note 2 10 5 10" xfId="21260" xr:uid="{00000000-0005-0000-0000-0000D14F0000}"/>
    <cellStyle name="Note 2 10 5 11" xfId="21261" xr:uid="{00000000-0005-0000-0000-0000D24F0000}"/>
    <cellStyle name="Note 2 10 5 12" xfId="21262" xr:uid="{00000000-0005-0000-0000-0000D34F0000}"/>
    <cellStyle name="Note 2 10 5 13" xfId="21263" xr:uid="{00000000-0005-0000-0000-0000D44F0000}"/>
    <cellStyle name="Note 2 10 5 14" xfId="21264" xr:uid="{00000000-0005-0000-0000-0000D54F0000}"/>
    <cellStyle name="Note 2 10 5 15" xfId="21265" xr:uid="{00000000-0005-0000-0000-0000D64F0000}"/>
    <cellStyle name="Note 2 10 5 16" xfId="21266" xr:uid="{00000000-0005-0000-0000-0000D74F0000}"/>
    <cellStyle name="Note 2 10 5 17" xfId="21267" xr:uid="{00000000-0005-0000-0000-0000D84F0000}"/>
    <cellStyle name="Note 2 10 5 18" xfId="21268" xr:uid="{00000000-0005-0000-0000-0000D94F0000}"/>
    <cellStyle name="Note 2 10 5 19" xfId="21269" xr:uid="{00000000-0005-0000-0000-0000DA4F0000}"/>
    <cellStyle name="Note 2 10 5 2" xfId="21270" xr:uid="{00000000-0005-0000-0000-0000DB4F0000}"/>
    <cellStyle name="Note 2 10 5 2 10" xfId="21271" xr:uid="{00000000-0005-0000-0000-0000DC4F0000}"/>
    <cellStyle name="Note 2 10 5 2 11" xfId="21272" xr:uid="{00000000-0005-0000-0000-0000DD4F0000}"/>
    <cellStyle name="Note 2 10 5 2 12" xfId="21273" xr:uid="{00000000-0005-0000-0000-0000DE4F0000}"/>
    <cellStyle name="Note 2 10 5 2 13" xfId="21274" xr:uid="{00000000-0005-0000-0000-0000DF4F0000}"/>
    <cellStyle name="Note 2 10 5 2 14" xfId="21275" xr:uid="{00000000-0005-0000-0000-0000E04F0000}"/>
    <cellStyle name="Note 2 10 5 2 15" xfId="21276" xr:uid="{00000000-0005-0000-0000-0000E14F0000}"/>
    <cellStyle name="Note 2 10 5 2 2" xfId="21277" xr:uid="{00000000-0005-0000-0000-0000E24F0000}"/>
    <cellStyle name="Note 2 10 5 2 3" xfId="21278" xr:uid="{00000000-0005-0000-0000-0000E34F0000}"/>
    <cellStyle name="Note 2 10 5 2 4" xfId="21279" xr:uid="{00000000-0005-0000-0000-0000E44F0000}"/>
    <cellStyle name="Note 2 10 5 2 5" xfId="21280" xr:uid="{00000000-0005-0000-0000-0000E54F0000}"/>
    <cellStyle name="Note 2 10 5 2 6" xfId="21281" xr:uid="{00000000-0005-0000-0000-0000E64F0000}"/>
    <cellStyle name="Note 2 10 5 2 7" xfId="21282" xr:uid="{00000000-0005-0000-0000-0000E74F0000}"/>
    <cellStyle name="Note 2 10 5 2 8" xfId="21283" xr:uid="{00000000-0005-0000-0000-0000E84F0000}"/>
    <cellStyle name="Note 2 10 5 2 9" xfId="21284" xr:uid="{00000000-0005-0000-0000-0000E94F0000}"/>
    <cellStyle name="Note 2 10 5 20" xfId="21285" xr:uid="{00000000-0005-0000-0000-0000EA4F0000}"/>
    <cellStyle name="Note 2 10 5 3" xfId="21286" xr:uid="{00000000-0005-0000-0000-0000EB4F0000}"/>
    <cellStyle name="Note 2 10 5 3 10" xfId="21287" xr:uid="{00000000-0005-0000-0000-0000EC4F0000}"/>
    <cellStyle name="Note 2 10 5 3 11" xfId="21288" xr:uid="{00000000-0005-0000-0000-0000ED4F0000}"/>
    <cellStyle name="Note 2 10 5 3 12" xfId="21289" xr:uid="{00000000-0005-0000-0000-0000EE4F0000}"/>
    <cellStyle name="Note 2 10 5 3 13" xfId="21290" xr:uid="{00000000-0005-0000-0000-0000EF4F0000}"/>
    <cellStyle name="Note 2 10 5 3 14" xfId="21291" xr:uid="{00000000-0005-0000-0000-0000F04F0000}"/>
    <cellStyle name="Note 2 10 5 3 15" xfId="21292" xr:uid="{00000000-0005-0000-0000-0000F14F0000}"/>
    <cellStyle name="Note 2 10 5 3 2" xfId="21293" xr:uid="{00000000-0005-0000-0000-0000F24F0000}"/>
    <cellStyle name="Note 2 10 5 3 3" xfId="21294" xr:uid="{00000000-0005-0000-0000-0000F34F0000}"/>
    <cellStyle name="Note 2 10 5 3 4" xfId="21295" xr:uid="{00000000-0005-0000-0000-0000F44F0000}"/>
    <cellStyle name="Note 2 10 5 3 5" xfId="21296" xr:uid="{00000000-0005-0000-0000-0000F54F0000}"/>
    <cellStyle name="Note 2 10 5 3 6" xfId="21297" xr:uid="{00000000-0005-0000-0000-0000F64F0000}"/>
    <cellStyle name="Note 2 10 5 3 7" xfId="21298" xr:uid="{00000000-0005-0000-0000-0000F74F0000}"/>
    <cellStyle name="Note 2 10 5 3 8" xfId="21299" xr:uid="{00000000-0005-0000-0000-0000F84F0000}"/>
    <cellStyle name="Note 2 10 5 3 9" xfId="21300" xr:uid="{00000000-0005-0000-0000-0000F94F0000}"/>
    <cellStyle name="Note 2 10 5 4" xfId="21301" xr:uid="{00000000-0005-0000-0000-0000FA4F0000}"/>
    <cellStyle name="Note 2 10 5 4 10" xfId="21302" xr:uid="{00000000-0005-0000-0000-0000FB4F0000}"/>
    <cellStyle name="Note 2 10 5 4 11" xfId="21303" xr:uid="{00000000-0005-0000-0000-0000FC4F0000}"/>
    <cellStyle name="Note 2 10 5 4 12" xfId="21304" xr:uid="{00000000-0005-0000-0000-0000FD4F0000}"/>
    <cellStyle name="Note 2 10 5 4 13" xfId="21305" xr:uid="{00000000-0005-0000-0000-0000FE4F0000}"/>
    <cellStyle name="Note 2 10 5 4 14" xfId="21306" xr:uid="{00000000-0005-0000-0000-0000FF4F0000}"/>
    <cellStyle name="Note 2 10 5 4 15" xfId="21307" xr:uid="{00000000-0005-0000-0000-000000500000}"/>
    <cellStyle name="Note 2 10 5 4 2" xfId="21308" xr:uid="{00000000-0005-0000-0000-000001500000}"/>
    <cellStyle name="Note 2 10 5 4 3" xfId="21309" xr:uid="{00000000-0005-0000-0000-000002500000}"/>
    <cellStyle name="Note 2 10 5 4 4" xfId="21310" xr:uid="{00000000-0005-0000-0000-000003500000}"/>
    <cellStyle name="Note 2 10 5 4 5" xfId="21311" xr:uid="{00000000-0005-0000-0000-000004500000}"/>
    <cellStyle name="Note 2 10 5 4 6" xfId="21312" xr:uid="{00000000-0005-0000-0000-000005500000}"/>
    <cellStyle name="Note 2 10 5 4 7" xfId="21313" xr:uid="{00000000-0005-0000-0000-000006500000}"/>
    <cellStyle name="Note 2 10 5 4 8" xfId="21314" xr:uid="{00000000-0005-0000-0000-000007500000}"/>
    <cellStyle name="Note 2 10 5 4 9" xfId="21315" xr:uid="{00000000-0005-0000-0000-000008500000}"/>
    <cellStyle name="Note 2 10 5 5" xfId="21316" xr:uid="{00000000-0005-0000-0000-000009500000}"/>
    <cellStyle name="Note 2 10 5 5 10" xfId="21317" xr:uid="{00000000-0005-0000-0000-00000A500000}"/>
    <cellStyle name="Note 2 10 5 5 11" xfId="21318" xr:uid="{00000000-0005-0000-0000-00000B500000}"/>
    <cellStyle name="Note 2 10 5 5 12" xfId="21319" xr:uid="{00000000-0005-0000-0000-00000C500000}"/>
    <cellStyle name="Note 2 10 5 5 13" xfId="21320" xr:uid="{00000000-0005-0000-0000-00000D500000}"/>
    <cellStyle name="Note 2 10 5 5 14" xfId="21321" xr:uid="{00000000-0005-0000-0000-00000E500000}"/>
    <cellStyle name="Note 2 10 5 5 15" xfId="21322" xr:uid="{00000000-0005-0000-0000-00000F500000}"/>
    <cellStyle name="Note 2 10 5 5 2" xfId="21323" xr:uid="{00000000-0005-0000-0000-000010500000}"/>
    <cellStyle name="Note 2 10 5 5 3" xfId="21324" xr:uid="{00000000-0005-0000-0000-000011500000}"/>
    <cellStyle name="Note 2 10 5 5 4" xfId="21325" xr:uid="{00000000-0005-0000-0000-000012500000}"/>
    <cellStyle name="Note 2 10 5 5 5" xfId="21326" xr:uid="{00000000-0005-0000-0000-000013500000}"/>
    <cellStyle name="Note 2 10 5 5 6" xfId="21327" xr:uid="{00000000-0005-0000-0000-000014500000}"/>
    <cellStyle name="Note 2 10 5 5 7" xfId="21328" xr:uid="{00000000-0005-0000-0000-000015500000}"/>
    <cellStyle name="Note 2 10 5 5 8" xfId="21329" xr:uid="{00000000-0005-0000-0000-000016500000}"/>
    <cellStyle name="Note 2 10 5 5 9" xfId="21330" xr:uid="{00000000-0005-0000-0000-000017500000}"/>
    <cellStyle name="Note 2 10 5 6" xfId="21331" xr:uid="{00000000-0005-0000-0000-000018500000}"/>
    <cellStyle name="Note 2 10 5 7" xfId="21332" xr:uid="{00000000-0005-0000-0000-000019500000}"/>
    <cellStyle name="Note 2 10 5 8" xfId="21333" xr:uid="{00000000-0005-0000-0000-00001A500000}"/>
    <cellStyle name="Note 2 10 5 9" xfId="21334" xr:uid="{00000000-0005-0000-0000-00001B500000}"/>
    <cellStyle name="Note 2 10 6" xfId="21335" xr:uid="{00000000-0005-0000-0000-00001C500000}"/>
    <cellStyle name="Note 2 10 6 10" xfId="21336" xr:uid="{00000000-0005-0000-0000-00001D500000}"/>
    <cellStyle name="Note 2 10 6 11" xfId="21337" xr:uid="{00000000-0005-0000-0000-00001E500000}"/>
    <cellStyle name="Note 2 10 6 12" xfId="21338" xr:uid="{00000000-0005-0000-0000-00001F500000}"/>
    <cellStyle name="Note 2 10 6 13" xfId="21339" xr:uid="{00000000-0005-0000-0000-000020500000}"/>
    <cellStyle name="Note 2 10 6 14" xfId="21340" xr:uid="{00000000-0005-0000-0000-000021500000}"/>
    <cellStyle name="Note 2 10 6 15" xfId="21341" xr:uid="{00000000-0005-0000-0000-000022500000}"/>
    <cellStyle name="Note 2 10 6 2" xfId="21342" xr:uid="{00000000-0005-0000-0000-000023500000}"/>
    <cellStyle name="Note 2 10 6 3" xfId="21343" xr:uid="{00000000-0005-0000-0000-000024500000}"/>
    <cellStyle name="Note 2 10 6 4" xfId="21344" xr:uid="{00000000-0005-0000-0000-000025500000}"/>
    <cellStyle name="Note 2 10 6 5" xfId="21345" xr:uid="{00000000-0005-0000-0000-000026500000}"/>
    <cellStyle name="Note 2 10 6 6" xfId="21346" xr:uid="{00000000-0005-0000-0000-000027500000}"/>
    <cellStyle name="Note 2 10 6 7" xfId="21347" xr:uid="{00000000-0005-0000-0000-000028500000}"/>
    <cellStyle name="Note 2 10 6 8" xfId="21348" xr:uid="{00000000-0005-0000-0000-000029500000}"/>
    <cellStyle name="Note 2 10 6 9" xfId="21349" xr:uid="{00000000-0005-0000-0000-00002A500000}"/>
    <cellStyle name="Note 2 10 7" xfId="21350" xr:uid="{00000000-0005-0000-0000-00002B500000}"/>
    <cellStyle name="Note 2 10 7 10" xfId="21351" xr:uid="{00000000-0005-0000-0000-00002C500000}"/>
    <cellStyle name="Note 2 10 7 11" xfId="21352" xr:uid="{00000000-0005-0000-0000-00002D500000}"/>
    <cellStyle name="Note 2 10 7 12" xfId="21353" xr:uid="{00000000-0005-0000-0000-00002E500000}"/>
    <cellStyle name="Note 2 10 7 13" xfId="21354" xr:uid="{00000000-0005-0000-0000-00002F500000}"/>
    <cellStyle name="Note 2 10 7 14" xfId="21355" xr:uid="{00000000-0005-0000-0000-000030500000}"/>
    <cellStyle name="Note 2 10 7 15" xfId="21356" xr:uid="{00000000-0005-0000-0000-000031500000}"/>
    <cellStyle name="Note 2 10 7 2" xfId="21357" xr:uid="{00000000-0005-0000-0000-000032500000}"/>
    <cellStyle name="Note 2 10 7 3" xfId="21358" xr:uid="{00000000-0005-0000-0000-000033500000}"/>
    <cellStyle name="Note 2 10 7 4" xfId="21359" xr:uid="{00000000-0005-0000-0000-000034500000}"/>
    <cellStyle name="Note 2 10 7 5" xfId="21360" xr:uid="{00000000-0005-0000-0000-000035500000}"/>
    <cellStyle name="Note 2 10 7 6" xfId="21361" xr:uid="{00000000-0005-0000-0000-000036500000}"/>
    <cellStyle name="Note 2 10 7 7" xfId="21362" xr:uid="{00000000-0005-0000-0000-000037500000}"/>
    <cellStyle name="Note 2 10 7 8" xfId="21363" xr:uid="{00000000-0005-0000-0000-000038500000}"/>
    <cellStyle name="Note 2 10 7 9" xfId="21364" xr:uid="{00000000-0005-0000-0000-000039500000}"/>
    <cellStyle name="Note 2 10 8" xfId="21365" xr:uid="{00000000-0005-0000-0000-00003A500000}"/>
    <cellStyle name="Note 2 10 8 10" xfId="21366" xr:uid="{00000000-0005-0000-0000-00003B500000}"/>
    <cellStyle name="Note 2 10 8 11" xfId="21367" xr:uid="{00000000-0005-0000-0000-00003C500000}"/>
    <cellStyle name="Note 2 10 8 12" xfId="21368" xr:uid="{00000000-0005-0000-0000-00003D500000}"/>
    <cellStyle name="Note 2 10 8 13" xfId="21369" xr:uid="{00000000-0005-0000-0000-00003E500000}"/>
    <cellStyle name="Note 2 10 8 14" xfId="21370" xr:uid="{00000000-0005-0000-0000-00003F500000}"/>
    <cellStyle name="Note 2 10 8 15" xfId="21371" xr:uid="{00000000-0005-0000-0000-000040500000}"/>
    <cellStyle name="Note 2 10 8 2" xfId="21372" xr:uid="{00000000-0005-0000-0000-000041500000}"/>
    <cellStyle name="Note 2 10 8 3" xfId="21373" xr:uid="{00000000-0005-0000-0000-000042500000}"/>
    <cellStyle name="Note 2 10 8 4" xfId="21374" xr:uid="{00000000-0005-0000-0000-000043500000}"/>
    <cellStyle name="Note 2 10 8 5" xfId="21375" xr:uid="{00000000-0005-0000-0000-000044500000}"/>
    <cellStyle name="Note 2 10 8 6" xfId="21376" xr:uid="{00000000-0005-0000-0000-000045500000}"/>
    <cellStyle name="Note 2 10 8 7" xfId="21377" xr:uid="{00000000-0005-0000-0000-000046500000}"/>
    <cellStyle name="Note 2 10 8 8" xfId="21378" xr:uid="{00000000-0005-0000-0000-000047500000}"/>
    <cellStyle name="Note 2 10 8 9" xfId="21379" xr:uid="{00000000-0005-0000-0000-000048500000}"/>
    <cellStyle name="Note 2 10 9" xfId="21380" xr:uid="{00000000-0005-0000-0000-000049500000}"/>
    <cellStyle name="Note 2 10 9 10" xfId="21381" xr:uid="{00000000-0005-0000-0000-00004A500000}"/>
    <cellStyle name="Note 2 10 9 11" xfId="21382" xr:uid="{00000000-0005-0000-0000-00004B500000}"/>
    <cellStyle name="Note 2 10 9 12" xfId="21383" xr:uid="{00000000-0005-0000-0000-00004C500000}"/>
    <cellStyle name="Note 2 10 9 13" xfId="21384" xr:uid="{00000000-0005-0000-0000-00004D500000}"/>
    <cellStyle name="Note 2 10 9 14" xfId="21385" xr:uid="{00000000-0005-0000-0000-00004E500000}"/>
    <cellStyle name="Note 2 10 9 15" xfId="21386" xr:uid="{00000000-0005-0000-0000-00004F500000}"/>
    <cellStyle name="Note 2 10 9 2" xfId="21387" xr:uid="{00000000-0005-0000-0000-000050500000}"/>
    <cellStyle name="Note 2 10 9 3" xfId="21388" xr:uid="{00000000-0005-0000-0000-000051500000}"/>
    <cellStyle name="Note 2 10 9 4" xfId="21389" xr:uid="{00000000-0005-0000-0000-000052500000}"/>
    <cellStyle name="Note 2 10 9 5" xfId="21390" xr:uid="{00000000-0005-0000-0000-000053500000}"/>
    <cellStyle name="Note 2 10 9 6" xfId="21391" xr:uid="{00000000-0005-0000-0000-000054500000}"/>
    <cellStyle name="Note 2 10 9 7" xfId="21392" xr:uid="{00000000-0005-0000-0000-000055500000}"/>
    <cellStyle name="Note 2 10 9 8" xfId="21393" xr:uid="{00000000-0005-0000-0000-000056500000}"/>
    <cellStyle name="Note 2 10 9 9" xfId="21394" xr:uid="{00000000-0005-0000-0000-000057500000}"/>
    <cellStyle name="Note 2 11" xfId="21395" xr:uid="{00000000-0005-0000-0000-000058500000}"/>
    <cellStyle name="Note 2 11 10" xfId="21396" xr:uid="{00000000-0005-0000-0000-000059500000}"/>
    <cellStyle name="Note 2 11 11" xfId="21397" xr:uid="{00000000-0005-0000-0000-00005A500000}"/>
    <cellStyle name="Note 2 11 12" xfId="21398" xr:uid="{00000000-0005-0000-0000-00005B500000}"/>
    <cellStyle name="Note 2 11 13" xfId="21399" xr:uid="{00000000-0005-0000-0000-00005C500000}"/>
    <cellStyle name="Note 2 11 14" xfId="21400" xr:uid="{00000000-0005-0000-0000-00005D500000}"/>
    <cellStyle name="Note 2 11 15" xfId="21401" xr:uid="{00000000-0005-0000-0000-00005E500000}"/>
    <cellStyle name="Note 2 11 16" xfId="21402" xr:uid="{00000000-0005-0000-0000-00005F500000}"/>
    <cellStyle name="Note 2 11 17" xfId="21403" xr:uid="{00000000-0005-0000-0000-000060500000}"/>
    <cellStyle name="Note 2 11 18" xfId="21404" xr:uid="{00000000-0005-0000-0000-000061500000}"/>
    <cellStyle name="Note 2 11 19" xfId="21405" xr:uid="{00000000-0005-0000-0000-000062500000}"/>
    <cellStyle name="Note 2 11 2" xfId="21406" xr:uid="{00000000-0005-0000-0000-000063500000}"/>
    <cellStyle name="Note 2 11 2 10" xfId="21407" xr:uid="{00000000-0005-0000-0000-000064500000}"/>
    <cellStyle name="Note 2 11 2 11" xfId="21408" xr:uid="{00000000-0005-0000-0000-000065500000}"/>
    <cellStyle name="Note 2 11 2 12" xfId="21409" xr:uid="{00000000-0005-0000-0000-000066500000}"/>
    <cellStyle name="Note 2 11 2 13" xfId="21410" xr:uid="{00000000-0005-0000-0000-000067500000}"/>
    <cellStyle name="Note 2 11 2 14" xfId="21411" xr:uid="{00000000-0005-0000-0000-000068500000}"/>
    <cellStyle name="Note 2 11 2 15" xfId="21412" xr:uid="{00000000-0005-0000-0000-000069500000}"/>
    <cellStyle name="Note 2 11 2 16" xfId="21413" xr:uid="{00000000-0005-0000-0000-00006A500000}"/>
    <cellStyle name="Note 2 11 2 17" xfId="21414" xr:uid="{00000000-0005-0000-0000-00006B500000}"/>
    <cellStyle name="Note 2 11 2 18" xfId="21415" xr:uid="{00000000-0005-0000-0000-00006C500000}"/>
    <cellStyle name="Note 2 11 2 19" xfId="21416" xr:uid="{00000000-0005-0000-0000-00006D500000}"/>
    <cellStyle name="Note 2 11 2 2" xfId="21417" xr:uid="{00000000-0005-0000-0000-00006E500000}"/>
    <cellStyle name="Note 2 11 2 2 10" xfId="21418" xr:uid="{00000000-0005-0000-0000-00006F500000}"/>
    <cellStyle name="Note 2 11 2 2 11" xfId="21419" xr:uid="{00000000-0005-0000-0000-000070500000}"/>
    <cellStyle name="Note 2 11 2 2 12" xfId="21420" xr:uid="{00000000-0005-0000-0000-000071500000}"/>
    <cellStyle name="Note 2 11 2 2 13" xfId="21421" xr:uid="{00000000-0005-0000-0000-000072500000}"/>
    <cellStyle name="Note 2 11 2 2 14" xfId="21422" xr:uid="{00000000-0005-0000-0000-000073500000}"/>
    <cellStyle name="Note 2 11 2 2 15" xfId="21423" xr:uid="{00000000-0005-0000-0000-000074500000}"/>
    <cellStyle name="Note 2 11 2 2 2" xfId="21424" xr:uid="{00000000-0005-0000-0000-000075500000}"/>
    <cellStyle name="Note 2 11 2 2 3" xfId="21425" xr:uid="{00000000-0005-0000-0000-000076500000}"/>
    <cellStyle name="Note 2 11 2 2 4" xfId="21426" xr:uid="{00000000-0005-0000-0000-000077500000}"/>
    <cellStyle name="Note 2 11 2 2 5" xfId="21427" xr:uid="{00000000-0005-0000-0000-000078500000}"/>
    <cellStyle name="Note 2 11 2 2 6" xfId="21428" xr:uid="{00000000-0005-0000-0000-000079500000}"/>
    <cellStyle name="Note 2 11 2 2 7" xfId="21429" xr:uid="{00000000-0005-0000-0000-00007A500000}"/>
    <cellStyle name="Note 2 11 2 2 8" xfId="21430" xr:uid="{00000000-0005-0000-0000-00007B500000}"/>
    <cellStyle name="Note 2 11 2 2 9" xfId="21431" xr:uid="{00000000-0005-0000-0000-00007C500000}"/>
    <cellStyle name="Note 2 11 2 20" xfId="21432" xr:uid="{00000000-0005-0000-0000-00007D500000}"/>
    <cellStyle name="Note 2 11 2 3" xfId="21433" xr:uid="{00000000-0005-0000-0000-00007E500000}"/>
    <cellStyle name="Note 2 11 2 3 10" xfId="21434" xr:uid="{00000000-0005-0000-0000-00007F500000}"/>
    <cellStyle name="Note 2 11 2 3 11" xfId="21435" xr:uid="{00000000-0005-0000-0000-000080500000}"/>
    <cellStyle name="Note 2 11 2 3 12" xfId="21436" xr:uid="{00000000-0005-0000-0000-000081500000}"/>
    <cellStyle name="Note 2 11 2 3 13" xfId="21437" xr:uid="{00000000-0005-0000-0000-000082500000}"/>
    <cellStyle name="Note 2 11 2 3 14" xfId="21438" xr:uid="{00000000-0005-0000-0000-000083500000}"/>
    <cellStyle name="Note 2 11 2 3 15" xfId="21439" xr:uid="{00000000-0005-0000-0000-000084500000}"/>
    <cellStyle name="Note 2 11 2 3 2" xfId="21440" xr:uid="{00000000-0005-0000-0000-000085500000}"/>
    <cellStyle name="Note 2 11 2 3 3" xfId="21441" xr:uid="{00000000-0005-0000-0000-000086500000}"/>
    <cellStyle name="Note 2 11 2 3 4" xfId="21442" xr:uid="{00000000-0005-0000-0000-000087500000}"/>
    <cellStyle name="Note 2 11 2 3 5" xfId="21443" xr:uid="{00000000-0005-0000-0000-000088500000}"/>
    <cellStyle name="Note 2 11 2 3 6" xfId="21444" xr:uid="{00000000-0005-0000-0000-000089500000}"/>
    <cellStyle name="Note 2 11 2 3 7" xfId="21445" xr:uid="{00000000-0005-0000-0000-00008A500000}"/>
    <cellStyle name="Note 2 11 2 3 8" xfId="21446" xr:uid="{00000000-0005-0000-0000-00008B500000}"/>
    <cellStyle name="Note 2 11 2 3 9" xfId="21447" xr:uid="{00000000-0005-0000-0000-00008C500000}"/>
    <cellStyle name="Note 2 11 2 4" xfId="21448" xr:uid="{00000000-0005-0000-0000-00008D500000}"/>
    <cellStyle name="Note 2 11 2 4 10" xfId="21449" xr:uid="{00000000-0005-0000-0000-00008E500000}"/>
    <cellStyle name="Note 2 11 2 4 11" xfId="21450" xr:uid="{00000000-0005-0000-0000-00008F500000}"/>
    <cellStyle name="Note 2 11 2 4 12" xfId="21451" xr:uid="{00000000-0005-0000-0000-000090500000}"/>
    <cellStyle name="Note 2 11 2 4 13" xfId="21452" xr:uid="{00000000-0005-0000-0000-000091500000}"/>
    <cellStyle name="Note 2 11 2 4 14" xfId="21453" xr:uid="{00000000-0005-0000-0000-000092500000}"/>
    <cellStyle name="Note 2 11 2 4 15" xfId="21454" xr:uid="{00000000-0005-0000-0000-000093500000}"/>
    <cellStyle name="Note 2 11 2 4 2" xfId="21455" xr:uid="{00000000-0005-0000-0000-000094500000}"/>
    <cellStyle name="Note 2 11 2 4 3" xfId="21456" xr:uid="{00000000-0005-0000-0000-000095500000}"/>
    <cellStyle name="Note 2 11 2 4 4" xfId="21457" xr:uid="{00000000-0005-0000-0000-000096500000}"/>
    <cellStyle name="Note 2 11 2 4 5" xfId="21458" xr:uid="{00000000-0005-0000-0000-000097500000}"/>
    <cellStyle name="Note 2 11 2 4 6" xfId="21459" xr:uid="{00000000-0005-0000-0000-000098500000}"/>
    <cellStyle name="Note 2 11 2 4 7" xfId="21460" xr:uid="{00000000-0005-0000-0000-000099500000}"/>
    <cellStyle name="Note 2 11 2 4 8" xfId="21461" xr:uid="{00000000-0005-0000-0000-00009A500000}"/>
    <cellStyle name="Note 2 11 2 4 9" xfId="21462" xr:uid="{00000000-0005-0000-0000-00009B500000}"/>
    <cellStyle name="Note 2 11 2 5" xfId="21463" xr:uid="{00000000-0005-0000-0000-00009C500000}"/>
    <cellStyle name="Note 2 11 2 5 10" xfId="21464" xr:uid="{00000000-0005-0000-0000-00009D500000}"/>
    <cellStyle name="Note 2 11 2 5 11" xfId="21465" xr:uid="{00000000-0005-0000-0000-00009E500000}"/>
    <cellStyle name="Note 2 11 2 5 12" xfId="21466" xr:uid="{00000000-0005-0000-0000-00009F500000}"/>
    <cellStyle name="Note 2 11 2 5 13" xfId="21467" xr:uid="{00000000-0005-0000-0000-0000A0500000}"/>
    <cellStyle name="Note 2 11 2 5 14" xfId="21468" xr:uid="{00000000-0005-0000-0000-0000A1500000}"/>
    <cellStyle name="Note 2 11 2 5 15" xfId="21469" xr:uid="{00000000-0005-0000-0000-0000A2500000}"/>
    <cellStyle name="Note 2 11 2 5 2" xfId="21470" xr:uid="{00000000-0005-0000-0000-0000A3500000}"/>
    <cellStyle name="Note 2 11 2 5 3" xfId="21471" xr:uid="{00000000-0005-0000-0000-0000A4500000}"/>
    <cellStyle name="Note 2 11 2 5 4" xfId="21472" xr:uid="{00000000-0005-0000-0000-0000A5500000}"/>
    <cellStyle name="Note 2 11 2 5 5" xfId="21473" xr:uid="{00000000-0005-0000-0000-0000A6500000}"/>
    <cellStyle name="Note 2 11 2 5 6" xfId="21474" xr:uid="{00000000-0005-0000-0000-0000A7500000}"/>
    <cellStyle name="Note 2 11 2 5 7" xfId="21475" xr:uid="{00000000-0005-0000-0000-0000A8500000}"/>
    <cellStyle name="Note 2 11 2 5 8" xfId="21476" xr:uid="{00000000-0005-0000-0000-0000A9500000}"/>
    <cellStyle name="Note 2 11 2 5 9" xfId="21477" xr:uid="{00000000-0005-0000-0000-0000AA500000}"/>
    <cellStyle name="Note 2 11 2 6" xfId="21478" xr:uid="{00000000-0005-0000-0000-0000AB500000}"/>
    <cellStyle name="Note 2 11 2 7" xfId="21479" xr:uid="{00000000-0005-0000-0000-0000AC500000}"/>
    <cellStyle name="Note 2 11 2 8" xfId="21480" xr:uid="{00000000-0005-0000-0000-0000AD500000}"/>
    <cellStyle name="Note 2 11 2 9" xfId="21481" xr:uid="{00000000-0005-0000-0000-0000AE500000}"/>
    <cellStyle name="Note 2 11 20" xfId="21482" xr:uid="{00000000-0005-0000-0000-0000AF500000}"/>
    <cellStyle name="Note 2 11 21" xfId="21483" xr:uid="{00000000-0005-0000-0000-0000B0500000}"/>
    <cellStyle name="Note 2 11 22" xfId="21484" xr:uid="{00000000-0005-0000-0000-0000B1500000}"/>
    <cellStyle name="Note 2 11 23" xfId="21485" xr:uid="{00000000-0005-0000-0000-0000B2500000}"/>
    <cellStyle name="Note 2 11 3" xfId="21486" xr:uid="{00000000-0005-0000-0000-0000B3500000}"/>
    <cellStyle name="Note 2 11 3 10" xfId="21487" xr:uid="{00000000-0005-0000-0000-0000B4500000}"/>
    <cellStyle name="Note 2 11 3 11" xfId="21488" xr:uid="{00000000-0005-0000-0000-0000B5500000}"/>
    <cellStyle name="Note 2 11 3 12" xfId="21489" xr:uid="{00000000-0005-0000-0000-0000B6500000}"/>
    <cellStyle name="Note 2 11 3 13" xfId="21490" xr:uid="{00000000-0005-0000-0000-0000B7500000}"/>
    <cellStyle name="Note 2 11 3 14" xfId="21491" xr:uid="{00000000-0005-0000-0000-0000B8500000}"/>
    <cellStyle name="Note 2 11 3 15" xfId="21492" xr:uid="{00000000-0005-0000-0000-0000B9500000}"/>
    <cellStyle name="Note 2 11 3 16" xfId="21493" xr:uid="{00000000-0005-0000-0000-0000BA500000}"/>
    <cellStyle name="Note 2 11 3 17" xfId="21494" xr:uid="{00000000-0005-0000-0000-0000BB500000}"/>
    <cellStyle name="Note 2 11 3 18" xfId="21495" xr:uid="{00000000-0005-0000-0000-0000BC500000}"/>
    <cellStyle name="Note 2 11 3 19" xfId="21496" xr:uid="{00000000-0005-0000-0000-0000BD500000}"/>
    <cellStyle name="Note 2 11 3 2" xfId="21497" xr:uid="{00000000-0005-0000-0000-0000BE500000}"/>
    <cellStyle name="Note 2 11 3 2 10" xfId="21498" xr:uid="{00000000-0005-0000-0000-0000BF500000}"/>
    <cellStyle name="Note 2 11 3 2 11" xfId="21499" xr:uid="{00000000-0005-0000-0000-0000C0500000}"/>
    <cellStyle name="Note 2 11 3 2 12" xfId="21500" xr:uid="{00000000-0005-0000-0000-0000C1500000}"/>
    <cellStyle name="Note 2 11 3 2 13" xfId="21501" xr:uid="{00000000-0005-0000-0000-0000C2500000}"/>
    <cellStyle name="Note 2 11 3 2 14" xfId="21502" xr:uid="{00000000-0005-0000-0000-0000C3500000}"/>
    <cellStyle name="Note 2 11 3 2 15" xfId="21503" xr:uid="{00000000-0005-0000-0000-0000C4500000}"/>
    <cellStyle name="Note 2 11 3 2 2" xfId="21504" xr:uid="{00000000-0005-0000-0000-0000C5500000}"/>
    <cellStyle name="Note 2 11 3 2 3" xfId="21505" xr:uid="{00000000-0005-0000-0000-0000C6500000}"/>
    <cellStyle name="Note 2 11 3 2 4" xfId="21506" xr:uid="{00000000-0005-0000-0000-0000C7500000}"/>
    <cellStyle name="Note 2 11 3 2 5" xfId="21507" xr:uid="{00000000-0005-0000-0000-0000C8500000}"/>
    <cellStyle name="Note 2 11 3 2 6" xfId="21508" xr:uid="{00000000-0005-0000-0000-0000C9500000}"/>
    <cellStyle name="Note 2 11 3 2 7" xfId="21509" xr:uid="{00000000-0005-0000-0000-0000CA500000}"/>
    <cellStyle name="Note 2 11 3 2 8" xfId="21510" xr:uid="{00000000-0005-0000-0000-0000CB500000}"/>
    <cellStyle name="Note 2 11 3 2 9" xfId="21511" xr:uid="{00000000-0005-0000-0000-0000CC500000}"/>
    <cellStyle name="Note 2 11 3 20" xfId="21512" xr:uid="{00000000-0005-0000-0000-0000CD500000}"/>
    <cellStyle name="Note 2 11 3 3" xfId="21513" xr:uid="{00000000-0005-0000-0000-0000CE500000}"/>
    <cellStyle name="Note 2 11 3 3 10" xfId="21514" xr:uid="{00000000-0005-0000-0000-0000CF500000}"/>
    <cellStyle name="Note 2 11 3 3 11" xfId="21515" xr:uid="{00000000-0005-0000-0000-0000D0500000}"/>
    <cellStyle name="Note 2 11 3 3 12" xfId="21516" xr:uid="{00000000-0005-0000-0000-0000D1500000}"/>
    <cellStyle name="Note 2 11 3 3 13" xfId="21517" xr:uid="{00000000-0005-0000-0000-0000D2500000}"/>
    <cellStyle name="Note 2 11 3 3 14" xfId="21518" xr:uid="{00000000-0005-0000-0000-0000D3500000}"/>
    <cellStyle name="Note 2 11 3 3 15" xfId="21519" xr:uid="{00000000-0005-0000-0000-0000D4500000}"/>
    <cellStyle name="Note 2 11 3 3 2" xfId="21520" xr:uid="{00000000-0005-0000-0000-0000D5500000}"/>
    <cellStyle name="Note 2 11 3 3 3" xfId="21521" xr:uid="{00000000-0005-0000-0000-0000D6500000}"/>
    <cellStyle name="Note 2 11 3 3 4" xfId="21522" xr:uid="{00000000-0005-0000-0000-0000D7500000}"/>
    <cellStyle name="Note 2 11 3 3 5" xfId="21523" xr:uid="{00000000-0005-0000-0000-0000D8500000}"/>
    <cellStyle name="Note 2 11 3 3 6" xfId="21524" xr:uid="{00000000-0005-0000-0000-0000D9500000}"/>
    <cellStyle name="Note 2 11 3 3 7" xfId="21525" xr:uid="{00000000-0005-0000-0000-0000DA500000}"/>
    <cellStyle name="Note 2 11 3 3 8" xfId="21526" xr:uid="{00000000-0005-0000-0000-0000DB500000}"/>
    <cellStyle name="Note 2 11 3 3 9" xfId="21527" xr:uid="{00000000-0005-0000-0000-0000DC500000}"/>
    <cellStyle name="Note 2 11 3 4" xfId="21528" xr:uid="{00000000-0005-0000-0000-0000DD500000}"/>
    <cellStyle name="Note 2 11 3 4 10" xfId="21529" xr:uid="{00000000-0005-0000-0000-0000DE500000}"/>
    <cellStyle name="Note 2 11 3 4 11" xfId="21530" xr:uid="{00000000-0005-0000-0000-0000DF500000}"/>
    <cellStyle name="Note 2 11 3 4 12" xfId="21531" xr:uid="{00000000-0005-0000-0000-0000E0500000}"/>
    <cellStyle name="Note 2 11 3 4 13" xfId="21532" xr:uid="{00000000-0005-0000-0000-0000E1500000}"/>
    <cellStyle name="Note 2 11 3 4 14" xfId="21533" xr:uid="{00000000-0005-0000-0000-0000E2500000}"/>
    <cellStyle name="Note 2 11 3 4 15" xfId="21534" xr:uid="{00000000-0005-0000-0000-0000E3500000}"/>
    <cellStyle name="Note 2 11 3 4 2" xfId="21535" xr:uid="{00000000-0005-0000-0000-0000E4500000}"/>
    <cellStyle name="Note 2 11 3 4 3" xfId="21536" xr:uid="{00000000-0005-0000-0000-0000E5500000}"/>
    <cellStyle name="Note 2 11 3 4 4" xfId="21537" xr:uid="{00000000-0005-0000-0000-0000E6500000}"/>
    <cellStyle name="Note 2 11 3 4 5" xfId="21538" xr:uid="{00000000-0005-0000-0000-0000E7500000}"/>
    <cellStyle name="Note 2 11 3 4 6" xfId="21539" xr:uid="{00000000-0005-0000-0000-0000E8500000}"/>
    <cellStyle name="Note 2 11 3 4 7" xfId="21540" xr:uid="{00000000-0005-0000-0000-0000E9500000}"/>
    <cellStyle name="Note 2 11 3 4 8" xfId="21541" xr:uid="{00000000-0005-0000-0000-0000EA500000}"/>
    <cellStyle name="Note 2 11 3 4 9" xfId="21542" xr:uid="{00000000-0005-0000-0000-0000EB500000}"/>
    <cellStyle name="Note 2 11 3 5" xfId="21543" xr:uid="{00000000-0005-0000-0000-0000EC500000}"/>
    <cellStyle name="Note 2 11 3 5 10" xfId="21544" xr:uid="{00000000-0005-0000-0000-0000ED500000}"/>
    <cellStyle name="Note 2 11 3 5 11" xfId="21545" xr:uid="{00000000-0005-0000-0000-0000EE500000}"/>
    <cellStyle name="Note 2 11 3 5 12" xfId="21546" xr:uid="{00000000-0005-0000-0000-0000EF500000}"/>
    <cellStyle name="Note 2 11 3 5 13" xfId="21547" xr:uid="{00000000-0005-0000-0000-0000F0500000}"/>
    <cellStyle name="Note 2 11 3 5 14" xfId="21548" xr:uid="{00000000-0005-0000-0000-0000F1500000}"/>
    <cellStyle name="Note 2 11 3 5 15" xfId="21549" xr:uid="{00000000-0005-0000-0000-0000F2500000}"/>
    <cellStyle name="Note 2 11 3 5 2" xfId="21550" xr:uid="{00000000-0005-0000-0000-0000F3500000}"/>
    <cellStyle name="Note 2 11 3 5 3" xfId="21551" xr:uid="{00000000-0005-0000-0000-0000F4500000}"/>
    <cellStyle name="Note 2 11 3 5 4" xfId="21552" xr:uid="{00000000-0005-0000-0000-0000F5500000}"/>
    <cellStyle name="Note 2 11 3 5 5" xfId="21553" xr:uid="{00000000-0005-0000-0000-0000F6500000}"/>
    <cellStyle name="Note 2 11 3 5 6" xfId="21554" xr:uid="{00000000-0005-0000-0000-0000F7500000}"/>
    <cellStyle name="Note 2 11 3 5 7" xfId="21555" xr:uid="{00000000-0005-0000-0000-0000F8500000}"/>
    <cellStyle name="Note 2 11 3 5 8" xfId="21556" xr:uid="{00000000-0005-0000-0000-0000F9500000}"/>
    <cellStyle name="Note 2 11 3 5 9" xfId="21557" xr:uid="{00000000-0005-0000-0000-0000FA500000}"/>
    <cellStyle name="Note 2 11 3 6" xfId="21558" xr:uid="{00000000-0005-0000-0000-0000FB500000}"/>
    <cellStyle name="Note 2 11 3 7" xfId="21559" xr:uid="{00000000-0005-0000-0000-0000FC500000}"/>
    <cellStyle name="Note 2 11 3 8" xfId="21560" xr:uid="{00000000-0005-0000-0000-0000FD500000}"/>
    <cellStyle name="Note 2 11 3 9" xfId="21561" xr:uid="{00000000-0005-0000-0000-0000FE500000}"/>
    <cellStyle name="Note 2 11 4" xfId="21562" xr:uid="{00000000-0005-0000-0000-0000FF500000}"/>
    <cellStyle name="Note 2 11 4 10" xfId="21563" xr:uid="{00000000-0005-0000-0000-000000510000}"/>
    <cellStyle name="Note 2 11 4 11" xfId="21564" xr:uid="{00000000-0005-0000-0000-000001510000}"/>
    <cellStyle name="Note 2 11 4 12" xfId="21565" xr:uid="{00000000-0005-0000-0000-000002510000}"/>
    <cellStyle name="Note 2 11 4 13" xfId="21566" xr:uid="{00000000-0005-0000-0000-000003510000}"/>
    <cellStyle name="Note 2 11 4 14" xfId="21567" xr:uid="{00000000-0005-0000-0000-000004510000}"/>
    <cellStyle name="Note 2 11 4 15" xfId="21568" xr:uid="{00000000-0005-0000-0000-000005510000}"/>
    <cellStyle name="Note 2 11 4 16" xfId="21569" xr:uid="{00000000-0005-0000-0000-000006510000}"/>
    <cellStyle name="Note 2 11 4 17" xfId="21570" xr:uid="{00000000-0005-0000-0000-000007510000}"/>
    <cellStyle name="Note 2 11 4 18" xfId="21571" xr:uid="{00000000-0005-0000-0000-000008510000}"/>
    <cellStyle name="Note 2 11 4 19" xfId="21572" xr:uid="{00000000-0005-0000-0000-000009510000}"/>
    <cellStyle name="Note 2 11 4 2" xfId="21573" xr:uid="{00000000-0005-0000-0000-00000A510000}"/>
    <cellStyle name="Note 2 11 4 2 10" xfId="21574" xr:uid="{00000000-0005-0000-0000-00000B510000}"/>
    <cellStyle name="Note 2 11 4 2 11" xfId="21575" xr:uid="{00000000-0005-0000-0000-00000C510000}"/>
    <cellStyle name="Note 2 11 4 2 12" xfId="21576" xr:uid="{00000000-0005-0000-0000-00000D510000}"/>
    <cellStyle name="Note 2 11 4 2 13" xfId="21577" xr:uid="{00000000-0005-0000-0000-00000E510000}"/>
    <cellStyle name="Note 2 11 4 2 14" xfId="21578" xr:uid="{00000000-0005-0000-0000-00000F510000}"/>
    <cellStyle name="Note 2 11 4 2 15" xfId="21579" xr:uid="{00000000-0005-0000-0000-000010510000}"/>
    <cellStyle name="Note 2 11 4 2 2" xfId="21580" xr:uid="{00000000-0005-0000-0000-000011510000}"/>
    <cellStyle name="Note 2 11 4 2 3" xfId="21581" xr:uid="{00000000-0005-0000-0000-000012510000}"/>
    <cellStyle name="Note 2 11 4 2 4" xfId="21582" xr:uid="{00000000-0005-0000-0000-000013510000}"/>
    <cellStyle name="Note 2 11 4 2 5" xfId="21583" xr:uid="{00000000-0005-0000-0000-000014510000}"/>
    <cellStyle name="Note 2 11 4 2 6" xfId="21584" xr:uid="{00000000-0005-0000-0000-000015510000}"/>
    <cellStyle name="Note 2 11 4 2 7" xfId="21585" xr:uid="{00000000-0005-0000-0000-000016510000}"/>
    <cellStyle name="Note 2 11 4 2 8" xfId="21586" xr:uid="{00000000-0005-0000-0000-000017510000}"/>
    <cellStyle name="Note 2 11 4 2 9" xfId="21587" xr:uid="{00000000-0005-0000-0000-000018510000}"/>
    <cellStyle name="Note 2 11 4 20" xfId="21588" xr:uid="{00000000-0005-0000-0000-000019510000}"/>
    <cellStyle name="Note 2 11 4 3" xfId="21589" xr:uid="{00000000-0005-0000-0000-00001A510000}"/>
    <cellStyle name="Note 2 11 4 3 10" xfId="21590" xr:uid="{00000000-0005-0000-0000-00001B510000}"/>
    <cellStyle name="Note 2 11 4 3 11" xfId="21591" xr:uid="{00000000-0005-0000-0000-00001C510000}"/>
    <cellStyle name="Note 2 11 4 3 12" xfId="21592" xr:uid="{00000000-0005-0000-0000-00001D510000}"/>
    <cellStyle name="Note 2 11 4 3 13" xfId="21593" xr:uid="{00000000-0005-0000-0000-00001E510000}"/>
    <cellStyle name="Note 2 11 4 3 14" xfId="21594" xr:uid="{00000000-0005-0000-0000-00001F510000}"/>
    <cellStyle name="Note 2 11 4 3 15" xfId="21595" xr:uid="{00000000-0005-0000-0000-000020510000}"/>
    <cellStyle name="Note 2 11 4 3 2" xfId="21596" xr:uid="{00000000-0005-0000-0000-000021510000}"/>
    <cellStyle name="Note 2 11 4 3 3" xfId="21597" xr:uid="{00000000-0005-0000-0000-000022510000}"/>
    <cellStyle name="Note 2 11 4 3 4" xfId="21598" xr:uid="{00000000-0005-0000-0000-000023510000}"/>
    <cellStyle name="Note 2 11 4 3 5" xfId="21599" xr:uid="{00000000-0005-0000-0000-000024510000}"/>
    <cellStyle name="Note 2 11 4 3 6" xfId="21600" xr:uid="{00000000-0005-0000-0000-000025510000}"/>
    <cellStyle name="Note 2 11 4 3 7" xfId="21601" xr:uid="{00000000-0005-0000-0000-000026510000}"/>
    <cellStyle name="Note 2 11 4 3 8" xfId="21602" xr:uid="{00000000-0005-0000-0000-000027510000}"/>
    <cellStyle name="Note 2 11 4 3 9" xfId="21603" xr:uid="{00000000-0005-0000-0000-000028510000}"/>
    <cellStyle name="Note 2 11 4 4" xfId="21604" xr:uid="{00000000-0005-0000-0000-000029510000}"/>
    <cellStyle name="Note 2 11 4 4 10" xfId="21605" xr:uid="{00000000-0005-0000-0000-00002A510000}"/>
    <cellStyle name="Note 2 11 4 4 11" xfId="21606" xr:uid="{00000000-0005-0000-0000-00002B510000}"/>
    <cellStyle name="Note 2 11 4 4 12" xfId="21607" xr:uid="{00000000-0005-0000-0000-00002C510000}"/>
    <cellStyle name="Note 2 11 4 4 13" xfId="21608" xr:uid="{00000000-0005-0000-0000-00002D510000}"/>
    <cellStyle name="Note 2 11 4 4 14" xfId="21609" xr:uid="{00000000-0005-0000-0000-00002E510000}"/>
    <cellStyle name="Note 2 11 4 4 15" xfId="21610" xr:uid="{00000000-0005-0000-0000-00002F510000}"/>
    <cellStyle name="Note 2 11 4 4 2" xfId="21611" xr:uid="{00000000-0005-0000-0000-000030510000}"/>
    <cellStyle name="Note 2 11 4 4 3" xfId="21612" xr:uid="{00000000-0005-0000-0000-000031510000}"/>
    <cellStyle name="Note 2 11 4 4 4" xfId="21613" xr:uid="{00000000-0005-0000-0000-000032510000}"/>
    <cellStyle name="Note 2 11 4 4 5" xfId="21614" xr:uid="{00000000-0005-0000-0000-000033510000}"/>
    <cellStyle name="Note 2 11 4 4 6" xfId="21615" xr:uid="{00000000-0005-0000-0000-000034510000}"/>
    <cellStyle name="Note 2 11 4 4 7" xfId="21616" xr:uid="{00000000-0005-0000-0000-000035510000}"/>
    <cellStyle name="Note 2 11 4 4 8" xfId="21617" xr:uid="{00000000-0005-0000-0000-000036510000}"/>
    <cellStyle name="Note 2 11 4 4 9" xfId="21618" xr:uid="{00000000-0005-0000-0000-000037510000}"/>
    <cellStyle name="Note 2 11 4 5" xfId="21619" xr:uid="{00000000-0005-0000-0000-000038510000}"/>
    <cellStyle name="Note 2 11 4 5 10" xfId="21620" xr:uid="{00000000-0005-0000-0000-000039510000}"/>
    <cellStyle name="Note 2 11 4 5 11" xfId="21621" xr:uid="{00000000-0005-0000-0000-00003A510000}"/>
    <cellStyle name="Note 2 11 4 5 12" xfId="21622" xr:uid="{00000000-0005-0000-0000-00003B510000}"/>
    <cellStyle name="Note 2 11 4 5 13" xfId="21623" xr:uid="{00000000-0005-0000-0000-00003C510000}"/>
    <cellStyle name="Note 2 11 4 5 14" xfId="21624" xr:uid="{00000000-0005-0000-0000-00003D510000}"/>
    <cellStyle name="Note 2 11 4 5 15" xfId="21625" xr:uid="{00000000-0005-0000-0000-00003E510000}"/>
    <cellStyle name="Note 2 11 4 5 2" xfId="21626" xr:uid="{00000000-0005-0000-0000-00003F510000}"/>
    <cellStyle name="Note 2 11 4 5 3" xfId="21627" xr:uid="{00000000-0005-0000-0000-000040510000}"/>
    <cellStyle name="Note 2 11 4 5 4" xfId="21628" xr:uid="{00000000-0005-0000-0000-000041510000}"/>
    <cellStyle name="Note 2 11 4 5 5" xfId="21629" xr:uid="{00000000-0005-0000-0000-000042510000}"/>
    <cellStyle name="Note 2 11 4 5 6" xfId="21630" xr:uid="{00000000-0005-0000-0000-000043510000}"/>
    <cellStyle name="Note 2 11 4 5 7" xfId="21631" xr:uid="{00000000-0005-0000-0000-000044510000}"/>
    <cellStyle name="Note 2 11 4 5 8" xfId="21632" xr:uid="{00000000-0005-0000-0000-000045510000}"/>
    <cellStyle name="Note 2 11 4 5 9" xfId="21633" xr:uid="{00000000-0005-0000-0000-000046510000}"/>
    <cellStyle name="Note 2 11 4 6" xfId="21634" xr:uid="{00000000-0005-0000-0000-000047510000}"/>
    <cellStyle name="Note 2 11 4 7" xfId="21635" xr:uid="{00000000-0005-0000-0000-000048510000}"/>
    <cellStyle name="Note 2 11 4 8" xfId="21636" xr:uid="{00000000-0005-0000-0000-000049510000}"/>
    <cellStyle name="Note 2 11 4 9" xfId="21637" xr:uid="{00000000-0005-0000-0000-00004A510000}"/>
    <cellStyle name="Note 2 11 5" xfId="21638" xr:uid="{00000000-0005-0000-0000-00004B510000}"/>
    <cellStyle name="Note 2 11 5 10" xfId="21639" xr:uid="{00000000-0005-0000-0000-00004C510000}"/>
    <cellStyle name="Note 2 11 5 11" xfId="21640" xr:uid="{00000000-0005-0000-0000-00004D510000}"/>
    <cellStyle name="Note 2 11 5 12" xfId="21641" xr:uid="{00000000-0005-0000-0000-00004E510000}"/>
    <cellStyle name="Note 2 11 5 13" xfId="21642" xr:uid="{00000000-0005-0000-0000-00004F510000}"/>
    <cellStyle name="Note 2 11 5 14" xfId="21643" xr:uid="{00000000-0005-0000-0000-000050510000}"/>
    <cellStyle name="Note 2 11 5 15" xfId="21644" xr:uid="{00000000-0005-0000-0000-000051510000}"/>
    <cellStyle name="Note 2 11 5 2" xfId="21645" xr:uid="{00000000-0005-0000-0000-000052510000}"/>
    <cellStyle name="Note 2 11 5 3" xfId="21646" xr:uid="{00000000-0005-0000-0000-000053510000}"/>
    <cellStyle name="Note 2 11 5 4" xfId="21647" xr:uid="{00000000-0005-0000-0000-000054510000}"/>
    <cellStyle name="Note 2 11 5 5" xfId="21648" xr:uid="{00000000-0005-0000-0000-000055510000}"/>
    <cellStyle name="Note 2 11 5 6" xfId="21649" xr:uid="{00000000-0005-0000-0000-000056510000}"/>
    <cellStyle name="Note 2 11 5 7" xfId="21650" xr:uid="{00000000-0005-0000-0000-000057510000}"/>
    <cellStyle name="Note 2 11 5 8" xfId="21651" xr:uid="{00000000-0005-0000-0000-000058510000}"/>
    <cellStyle name="Note 2 11 5 9" xfId="21652" xr:uid="{00000000-0005-0000-0000-000059510000}"/>
    <cellStyle name="Note 2 11 6" xfId="21653" xr:uid="{00000000-0005-0000-0000-00005A510000}"/>
    <cellStyle name="Note 2 11 6 10" xfId="21654" xr:uid="{00000000-0005-0000-0000-00005B510000}"/>
    <cellStyle name="Note 2 11 6 11" xfId="21655" xr:uid="{00000000-0005-0000-0000-00005C510000}"/>
    <cellStyle name="Note 2 11 6 12" xfId="21656" xr:uid="{00000000-0005-0000-0000-00005D510000}"/>
    <cellStyle name="Note 2 11 6 13" xfId="21657" xr:uid="{00000000-0005-0000-0000-00005E510000}"/>
    <cellStyle name="Note 2 11 6 14" xfId="21658" xr:uid="{00000000-0005-0000-0000-00005F510000}"/>
    <cellStyle name="Note 2 11 6 15" xfId="21659" xr:uid="{00000000-0005-0000-0000-000060510000}"/>
    <cellStyle name="Note 2 11 6 2" xfId="21660" xr:uid="{00000000-0005-0000-0000-000061510000}"/>
    <cellStyle name="Note 2 11 6 3" xfId="21661" xr:uid="{00000000-0005-0000-0000-000062510000}"/>
    <cellStyle name="Note 2 11 6 4" xfId="21662" xr:uid="{00000000-0005-0000-0000-000063510000}"/>
    <cellStyle name="Note 2 11 6 5" xfId="21663" xr:uid="{00000000-0005-0000-0000-000064510000}"/>
    <cellStyle name="Note 2 11 6 6" xfId="21664" xr:uid="{00000000-0005-0000-0000-000065510000}"/>
    <cellStyle name="Note 2 11 6 7" xfId="21665" xr:uid="{00000000-0005-0000-0000-000066510000}"/>
    <cellStyle name="Note 2 11 6 8" xfId="21666" xr:uid="{00000000-0005-0000-0000-000067510000}"/>
    <cellStyle name="Note 2 11 6 9" xfId="21667" xr:uid="{00000000-0005-0000-0000-000068510000}"/>
    <cellStyle name="Note 2 11 7" xfId="21668" xr:uid="{00000000-0005-0000-0000-000069510000}"/>
    <cellStyle name="Note 2 11 7 10" xfId="21669" xr:uid="{00000000-0005-0000-0000-00006A510000}"/>
    <cellStyle name="Note 2 11 7 11" xfId="21670" xr:uid="{00000000-0005-0000-0000-00006B510000}"/>
    <cellStyle name="Note 2 11 7 12" xfId="21671" xr:uid="{00000000-0005-0000-0000-00006C510000}"/>
    <cellStyle name="Note 2 11 7 13" xfId="21672" xr:uid="{00000000-0005-0000-0000-00006D510000}"/>
    <cellStyle name="Note 2 11 7 14" xfId="21673" xr:uid="{00000000-0005-0000-0000-00006E510000}"/>
    <cellStyle name="Note 2 11 7 15" xfId="21674" xr:uid="{00000000-0005-0000-0000-00006F510000}"/>
    <cellStyle name="Note 2 11 7 2" xfId="21675" xr:uid="{00000000-0005-0000-0000-000070510000}"/>
    <cellStyle name="Note 2 11 7 3" xfId="21676" xr:uid="{00000000-0005-0000-0000-000071510000}"/>
    <cellStyle name="Note 2 11 7 4" xfId="21677" xr:uid="{00000000-0005-0000-0000-000072510000}"/>
    <cellStyle name="Note 2 11 7 5" xfId="21678" xr:uid="{00000000-0005-0000-0000-000073510000}"/>
    <cellStyle name="Note 2 11 7 6" xfId="21679" xr:uid="{00000000-0005-0000-0000-000074510000}"/>
    <cellStyle name="Note 2 11 7 7" xfId="21680" xr:uid="{00000000-0005-0000-0000-000075510000}"/>
    <cellStyle name="Note 2 11 7 8" xfId="21681" xr:uid="{00000000-0005-0000-0000-000076510000}"/>
    <cellStyle name="Note 2 11 7 9" xfId="21682" xr:uid="{00000000-0005-0000-0000-000077510000}"/>
    <cellStyle name="Note 2 11 8" xfId="21683" xr:uid="{00000000-0005-0000-0000-000078510000}"/>
    <cellStyle name="Note 2 11 8 10" xfId="21684" xr:uid="{00000000-0005-0000-0000-000079510000}"/>
    <cellStyle name="Note 2 11 8 11" xfId="21685" xr:uid="{00000000-0005-0000-0000-00007A510000}"/>
    <cellStyle name="Note 2 11 8 12" xfId="21686" xr:uid="{00000000-0005-0000-0000-00007B510000}"/>
    <cellStyle name="Note 2 11 8 13" xfId="21687" xr:uid="{00000000-0005-0000-0000-00007C510000}"/>
    <cellStyle name="Note 2 11 8 14" xfId="21688" xr:uid="{00000000-0005-0000-0000-00007D510000}"/>
    <cellStyle name="Note 2 11 8 15" xfId="21689" xr:uid="{00000000-0005-0000-0000-00007E510000}"/>
    <cellStyle name="Note 2 11 8 2" xfId="21690" xr:uid="{00000000-0005-0000-0000-00007F510000}"/>
    <cellStyle name="Note 2 11 8 3" xfId="21691" xr:uid="{00000000-0005-0000-0000-000080510000}"/>
    <cellStyle name="Note 2 11 8 4" xfId="21692" xr:uid="{00000000-0005-0000-0000-000081510000}"/>
    <cellStyle name="Note 2 11 8 5" xfId="21693" xr:uid="{00000000-0005-0000-0000-000082510000}"/>
    <cellStyle name="Note 2 11 8 6" xfId="21694" xr:uid="{00000000-0005-0000-0000-000083510000}"/>
    <cellStyle name="Note 2 11 8 7" xfId="21695" xr:uid="{00000000-0005-0000-0000-000084510000}"/>
    <cellStyle name="Note 2 11 8 8" xfId="21696" xr:uid="{00000000-0005-0000-0000-000085510000}"/>
    <cellStyle name="Note 2 11 8 9" xfId="21697" xr:uid="{00000000-0005-0000-0000-000086510000}"/>
    <cellStyle name="Note 2 11 9" xfId="21698" xr:uid="{00000000-0005-0000-0000-000087510000}"/>
    <cellStyle name="Note 2 12" xfId="21699" xr:uid="{00000000-0005-0000-0000-000088510000}"/>
    <cellStyle name="Note 2 12 10" xfId="21700" xr:uid="{00000000-0005-0000-0000-000089510000}"/>
    <cellStyle name="Note 2 12 11" xfId="21701" xr:uid="{00000000-0005-0000-0000-00008A510000}"/>
    <cellStyle name="Note 2 12 12" xfId="21702" xr:uid="{00000000-0005-0000-0000-00008B510000}"/>
    <cellStyle name="Note 2 12 13" xfId="21703" xr:uid="{00000000-0005-0000-0000-00008C510000}"/>
    <cellStyle name="Note 2 12 14" xfId="21704" xr:uid="{00000000-0005-0000-0000-00008D510000}"/>
    <cellStyle name="Note 2 12 15" xfId="21705" xr:uid="{00000000-0005-0000-0000-00008E510000}"/>
    <cellStyle name="Note 2 12 16" xfId="21706" xr:uid="{00000000-0005-0000-0000-00008F510000}"/>
    <cellStyle name="Note 2 12 17" xfId="21707" xr:uid="{00000000-0005-0000-0000-000090510000}"/>
    <cellStyle name="Note 2 12 18" xfId="21708" xr:uid="{00000000-0005-0000-0000-000091510000}"/>
    <cellStyle name="Note 2 12 19" xfId="21709" xr:uid="{00000000-0005-0000-0000-000092510000}"/>
    <cellStyle name="Note 2 12 2" xfId="21710" xr:uid="{00000000-0005-0000-0000-000093510000}"/>
    <cellStyle name="Note 2 12 2 10" xfId="21711" xr:uid="{00000000-0005-0000-0000-000094510000}"/>
    <cellStyle name="Note 2 12 2 11" xfId="21712" xr:uid="{00000000-0005-0000-0000-000095510000}"/>
    <cellStyle name="Note 2 12 2 12" xfId="21713" xr:uid="{00000000-0005-0000-0000-000096510000}"/>
    <cellStyle name="Note 2 12 2 13" xfId="21714" xr:uid="{00000000-0005-0000-0000-000097510000}"/>
    <cellStyle name="Note 2 12 2 14" xfId="21715" xr:uid="{00000000-0005-0000-0000-000098510000}"/>
    <cellStyle name="Note 2 12 2 15" xfId="21716" xr:uid="{00000000-0005-0000-0000-000099510000}"/>
    <cellStyle name="Note 2 12 2 2" xfId="21717" xr:uid="{00000000-0005-0000-0000-00009A510000}"/>
    <cellStyle name="Note 2 12 2 3" xfId="21718" xr:uid="{00000000-0005-0000-0000-00009B510000}"/>
    <cellStyle name="Note 2 12 2 4" xfId="21719" xr:uid="{00000000-0005-0000-0000-00009C510000}"/>
    <cellStyle name="Note 2 12 2 5" xfId="21720" xr:uid="{00000000-0005-0000-0000-00009D510000}"/>
    <cellStyle name="Note 2 12 2 6" xfId="21721" xr:uid="{00000000-0005-0000-0000-00009E510000}"/>
    <cellStyle name="Note 2 12 2 7" xfId="21722" xr:uid="{00000000-0005-0000-0000-00009F510000}"/>
    <cellStyle name="Note 2 12 2 8" xfId="21723" xr:uid="{00000000-0005-0000-0000-0000A0510000}"/>
    <cellStyle name="Note 2 12 2 9" xfId="21724" xr:uid="{00000000-0005-0000-0000-0000A1510000}"/>
    <cellStyle name="Note 2 12 20" xfId="21725" xr:uid="{00000000-0005-0000-0000-0000A2510000}"/>
    <cellStyle name="Note 2 12 3" xfId="21726" xr:uid="{00000000-0005-0000-0000-0000A3510000}"/>
    <cellStyle name="Note 2 12 3 10" xfId="21727" xr:uid="{00000000-0005-0000-0000-0000A4510000}"/>
    <cellStyle name="Note 2 12 3 11" xfId="21728" xr:uid="{00000000-0005-0000-0000-0000A5510000}"/>
    <cellStyle name="Note 2 12 3 12" xfId="21729" xr:uid="{00000000-0005-0000-0000-0000A6510000}"/>
    <cellStyle name="Note 2 12 3 13" xfId="21730" xr:uid="{00000000-0005-0000-0000-0000A7510000}"/>
    <cellStyle name="Note 2 12 3 14" xfId="21731" xr:uid="{00000000-0005-0000-0000-0000A8510000}"/>
    <cellStyle name="Note 2 12 3 15" xfId="21732" xr:uid="{00000000-0005-0000-0000-0000A9510000}"/>
    <cellStyle name="Note 2 12 3 2" xfId="21733" xr:uid="{00000000-0005-0000-0000-0000AA510000}"/>
    <cellStyle name="Note 2 12 3 3" xfId="21734" xr:uid="{00000000-0005-0000-0000-0000AB510000}"/>
    <cellStyle name="Note 2 12 3 4" xfId="21735" xr:uid="{00000000-0005-0000-0000-0000AC510000}"/>
    <cellStyle name="Note 2 12 3 5" xfId="21736" xr:uid="{00000000-0005-0000-0000-0000AD510000}"/>
    <cellStyle name="Note 2 12 3 6" xfId="21737" xr:uid="{00000000-0005-0000-0000-0000AE510000}"/>
    <cellStyle name="Note 2 12 3 7" xfId="21738" xr:uid="{00000000-0005-0000-0000-0000AF510000}"/>
    <cellStyle name="Note 2 12 3 8" xfId="21739" xr:uid="{00000000-0005-0000-0000-0000B0510000}"/>
    <cellStyle name="Note 2 12 3 9" xfId="21740" xr:uid="{00000000-0005-0000-0000-0000B1510000}"/>
    <cellStyle name="Note 2 12 4" xfId="21741" xr:uid="{00000000-0005-0000-0000-0000B2510000}"/>
    <cellStyle name="Note 2 12 4 10" xfId="21742" xr:uid="{00000000-0005-0000-0000-0000B3510000}"/>
    <cellStyle name="Note 2 12 4 11" xfId="21743" xr:uid="{00000000-0005-0000-0000-0000B4510000}"/>
    <cellStyle name="Note 2 12 4 12" xfId="21744" xr:uid="{00000000-0005-0000-0000-0000B5510000}"/>
    <cellStyle name="Note 2 12 4 13" xfId="21745" xr:uid="{00000000-0005-0000-0000-0000B6510000}"/>
    <cellStyle name="Note 2 12 4 14" xfId="21746" xr:uid="{00000000-0005-0000-0000-0000B7510000}"/>
    <cellStyle name="Note 2 12 4 15" xfId="21747" xr:uid="{00000000-0005-0000-0000-0000B8510000}"/>
    <cellStyle name="Note 2 12 4 2" xfId="21748" xr:uid="{00000000-0005-0000-0000-0000B9510000}"/>
    <cellStyle name="Note 2 12 4 3" xfId="21749" xr:uid="{00000000-0005-0000-0000-0000BA510000}"/>
    <cellStyle name="Note 2 12 4 4" xfId="21750" xr:uid="{00000000-0005-0000-0000-0000BB510000}"/>
    <cellStyle name="Note 2 12 4 5" xfId="21751" xr:uid="{00000000-0005-0000-0000-0000BC510000}"/>
    <cellStyle name="Note 2 12 4 6" xfId="21752" xr:uid="{00000000-0005-0000-0000-0000BD510000}"/>
    <cellStyle name="Note 2 12 4 7" xfId="21753" xr:uid="{00000000-0005-0000-0000-0000BE510000}"/>
    <cellStyle name="Note 2 12 4 8" xfId="21754" xr:uid="{00000000-0005-0000-0000-0000BF510000}"/>
    <cellStyle name="Note 2 12 4 9" xfId="21755" xr:uid="{00000000-0005-0000-0000-0000C0510000}"/>
    <cellStyle name="Note 2 12 5" xfId="21756" xr:uid="{00000000-0005-0000-0000-0000C1510000}"/>
    <cellStyle name="Note 2 12 5 10" xfId="21757" xr:uid="{00000000-0005-0000-0000-0000C2510000}"/>
    <cellStyle name="Note 2 12 5 11" xfId="21758" xr:uid="{00000000-0005-0000-0000-0000C3510000}"/>
    <cellStyle name="Note 2 12 5 12" xfId="21759" xr:uid="{00000000-0005-0000-0000-0000C4510000}"/>
    <cellStyle name="Note 2 12 5 13" xfId="21760" xr:uid="{00000000-0005-0000-0000-0000C5510000}"/>
    <cellStyle name="Note 2 12 5 14" xfId="21761" xr:uid="{00000000-0005-0000-0000-0000C6510000}"/>
    <cellStyle name="Note 2 12 5 15" xfId="21762" xr:uid="{00000000-0005-0000-0000-0000C7510000}"/>
    <cellStyle name="Note 2 12 5 2" xfId="21763" xr:uid="{00000000-0005-0000-0000-0000C8510000}"/>
    <cellStyle name="Note 2 12 5 3" xfId="21764" xr:uid="{00000000-0005-0000-0000-0000C9510000}"/>
    <cellStyle name="Note 2 12 5 4" xfId="21765" xr:uid="{00000000-0005-0000-0000-0000CA510000}"/>
    <cellStyle name="Note 2 12 5 5" xfId="21766" xr:uid="{00000000-0005-0000-0000-0000CB510000}"/>
    <cellStyle name="Note 2 12 5 6" xfId="21767" xr:uid="{00000000-0005-0000-0000-0000CC510000}"/>
    <cellStyle name="Note 2 12 5 7" xfId="21768" xr:uid="{00000000-0005-0000-0000-0000CD510000}"/>
    <cellStyle name="Note 2 12 5 8" xfId="21769" xr:uid="{00000000-0005-0000-0000-0000CE510000}"/>
    <cellStyle name="Note 2 12 5 9" xfId="21770" xr:uid="{00000000-0005-0000-0000-0000CF510000}"/>
    <cellStyle name="Note 2 12 6" xfId="21771" xr:uid="{00000000-0005-0000-0000-0000D0510000}"/>
    <cellStyle name="Note 2 12 7" xfId="21772" xr:uid="{00000000-0005-0000-0000-0000D1510000}"/>
    <cellStyle name="Note 2 12 8" xfId="21773" xr:uid="{00000000-0005-0000-0000-0000D2510000}"/>
    <cellStyle name="Note 2 12 9" xfId="21774" xr:uid="{00000000-0005-0000-0000-0000D3510000}"/>
    <cellStyle name="Note 2 13" xfId="21775" xr:uid="{00000000-0005-0000-0000-0000D4510000}"/>
    <cellStyle name="Note 2 13 10" xfId="21776" xr:uid="{00000000-0005-0000-0000-0000D5510000}"/>
    <cellStyle name="Note 2 13 11" xfId="21777" xr:uid="{00000000-0005-0000-0000-0000D6510000}"/>
    <cellStyle name="Note 2 13 12" xfId="21778" xr:uid="{00000000-0005-0000-0000-0000D7510000}"/>
    <cellStyle name="Note 2 13 13" xfId="21779" xr:uid="{00000000-0005-0000-0000-0000D8510000}"/>
    <cellStyle name="Note 2 13 14" xfId="21780" xr:uid="{00000000-0005-0000-0000-0000D9510000}"/>
    <cellStyle name="Note 2 13 15" xfId="21781" xr:uid="{00000000-0005-0000-0000-0000DA510000}"/>
    <cellStyle name="Note 2 13 16" xfId="21782" xr:uid="{00000000-0005-0000-0000-0000DB510000}"/>
    <cellStyle name="Note 2 13 17" xfId="21783" xr:uid="{00000000-0005-0000-0000-0000DC510000}"/>
    <cellStyle name="Note 2 13 18" xfId="21784" xr:uid="{00000000-0005-0000-0000-0000DD510000}"/>
    <cellStyle name="Note 2 13 19" xfId="21785" xr:uid="{00000000-0005-0000-0000-0000DE510000}"/>
    <cellStyle name="Note 2 13 2" xfId="21786" xr:uid="{00000000-0005-0000-0000-0000DF510000}"/>
    <cellStyle name="Note 2 13 2 10" xfId="21787" xr:uid="{00000000-0005-0000-0000-0000E0510000}"/>
    <cellStyle name="Note 2 13 2 11" xfId="21788" xr:uid="{00000000-0005-0000-0000-0000E1510000}"/>
    <cellStyle name="Note 2 13 2 12" xfId="21789" xr:uid="{00000000-0005-0000-0000-0000E2510000}"/>
    <cellStyle name="Note 2 13 2 13" xfId="21790" xr:uid="{00000000-0005-0000-0000-0000E3510000}"/>
    <cellStyle name="Note 2 13 2 14" xfId="21791" xr:uid="{00000000-0005-0000-0000-0000E4510000}"/>
    <cellStyle name="Note 2 13 2 15" xfId="21792" xr:uid="{00000000-0005-0000-0000-0000E5510000}"/>
    <cellStyle name="Note 2 13 2 2" xfId="21793" xr:uid="{00000000-0005-0000-0000-0000E6510000}"/>
    <cellStyle name="Note 2 13 2 3" xfId="21794" xr:uid="{00000000-0005-0000-0000-0000E7510000}"/>
    <cellStyle name="Note 2 13 2 4" xfId="21795" xr:uid="{00000000-0005-0000-0000-0000E8510000}"/>
    <cellStyle name="Note 2 13 2 5" xfId="21796" xr:uid="{00000000-0005-0000-0000-0000E9510000}"/>
    <cellStyle name="Note 2 13 2 6" xfId="21797" xr:uid="{00000000-0005-0000-0000-0000EA510000}"/>
    <cellStyle name="Note 2 13 2 7" xfId="21798" xr:uid="{00000000-0005-0000-0000-0000EB510000}"/>
    <cellStyle name="Note 2 13 2 8" xfId="21799" xr:uid="{00000000-0005-0000-0000-0000EC510000}"/>
    <cellStyle name="Note 2 13 2 9" xfId="21800" xr:uid="{00000000-0005-0000-0000-0000ED510000}"/>
    <cellStyle name="Note 2 13 20" xfId="21801" xr:uid="{00000000-0005-0000-0000-0000EE510000}"/>
    <cellStyle name="Note 2 13 3" xfId="21802" xr:uid="{00000000-0005-0000-0000-0000EF510000}"/>
    <cellStyle name="Note 2 13 3 10" xfId="21803" xr:uid="{00000000-0005-0000-0000-0000F0510000}"/>
    <cellStyle name="Note 2 13 3 11" xfId="21804" xr:uid="{00000000-0005-0000-0000-0000F1510000}"/>
    <cellStyle name="Note 2 13 3 12" xfId="21805" xr:uid="{00000000-0005-0000-0000-0000F2510000}"/>
    <cellStyle name="Note 2 13 3 13" xfId="21806" xr:uid="{00000000-0005-0000-0000-0000F3510000}"/>
    <cellStyle name="Note 2 13 3 14" xfId="21807" xr:uid="{00000000-0005-0000-0000-0000F4510000}"/>
    <cellStyle name="Note 2 13 3 15" xfId="21808" xr:uid="{00000000-0005-0000-0000-0000F5510000}"/>
    <cellStyle name="Note 2 13 3 2" xfId="21809" xr:uid="{00000000-0005-0000-0000-0000F6510000}"/>
    <cellStyle name="Note 2 13 3 3" xfId="21810" xr:uid="{00000000-0005-0000-0000-0000F7510000}"/>
    <cellStyle name="Note 2 13 3 4" xfId="21811" xr:uid="{00000000-0005-0000-0000-0000F8510000}"/>
    <cellStyle name="Note 2 13 3 5" xfId="21812" xr:uid="{00000000-0005-0000-0000-0000F9510000}"/>
    <cellStyle name="Note 2 13 3 6" xfId="21813" xr:uid="{00000000-0005-0000-0000-0000FA510000}"/>
    <cellStyle name="Note 2 13 3 7" xfId="21814" xr:uid="{00000000-0005-0000-0000-0000FB510000}"/>
    <cellStyle name="Note 2 13 3 8" xfId="21815" xr:uid="{00000000-0005-0000-0000-0000FC510000}"/>
    <cellStyle name="Note 2 13 3 9" xfId="21816" xr:uid="{00000000-0005-0000-0000-0000FD510000}"/>
    <cellStyle name="Note 2 13 4" xfId="21817" xr:uid="{00000000-0005-0000-0000-0000FE510000}"/>
    <cellStyle name="Note 2 13 4 10" xfId="21818" xr:uid="{00000000-0005-0000-0000-0000FF510000}"/>
    <cellStyle name="Note 2 13 4 11" xfId="21819" xr:uid="{00000000-0005-0000-0000-000000520000}"/>
    <cellStyle name="Note 2 13 4 12" xfId="21820" xr:uid="{00000000-0005-0000-0000-000001520000}"/>
    <cellStyle name="Note 2 13 4 13" xfId="21821" xr:uid="{00000000-0005-0000-0000-000002520000}"/>
    <cellStyle name="Note 2 13 4 14" xfId="21822" xr:uid="{00000000-0005-0000-0000-000003520000}"/>
    <cellStyle name="Note 2 13 4 15" xfId="21823" xr:uid="{00000000-0005-0000-0000-000004520000}"/>
    <cellStyle name="Note 2 13 4 2" xfId="21824" xr:uid="{00000000-0005-0000-0000-000005520000}"/>
    <cellStyle name="Note 2 13 4 3" xfId="21825" xr:uid="{00000000-0005-0000-0000-000006520000}"/>
    <cellStyle name="Note 2 13 4 4" xfId="21826" xr:uid="{00000000-0005-0000-0000-000007520000}"/>
    <cellStyle name="Note 2 13 4 5" xfId="21827" xr:uid="{00000000-0005-0000-0000-000008520000}"/>
    <cellStyle name="Note 2 13 4 6" xfId="21828" xr:uid="{00000000-0005-0000-0000-000009520000}"/>
    <cellStyle name="Note 2 13 4 7" xfId="21829" xr:uid="{00000000-0005-0000-0000-00000A520000}"/>
    <cellStyle name="Note 2 13 4 8" xfId="21830" xr:uid="{00000000-0005-0000-0000-00000B520000}"/>
    <cellStyle name="Note 2 13 4 9" xfId="21831" xr:uid="{00000000-0005-0000-0000-00000C520000}"/>
    <cellStyle name="Note 2 13 5" xfId="21832" xr:uid="{00000000-0005-0000-0000-00000D520000}"/>
    <cellStyle name="Note 2 13 5 10" xfId="21833" xr:uid="{00000000-0005-0000-0000-00000E520000}"/>
    <cellStyle name="Note 2 13 5 11" xfId="21834" xr:uid="{00000000-0005-0000-0000-00000F520000}"/>
    <cellStyle name="Note 2 13 5 12" xfId="21835" xr:uid="{00000000-0005-0000-0000-000010520000}"/>
    <cellStyle name="Note 2 13 5 13" xfId="21836" xr:uid="{00000000-0005-0000-0000-000011520000}"/>
    <cellStyle name="Note 2 13 5 14" xfId="21837" xr:uid="{00000000-0005-0000-0000-000012520000}"/>
    <cellStyle name="Note 2 13 5 15" xfId="21838" xr:uid="{00000000-0005-0000-0000-000013520000}"/>
    <cellStyle name="Note 2 13 5 2" xfId="21839" xr:uid="{00000000-0005-0000-0000-000014520000}"/>
    <cellStyle name="Note 2 13 5 3" xfId="21840" xr:uid="{00000000-0005-0000-0000-000015520000}"/>
    <cellStyle name="Note 2 13 5 4" xfId="21841" xr:uid="{00000000-0005-0000-0000-000016520000}"/>
    <cellStyle name="Note 2 13 5 5" xfId="21842" xr:uid="{00000000-0005-0000-0000-000017520000}"/>
    <cellStyle name="Note 2 13 5 6" xfId="21843" xr:uid="{00000000-0005-0000-0000-000018520000}"/>
    <cellStyle name="Note 2 13 5 7" xfId="21844" xr:uid="{00000000-0005-0000-0000-000019520000}"/>
    <cellStyle name="Note 2 13 5 8" xfId="21845" xr:uid="{00000000-0005-0000-0000-00001A520000}"/>
    <cellStyle name="Note 2 13 5 9" xfId="21846" xr:uid="{00000000-0005-0000-0000-00001B520000}"/>
    <cellStyle name="Note 2 13 6" xfId="21847" xr:uid="{00000000-0005-0000-0000-00001C520000}"/>
    <cellStyle name="Note 2 13 7" xfId="21848" xr:uid="{00000000-0005-0000-0000-00001D520000}"/>
    <cellStyle name="Note 2 13 8" xfId="21849" xr:uid="{00000000-0005-0000-0000-00001E520000}"/>
    <cellStyle name="Note 2 13 9" xfId="21850" xr:uid="{00000000-0005-0000-0000-00001F520000}"/>
    <cellStyle name="Note 2 14" xfId="21851" xr:uid="{00000000-0005-0000-0000-000020520000}"/>
    <cellStyle name="Note 2 14 10" xfId="21852" xr:uid="{00000000-0005-0000-0000-000021520000}"/>
    <cellStyle name="Note 2 14 11" xfId="21853" xr:uid="{00000000-0005-0000-0000-000022520000}"/>
    <cellStyle name="Note 2 14 12" xfId="21854" xr:uid="{00000000-0005-0000-0000-000023520000}"/>
    <cellStyle name="Note 2 14 13" xfId="21855" xr:uid="{00000000-0005-0000-0000-000024520000}"/>
    <cellStyle name="Note 2 14 14" xfId="21856" xr:uid="{00000000-0005-0000-0000-000025520000}"/>
    <cellStyle name="Note 2 14 15" xfId="21857" xr:uid="{00000000-0005-0000-0000-000026520000}"/>
    <cellStyle name="Note 2 14 16" xfId="21858" xr:uid="{00000000-0005-0000-0000-000027520000}"/>
    <cellStyle name="Note 2 14 17" xfId="21859" xr:uid="{00000000-0005-0000-0000-000028520000}"/>
    <cellStyle name="Note 2 14 18" xfId="21860" xr:uid="{00000000-0005-0000-0000-000029520000}"/>
    <cellStyle name="Note 2 14 19" xfId="21861" xr:uid="{00000000-0005-0000-0000-00002A520000}"/>
    <cellStyle name="Note 2 14 2" xfId="21862" xr:uid="{00000000-0005-0000-0000-00002B520000}"/>
    <cellStyle name="Note 2 14 2 10" xfId="21863" xr:uid="{00000000-0005-0000-0000-00002C520000}"/>
    <cellStyle name="Note 2 14 2 11" xfId="21864" xr:uid="{00000000-0005-0000-0000-00002D520000}"/>
    <cellStyle name="Note 2 14 2 12" xfId="21865" xr:uid="{00000000-0005-0000-0000-00002E520000}"/>
    <cellStyle name="Note 2 14 2 13" xfId="21866" xr:uid="{00000000-0005-0000-0000-00002F520000}"/>
    <cellStyle name="Note 2 14 2 14" xfId="21867" xr:uid="{00000000-0005-0000-0000-000030520000}"/>
    <cellStyle name="Note 2 14 2 15" xfId="21868" xr:uid="{00000000-0005-0000-0000-000031520000}"/>
    <cellStyle name="Note 2 14 2 2" xfId="21869" xr:uid="{00000000-0005-0000-0000-000032520000}"/>
    <cellStyle name="Note 2 14 2 3" xfId="21870" xr:uid="{00000000-0005-0000-0000-000033520000}"/>
    <cellStyle name="Note 2 14 2 4" xfId="21871" xr:uid="{00000000-0005-0000-0000-000034520000}"/>
    <cellStyle name="Note 2 14 2 5" xfId="21872" xr:uid="{00000000-0005-0000-0000-000035520000}"/>
    <cellStyle name="Note 2 14 2 6" xfId="21873" xr:uid="{00000000-0005-0000-0000-000036520000}"/>
    <cellStyle name="Note 2 14 2 7" xfId="21874" xr:uid="{00000000-0005-0000-0000-000037520000}"/>
    <cellStyle name="Note 2 14 2 8" xfId="21875" xr:uid="{00000000-0005-0000-0000-000038520000}"/>
    <cellStyle name="Note 2 14 2 9" xfId="21876" xr:uid="{00000000-0005-0000-0000-000039520000}"/>
    <cellStyle name="Note 2 14 20" xfId="21877" xr:uid="{00000000-0005-0000-0000-00003A520000}"/>
    <cellStyle name="Note 2 14 3" xfId="21878" xr:uid="{00000000-0005-0000-0000-00003B520000}"/>
    <cellStyle name="Note 2 14 3 10" xfId="21879" xr:uid="{00000000-0005-0000-0000-00003C520000}"/>
    <cellStyle name="Note 2 14 3 11" xfId="21880" xr:uid="{00000000-0005-0000-0000-00003D520000}"/>
    <cellStyle name="Note 2 14 3 12" xfId="21881" xr:uid="{00000000-0005-0000-0000-00003E520000}"/>
    <cellStyle name="Note 2 14 3 13" xfId="21882" xr:uid="{00000000-0005-0000-0000-00003F520000}"/>
    <cellStyle name="Note 2 14 3 14" xfId="21883" xr:uid="{00000000-0005-0000-0000-000040520000}"/>
    <cellStyle name="Note 2 14 3 15" xfId="21884" xr:uid="{00000000-0005-0000-0000-000041520000}"/>
    <cellStyle name="Note 2 14 3 2" xfId="21885" xr:uid="{00000000-0005-0000-0000-000042520000}"/>
    <cellStyle name="Note 2 14 3 3" xfId="21886" xr:uid="{00000000-0005-0000-0000-000043520000}"/>
    <cellStyle name="Note 2 14 3 4" xfId="21887" xr:uid="{00000000-0005-0000-0000-000044520000}"/>
    <cellStyle name="Note 2 14 3 5" xfId="21888" xr:uid="{00000000-0005-0000-0000-000045520000}"/>
    <cellStyle name="Note 2 14 3 6" xfId="21889" xr:uid="{00000000-0005-0000-0000-000046520000}"/>
    <cellStyle name="Note 2 14 3 7" xfId="21890" xr:uid="{00000000-0005-0000-0000-000047520000}"/>
    <cellStyle name="Note 2 14 3 8" xfId="21891" xr:uid="{00000000-0005-0000-0000-000048520000}"/>
    <cellStyle name="Note 2 14 3 9" xfId="21892" xr:uid="{00000000-0005-0000-0000-000049520000}"/>
    <cellStyle name="Note 2 14 4" xfId="21893" xr:uid="{00000000-0005-0000-0000-00004A520000}"/>
    <cellStyle name="Note 2 14 4 10" xfId="21894" xr:uid="{00000000-0005-0000-0000-00004B520000}"/>
    <cellStyle name="Note 2 14 4 11" xfId="21895" xr:uid="{00000000-0005-0000-0000-00004C520000}"/>
    <cellStyle name="Note 2 14 4 12" xfId="21896" xr:uid="{00000000-0005-0000-0000-00004D520000}"/>
    <cellStyle name="Note 2 14 4 13" xfId="21897" xr:uid="{00000000-0005-0000-0000-00004E520000}"/>
    <cellStyle name="Note 2 14 4 14" xfId="21898" xr:uid="{00000000-0005-0000-0000-00004F520000}"/>
    <cellStyle name="Note 2 14 4 15" xfId="21899" xr:uid="{00000000-0005-0000-0000-000050520000}"/>
    <cellStyle name="Note 2 14 4 2" xfId="21900" xr:uid="{00000000-0005-0000-0000-000051520000}"/>
    <cellStyle name="Note 2 14 4 3" xfId="21901" xr:uid="{00000000-0005-0000-0000-000052520000}"/>
    <cellStyle name="Note 2 14 4 4" xfId="21902" xr:uid="{00000000-0005-0000-0000-000053520000}"/>
    <cellStyle name="Note 2 14 4 5" xfId="21903" xr:uid="{00000000-0005-0000-0000-000054520000}"/>
    <cellStyle name="Note 2 14 4 6" xfId="21904" xr:uid="{00000000-0005-0000-0000-000055520000}"/>
    <cellStyle name="Note 2 14 4 7" xfId="21905" xr:uid="{00000000-0005-0000-0000-000056520000}"/>
    <cellStyle name="Note 2 14 4 8" xfId="21906" xr:uid="{00000000-0005-0000-0000-000057520000}"/>
    <cellStyle name="Note 2 14 4 9" xfId="21907" xr:uid="{00000000-0005-0000-0000-000058520000}"/>
    <cellStyle name="Note 2 14 5" xfId="21908" xr:uid="{00000000-0005-0000-0000-000059520000}"/>
    <cellStyle name="Note 2 14 5 10" xfId="21909" xr:uid="{00000000-0005-0000-0000-00005A520000}"/>
    <cellStyle name="Note 2 14 5 11" xfId="21910" xr:uid="{00000000-0005-0000-0000-00005B520000}"/>
    <cellStyle name="Note 2 14 5 12" xfId="21911" xr:uid="{00000000-0005-0000-0000-00005C520000}"/>
    <cellStyle name="Note 2 14 5 13" xfId="21912" xr:uid="{00000000-0005-0000-0000-00005D520000}"/>
    <cellStyle name="Note 2 14 5 14" xfId="21913" xr:uid="{00000000-0005-0000-0000-00005E520000}"/>
    <cellStyle name="Note 2 14 5 15" xfId="21914" xr:uid="{00000000-0005-0000-0000-00005F520000}"/>
    <cellStyle name="Note 2 14 5 2" xfId="21915" xr:uid="{00000000-0005-0000-0000-000060520000}"/>
    <cellStyle name="Note 2 14 5 3" xfId="21916" xr:uid="{00000000-0005-0000-0000-000061520000}"/>
    <cellStyle name="Note 2 14 5 4" xfId="21917" xr:uid="{00000000-0005-0000-0000-000062520000}"/>
    <cellStyle name="Note 2 14 5 5" xfId="21918" xr:uid="{00000000-0005-0000-0000-000063520000}"/>
    <cellStyle name="Note 2 14 5 6" xfId="21919" xr:uid="{00000000-0005-0000-0000-000064520000}"/>
    <cellStyle name="Note 2 14 5 7" xfId="21920" xr:uid="{00000000-0005-0000-0000-000065520000}"/>
    <cellStyle name="Note 2 14 5 8" xfId="21921" xr:uid="{00000000-0005-0000-0000-000066520000}"/>
    <cellStyle name="Note 2 14 5 9" xfId="21922" xr:uid="{00000000-0005-0000-0000-000067520000}"/>
    <cellStyle name="Note 2 14 6" xfId="21923" xr:uid="{00000000-0005-0000-0000-000068520000}"/>
    <cellStyle name="Note 2 14 7" xfId="21924" xr:uid="{00000000-0005-0000-0000-000069520000}"/>
    <cellStyle name="Note 2 14 8" xfId="21925" xr:uid="{00000000-0005-0000-0000-00006A520000}"/>
    <cellStyle name="Note 2 14 9" xfId="21926" xr:uid="{00000000-0005-0000-0000-00006B520000}"/>
    <cellStyle name="Note 2 15" xfId="21927" xr:uid="{00000000-0005-0000-0000-00006C520000}"/>
    <cellStyle name="Note 2 15 10" xfId="21928" xr:uid="{00000000-0005-0000-0000-00006D520000}"/>
    <cellStyle name="Note 2 15 11" xfId="21929" xr:uid="{00000000-0005-0000-0000-00006E520000}"/>
    <cellStyle name="Note 2 15 12" xfId="21930" xr:uid="{00000000-0005-0000-0000-00006F520000}"/>
    <cellStyle name="Note 2 15 13" xfId="21931" xr:uid="{00000000-0005-0000-0000-000070520000}"/>
    <cellStyle name="Note 2 15 14" xfId="21932" xr:uid="{00000000-0005-0000-0000-000071520000}"/>
    <cellStyle name="Note 2 15 15" xfId="21933" xr:uid="{00000000-0005-0000-0000-000072520000}"/>
    <cellStyle name="Note 2 15 2" xfId="21934" xr:uid="{00000000-0005-0000-0000-000073520000}"/>
    <cellStyle name="Note 2 15 3" xfId="21935" xr:uid="{00000000-0005-0000-0000-000074520000}"/>
    <cellStyle name="Note 2 15 4" xfId="21936" xr:uid="{00000000-0005-0000-0000-000075520000}"/>
    <cellStyle name="Note 2 15 5" xfId="21937" xr:uid="{00000000-0005-0000-0000-000076520000}"/>
    <cellStyle name="Note 2 15 6" xfId="21938" xr:uid="{00000000-0005-0000-0000-000077520000}"/>
    <cellStyle name="Note 2 15 7" xfId="21939" xr:uid="{00000000-0005-0000-0000-000078520000}"/>
    <cellStyle name="Note 2 15 8" xfId="21940" xr:uid="{00000000-0005-0000-0000-000079520000}"/>
    <cellStyle name="Note 2 15 9" xfId="21941" xr:uid="{00000000-0005-0000-0000-00007A520000}"/>
    <cellStyle name="Note 2 16" xfId="21942" xr:uid="{00000000-0005-0000-0000-00007B520000}"/>
    <cellStyle name="Note 2 16 10" xfId="21943" xr:uid="{00000000-0005-0000-0000-00007C520000}"/>
    <cellStyle name="Note 2 16 11" xfId="21944" xr:uid="{00000000-0005-0000-0000-00007D520000}"/>
    <cellStyle name="Note 2 16 12" xfId="21945" xr:uid="{00000000-0005-0000-0000-00007E520000}"/>
    <cellStyle name="Note 2 16 13" xfId="21946" xr:uid="{00000000-0005-0000-0000-00007F520000}"/>
    <cellStyle name="Note 2 16 14" xfId="21947" xr:uid="{00000000-0005-0000-0000-000080520000}"/>
    <cellStyle name="Note 2 16 15" xfId="21948" xr:uid="{00000000-0005-0000-0000-000081520000}"/>
    <cellStyle name="Note 2 16 2" xfId="21949" xr:uid="{00000000-0005-0000-0000-000082520000}"/>
    <cellStyle name="Note 2 16 3" xfId="21950" xr:uid="{00000000-0005-0000-0000-000083520000}"/>
    <cellStyle name="Note 2 16 4" xfId="21951" xr:uid="{00000000-0005-0000-0000-000084520000}"/>
    <cellStyle name="Note 2 16 5" xfId="21952" xr:uid="{00000000-0005-0000-0000-000085520000}"/>
    <cellStyle name="Note 2 16 6" xfId="21953" xr:uid="{00000000-0005-0000-0000-000086520000}"/>
    <cellStyle name="Note 2 16 7" xfId="21954" xr:uid="{00000000-0005-0000-0000-000087520000}"/>
    <cellStyle name="Note 2 16 8" xfId="21955" xr:uid="{00000000-0005-0000-0000-000088520000}"/>
    <cellStyle name="Note 2 16 9" xfId="21956" xr:uid="{00000000-0005-0000-0000-000089520000}"/>
    <cellStyle name="Note 2 17" xfId="21957" xr:uid="{00000000-0005-0000-0000-00008A520000}"/>
    <cellStyle name="Note 2 17 10" xfId="21958" xr:uid="{00000000-0005-0000-0000-00008B520000}"/>
    <cellStyle name="Note 2 17 11" xfId="21959" xr:uid="{00000000-0005-0000-0000-00008C520000}"/>
    <cellStyle name="Note 2 17 12" xfId="21960" xr:uid="{00000000-0005-0000-0000-00008D520000}"/>
    <cellStyle name="Note 2 17 13" xfId="21961" xr:uid="{00000000-0005-0000-0000-00008E520000}"/>
    <cellStyle name="Note 2 17 14" xfId="21962" xr:uid="{00000000-0005-0000-0000-00008F520000}"/>
    <cellStyle name="Note 2 17 15" xfId="21963" xr:uid="{00000000-0005-0000-0000-000090520000}"/>
    <cellStyle name="Note 2 17 2" xfId="21964" xr:uid="{00000000-0005-0000-0000-000091520000}"/>
    <cellStyle name="Note 2 17 3" xfId="21965" xr:uid="{00000000-0005-0000-0000-000092520000}"/>
    <cellStyle name="Note 2 17 4" xfId="21966" xr:uid="{00000000-0005-0000-0000-000093520000}"/>
    <cellStyle name="Note 2 17 5" xfId="21967" xr:uid="{00000000-0005-0000-0000-000094520000}"/>
    <cellStyle name="Note 2 17 6" xfId="21968" xr:uid="{00000000-0005-0000-0000-000095520000}"/>
    <cellStyle name="Note 2 17 7" xfId="21969" xr:uid="{00000000-0005-0000-0000-000096520000}"/>
    <cellStyle name="Note 2 17 8" xfId="21970" xr:uid="{00000000-0005-0000-0000-000097520000}"/>
    <cellStyle name="Note 2 17 9" xfId="21971" xr:uid="{00000000-0005-0000-0000-000098520000}"/>
    <cellStyle name="Note 2 18" xfId="21972" xr:uid="{00000000-0005-0000-0000-000099520000}"/>
    <cellStyle name="Note 2 18 10" xfId="21973" xr:uid="{00000000-0005-0000-0000-00009A520000}"/>
    <cellStyle name="Note 2 18 11" xfId="21974" xr:uid="{00000000-0005-0000-0000-00009B520000}"/>
    <cellStyle name="Note 2 18 12" xfId="21975" xr:uid="{00000000-0005-0000-0000-00009C520000}"/>
    <cellStyle name="Note 2 18 13" xfId="21976" xr:uid="{00000000-0005-0000-0000-00009D520000}"/>
    <cellStyle name="Note 2 18 14" xfId="21977" xr:uid="{00000000-0005-0000-0000-00009E520000}"/>
    <cellStyle name="Note 2 18 15" xfId="21978" xr:uid="{00000000-0005-0000-0000-00009F520000}"/>
    <cellStyle name="Note 2 18 2" xfId="21979" xr:uid="{00000000-0005-0000-0000-0000A0520000}"/>
    <cellStyle name="Note 2 18 3" xfId="21980" xr:uid="{00000000-0005-0000-0000-0000A1520000}"/>
    <cellStyle name="Note 2 18 4" xfId="21981" xr:uid="{00000000-0005-0000-0000-0000A2520000}"/>
    <cellStyle name="Note 2 18 5" xfId="21982" xr:uid="{00000000-0005-0000-0000-0000A3520000}"/>
    <cellStyle name="Note 2 18 6" xfId="21983" xr:uid="{00000000-0005-0000-0000-0000A4520000}"/>
    <cellStyle name="Note 2 18 7" xfId="21984" xr:uid="{00000000-0005-0000-0000-0000A5520000}"/>
    <cellStyle name="Note 2 18 8" xfId="21985" xr:uid="{00000000-0005-0000-0000-0000A6520000}"/>
    <cellStyle name="Note 2 18 9" xfId="21986" xr:uid="{00000000-0005-0000-0000-0000A7520000}"/>
    <cellStyle name="Note 2 19" xfId="21987" xr:uid="{00000000-0005-0000-0000-0000A8520000}"/>
    <cellStyle name="Note 2 19 2" xfId="21988" xr:uid="{00000000-0005-0000-0000-0000A9520000}"/>
    <cellStyle name="Note 2 19 3" xfId="21989" xr:uid="{00000000-0005-0000-0000-0000AA520000}"/>
    <cellStyle name="Note 2 2" xfId="21990" xr:uid="{00000000-0005-0000-0000-0000AB520000}"/>
    <cellStyle name="Note 2 2 10" xfId="21991" xr:uid="{00000000-0005-0000-0000-0000AC520000}"/>
    <cellStyle name="Note 2 2 10 2" xfId="21992" xr:uid="{00000000-0005-0000-0000-0000AD520000}"/>
    <cellStyle name="Note 2 2 10 3" xfId="21993" xr:uid="{00000000-0005-0000-0000-0000AE520000}"/>
    <cellStyle name="Note 2 2 11" xfId="21994" xr:uid="{00000000-0005-0000-0000-0000AF520000}"/>
    <cellStyle name="Note 2 2 12" xfId="21995" xr:uid="{00000000-0005-0000-0000-0000B0520000}"/>
    <cellStyle name="Note 2 2 13" xfId="21996" xr:uid="{00000000-0005-0000-0000-0000B1520000}"/>
    <cellStyle name="Note 2 2 14" xfId="21997" xr:uid="{00000000-0005-0000-0000-0000B2520000}"/>
    <cellStyle name="Note 2 2 15" xfId="21998" xr:uid="{00000000-0005-0000-0000-0000B3520000}"/>
    <cellStyle name="Note 2 2 16" xfId="21999" xr:uid="{00000000-0005-0000-0000-0000B4520000}"/>
    <cellStyle name="Note 2 2 17" xfId="22000" xr:uid="{00000000-0005-0000-0000-0000B5520000}"/>
    <cellStyle name="Note 2 2 18" xfId="22001" xr:uid="{00000000-0005-0000-0000-0000B6520000}"/>
    <cellStyle name="Note 2 2 19" xfId="22002" xr:uid="{00000000-0005-0000-0000-0000B7520000}"/>
    <cellStyle name="Note 2 2 2" xfId="22003" xr:uid="{00000000-0005-0000-0000-0000B8520000}"/>
    <cellStyle name="Note 2 2 2 10" xfId="22004" xr:uid="{00000000-0005-0000-0000-0000B9520000}"/>
    <cellStyle name="Note 2 2 2 11" xfId="22005" xr:uid="{00000000-0005-0000-0000-0000BA520000}"/>
    <cellStyle name="Note 2 2 2 12" xfId="22006" xr:uid="{00000000-0005-0000-0000-0000BB520000}"/>
    <cellStyle name="Note 2 2 2 13" xfId="22007" xr:uid="{00000000-0005-0000-0000-0000BC520000}"/>
    <cellStyle name="Note 2 2 2 14" xfId="22008" xr:uid="{00000000-0005-0000-0000-0000BD520000}"/>
    <cellStyle name="Note 2 2 2 15" xfId="22009" xr:uid="{00000000-0005-0000-0000-0000BE520000}"/>
    <cellStyle name="Note 2 2 2 16" xfId="22010" xr:uid="{00000000-0005-0000-0000-0000BF520000}"/>
    <cellStyle name="Note 2 2 2 17" xfId="22011" xr:uid="{00000000-0005-0000-0000-0000C0520000}"/>
    <cellStyle name="Note 2 2 2 18" xfId="22012" xr:uid="{00000000-0005-0000-0000-0000C1520000}"/>
    <cellStyle name="Note 2 2 2 19" xfId="22013" xr:uid="{00000000-0005-0000-0000-0000C2520000}"/>
    <cellStyle name="Note 2 2 2 2" xfId="22014" xr:uid="{00000000-0005-0000-0000-0000C3520000}"/>
    <cellStyle name="Note 2 2 2 2 10" xfId="22015" xr:uid="{00000000-0005-0000-0000-0000C4520000}"/>
    <cellStyle name="Note 2 2 2 2 11" xfId="22016" xr:uid="{00000000-0005-0000-0000-0000C5520000}"/>
    <cellStyle name="Note 2 2 2 2 12" xfId="22017" xr:uid="{00000000-0005-0000-0000-0000C6520000}"/>
    <cellStyle name="Note 2 2 2 2 13" xfId="22018" xr:uid="{00000000-0005-0000-0000-0000C7520000}"/>
    <cellStyle name="Note 2 2 2 2 14" xfId="22019" xr:uid="{00000000-0005-0000-0000-0000C8520000}"/>
    <cellStyle name="Note 2 2 2 2 15" xfId="22020" xr:uid="{00000000-0005-0000-0000-0000C9520000}"/>
    <cellStyle name="Note 2 2 2 2 16" xfId="22021" xr:uid="{00000000-0005-0000-0000-0000CA520000}"/>
    <cellStyle name="Note 2 2 2 2 17" xfId="22022" xr:uid="{00000000-0005-0000-0000-0000CB520000}"/>
    <cellStyle name="Note 2 2 2 2 18" xfId="22023" xr:uid="{00000000-0005-0000-0000-0000CC520000}"/>
    <cellStyle name="Note 2 2 2 2 19" xfId="22024" xr:uid="{00000000-0005-0000-0000-0000CD520000}"/>
    <cellStyle name="Note 2 2 2 2 2" xfId="22025" xr:uid="{00000000-0005-0000-0000-0000CE520000}"/>
    <cellStyle name="Note 2 2 2 2 2 10" xfId="22026" xr:uid="{00000000-0005-0000-0000-0000CF520000}"/>
    <cellStyle name="Note 2 2 2 2 2 11" xfId="22027" xr:uid="{00000000-0005-0000-0000-0000D0520000}"/>
    <cellStyle name="Note 2 2 2 2 2 12" xfId="22028" xr:uid="{00000000-0005-0000-0000-0000D1520000}"/>
    <cellStyle name="Note 2 2 2 2 2 13" xfId="22029" xr:uid="{00000000-0005-0000-0000-0000D2520000}"/>
    <cellStyle name="Note 2 2 2 2 2 14" xfId="22030" xr:uid="{00000000-0005-0000-0000-0000D3520000}"/>
    <cellStyle name="Note 2 2 2 2 2 15" xfId="22031" xr:uid="{00000000-0005-0000-0000-0000D4520000}"/>
    <cellStyle name="Note 2 2 2 2 2 2" xfId="22032" xr:uid="{00000000-0005-0000-0000-0000D5520000}"/>
    <cellStyle name="Note 2 2 2 2 2 3" xfId="22033" xr:uid="{00000000-0005-0000-0000-0000D6520000}"/>
    <cellStyle name="Note 2 2 2 2 2 4" xfId="22034" xr:uid="{00000000-0005-0000-0000-0000D7520000}"/>
    <cellStyle name="Note 2 2 2 2 2 5" xfId="22035" xr:uid="{00000000-0005-0000-0000-0000D8520000}"/>
    <cellStyle name="Note 2 2 2 2 2 6" xfId="22036" xr:uid="{00000000-0005-0000-0000-0000D9520000}"/>
    <cellStyle name="Note 2 2 2 2 2 7" xfId="22037" xr:uid="{00000000-0005-0000-0000-0000DA520000}"/>
    <cellStyle name="Note 2 2 2 2 2 8" xfId="22038" xr:uid="{00000000-0005-0000-0000-0000DB520000}"/>
    <cellStyle name="Note 2 2 2 2 2 9" xfId="22039" xr:uid="{00000000-0005-0000-0000-0000DC520000}"/>
    <cellStyle name="Note 2 2 2 2 20" xfId="22040" xr:uid="{00000000-0005-0000-0000-0000DD520000}"/>
    <cellStyle name="Note 2 2 2 2 3" xfId="22041" xr:uid="{00000000-0005-0000-0000-0000DE520000}"/>
    <cellStyle name="Note 2 2 2 2 3 10" xfId="22042" xr:uid="{00000000-0005-0000-0000-0000DF520000}"/>
    <cellStyle name="Note 2 2 2 2 3 11" xfId="22043" xr:uid="{00000000-0005-0000-0000-0000E0520000}"/>
    <cellStyle name="Note 2 2 2 2 3 12" xfId="22044" xr:uid="{00000000-0005-0000-0000-0000E1520000}"/>
    <cellStyle name="Note 2 2 2 2 3 13" xfId="22045" xr:uid="{00000000-0005-0000-0000-0000E2520000}"/>
    <cellStyle name="Note 2 2 2 2 3 14" xfId="22046" xr:uid="{00000000-0005-0000-0000-0000E3520000}"/>
    <cellStyle name="Note 2 2 2 2 3 15" xfId="22047" xr:uid="{00000000-0005-0000-0000-0000E4520000}"/>
    <cellStyle name="Note 2 2 2 2 3 2" xfId="22048" xr:uid="{00000000-0005-0000-0000-0000E5520000}"/>
    <cellStyle name="Note 2 2 2 2 3 3" xfId="22049" xr:uid="{00000000-0005-0000-0000-0000E6520000}"/>
    <cellStyle name="Note 2 2 2 2 3 4" xfId="22050" xr:uid="{00000000-0005-0000-0000-0000E7520000}"/>
    <cellStyle name="Note 2 2 2 2 3 5" xfId="22051" xr:uid="{00000000-0005-0000-0000-0000E8520000}"/>
    <cellStyle name="Note 2 2 2 2 3 6" xfId="22052" xr:uid="{00000000-0005-0000-0000-0000E9520000}"/>
    <cellStyle name="Note 2 2 2 2 3 7" xfId="22053" xr:uid="{00000000-0005-0000-0000-0000EA520000}"/>
    <cellStyle name="Note 2 2 2 2 3 8" xfId="22054" xr:uid="{00000000-0005-0000-0000-0000EB520000}"/>
    <cellStyle name="Note 2 2 2 2 3 9" xfId="22055" xr:uid="{00000000-0005-0000-0000-0000EC520000}"/>
    <cellStyle name="Note 2 2 2 2 4" xfId="22056" xr:uid="{00000000-0005-0000-0000-0000ED520000}"/>
    <cellStyle name="Note 2 2 2 2 4 10" xfId="22057" xr:uid="{00000000-0005-0000-0000-0000EE520000}"/>
    <cellStyle name="Note 2 2 2 2 4 11" xfId="22058" xr:uid="{00000000-0005-0000-0000-0000EF520000}"/>
    <cellStyle name="Note 2 2 2 2 4 12" xfId="22059" xr:uid="{00000000-0005-0000-0000-0000F0520000}"/>
    <cellStyle name="Note 2 2 2 2 4 13" xfId="22060" xr:uid="{00000000-0005-0000-0000-0000F1520000}"/>
    <cellStyle name="Note 2 2 2 2 4 14" xfId="22061" xr:uid="{00000000-0005-0000-0000-0000F2520000}"/>
    <cellStyle name="Note 2 2 2 2 4 15" xfId="22062" xr:uid="{00000000-0005-0000-0000-0000F3520000}"/>
    <cellStyle name="Note 2 2 2 2 4 2" xfId="22063" xr:uid="{00000000-0005-0000-0000-0000F4520000}"/>
    <cellStyle name="Note 2 2 2 2 4 3" xfId="22064" xr:uid="{00000000-0005-0000-0000-0000F5520000}"/>
    <cellStyle name="Note 2 2 2 2 4 4" xfId="22065" xr:uid="{00000000-0005-0000-0000-0000F6520000}"/>
    <cellStyle name="Note 2 2 2 2 4 5" xfId="22066" xr:uid="{00000000-0005-0000-0000-0000F7520000}"/>
    <cellStyle name="Note 2 2 2 2 4 6" xfId="22067" xr:uid="{00000000-0005-0000-0000-0000F8520000}"/>
    <cellStyle name="Note 2 2 2 2 4 7" xfId="22068" xr:uid="{00000000-0005-0000-0000-0000F9520000}"/>
    <cellStyle name="Note 2 2 2 2 4 8" xfId="22069" xr:uid="{00000000-0005-0000-0000-0000FA520000}"/>
    <cellStyle name="Note 2 2 2 2 4 9" xfId="22070" xr:uid="{00000000-0005-0000-0000-0000FB520000}"/>
    <cellStyle name="Note 2 2 2 2 5" xfId="22071" xr:uid="{00000000-0005-0000-0000-0000FC520000}"/>
    <cellStyle name="Note 2 2 2 2 5 10" xfId="22072" xr:uid="{00000000-0005-0000-0000-0000FD520000}"/>
    <cellStyle name="Note 2 2 2 2 5 11" xfId="22073" xr:uid="{00000000-0005-0000-0000-0000FE520000}"/>
    <cellStyle name="Note 2 2 2 2 5 12" xfId="22074" xr:uid="{00000000-0005-0000-0000-0000FF520000}"/>
    <cellStyle name="Note 2 2 2 2 5 13" xfId="22075" xr:uid="{00000000-0005-0000-0000-000000530000}"/>
    <cellStyle name="Note 2 2 2 2 5 14" xfId="22076" xr:uid="{00000000-0005-0000-0000-000001530000}"/>
    <cellStyle name="Note 2 2 2 2 5 15" xfId="22077" xr:uid="{00000000-0005-0000-0000-000002530000}"/>
    <cellStyle name="Note 2 2 2 2 5 2" xfId="22078" xr:uid="{00000000-0005-0000-0000-000003530000}"/>
    <cellStyle name="Note 2 2 2 2 5 3" xfId="22079" xr:uid="{00000000-0005-0000-0000-000004530000}"/>
    <cellStyle name="Note 2 2 2 2 5 4" xfId="22080" xr:uid="{00000000-0005-0000-0000-000005530000}"/>
    <cellStyle name="Note 2 2 2 2 5 5" xfId="22081" xr:uid="{00000000-0005-0000-0000-000006530000}"/>
    <cellStyle name="Note 2 2 2 2 5 6" xfId="22082" xr:uid="{00000000-0005-0000-0000-000007530000}"/>
    <cellStyle name="Note 2 2 2 2 5 7" xfId="22083" xr:uid="{00000000-0005-0000-0000-000008530000}"/>
    <cellStyle name="Note 2 2 2 2 5 8" xfId="22084" xr:uid="{00000000-0005-0000-0000-000009530000}"/>
    <cellStyle name="Note 2 2 2 2 5 9" xfId="22085" xr:uid="{00000000-0005-0000-0000-00000A530000}"/>
    <cellStyle name="Note 2 2 2 2 6" xfId="22086" xr:uid="{00000000-0005-0000-0000-00000B530000}"/>
    <cellStyle name="Note 2 2 2 2 7" xfId="22087" xr:uid="{00000000-0005-0000-0000-00000C530000}"/>
    <cellStyle name="Note 2 2 2 2 8" xfId="22088" xr:uid="{00000000-0005-0000-0000-00000D530000}"/>
    <cellStyle name="Note 2 2 2 2 9" xfId="22089" xr:uid="{00000000-0005-0000-0000-00000E530000}"/>
    <cellStyle name="Note 2 2 2 20" xfId="22090" xr:uid="{00000000-0005-0000-0000-00000F530000}"/>
    <cellStyle name="Note 2 2 2 21" xfId="22091" xr:uid="{00000000-0005-0000-0000-000010530000}"/>
    <cellStyle name="Note 2 2 2 22" xfId="22092" xr:uid="{00000000-0005-0000-0000-000011530000}"/>
    <cellStyle name="Note 2 2 2 23" xfId="22093" xr:uid="{00000000-0005-0000-0000-000012530000}"/>
    <cellStyle name="Note 2 2 2 3" xfId="22094" xr:uid="{00000000-0005-0000-0000-000013530000}"/>
    <cellStyle name="Note 2 2 2 3 10" xfId="22095" xr:uid="{00000000-0005-0000-0000-000014530000}"/>
    <cellStyle name="Note 2 2 2 3 11" xfId="22096" xr:uid="{00000000-0005-0000-0000-000015530000}"/>
    <cellStyle name="Note 2 2 2 3 12" xfId="22097" xr:uid="{00000000-0005-0000-0000-000016530000}"/>
    <cellStyle name="Note 2 2 2 3 13" xfId="22098" xr:uid="{00000000-0005-0000-0000-000017530000}"/>
    <cellStyle name="Note 2 2 2 3 14" xfId="22099" xr:uid="{00000000-0005-0000-0000-000018530000}"/>
    <cellStyle name="Note 2 2 2 3 15" xfId="22100" xr:uid="{00000000-0005-0000-0000-000019530000}"/>
    <cellStyle name="Note 2 2 2 3 16" xfId="22101" xr:uid="{00000000-0005-0000-0000-00001A530000}"/>
    <cellStyle name="Note 2 2 2 3 17" xfId="22102" xr:uid="{00000000-0005-0000-0000-00001B530000}"/>
    <cellStyle name="Note 2 2 2 3 18" xfId="22103" xr:uid="{00000000-0005-0000-0000-00001C530000}"/>
    <cellStyle name="Note 2 2 2 3 19" xfId="22104" xr:uid="{00000000-0005-0000-0000-00001D530000}"/>
    <cellStyle name="Note 2 2 2 3 2" xfId="22105" xr:uid="{00000000-0005-0000-0000-00001E530000}"/>
    <cellStyle name="Note 2 2 2 3 2 10" xfId="22106" xr:uid="{00000000-0005-0000-0000-00001F530000}"/>
    <cellStyle name="Note 2 2 2 3 2 11" xfId="22107" xr:uid="{00000000-0005-0000-0000-000020530000}"/>
    <cellStyle name="Note 2 2 2 3 2 12" xfId="22108" xr:uid="{00000000-0005-0000-0000-000021530000}"/>
    <cellStyle name="Note 2 2 2 3 2 13" xfId="22109" xr:uid="{00000000-0005-0000-0000-000022530000}"/>
    <cellStyle name="Note 2 2 2 3 2 14" xfId="22110" xr:uid="{00000000-0005-0000-0000-000023530000}"/>
    <cellStyle name="Note 2 2 2 3 2 15" xfId="22111" xr:uid="{00000000-0005-0000-0000-000024530000}"/>
    <cellStyle name="Note 2 2 2 3 2 2" xfId="22112" xr:uid="{00000000-0005-0000-0000-000025530000}"/>
    <cellStyle name="Note 2 2 2 3 2 3" xfId="22113" xr:uid="{00000000-0005-0000-0000-000026530000}"/>
    <cellStyle name="Note 2 2 2 3 2 4" xfId="22114" xr:uid="{00000000-0005-0000-0000-000027530000}"/>
    <cellStyle name="Note 2 2 2 3 2 5" xfId="22115" xr:uid="{00000000-0005-0000-0000-000028530000}"/>
    <cellStyle name="Note 2 2 2 3 2 6" xfId="22116" xr:uid="{00000000-0005-0000-0000-000029530000}"/>
    <cellStyle name="Note 2 2 2 3 2 7" xfId="22117" xr:uid="{00000000-0005-0000-0000-00002A530000}"/>
    <cellStyle name="Note 2 2 2 3 2 8" xfId="22118" xr:uid="{00000000-0005-0000-0000-00002B530000}"/>
    <cellStyle name="Note 2 2 2 3 2 9" xfId="22119" xr:uid="{00000000-0005-0000-0000-00002C530000}"/>
    <cellStyle name="Note 2 2 2 3 20" xfId="22120" xr:uid="{00000000-0005-0000-0000-00002D530000}"/>
    <cellStyle name="Note 2 2 2 3 3" xfId="22121" xr:uid="{00000000-0005-0000-0000-00002E530000}"/>
    <cellStyle name="Note 2 2 2 3 3 10" xfId="22122" xr:uid="{00000000-0005-0000-0000-00002F530000}"/>
    <cellStyle name="Note 2 2 2 3 3 11" xfId="22123" xr:uid="{00000000-0005-0000-0000-000030530000}"/>
    <cellStyle name="Note 2 2 2 3 3 12" xfId="22124" xr:uid="{00000000-0005-0000-0000-000031530000}"/>
    <cellStyle name="Note 2 2 2 3 3 13" xfId="22125" xr:uid="{00000000-0005-0000-0000-000032530000}"/>
    <cellStyle name="Note 2 2 2 3 3 14" xfId="22126" xr:uid="{00000000-0005-0000-0000-000033530000}"/>
    <cellStyle name="Note 2 2 2 3 3 15" xfId="22127" xr:uid="{00000000-0005-0000-0000-000034530000}"/>
    <cellStyle name="Note 2 2 2 3 3 2" xfId="22128" xr:uid="{00000000-0005-0000-0000-000035530000}"/>
    <cellStyle name="Note 2 2 2 3 3 3" xfId="22129" xr:uid="{00000000-0005-0000-0000-000036530000}"/>
    <cellStyle name="Note 2 2 2 3 3 4" xfId="22130" xr:uid="{00000000-0005-0000-0000-000037530000}"/>
    <cellStyle name="Note 2 2 2 3 3 5" xfId="22131" xr:uid="{00000000-0005-0000-0000-000038530000}"/>
    <cellStyle name="Note 2 2 2 3 3 6" xfId="22132" xr:uid="{00000000-0005-0000-0000-000039530000}"/>
    <cellStyle name="Note 2 2 2 3 3 7" xfId="22133" xr:uid="{00000000-0005-0000-0000-00003A530000}"/>
    <cellStyle name="Note 2 2 2 3 3 8" xfId="22134" xr:uid="{00000000-0005-0000-0000-00003B530000}"/>
    <cellStyle name="Note 2 2 2 3 3 9" xfId="22135" xr:uid="{00000000-0005-0000-0000-00003C530000}"/>
    <cellStyle name="Note 2 2 2 3 4" xfId="22136" xr:uid="{00000000-0005-0000-0000-00003D530000}"/>
    <cellStyle name="Note 2 2 2 3 4 10" xfId="22137" xr:uid="{00000000-0005-0000-0000-00003E530000}"/>
    <cellStyle name="Note 2 2 2 3 4 11" xfId="22138" xr:uid="{00000000-0005-0000-0000-00003F530000}"/>
    <cellStyle name="Note 2 2 2 3 4 12" xfId="22139" xr:uid="{00000000-0005-0000-0000-000040530000}"/>
    <cellStyle name="Note 2 2 2 3 4 13" xfId="22140" xr:uid="{00000000-0005-0000-0000-000041530000}"/>
    <cellStyle name="Note 2 2 2 3 4 14" xfId="22141" xr:uid="{00000000-0005-0000-0000-000042530000}"/>
    <cellStyle name="Note 2 2 2 3 4 15" xfId="22142" xr:uid="{00000000-0005-0000-0000-000043530000}"/>
    <cellStyle name="Note 2 2 2 3 4 2" xfId="22143" xr:uid="{00000000-0005-0000-0000-000044530000}"/>
    <cellStyle name="Note 2 2 2 3 4 3" xfId="22144" xr:uid="{00000000-0005-0000-0000-000045530000}"/>
    <cellStyle name="Note 2 2 2 3 4 4" xfId="22145" xr:uid="{00000000-0005-0000-0000-000046530000}"/>
    <cellStyle name="Note 2 2 2 3 4 5" xfId="22146" xr:uid="{00000000-0005-0000-0000-000047530000}"/>
    <cellStyle name="Note 2 2 2 3 4 6" xfId="22147" xr:uid="{00000000-0005-0000-0000-000048530000}"/>
    <cellStyle name="Note 2 2 2 3 4 7" xfId="22148" xr:uid="{00000000-0005-0000-0000-000049530000}"/>
    <cellStyle name="Note 2 2 2 3 4 8" xfId="22149" xr:uid="{00000000-0005-0000-0000-00004A530000}"/>
    <cellStyle name="Note 2 2 2 3 4 9" xfId="22150" xr:uid="{00000000-0005-0000-0000-00004B530000}"/>
    <cellStyle name="Note 2 2 2 3 5" xfId="22151" xr:uid="{00000000-0005-0000-0000-00004C530000}"/>
    <cellStyle name="Note 2 2 2 3 5 10" xfId="22152" xr:uid="{00000000-0005-0000-0000-00004D530000}"/>
    <cellStyle name="Note 2 2 2 3 5 11" xfId="22153" xr:uid="{00000000-0005-0000-0000-00004E530000}"/>
    <cellStyle name="Note 2 2 2 3 5 12" xfId="22154" xr:uid="{00000000-0005-0000-0000-00004F530000}"/>
    <cellStyle name="Note 2 2 2 3 5 13" xfId="22155" xr:uid="{00000000-0005-0000-0000-000050530000}"/>
    <cellStyle name="Note 2 2 2 3 5 14" xfId="22156" xr:uid="{00000000-0005-0000-0000-000051530000}"/>
    <cellStyle name="Note 2 2 2 3 5 15" xfId="22157" xr:uid="{00000000-0005-0000-0000-000052530000}"/>
    <cellStyle name="Note 2 2 2 3 5 2" xfId="22158" xr:uid="{00000000-0005-0000-0000-000053530000}"/>
    <cellStyle name="Note 2 2 2 3 5 3" xfId="22159" xr:uid="{00000000-0005-0000-0000-000054530000}"/>
    <cellStyle name="Note 2 2 2 3 5 4" xfId="22160" xr:uid="{00000000-0005-0000-0000-000055530000}"/>
    <cellStyle name="Note 2 2 2 3 5 5" xfId="22161" xr:uid="{00000000-0005-0000-0000-000056530000}"/>
    <cellStyle name="Note 2 2 2 3 5 6" xfId="22162" xr:uid="{00000000-0005-0000-0000-000057530000}"/>
    <cellStyle name="Note 2 2 2 3 5 7" xfId="22163" xr:uid="{00000000-0005-0000-0000-000058530000}"/>
    <cellStyle name="Note 2 2 2 3 5 8" xfId="22164" xr:uid="{00000000-0005-0000-0000-000059530000}"/>
    <cellStyle name="Note 2 2 2 3 5 9" xfId="22165" xr:uid="{00000000-0005-0000-0000-00005A530000}"/>
    <cellStyle name="Note 2 2 2 3 6" xfId="22166" xr:uid="{00000000-0005-0000-0000-00005B530000}"/>
    <cellStyle name="Note 2 2 2 3 7" xfId="22167" xr:uid="{00000000-0005-0000-0000-00005C530000}"/>
    <cellStyle name="Note 2 2 2 3 8" xfId="22168" xr:uid="{00000000-0005-0000-0000-00005D530000}"/>
    <cellStyle name="Note 2 2 2 3 9" xfId="22169" xr:uid="{00000000-0005-0000-0000-00005E530000}"/>
    <cellStyle name="Note 2 2 2 4" xfId="22170" xr:uid="{00000000-0005-0000-0000-00005F530000}"/>
    <cellStyle name="Note 2 2 2 4 10" xfId="22171" xr:uid="{00000000-0005-0000-0000-000060530000}"/>
    <cellStyle name="Note 2 2 2 4 11" xfId="22172" xr:uid="{00000000-0005-0000-0000-000061530000}"/>
    <cellStyle name="Note 2 2 2 4 12" xfId="22173" xr:uid="{00000000-0005-0000-0000-000062530000}"/>
    <cellStyle name="Note 2 2 2 4 13" xfId="22174" xr:uid="{00000000-0005-0000-0000-000063530000}"/>
    <cellStyle name="Note 2 2 2 4 14" xfId="22175" xr:uid="{00000000-0005-0000-0000-000064530000}"/>
    <cellStyle name="Note 2 2 2 4 15" xfId="22176" xr:uid="{00000000-0005-0000-0000-000065530000}"/>
    <cellStyle name="Note 2 2 2 4 16" xfId="22177" xr:uid="{00000000-0005-0000-0000-000066530000}"/>
    <cellStyle name="Note 2 2 2 4 17" xfId="22178" xr:uid="{00000000-0005-0000-0000-000067530000}"/>
    <cellStyle name="Note 2 2 2 4 18" xfId="22179" xr:uid="{00000000-0005-0000-0000-000068530000}"/>
    <cellStyle name="Note 2 2 2 4 19" xfId="22180" xr:uid="{00000000-0005-0000-0000-000069530000}"/>
    <cellStyle name="Note 2 2 2 4 2" xfId="22181" xr:uid="{00000000-0005-0000-0000-00006A530000}"/>
    <cellStyle name="Note 2 2 2 4 2 10" xfId="22182" xr:uid="{00000000-0005-0000-0000-00006B530000}"/>
    <cellStyle name="Note 2 2 2 4 2 11" xfId="22183" xr:uid="{00000000-0005-0000-0000-00006C530000}"/>
    <cellStyle name="Note 2 2 2 4 2 12" xfId="22184" xr:uid="{00000000-0005-0000-0000-00006D530000}"/>
    <cellStyle name="Note 2 2 2 4 2 13" xfId="22185" xr:uid="{00000000-0005-0000-0000-00006E530000}"/>
    <cellStyle name="Note 2 2 2 4 2 14" xfId="22186" xr:uid="{00000000-0005-0000-0000-00006F530000}"/>
    <cellStyle name="Note 2 2 2 4 2 15" xfId="22187" xr:uid="{00000000-0005-0000-0000-000070530000}"/>
    <cellStyle name="Note 2 2 2 4 2 2" xfId="22188" xr:uid="{00000000-0005-0000-0000-000071530000}"/>
    <cellStyle name="Note 2 2 2 4 2 3" xfId="22189" xr:uid="{00000000-0005-0000-0000-000072530000}"/>
    <cellStyle name="Note 2 2 2 4 2 4" xfId="22190" xr:uid="{00000000-0005-0000-0000-000073530000}"/>
    <cellStyle name="Note 2 2 2 4 2 5" xfId="22191" xr:uid="{00000000-0005-0000-0000-000074530000}"/>
    <cellStyle name="Note 2 2 2 4 2 6" xfId="22192" xr:uid="{00000000-0005-0000-0000-000075530000}"/>
    <cellStyle name="Note 2 2 2 4 2 7" xfId="22193" xr:uid="{00000000-0005-0000-0000-000076530000}"/>
    <cellStyle name="Note 2 2 2 4 2 8" xfId="22194" xr:uid="{00000000-0005-0000-0000-000077530000}"/>
    <cellStyle name="Note 2 2 2 4 2 9" xfId="22195" xr:uid="{00000000-0005-0000-0000-000078530000}"/>
    <cellStyle name="Note 2 2 2 4 20" xfId="22196" xr:uid="{00000000-0005-0000-0000-000079530000}"/>
    <cellStyle name="Note 2 2 2 4 3" xfId="22197" xr:uid="{00000000-0005-0000-0000-00007A530000}"/>
    <cellStyle name="Note 2 2 2 4 3 10" xfId="22198" xr:uid="{00000000-0005-0000-0000-00007B530000}"/>
    <cellStyle name="Note 2 2 2 4 3 11" xfId="22199" xr:uid="{00000000-0005-0000-0000-00007C530000}"/>
    <cellStyle name="Note 2 2 2 4 3 12" xfId="22200" xr:uid="{00000000-0005-0000-0000-00007D530000}"/>
    <cellStyle name="Note 2 2 2 4 3 13" xfId="22201" xr:uid="{00000000-0005-0000-0000-00007E530000}"/>
    <cellStyle name="Note 2 2 2 4 3 14" xfId="22202" xr:uid="{00000000-0005-0000-0000-00007F530000}"/>
    <cellStyle name="Note 2 2 2 4 3 15" xfId="22203" xr:uid="{00000000-0005-0000-0000-000080530000}"/>
    <cellStyle name="Note 2 2 2 4 3 2" xfId="22204" xr:uid="{00000000-0005-0000-0000-000081530000}"/>
    <cellStyle name="Note 2 2 2 4 3 3" xfId="22205" xr:uid="{00000000-0005-0000-0000-000082530000}"/>
    <cellStyle name="Note 2 2 2 4 3 4" xfId="22206" xr:uid="{00000000-0005-0000-0000-000083530000}"/>
    <cellStyle name="Note 2 2 2 4 3 5" xfId="22207" xr:uid="{00000000-0005-0000-0000-000084530000}"/>
    <cellStyle name="Note 2 2 2 4 3 6" xfId="22208" xr:uid="{00000000-0005-0000-0000-000085530000}"/>
    <cellStyle name="Note 2 2 2 4 3 7" xfId="22209" xr:uid="{00000000-0005-0000-0000-000086530000}"/>
    <cellStyle name="Note 2 2 2 4 3 8" xfId="22210" xr:uid="{00000000-0005-0000-0000-000087530000}"/>
    <cellStyle name="Note 2 2 2 4 3 9" xfId="22211" xr:uid="{00000000-0005-0000-0000-000088530000}"/>
    <cellStyle name="Note 2 2 2 4 4" xfId="22212" xr:uid="{00000000-0005-0000-0000-000089530000}"/>
    <cellStyle name="Note 2 2 2 4 4 10" xfId="22213" xr:uid="{00000000-0005-0000-0000-00008A530000}"/>
    <cellStyle name="Note 2 2 2 4 4 11" xfId="22214" xr:uid="{00000000-0005-0000-0000-00008B530000}"/>
    <cellStyle name="Note 2 2 2 4 4 12" xfId="22215" xr:uid="{00000000-0005-0000-0000-00008C530000}"/>
    <cellStyle name="Note 2 2 2 4 4 13" xfId="22216" xr:uid="{00000000-0005-0000-0000-00008D530000}"/>
    <cellStyle name="Note 2 2 2 4 4 14" xfId="22217" xr:uid="{00000000-0005-0000-0000-00008E530000}"/>
    <cellStyle name="Note 2 2 2 4 4 15" xfId="22218" xr:uid="{00000000-0005-0000-0000-00008F530000}"/>
    <cellStyle name="Note 2 2 2 4 4 2" xfId="22219" xr:uid="{00000000-0005-0000-0000-000090530000}"/>
    <cellStyle name="Note 2 2 2 4 4 3" xfId="22220" xr:uid="{00000000-0005-0000-0000-000091530000}"/>
    <cellStyle name="Note 2 2 2 4 4 4" xfId="22221" xr:uid="{00000000-0005-0000-0000-000092530000}"/>
    <cellStyle name="Note 2 2 2 4 4 5" xfId="22222" xr:uid="{00000000-0005-0000-0000-000093530000}"/>
    <cellStyle name="Note 2 2 2 4 4 6" xfId="22223" xr:uid="{00000000-0005-0000-0000-000094530000}"/>
    <cellStyle name="Note 2 2 2 4 4 7" xfId="22224" xr:uid="{00000000-0005-0000-0000-000095530000}"/>
    <cellStyle name="Note 2 2 2 4 4 8" xfId="22225" xr:uid="{00000000-0005-0000-0000-000096530000}"/>
    <cellStyle name="Note 2 2 2 4 4 9" xfId="22226" xr:uid="{00000000-0005-0000-0000-000097530000}"/>
    <cellStyle name="Note 2 2 2 4 5" xfId="22227" xr:uid="{00000000-0005-0000-0000-000098530000}"/>
    <cellStyle name="Note 2 2 2 4 5 10" xfId="22228" xr:uid="{00000000-0005-0000-0000-000099530000}"/>
    <cellStyle name="Note 2 2 2 4 5 11" xfId="22229" xr:uid="{00000000-0005-0000-0000-00009A530000}"/>
    <cellStyle name="Note 2 2 2 4 5 12" xfId="22230" xr:uid="{00000000-0005-0000-0000-00009B530000}"/>
    <cellStyle name="Note 2 2 2 4 5 13" xfId="22231" xr:uid="{00000000-0005-0000-0000-00009C530000}"/>
    <cellStyle name="Note 2 2 2 4 5 14" xfId="22232" xr:uid="{00000000-0005-0000-0000-00009D530000}"/>
    <cellStyle name="Note 2 2 2 4 5 15" xfId="22233" xr:uid="{00000000-0005-0000-0000-00009E530000}"/>
    <cellStyle name="Note 2 2 2 4 5 2" xfId="22234" xr:uid="{00000000-0005-0000-0000-00009F530000}"/>
    <cellStyle name="Note 2 2 2 4 5 3" xfId="22235" xr:uid="{00000000-0005-0000-0000-0000A0530000}"/>
    <cellStyle name="Note 2 2 2 4 5 4" xfId="22236" xr:uid="{00000000-0005-0000-0000-0000A1530000}"/>
    <cellStyle name="Note 2 2 2 4 5 5" xfId="22237" xr:uid="{00000000-0005-0000-0000-0000A2530000}"/>
    <cellStyle name="Note 2 2 2 4 5 6" xfId="22238" xr:uid="{00000000-0005-0000-0000-0000A3530000}"/>
    <cellStyle name="Note 2 2 2 4 5 7" xfId="22239" xr:uid="{00000000-0005-0000-0000-0000A4530000}"/>
    <cellStyle name="Note 2 2 2 4 5 8" xfId="22240" xr:uid="{00000000-0005-0000-0000-0000A5530000}"/>
    <cellStyle name="Note 2 2 2 4 5 9" xfId="22241" xr:uid="{00000000-0005-0000-0000-0000A6530000}"/>
    <cellStyle name="Note 2 2 2 4 6" xfId="22242" xr:uid="{00000000-0005-0000-0000-0000A7530000}"/>
    <cellStyle name="Note 2 2 2 4 7" xfId="22243" xr:uid="{00000000-0005-0000-0000-0000A8530000}"/>
    <cellStyle name="Note 2 2 2 4 8" xfId="22244" xr:uid="{00000000-0005-0000-0000-0000A9530000}"/>
    <cellStyle name="Note 2 2 2 4 9" xfId="22245" xr:uid="{00000000-0005-0000-0000-0000AA530000}"/>
    <cellStyle name="Note 2 2 2 5" xfId="22246" xr:uid="{00000000-0005-0000-0000-0000AB530000}"/>
    <cellStyle name="Note 2 2 2 5 10" xfId="22247" xr:uid="{00000000-0005-0000-0000-0000AC530000}"/>
    <cellStyle name="Note 2 2 2 5 11" xfId="22248" xr:uid="{00000000-0005-0000-0000-0000AD530000}"/>
    <cellStyle name="Note 2 2 2 5 12" xfId="22249" xr:uid="{00000000-0005-0000-0000-0000AE530000}"/>
    <cellStyle name="Note 2 2 2 5 13" xfId="22250" xr:uid="{00000000-0005-0000-0000-0000AF530000}"/>
    <cellStyle name="Note 2 2 2 5 14" xfId="22251" xr:uid="{00000000-0005-0000-0000-0000B0530000}"/>
    <cellStyle name="Note 2 2 2 5 15" xfId="22252" xr:uid="{00000000-0005-0000-0000-0000B1530000}"/>
    <cellStyle name="Note 2 2 2 5 2" xfId="22253" xr:uid="{00000000-0005-0000-0000-0000B2530000}"/>
    <cellStyle name="Note 2 2 2 5 3" xfId="22254" xr:uid="{00000000-0005-0000-0000-0000B3530000}"/>
    <cellStyle name="Note 2 2 2 5 4" xfId="22255" xr:uid="{00000000-0005-0000-0000-0000B4530000}"/>
    <cellStyle name="Note 2 2 2 5 5" xfId="22256" xr:uid="{00000000-0005-0000-0000-0000B5530000}"/>
    <cellStyle name="Note 2 2 2 5 6" xfId="22257" xr:uid="{00000000-0005-0000-0000-0000B6530000}"/>
    <cellStyle name="Note 2 2 2 5 7" xfId="22258" xr:uid="{00000000-0005-0000-0000-0000B7530000}"/>
    <cellStyle name="Note 2 2 2 5 8" xfId="22259" xr:uid="{00000000-0005-0000-0000-0000B8530000}"/>
    <cellStyle name="Note 2 2 2 5 9" xfId="22260" xr:uid="{00000000-0005-0000-0000-0000B9530000}"/>
    <cellStyle name="Note 2 2 2 6" xfId="22261" xr:uid="{00000000-0005-0000-0000-0000BA530000}"/>
    <cellStyle name="Note 2 2 2 6 10" xfId="22262" xr:uid="{00000000-0005-0000-0000-0000BB530000}"/>
    <cellStyle name="Note 2 2 2 6 11" xfId="22263" xr:uid="{00000000-0005-0000-0000-0000BC530000}"/>
    <cellStyle name="Note 2 2 2 6 12" xfId="22264" xr:uid="{00000000-0005-0000-0000-0000BD530000}"/>
    <cellStyle name="Note 2 2 2 6 13" xfId="22265" xr:uid="{00000000-0005-0000-0000-0000BE530000}"/>
    <cellStyle name="Note 2 2 2 6 14" xfId="22266" xr:uid="{00000000-0005-0000-0000-0000BF530000}"/>
    <cellStyle name="Note 2 2 2 6 15" xfId="22267" xr:uid="{00000000-0005-0000-0000-0000C0530000}"/>
    <cellStyle name="Note 2 2 2 6 2" xfId="22268" xr:uid="{00000000-0005-0000-0000-0000C1530000}"/>
    <cellStyle name="Note 2 2 2 6 3" xfId="22269" xr:uid="{00000000-0005-0000-0000-0000C2530000}"/>
    <cellStyle name="Note 2 2 2 6 4" xfId="22270" xr:uid="{00000000-0005-0000-0000-0000C3530000}"/>
    <cellStyle name="Note 2 2 2 6 5" xfId="22271" xr:uid="{00000000-0005-0000-0000-0000C4530000}"/>
    <cellStyle name="Note 2 2 2 6 6" xfId="22272" xr:uid="{00000000-0005-0000-0000-0000C5530000}"/>
    <cellStyle name="Note 2 2 2 6 7" xfId="22273" xr:uid="{00000000-0005-0000-0000-0000C6530000}"/>
    <cellStyle name="Note 2 2 2 6 8" xfId="22274" xr:uid="{00000000-0005-0000-0000-0000C7530000}"/>
    <cellStyle name="Note 2 2 2 6 9" xfId="22275" xr:uid="{00000000-0005-0000-0000-0000C8530000}"/>
    <cellStyle name="Note 2 2 2 7" xfId="22276" xr:uid="{00000000-0005-0000-0000-0000C9530000}"/>
    <cellStyle name="Note 2 2 2 7 10" xfId="22277" xr:uid="{00000000-0005-0000-0000-0000CA530000}"/>
    <cellStyle name="Note 2 2 2 7 11" xfId="22278" xr:uid="{00000000-0005-0000-0000-0000CB530000}"/>
    <cellStyle name="Note 2 2 2 7 12" xfId="22279" xr:uid="{00000000-0005-0000-0000-0000CC530000}"/>
    <cellStyle name="Note 2 2 2 7 13" xfId="22280" xr:uid="{00000000-0005-0000-0000-0000CD530000}"/>
    <cellStyle name="Note 2 2 2 7 14" xfId="22281" xr:uid="{00000000-0005-0000-0000-0000CE530000}"/>
    <cellStyle name="Note 2 2 2 7 15" xfId="22282" xr:uid="{00000000-0005-0000-0000-0000CF530000}"/>
    <cellStyle name="Note 2 2 2 7 2" xfId="22283" xr:uid="{00000000-0005-0000-0000-0000D0530000}"/>
    <cellStyle name="Note 2 2 2 7 3" xfId="22284" xr:uid="{00000000-0005-0000-0000-0000D1530000}"/>
    <cellStyle name="Note 2 2 2 7 4" xfId="22285" xr:uid="{00000000-0005-0000-0000-0000D2530000}"/>
    <cellStyle name="Note 2 2 2 7 5" xfId="22286" xr:uid="{00000000-0005-0000-0000-0000D3530000}"/>
    <cellStyle name="Note 2 2 2 7 6" xfId="22287" xr:uid="{00000000-0005-0000-0000-0000D4530000}"/>
    <cellStyle name="Note 2 2 2 7 7" xfId="22288" xr:uid="{00000000-0005-0000-0000-0000D5530000}"/>
    <cellStyle name="Note 2 2 2 7 8" xfId="22289" xr:uid="{00000000-0005-0000-0000-0000D6530000}"/>
    <cellStyle name="Note 2 2 2 7 9" xfId="22290" xr:uid="{00000000-0005-0000-0000-0000D7530000}"/>
    <cellStyle name="Note 2 2 2 8" xfId="22291" xr:uid="{00000000-0005-0000-0000-0000D8530000}"/>
    <cellStyle name="Note 2 2 2 8 10" xfId="22292" xr:uid="{00000000-0005-0000-0000-0000D9530000}"/>
    <cellStyle name="Note 2 2 2 8 11" xfId="22293" xr:uid="{00000000-0005-0000-0000-0000DA530000}"/>
    <cellStyle name="Note 2 2 2 8 12" xfId="22294" xr:uid="{00000000-0005-0000-0000-0000DB530000}"/>
    <cellStyle name="Note 2 2 2 8 13" xfId="22295" xr:uid="{00000000-0005-0000-0000-0000DC530000}"/>
    <cellStyle name="Note 2 2 2 8 14" xfId="22296" xr:uid="{00000000-0005-0000-0000-0000DD530000}"/>
    <cellStyle name="Note 2 2 2 8 15" xfId="22297" xr:uid="{00000000-0005-0000-0000-0000DE530000}"/>
    <cellStyle name="Note 2 2 2 8 2" xfId="22298" xr:uid="{00000000-0005-0000-0000-0000DF530000}"/>
    <cellStyle name="Note 2 2 2 8 3" xfId="22299" xr:uid="{00000000-0005-0000-0000-0000E0530000}"/>
    <cellStyle name="Note 2 2 2 8 4" xfId="22300" xr:uid="{00000000-0005-0000-0000-0000E1530000}"/>
    <cellStyle name="Note 2 2 2 8 5" xfId="22301" xr:uid="{00000000-0005-0000-0000-0000E2530000}"/>
    <cellStyle name="Note 2 2 2 8 6" xfId="22302" xr:uid="{00000000-0005-0000-0000-0000E3530000}"/>
    <cellStyle name="Note 2 2 2 8 7" xfId="22303" xr:uid="{00000000-0005-0000-0000-0000E4530000}"/>
    <cellStyle name="Note 2 2 2 8 8" xfId="22304" xr:uid="{00000000-0005-0000-0000-0000E5530000}"/>
    <cellStyle name="Note 2 2 2 8 9" xfId="22305" xr:uid="{00000000-0005-0000-0000-0000E6530000}"/>
    <cellStyle name="Note 2 2 2 9" xfId="22306" xr:uid="{00000000-0005-0000-0000-0000E7530000}"/>
    <cellStyle name="Note 2 2 20" xfId="22307" xr:uid="{00000000-0005-0000-0000-0000E8530000}"/>
    <cellStyle name="Note 2 2 21" xfId="22308" xr:uid="{00000000-0005-0000-0000-0000E9530000}"/>
    <cellStyle name="Note 2 2 22" xfId="22309" xr:uid="{00000000-0005-0000-0000-0000EA530000}"/>
    <cellStyle name="Note 2 2 23" xfId="22310" xr:uid="{00000000-0005-0000-0000-0000EB530000}"/>
    <cellStyle name="Note 2 2 24" xfId="22311" xr:uid="{00000000-0005-0000-0000-0000EC530000}"/>
    <cellStyle name="Note 2 2 25" xfId="22312" xr:uid="{00000000-0005-0000-0000-0000ED530000}"/>
    <cellStyle name="Note 2 2 26" xfId="22313" xr:uid="{00000000-0005-0000-0000-0000EE530000}"/>
    <cellStyle name="Note 2 2 3" xfId="22314" xr:uid="{00000000-0005-0000-0000-0000EF530000}"/>
    <cellStyle name="Note 2 2 3 10" xfId="22315" xr:uid="{00000000-0005-0000-0000-0000F0530000}"/>
    <cellStyle name="Note 2 2 3 11" xfId="22316" xr:uid="{00000000-0005-0000-0000-0000F1530000}"/>
    <cellStyle name="Note 2 2 3 12" xfId="22317" xr:uid="{00000000-0005-0000-0000-0000F2530000}"/>
    <cellStyle name="Note 2 2 3 13" xfId="22318" xr:uid="{00000000-0005-0000-0000-0000F3530000}"/>
    <cellStyle name="Note 2 2 3 14" xfId="22319" xr:uid="{00000000-0005-0000-0000-0000F4530000}"/>
    <cellStyle name="Note 2 2 3 15" xfId="22320" xr:uid="{00000000-0005-0000-0000-0000F5530000}"/>
    <cellStyle name="Note 2 2 3 16" xfId="22321" xr:uid="{00000000-0005-0000-0000-0000F6530000}"/>
    <cellStyle name="Note 2 2 3 17" xfId="22322" xr:uid="{00000000-0005-0000-0000-0000F7530000}"/>
    <cellStyle name="Note 2 2 3 18" xfId="22323" xr:uid="{00000000-0005-0000-0000-0000F8530000}"/>
    <cellStyle name="Note 2 2 3 19" xfId="22324" xr:uid="{00000000-0005-0000-0000-0000F9530000}"/>
    <cellStyle name="Note 2 2 3 2" xfId="22325" xr:uid="{00000000-0005-0000-0000-0000FA530000}"/>
    <cellStyle name="Note 2 2 3 2 10" xfId="22326" xr:uid="{00000000-0005-0000-0000-0000FB530000}"/>
    <cellStyle name="Note 2 2 3 2 11" xfId="22327" xr:uid="{00000000-0005-0000-0000-0000FC530000}"/>
    <cellStyle name="Note 2 2 3 2 12" xfId="22328" xr:uid="{00000000-0005-0000-0000-0000FD530000}"/>
    <cellStyle name="Note 2 2 3 2 13" xfId="22329" xr:uid="{00000000-0005-0000-0000-0000FE530000}"/>
    <cellStyle name="Note 2 2 3 2 14" xfId="22330" xr:uid="{00000000-0005-0000-0000-0000FF530000}"/>
    <cellStyle name="Note 2 2 3 2 15" xfId="22331" xr:uid="{00000000-0005-0000-0000-000000540000}"/>
    <cellStyle name="Note 2 2 3 2 2" xfId="22332" xr:uid="{00000000-0005-0000-0000-000001540000}"/>
    <cellStyle name="Note 2 2 3 2 3" xfId="22333" xr:uid="{00000000-0005-0000-0000-000002540000}"/>
    <cellStyle name="Note 2 2 3 2 4" xfId="22334" xr:uid="{00000000-0005-0000-0000-000003540000}"/>
    <cellStyle name="Note 2 2 3 2 5" xfId="22335" xr:uid="{00000000-0005-0000-0000-000004540000}"/>
    <cellStyle name="Note 2 2 3 2 6" xfId="22336" xr:uid="{00000000-0005-0000-0000-000005540000}"/>
    <cellStyle name="Note 2 2 3 2 7" xfId="22337" xr:uid="{00000000-0005-0000-0000-000006540000}"/>
    <cellStyle name="Note 2 2 3 2 8" xfId="22338" xr:uid="{00000000-0005-0000-0000-000007540000}"/>
    <cellStyle name="Note 2 2 3 2 9" xfId="22339" xr:uid="{00000000-0005-0000-0000-000008540000}"/>
    <cellStyle name="Note 2 2 3 20" xfId="22340" xr:uid="{00000000-0005-0000-0000-000009540000}"/>
    <cellStyle name="Note 2 2 3 3" xfId="22341" xr:uid="{00000000-0005-0000-0000-00000A540000}"/>
    <cellStyle name="Note 2 2 3 3 10" xfId="22342" xr:uid="{00000000-0005-0000-0000-00000B540000}"/>
    <cellStyle name="Note 2 2 3 3 11" xfId="22343" xr:uid="{00000000-0005-0000-0000-00000C540000}"/>
    <cellStyle name="Note 2 2 3 3 12" xfId="22344" xr:uid="{00000000-0005-0000-0000-00000D540000}"/>
    <cellStyle name="Note 2 2 3 3 13" xfId="22345" xr:uid="{00000000-0005-0000-0000-00000E540000}"/>
    <cellStyle name="Note 2 2 3 3 14" xfId="22346" xr:uid="{00000000-0005-0000-0000-00000F540000}"/>
    <cellStyle name="Note 2 2 3 3 15" xfId="22347" xr:uid="{00000000-0005-0000-0000-000010540000}"/>
    <cellStyle name="Note 2 2 3 3 2" xfId="22348" xr:uid="{00000000-0005-0000-0000-000011540000}"/>
    <cellStyle name="Note 2 2 3 3 3" xfId="22349" xr:uid="{00000000-0005-0000-0000-000012540000}"/>
    <cellStyle name="Note 2 2 3 3 4" xfId="22350" xr:uid="{00000000-0005-0000-0000-000013540000}"/>
    <cellStyle name="Note 2 2 3 3 5" xfId="22351" xr:uid="{00000000-0005-0000-0000-000014540000}"/>
    <cellStyle name="Note 2 2 3 3 6" xfId="22352" xr:uid="{00000000-0005-0000-0000-000015540000}"/>
    <cellStyle name="Note 2 2 3 3 7" xfId="22353" xr:uid="{00000000-0005-0000-0000-000016540000}"/>
    <cellStyle name="Note 2 2 3 3 8" xfId="22354" xr:uid="{00000000-0005-0000-0000-000017540000}"/>
    <cellStyle name="Note 2 2 3 3 9" xfId="22355" xr:uid="{00000000-0005-0000-0000-000018540000}"/>
    <cellStyle name="Note 2 2 3 4" xfId="22356" xr:uid="{00000000-0005-0000-0000-000019540000}"/>
    <cellStyle name="Note 2 2 3 4 10" xfId="22357" xr:uid="{00000000-0005-0000-0000-00001A540000}"/>
    <cellStyle name="Note 2 2 3 4 11" xfId="22358" xr:uid="{00000000-0005-0000-0000-00001B540000}"/>
    <cellStyle name="Note 2 2 3 4 12" xfId="22359" xr:uid="{00000000-0005-0000-0000-00001C540000}"/>
    <cellStyle name="Note 2 2 3 4 13" xfId="22360" xr:uid="{00000000-0005-0000-0000-00001D540000}"/>
    <cellStyle name="Note 2 2 3 4 14" xfId="22361" xr:uid="{00000000-0005-0000-0000-00001E540000}"/>
    <cellStyle name="Note 2 2 3 4 15" xfId="22362" xr:uid="{00000000-0005-0000-0000-00001F540000}"/>
    <cellStyle name="Note 2 2 3 4 2" xfId="22363" xr:uid="{00000000-0005-0000-0000-000020540000}"/>
    <cellStyle name="Note 2 2 3 4 3" xfId="22364" xr:uid="{00000000-0005-0000-0000-000021540000}"/>
    <cellStyle name="Note 2 2 3 4 4" xfId="22365" xr:uid="{00000000-0005-0000-0000-000022540000}"/>
    <cellStyle name="Note 2 2 3 4 5" xfId="22366" xr:uid="{00000000-0005-0000-0000-000023540000}"/>
    <cellStyle name="Note 2 2 3 4 6" xfId="22367" xr:uid="{00000000-0005-0000-0000-000024540000}"/>
    <cellStyle name="Note 2 2 3 4 7" xfId="22368" xr:uid="{00000000-0005-0000-0000-000025540000}"/>
    <cellStyle name="Note 2 2 3 4 8" xfId="22369" xr:uid="{00000000-0005-0000-0000-000026540000}"/>
    <cellStyle name="Note 2 2 3 4 9" xfId="22370" xr:uid="{00000000-0005-0000-0000-000027540000}"/>
    <cellStyle name="Note 2 2 3 5" xfId="22371" xr:uid="{00000000-0005-0000-0000-000028540000}"/>
    <cellStyle name="Note 2 2 3 5 10" xfId="22372" xr:uid="{00000000-0005-0000-0000-000029540000}"/>
    <cellStyle name="Note 2 2 3 5 11" xfId="22373" xr:uid="{00000000-0005-0000-0000-00002A540000}"/>
    <cellStyle name="Note 2 2 3 5 12" xfId="22374" xr:uid="{00000000-0005-0000-0000-00002B540000}"/>
    <cellStyle name="Note 2 2 3 5 13" xfId="22375" xr:uid="{00000000-0005-0000-0000-00002C540000}"/>
    <cellStyle name="Note 2 2 3 5 14" xfId="22376" xr:uid="{00000000-0005-0000-0000-00002D540000}"/>
    <cellStyle name="Note 2 2 3 5 15" xfId="22377" xr:uid="{00000000-0005-0000-0000-00002E540000}"/>
    <cellStyle name="Note 2 2 3 5 2" xfId="22378" xr:uid="{00000000-0005-0000-0000-00002F540000}"/>
    <cellStyle name="Note 2 2 3 5 3" xfId="22379" xr:uid="{00000000-0005-0000-0000-000030540000}"/>
    <cellStyle name="Note 2 2 3 5 4" xfId="22380" xr:uid="{00000000-0005-0000-0000-000031540000}"/>
    <cellStyle name="Note 2 2 3 5 5" xfId="22381" xr:uid="{00000000-0005-0000-0000-000032540000}"/>
    <cellStyle name="Note 2 2 3 5 6" xfId="22382" xr:uid="{00000000-0005-0000-0000-000033540000}"/>
    <cellStyle name="Note 2 2 3 5 7" xfId="22383" xr:uid="{00000000-0005-0000-0000-000034540000}"/>
    <cellStyle name="Note 2 2 3 5 8" xfId="22384" xr:uid="{00000000-0005-0000-0000-000035540000}"/>
    <cellStyle name="Note 2 2 3 5 9" xfId="22385" xr:uid="{00000000-0005-0000-0000-000036540000}"/>
    <cellStyle name="Note 2 2 3 6" xfId="22386" xr:uid="{00000000-0005-0000-0000-000037540000}"/>
    <cellStyle name="Note 2 2 3 7" xfId="22387" xr:uid="{00000000-0005-0000-0000-000038540000}"/>
    <cellStyle name="Note 2 2 3 8" xfId="22388" xr:uid="{00000000-0005-0000-0000-000039540000}"/>
    <cellStyle name="Note 2 2 3 9" xfId="22389" xr:uid="{00000000-0005-0000-0000-00003A540000}"/>
    <cellStyle name="Note 2 2 4" xfId="22390" xr:uid="{00000000-0005-0000-0000-00003B540000}"/>
    <cellStyle name="Note 2 2 4 10" xfId="22391" xr:uid="{00000000-0005-0000-0000-00003C540000}"/>
    <cellStyle name="Note 2 2 4 11" xfId="22392" xr:uid="{00000000-0005-0000-0000-00003D540000}"/>
    <cellStyle name="Note 2 2 4 12" xfId="22393" xr:uid="{00000000-0005-0000-0000-00003E540000}"/>
    <cellStyle name="Note 2 2 4 13" xfId="22394" xr:uid="{00000000-0005-0000-0000-00003F540000}"/>
    <cellStyle name="Note 2 2 4 14" xfId="22395" xr:uid="{00000000-0005-0000-0000-000040540000}"/>
    <cellStyle name="Note 2 2 4 15" xfId="22396" xr:uid="{00000000-0005-0000-0000-000041540000}"/>
    <cellStyle name="Note 2 2 4 16" xfId="22397" xr:uid="{00000000-0005-0000-0000-000042540000}"/>
    <cellStyle name="Note 2 2 4 17" xfId="22398" xr:uid="{00000000-0005-0000-0000-000043540000}"/>
    <cellStyle name="Note 2 2 4 18" xfId="22399" xr:uid="{00000000-0005-0000-0000-000044540000}"/>
    <cellStyle name="Note 2 2 4 19" xfId="22400" xr:uid="{00000000-0005-0000-0000-000045540000}"/>
    <cellStyle name="Note 2 2 4 2" xfId="22401" xr:uid="{00000000-0005-0000-0000-000046540000}"/>
    <cellStyle name="Note 2 2 4 2 10" xfId="22402" xr:uid="{00000000-0005-0000-0000-000047540000}"/>
    <cellStyle name="Note 2 2 4 2 11" xfId="22403" xr:uid="{00000000-0005-0000-0000-000048540000}"/>
    <cellStyle name="Note 2 2 4 2 12" xfId="22404" xr:uid="{00000000-0005-0000-0000-000049540000}"/>
    <cellStyle name="Note 2 2 4 2 13" xfId="22405" xr:uid="{00000000-0005-0000-0000-00004A540000}"/>
    <cellStyle name="Note 2 2 4 2 14" xfId="22406" xr:uid="{00000000-0005-0000-0000-00004B540000}"/>
    <cellStyle name="Note 2 2 4 2 15" xfId="22407" xr:uid="{00000000-0005-0000-0000-00004C540000}"/>
    <cellStyle name="Note 2 2 4 2 2" xfId="22408" xr:uid="{00000000-0005-0000-0000-00004D540000}"/>
    <cellStyle name="Note 2 2 4 2 3" xfId="22409" xr:uid="{00000000-0005-0000-0000-00004E540000}"/>
    <cellStyle name="Note 2 2 4 2 4" xfId="22410" xr:uid="{00000000-0005-0000-0000-00004F540000}"/>
    <cellStyle name="Note 2 2 4 2 5" xfId="22411" xr:uid="{00000000-0005-0000-0000-000050540000}"/>
    <cellStyle name="Note 2 2 4 2 6" xfId="22412" xr:uid="{00000000-0005-0000-0000-000051540000}"/>
    <cellStyle name="Note 2 2 4 2 7" xfId="22413" xr:uid="{00000000-0005-0000-0000-000052540000}"/>
    <cellStyle name="Note 2 2 4 2 8" xfId="22414" xr:uid="{00000000-0005-0000-0000-000053540000}"/>
    <cellStyle name="Note 2 2 4 2 9" xfId="22415" xr:uid="{00000000-0005-0000-0000-000054540000}"/>
    <cellStyle name="Note 2 2 4 20" xfId="22416" xr:uid="{00000000-0005-0000-0000-000055540000}"/>
    <cellStyle name="Note 2 2 4 3" xfId="22417" xr:uid="{00000000-0005-0000-0000-000056540000}"/>
    <cellStyle name="Note 2 2 4 3 10" xfId="22418" xr:uid="{00000000-0005-0000-0000-000057540000}"/>
    <cellStyle name="Note 2 2 4 3 11" xfId="22419" xr:uid="{00000000-0005-0000-0000-000058540000}"/>
    <cellStyle name="Note 2 2 4 3 12" xfId="22420" xr:uid="{00000000-0005-0000-0000-000059540000}"/>
    <cellStyle name="Note 2 2 4 3 13" xfId="22421" xr:uid="{00000000-0005-0000-0000-00005A540000}"/>
    <cellStyle name="Note 2 2 4 3 14" xfId="22422" xr:uid="{00000000-0005-0000-0000-00005B540000}"/>
    <cellStyle name="Note 2 2 4 3 15" xfId="22423" xr:uid="{00000000-0005-0000-0000-00005C540000}"/>
    <cellStyle name="Note 2 2 4 3 2" xfId="22424" xr:uid="{00000000-0005-0000-0000-00005D540000}"/>
    <cellStyle name="Note 2 2 4 3 3" xfId="22425" xr:uid="{00000000-0005-0000-0000-00005E540000}"/>
    <cellStyle name="Note 2 2 4 3 4" xfId="22426" xr:uid="{00000000-0005-0000-0000-00005F540000}"/>
    <cellStyle name="Note 2 2 4 3 5" xfId="22427" xr:uid="{00000000-0005-0000-0000-000060540000}"/>
    <cellStyle name="Note 2 2 4 3 6" xfId="22428" xr:uid="{00000000-0005-0000-0000-000061540000}"/>
    <cellStyle name="Note 2 2 4 3 7" xfId="22429" xr:uid="{00000000-0005-0000-0000-000062540000}"/>
    <cellStyle name="Note 2 2 4 3 8" xfId="22430" xr:uid="{00000000-0005-0000-0000-000063540000}"/>
    <cellStyle name="Note 2 2 4 3 9" xfId="22431" xr:uid="{00000000-0005-0000-0000-000064540000}"/>
    <cellStyle name="Note 2 2 4 4" xfId="22432" xr:uid="{00000000-0005-0000-0000-000065540000}"/>
    <cellStyle name="Note 2 2 4 4 10" xfId="22433" xr:uid="{00000000-0005-0000-0000-000066540000}"/>
    <cellStyle name="Note 2 2 4 4 11" xfId="22434" xr:uid="{00000000-0005-0000-0000-000067540000}"/>
    <cellStyle name="Note 2 2 4 4 12" xfId="22435" xr:uid="{00000000-0005-0000-0000-000068540000}"/>
    <cellStyle name="Note 2 2 4 4 13" xfId="22436" xr:uid="{00000000-0005-0000-0000-000069540000}"/>
    <cellStyle name="Note 2 2 4 4 14" xfId="22437" xr:uid="{00000000-0005-0000-0000-00006A540000}"/>
    <cellStyle name="Note 2 2 4 4 15" xfId="22438" xr:uid="{00000000-0005-0000-0000-00006B540000}"/>
    <cellStyle name="Note 2 2 4 4 2" xfId="22439" xr:uid="{00000000-0005-0000-0000-00006C540000}"/>
    <cellStyle name="Note 2 2 4 4 3" xfId="22440" xr:uid="{00000000-0005-0000-0000-00006D540000}"/>
    <cellStyle name="Note 2 2 4 4 4" xfId="22441" xr:uid="{00000000-0005-0000-0000-00006E540000}"/>
    <cellStyle name="Note 2 2 4 4 5" xfId="22442" xr:uid="{00000000-0005-0000-0000-00006F540000}"/>
    <cellStyle name="Note 2 2 4 4 6" xfId="22443" xr:uid="{00000000-0005-0000-0000-000070540000}"/>
    <cellStyle name="Note 2 2 4 4 7" xfId="22444" xr:uid="{00000000-0005-0000-0000-000071540000}"/>
    <cellStyle name="Note 2 2 4 4 8" xfId="22445" xr:uid="{00000000-0005-0000-0000-000072540000}"/>
    <cellStyle name="Note 2 2 4 4 9" xfId="22446" xr:uid="{00000000-0005-0000-0000-000073540000}"/>
    <cellStyle name="Note 2 2 4 5" xfId="22447" xr:uid="{00000000-0005-0000-0000-000074540000}"/>
    <cellStyle name="Note 2 2 4 5 10" xfId="22448" xr:uid="{00000000-0005-0000-0000-000075540000}"/>
    <cellStyle name="Note 2 2 4 5 11" xfId="22449" xr:uid="{00000000-0005-0000-0000-000076540000}"/>
    <cellStyle name="Note 2 2 4 5 12" xfId="22450" xr:uid="{00000000-0005-0000-0000-000077540000}"/>
    <cellStyle name="Note 2 2 4 5 13" xfId="22451" xr:uid="{00000000-0005-0000-0000-000078540000}"/>
    <cellStyle name="Note 2 2 4 5 14" xfId="22452" xr:uid="{00000000-0005-0000-0000-000079540000}"/>
    <cellStyle name="Note 2 2 4 5 15" xfId="22453" xr:uid="{00000000-0005-0000-0000-00007A540000}"/>
    <cellStyle name="Note 2 2 4 5 2" xfId="22454" xr:uid="{00000000-0005-0000-0000-00007B540000}"/>
    <cellStyle name="Note 2 2 4 5 3" xfId="22455" xr:uid="{00000000-0005-0000-0000-00007C540000}"/>
    <cellStyle name="Note 2 2 4 5 4" xfId="22456" xr:uid="{00000000-0005-0000-0000-00007D540000}"/>
    <cellStyle name="Note 2 2 4 5 5" xfId="22457" xr:uid="{00000000-0005-0000-0000-00007E540000}"/>
    <cellStyle name="Note 2 2 4 5 6" xfId="22458" xr:uid="{00000000-0005-0000-0000-00007F540000}"/>
    <cellStyle name="Note 2 2 4 5 7" xfId="22459" xr:uid="{00000000-0005-0000-0000-000080540000}"/>
    <cellStyle name="Note 2 2 4 5 8" xfId="22460" xr:uid="{00000000-0005-0000-0000-000081540000}"/>
    <cellStyle name="Note 2 2 4 5 9" xfId="22461" xr:uid="{00000000-0005-0000-0000-000082540000}"/>
    <cellStyle name="Note 2 2 4 6" xfId="22462" xr:uid="{00000000-0005-0000-0000-000083540000}"/>
    <cellStyle name="Note 2 2 4 7" xfId="22463" xr:uid="{00000000-0005-0000-0000-000084540000}"/>
    <cellStyle name="Note 2 2 4 8" xfId="22464" xr:uid="{00000000-0005-0000-0000-000085540000}"/>
    <cellStyle name="Note 2 2 4 9" xfId="22465" xr:uid="{00000000-0005-0000-0000-000086540000}"/>
    <cellStyle name="Note 2 2 5" xfId="22466" xr:uid="{00000000-0005-0000-0000-000087540000}"/>
    <cellStyle name="Note 2 2 5 10" xfId="22467" xr:uid="{00000000-0005-0000-0000-000088540000}"/>
    <cellStyle name="Note 2 2 5 11" xfId="22468" xr:uid="{00000000-0005-0000-0000-000089540000}"/>
    <cellStyle name="Note 2 2 5 12" xfId="22469" xr:uid="{00000000-0005-0000-0000-00008A540000}"/>
    <cellStyle name="Note 2 2 5 13" xfId="22470" xr:uid="{00000000-0005-0000-0000-00008B540000}"/>
    <cellStyle name="Note 2 2 5 14" xfId="22471" xr:uid="{00000000-0005-0000-0000-00008C540000}"/>
    <cellStyle name="Note 2 2 5 15" xfId="22472" xr:uid="{00000000-0005-0000-0000-00008D540000}"/>
    <cellStyle name="Note 2 2 5 16" xfId="22473" xr:uid="{00000000-0005-0000-0000-00008E540000}"/>
    <cellStyle name="Note 2 2 5 17" xfId="22474" xr:uid="{00000000-0005-0000-0000-00008F540000}"/>
    <cellStyle name="Note 2 2 5 18" xfId="22475" xr:uid="{00000000-0005-0000-0000-000090540000}"/>
    <cellStyle name="Note 2 2 5 19" xfId="22476" xr:uid="{00000000-0005-0000-0000-000091540000}"/>
    <cellStyle name="Note 2 2 5 2" xfId="22477" xr:uid="{00000000-0005-0000-0000-000092540000}"/>
    <cellStyle name="Note 2 2 5 2 10" xfId="22478" xr:uid="{00000000-0005-0000-0000-000093540000}"/>
    <cellStyle name="Note 2 2 5 2 11" xfId="22479" xr:uid="{00000000-0005-0000-0000-000094540000}"/>
    <cellStyle name="Note 2 2 5 2 12" xfId="22480" xr:uid="{00000000-0005-0000-0000-000095540000}"/>
    <cellStyle name="Note 2 2 5 2 13" xfId="22481" xr:uid="{00000000-0005-0000-0000-000096540000}"/>
    <cellStyle name="Note 2 2 5 2 14" xfId="22482" xr:uid="{00000000-0005-0000-0000-000097540000}"/>
    <cellStyle name="Note 2 2 5 2 15" xfId="22483" xr:uid="{00000000-0005-0000-0000-000098540000}"/>
    <cellStyle name="Note 2 2 5 2 2" xfId="22484" xr:uid="{00000000-0005-0000-0000-000099540000}"/>
    <cellStyle name="Note 2 2 5 2 3" xfId="22485" xr:uid="{00000000-0005-0000-0000-00009A540000}"/>
    <cellStyle name="Note 2 2 5 2 4" xfId="22486" xr:uid="{00000000-0005-0000-0000-00009B540000}"/>
    <cellStyle name="Note 2 2 5 2 5" xfId="22487" xr:uid="{00000000-0005-0000-0000-00009C540000}"/>
    <cellStyle name="Note 2 2 5 2 6" xfId="22488" xr:uid="{00000000-0005-0000-0000-00009D540000}"/>
    <cellStyle name="Note 2 2 5 2 7" xfId="22489" xr:uid="{00000000-0005-0000-0000-00009E540000}"/>
    <cellStyle name="Note 2 2 5 2 8" xfId="22490" xr:uid="{00000000-0005-0000-0000-00009F540000}"/>
    <cellStyle name="Note 2 2 5 2 9" xfId="22491" xr:uid="{00000000-0005-0000-0000-0000A0540000}"/>
    <cellStyle name="Note 2 2 5 20" xfId="22492" xr:uid="{00000000-0005-0000-0000-0000A1540000}"/>
    <cellStyle name="Note 2 2 5 3" xfId="22493" xr:uid="{00000000-0005-0000-0000-0000A2540000}"/>
    <cellStyle name="Note 2 2 5 3 10" xfId="22494" xr:uid="{00000000-0005-0000-0000-0000A3540000}"/>
    <cellStyle name="Note 2 2 5 3 11" xfId="22495" xr:uid="{00000000-0005-0000-0000-0000A4540000}"/>
    <cellStyle name="Note 2 2 5 3 12" xfId="22496" xr:uid="{00000000-0005-0000-0000-0000A5540000}"/>
    <cellStyle name="Note 2 2 5 3 13" xfId="22497" xr:uid="{00000000-0005-0000-0000-0000A6540000}"/>
    <cellStyle name="Note 2 2 5 3 14" xfId="22498" xr:uid="{00000000-0005-0000-0000-0000A7540000}"/>
    <cellStyle name="Note 2 2 5 3 15" xfId="22499" xr:uid="{00000000-0005-0000-0000-0000A8540000}"/>
    <cellStyle name="Note 2 2 5 3 2" xfId="22500" xr:uid="{00000000-0005-0000-0000-0000A9540000}"/>
    <cellStyle name="Note 2 2 5 3 3" xfId="22501" xr:uid="{00000000-0005-0000-0000-0000AA540000}"/>
    <cellStyle name="Note 2 2 5 3 4" xfId="22502" xr:uid="{00000000-0005-0000-0000-0000AB540000}"/>
    <cellStyle name="Note 2 2 5 3 5" xfId="22503" xr:uid="{00000000-0005-0000-0000-0000AC540000}"/>
    <cellStyle name="Note 2 2 5 3 6" xfId="22504" xr:uid="{00000000-0005-0000-0000-0000AD540000}"/>
    <cellStyle name="Note 2 2 5 3 7" xfId="22505" xr:uid="{00000000-0005-0000-0000-0000AE540000}"/>
    <cellStyle name="Note 2 2 5 3 8" xfId="22506" xr:uid="{00000000-0005-0000-0000-0000AF540000}"/>
    <cellStyle name="Note 2 2 5 3 9" xfId="22507" xr:uid="{00000000-0005-0000-0000-0000B0540000}"/>
    <cellStyle name="Note 2 2 5 4" xfId="22508" xr:uid="{00000000-0005-0000-0000-0000B1540000}"/>
    <cellStyle name="Note 2 2 5 4 10" xfId="22509" xr:uid="{00000000-0005-0000-0000-0000B2540000}"/>
    <cellStyle name="Note 2 2 5 4 11" xfId="22510" xr:uid="{00000000-0005-0000-0000-0000B3540000}"/>
    <cellStyle name="Note 2 2 5 4 12" xfId="22511" xr:uid="{00000000-0005-0000-0000-0000B4540000}"/>
    <cellStyle name="Note 2 2 5 4 13" xfId="22512" xr:uid="{00000000-0005-0000-0000-0000B5540000}"/>
    <cellStyle name="Note 2 2 5 4 14" xfId="22513" xr:uid="{00000000-0005-0000-0000-0000B6540000}"/>
    <cellStyle name="Note 2 2 5 4 15" xfId="22514" xr:uid="{00000000-0005-0000-0000-0000B7540000}"/>
    <cellStyle name="Note 2 2 5 4 2" xfId="22515" xr:uid="{00000000-0005-0000-0000-0000B8540000}"/>
    <cellStyle name="Note 2 2 5 4 3" xfId="22516" xr:uid="{00000000-0005-0000-0000-0000B9540000}"/>
    <cellStyle name="Note 2 2 5 4 4" xfId="22517" xr:uid="{00000000-0005-0000-0000-0000BA540000}"/>
    <cellStyle name="Note 2 2 5 4 5" xfId="22518" xr:uid="{00000000-0005-0000-0000-0000BB540000}"/>
    <cellStyle name="Note 2 2 5 4 6" xfId="22519" xr:uid="{00000000-0005-0000-0000-0000BC540000}"/>
    <cellStyle name="Note 2 2 5 4 7" xfId="22520" xr:uid="{00000000-0005-0000-0000-0000BD540000}"/>
    <cellStyle name="Note 2 2 5 4 8" xfId="22521" xr:uid="{00000000-0005-0000-0000-0000BE540000}"/>
    <cellStyle name="Note 2 2 5 4 9" xfId="22522" xr:uid="{00000000-0005-0000-0000-0000BF540000}"/>
    <cellStyle name="Note 2 2 5 5" xfId="22523" xr:uid="{00000000-0005-0000-0000-0000C0540000}"/>
    <cellStyle name="Note 2 2 5 5 10" xfId="22524" xr:uid="{00000000-0005-0000-0000-0000C1540000}"/>
    <cellStyle name="Note 2 2 5 5 11" xfId="22525" xr:uid="{00000000-0005-0000-0000-0000C2540000}"/>
    <cellStyle name="Note 2 2 5 5 12" xfId="22526" xr:uid="{00000000-0005-0000-0000-0000C3540000}"/>
    <cellStyle name="Note 2 2 5 5 13" xfId="22527" xr:uid="{00000000-0005-0000-0000-0000C4540000}"/>
    <cellStyle name="Note 2 2 5 5 14" xfId="22528" xr:uid="{00000000-0005-0000-0000-0000C5540000}"/>
    <cellStyle name="Note 2 2 5 5 15" xfId="22529" xr:uid="{00000000-0005-0000-0000-0000C6540000}"/>
    <cellStyle name="Note 2 2 5 5 2" xfId="22530" xr:uid="{00000000-0005-0000-0000-0000C7540000}"/>
    <cellStyle name="Note 2 2 5 5 3" xfId="22531" xr:uid="{00000000-0005-0000-0000-0000C8540000}"/>
    <cellStyle name="Note 2 2 5 5 4" xfId="22532" xr:uid="{00000000-0005-0000-0000-0000C9540000}"/>
    <cellStyle name="Note 2 2 5 5 5" xfId="22533" xr:uid="{00000000-0005-0000-0000-0000CA540000}"/>
    <cellStyle name="Note 2 2 5 5 6" xfId="22534" xr:uid="{00000000-0005-0000-0000-0000CB540000}"/>
    <cellStyle name="Note 2 2 5 5 7" xfId="22535" xr:uid="{00000000-0005-0000-0000-0000CC540000}"/>
    <cellStyle name="Note 2 2 5 5 8" xfId="22536" xr:uid="{00000000-0005-0000-0000-0000CD540000}"/>
    <cellStyle name="Note 2 2 5 5 9" xfId="22537" xr:uid="{00000000-0005-0000-0000-0000CE540000}"/>
    <cellStyle name="Note 2 2 5 6" xfId="22538" xr:uid="{00000000-0005-0000-0000-0000CF540000}"/>
    <cellStyle name="Note 2 2 5 7" xfId="22539" xr:uid="{00000000-0005-0000-0000-0000D0540000}"/>
    <cellStyle name="Note 2 2 5 8" xfId="22540" xr:uid="{00000000-0005-0000-0000-0000D1540000}"/>
    <cellStyle name="Note 2 2 5 9" xfId="22541" xr:uid="{00000000-0005-0000-0000-0000D2540000}"/>
    <cellStyle name="Note 2 2 6" xfId="22542" xr:uid="{00000000-0005-0000-0000-0000D3540000}"/>
    <cellStyle name="Note 2 2 6 10" xfId="22543" xr:uid="{00000000-0005-0000-0000-0000D4540000}"/>
    <cellStyle name="Note 2 2 6 11" xfId="22544" xr:uid="{00000000-0005-0000-0000-0000D5540000}"/>
    <cellStyle name="Note 2 2 6 12" xfId="22545" xr:uid="{00000000-0005-0000-0000-0000D6540000}"/>
    <cellStyle name="Note 2 2 6 13" xfId="22546" xr:uid="{00000000-0005-0000-0000-0000D7540000}"/>
    <cellStyle name="Note 2 2 6 14" xfId="22547" xr:uid="{00000000-0005-0000-0000-0000D8540000}"/>
    <cellStyle name="Note 2 2 6 15" xfId="22548" xr:uid="{00000000-0005-0000-0000-0000D9540000}"/>
    <cellStyle name="Note 2 2 6 2" xfId="22549" xr:uid="{00000000-0005-0000-0000-0000DA540000}"/>
    <cellStyle name="Note 2 2 6 3" xfId="22550" xr:uid="{00000000-0005-0000-0000-0000DB540000}"/>
    <cellStyle name="Note 2 2 6 4" xfId="22551" xr:uid="{00000000-0005-0000-0000-0000DC540000}"/>
    <cellStyle name="Note 2 2 6 5" xfId="22552" xr:uid="{00000000-0005-0000-0000-0000DD540000}"/>
    <cellStyle name="Note 2 2 6 6" xfId="22553" xr:uid="{00000000-0005-0000-0000-0000DE540000}"/>
    <cellStyle name="Note 2 2 6 7" xfId="22554" xr:uid="{00000000-0005-0000-0000-0000DF540000}"/>
    <cellStyle name="Note 2 2 6 8" xfId="22555" xr:uid="{00000000-0005-0000-0000-0000E0540000}"/>
    <cellStyle name="Note 2 2 6 9" xfId="22556" xr:uid="{00000000-0005-0000-0000-0000E1540000}"/>
    <cellStyle name="Note 2 2 7" xfId="22557" xr:uid="{00000000-0005-0000-0000-0000E2540000}"/>
    <cellStyle name="Note 2 2 7 10" xfId="22558" xr:uid="{00000000-0005-0000-0000-0000E3540000}"/>
    <cellStyle name="Note 2 2 7 11" xfId="22559" xr:uid="{00000000-0005-0000-0000-0000E4540000}"/>
    <cellStyle name="Note 2 2 7 12" xfId="22560" xr:uid="{00000000-0005-0000-0000-0000E5540000}"/>
    <cellStyle name="Note 2 2 7 13" xfId="22561" xr:uid="{00000000-0005-0000-0000-0000E6540000}"/>
    <cellStyle name="Note 2 2 7 14" xfId="22562" xr:uid="{00000000-0005-0000-0000-0000E7540000}"/>
    <cellStyle name="Note 2 2 7 15" xfId="22563" xr:uid="{00000000-0005-0000-0000-0000E8540000}"/>
    <cellStyle name="Note 2 2 7 2" xfId="22564" xr:uid="{00000000-0005-0000-0000-0000E9540000}"/>
    <cellStyle name="Note 2 2 7 3" xfId="22565" xr:uid="{00000000-0005-0000-0000-0000EA540000}"/>
    <cellStyle name="Note 2 2 7 4" xfId="22566" xr:uid="{00000000-0005-0000-0000-0000EB540000}"/>
    <cellStyle name="Note 2 2 7 5" xfId="22567" xr:uid="{00000000-0005-0000-0000-0000EC540000}"/>
    <cellStyle name="Note 2 2 7 6" xfId="22568" xr:uid="{00000000-0005-0000-0000-0000ED540000}"/>
    <cellStyle name="Note 2 2 7 7" xfId="22569" xr:uid="{00000000-0005-0000-0000-0000EE540000}"/>
    <cellStyle name="Note 2 2 7 8" xfId="22570" xr:uid="{00000000-0005-0000-0000-0000EF540000}"/>
    <cellStyle name="Note 2 2 7 9" xfId="22571" xr:uid="{00000000-0005-0000-0000-0000F0540000}"/>
    <cellStyle name="Note 2 2 8" xfId="22572" xr:uid="{00000000-0005-0000-0000-0000F1540000}"/>
    <cellStyle name="Note 2 2 8 10" xfId="22573" xr:uid="{00000000-0005-0000-0000-0000F2540000}"/>
    <cellStyle name="Note 2 2 8 11" xfId="22574" xr:uid="{00000000-0005-0000-0000-0000F3540000}"/>
    <cellStyle name="Note 2 2 8 12" xfId="22575" xr:uid="{00000000-0005-0000-0000-0000F4540000}"/>
    <cellStyle name="Note 2 2 8 13" xfId="22576" xr:uid="{00000000-0005-0000-0000-0000F5540000}"/>
    <cellStyle name="Note 2 2 8 14" xfId="22577" xr:uid="{00000000-0005-0000-0000-0000F6540000}"/>
    <cellStyle name="Note 2 2 8 15" xfId="22578" xr:uid="{00000000-0005-0000-0000-0000F7540000}"/>
    <cellStyle name="Note 2 2 8 2" xfId="22579" xr:uid="{00000000-0005-0000-0000-0000F8540000}"/>
    <cellStyle name="Note 2 2 8 3" xfId="22580" xr:uid="{00000000-0005-0000-0000-0000F9540000}"/>
    <cellStyle name="Note 2 2 8 4" xfId="22581" xr:uid="{00000000-0005-0000-0000-0000FA540000}"/>
    <cellStyle name="Note 2 2 8 5" xfId="22582" xr:uid="{00000000-0005-0000-0000-0000FB540000}"/>
    <cellStyle name="Note 2 2 8 6" xfId="22583" xr:uid="{00000000-0005-0000-0000-0000FC540000}"/>
    <cellStyle name="Note 2 2 8 7" xfId="22584" xr:uid="{00000000-0005-0000-0000-0000FD540000}"/>
    <cellStyle name="Note 2 2 8 8" xfId="22585" xr:uid="{00000000-0005-0000-0000-0000FE540000}"/>
    <cellStyle name="Note 2 2 8 9" xfId="22586" xr:uid="{00000000-0005-0000-0000-0000FF540000}"/>
    <cellStyle name="Note 2 2 9" xfId="22587" xr:uid="{00000000-0005-0000-0000-000000550000}"/>
    <cellStyle name="Note 2 2 9 10" xfId="22588" xr:uid="{00000000-0005-0000-0000-000001550000}"/>
    <cellStyle name="Note 2 2 9 11" xfId="22589" xr:uid="{00000000-0005-0000-0000-000002550000}"/>
    <cellStyle name="Note 2 2 9 12" xfId="22590" xr:uid="{00000000-0005-0000-0000-000003550000}"/>
    <cellStyle name="Note 2 2 9 13" xfId="22591" xr:uid="{00000000-0005-0000-0000-000004550000}"/>
    <cellStyle name="Note 2 2 9 14" xfId="22592" xr:uid="{00000000-0005-0000-0000-000005550000}"/>
    <cellStyle name="Note 2 2 9 15" xfId="22593" xr:uid="{00000000-0005-0000-0000-000006550000}"/>
    <cellStyle name="Note 2 2 9 2" xfId="22594" xr:uid="{00000000-0005-0000-0000-000007550000}"/>
    <cellStyle name="Note 2 2 9 3" xfId="22595" xr:uid="{00000000-0005-0000-0000-000008550000}"/>
    <cellStyle name="Note 2 2 9 4" xfId="22596" xr:uid="{00000000-0005-0000-0000-000009550000}"/>
    <cellStyle name="Note 2 2 9 5" xfId="22597" xr:uid="{00000000-0005-0000-0000-00000A550000}"/>
    <cellStyle name="Note 2 2 9 6" xfId="22598" xr:uid="{00000000-0005-0000-0000-00000B550000}"/>
    <cellStyle name="Note 2 2 9 7" xfId="22599" xr:uid="{00000000-0005-0000-0000-00000C550000}"/>
    <cellStyle name="Note 2 2 9 8" xfId="22600" xr:uid="{00000000-0005-0000-0000-00000D550000}"/>
    <cellStyle name="Note 2 2 9 9" xfId="22601" xr:uid="{00000000-0005-0000-0000-00000E550000}"/>
    <cellStyle name="Note 2 20" xfId="22602" xr:uid="{00000000-0005-0000-0000-00000F550000}"/>
    <cellStyle name="Note 2 21" xfId="22603" xr:uid="{00000000-0005-0000-0000-000010550000}"/>
    <cellStyle name="Note 2 22" xfId="22604" xr:uid="{00000000-0005-0000-0000-000011550000}"/>
    <cellStyle name="Note 2 23" xfId="22605" xr:uid="{00000000-0005-0000-0000-000012550000}"/>
    <cellStyle name="Note 2 24" xfId="22606" xr:uid="{00000000-0005-0000-0000-000013550000}"/>
    <cellStyle name="Note 2 25" xfId="22607" xr:uid="{00000000-0005-0000-0000-000014550000}"/>
    <cellStyle name="Note 2 26" xfId="22608" xr:uid="{00000000-0005-0000-0000-000015550000}"/>
    <cellStyle name="Note 2 27" xfId="22609" xr:uid="{00000000-0005-0000-0000-000016550000}"/>
    <cellStyle name="Note 2 28" xfId="22610" xr:uid="{00000000-0005-0000-0000-000017550000}"/>
    <cellStyle name="Note 2 29" xfId="22611" xr:uid="{00000000-0005-0000-0000-000018550000}"/>
    <cellStyle name="Note 2 3" xfId="22612" xr:uid="{00000000-0005-0000-0000-000019550000}"/>
    <cellStyle name="Note 2 3 10" xfId="22613" xr:uid="{00000000-0005-0000-0000-00001A550000}"/>
    <cellStyle name="Note 2 3 11" xfId="22614" xr:uid="{00000000-0005-0000-0000-00001B550000}"/>
    <cellStyle name="Note 2 3 12" xfId="22615" xr:uid="{00000000-0005-0000-0000-00001C550000}"/>
    <cellStyle name="Note 2 3 13" xfId="22616" xr:uid="{00000000-0005-0000-0000-00001D550000}"/>
    <cellStyle name="Note 2 3 14" xfId="22617" xr:uid="{00000000-0005-0000-0000-00001E550000}"/>
    <cellStyle name="Note 2 3 15" xfId="22618" xr:uid="{00000000-0005-0000-0000-00001F550000}"/>
    <cellStyle name="Note 2 3 16" xfId="22619" xr:uid="{00000000-0005-0000-0000-000020550000}"/>
    <cellStyle name="Note 2 3 17" xfId="22620" xr:uid="{00000000-0005-0000-0000-000021550000}"/>
    <cellStyle name="Note 2 3 18" xfId="22621" xr:uid="{00000000-0005-0000-0000-000022550000}"/>
    <cellStyle name="Note 2 3 19" xfId="22622" xr:uid="{00000000-0005-0000-0000-000023550000}"/>
    <cellStyle name="Note 2 3 2" xfId="22623" xr:uid="{00000000-0005-0000-0000-000024550000}"/>
    <cellStyle name="Note 2 3 2 10" xfId="22624" xr:uid="{00000000-0005-0000-0000-000025550000}"/>
    <cellStyle name="Note 2 3 2 11" xfId="22625" xr:uid="{00000000-0005-0000-0000-000026550000}"/>
    <cellStyle name="Note 2 3 2 12" xfId="22626" xr:uid="{00000000-0005-0000-0000-000027550000}"/>
    <cellStyle name="Note 2 3 2 13" xfId="22627" xr:uid="{00000000-0005-0000-0000-000028550000}"/>
    <cellStyle name="Note 2 3 2 14" xfId="22628" xr:uid="{00000000-0005-0000-0000-000029550000}"/>
    <cellStyle name="Note 2 3 2 15" xfId="22629" xr:uid="{00000000-0005-0000-0000-00002A550000}"/>
    <cellStyle name="Note 2 3 2 16" xfId="22630" xr:uid="{00000000-0005-0000-0000-00002B550000}"/>
    <cellStyle name="Note 2 3 2 17" xfId="22631" xr:uid="{00000000-0005-0000-0000-00002C550000}"/>
    <cellStyle name="Note 2 3 2 18" xfId="22632" xr:uid="{00000000-0005-0000-0000-00002D550000}"/>
    <cellStyle name="Note 2 3 2 19" xfId="22633" xr:uid="{00000000-0005-0000-0000-00002E550000}"/>
    <cellStyle name="Note 2 3 2 2" xfId="22634" xr:uid="{00000000-0005-0000-0000-00002F550000}"/>
    <cellStyle name="Note 2 3 2 2 10" xfId="22635" xr:uid="{00000000-0005-0000-0000-000030550000}"/>
    <cellStyle name="Note 2 3 2 2 11" xfId="22636" xr:uid="{00000000-0005-0000-0000-000031550000}"/>
    <cellStyle name="Note 2 3 2 2 12" xfId="22637" xr:uid="{00000000-0005-0000-0000-000032550000}"/>
    <cellStyle name="Note 2 3 2 2 13" xfId="22638" xr:uid="{00000000-0005-0000-0000-000033550000}"/>
    <cellStyle name="Note 2 3 2 2 14" xfId="22639" xr:uid="{00000000-0005-0000-0000-000034550000}"/>
    <cellStyle name="Note 2 3 2 2 15" xfId="22640" xr:uid="{00000000-0005-0000-0000-000035550000}"/>
    <cellStyle name="Note 2 3 2 2 16" xfId="22641" xr:uid="{00000000-0005-0000-0000-000036550000}"/>
    <cellStyle name="Note 2 3 2 2 17" xfId="22642" xr:uid="{00000000-0005-0000-0000-000037550000}"/>
    <cellStyle name="Note 2 3 2 2 18" xfId="22643" xr:uid="{00000000-0005-0000-0000-000038550000}"/>
    <cellStyle name="Note 2 3 2 2 19" xfId="22644" xr:uid="{00000000-0005-0000-0000-000039550000}"/>
    <cellStyle name="Note 2 3 2 2 2" xfId="22645" xr:uid="{00000000-0005-0000-0000-00003A550000}"/>
    <cellStyle name="Note 2 3 2 2 2 10" xfId="22646" xr:uid="{00000000-0005-0000-0000-00003B550000}"/>
    <cellStyle name="Note 2 3 2 2 2 11" xfId="22647" xr:uid="{00000000-0005-0000-0000-00003C550000}"/>
    <cellStyle name="Note 2 3 2 2 2 12" xfId="22648" xr:uid="{00000000-0005-0000-0000-00003D550000}"/>
    <cellStyle name="Note 2 3 2 2 2 13" xfId="22649" xr:uid="{00000000-0005-0000-0000-00003E550000}"/>
    <cellStyle name="Note 2 3 2 2 2 14" xfId="22650" xr:uid="{00000000-0005-0000-0000-00003F550000}"/>
    <cellStyle name="Note 2 3 2 2 2 15" xfId="22651" xr:uid="{00000000-0005-0000-0000-000040550000}"/>
    <cellStyle name="Note 2 3 2 2 2 2" xfId="22652" xr:uid="{00000000-0005-0000-0000-000041550000}"/>
    <cellStyle name="Note 2 3 2 2 2 3" xfId="22653" xr:uid="{00000000-0005-0000-0000-000042550000}"/>
    <cellStyle name="Note 2 3 2 2 2 4" xfId="22654" xr:uid="{00000000-0005-0000-0000-000043550000}"/>
    <cellStyle name="Note 2 3 2 2 2 5" xfId="22655" xr:uid="{00000000-0005-0000-0000-000044550000}"/>
    <cellStyle name="Note 2 3 2 2 2 6" xfId="22656" xr:uid="{00000000-0005-0000-0000-000045550000}"/>
    <cellStyle name="Note 2 3 2 2 2 7" xfId="22657" xr:uid="{00000000-0005-0000-0000-000046550000}"/>
    <cellStyle name="Note 2 3 2 2 2 8" xfId="22658" xr:uid="{00000000-0005-0000-0000-000047550000}"/>
    <cellStyle name="Note 2 3 2 2 2 9" xfId="22659" xr:uid="{00000000-0005-0000-0000-000048550000}"/>
    <cellStyle name="Note 2 3 2 2 20" xfId="22660" xr:uid="{00000000-0005-0000-0000-000049550000}"/>
    <cellStyle name="Note 2 3 2 2 3" xfId="22661" xr:uid="{00000000-0005-0000-0000-00004A550000}"/>
    <cellStyle name="Note 2 3 2 2 3 10" xfId="22662" xr:uid="{00000000-0005-0000-0000-00004B550000}"/>
    <cellStyle name="Note 2 3 2 2 3 11" xfId="22663" xr:uid="{00000000-0005-0000-0000-00004C550000}"/>
    <cellStyle name="Note 2 3 2 2 3 12" xfId="22664" xr:uid="{00000000-0005-0000-0000-00004D550000}"/>
    <cellStyle name="Note 2 3 2 2 3 13" xfId="22665" xr:uid="{00000000-0005-0000-0000-00004E550000}"/>
    <cellStyle name="Note 2 3 2 2 3 14" xfId="22666" xr:uid="{00000000-0005-0000-0000-00004F550000}"/>
    <cellStyle name="Note 2 3 2 2 3 15" xfId="22667" xr:uid="{00000000-0005-0000-0000-000050550000}"/>
    <cellStyle name="Note 2 3 2 2 3 2" xfId="22668" xr:uid="{00000000-0005-0000-0000-000051550000}"/>
    <cellStyle name="Note 2 3 2 2 3 3" xfId="22669" xr:uid="{00000000-0005-0000-0000-000052550000}"/>
    <cellStyle name="Note 2 3 2 2 3 4" xfId="22670" xr:uid="{00000000-0005-0000-0000-000053550000}"/>
    <cellStyle name="Note 2 3 2 2 3 5" xfId="22671" xr:uid="{00000000-0005-0000-0000-000054550000}"/>
    <cellStyle name="Note 2 3 2 2 3 6" xfId="22672" xr:uid="{00000000-0005-0000-0000-000055550000}"/>
    <cellStyle name="Note 2 3 2 2 3 7" xfId="22673" xr:uid="{00000000-0005-0000-0000-000056550000}"/>
    <cellStyle name="Note 2 3 2 2 3 8" xfId="22674" xr:uid="{00000000-0005-0000-0000-000057550000}"/>
    <cellStyle name="Note 2 3 2 2 3 9" xfId="22675" xr:uid="{00000000-0005-0000-0000-000058550000}"/>
    <cellStyle name="Note 2 3 2 2 4" xfId="22676" xr:uid="{00000000-0005-0000-0000-000059550000}"/>
    <cellStyle name="Note 2 3 2 2 4 10" xfId="22677" xr:uid="{00000000-0005-0000-0000-00005A550000}"/>
    <cellStyle name="Note 2 3 2 2 4 11" xfId="22678" xr:uid="{00000000-0005-0000-0000-00005B550000}"/>
    <cellStyle name="Note 2 3 2 2 4 12" xfId="22679" xr:uid="{00000000-0005-0000-0000-00005C550000}"/>
    <cellStyle name="Note 2 3 2 2 4 13" xfId="22680" xr:uid="{00000000-0005-0000-0000-00005D550000}"/>
    <cellStyle name="Note 2 3 2 2 4 14" xfId="22681" xr:uid="{00000000-0005-0000-0000-00005E550000}"/>
    <cellStyle name="Note 2 3 2 2 4 15" xfId="22682" xr:uid="{00000000-0005-0000-0000-00005F550000}"/>
    <cellStyle name="Note 2 3 2 2 4 2" xfId="22683" xr:uid="{00000000-0005-0000-0000-000060550000}"/>
    <cellStyle name="Note 2 3 2 2 4 3" xfId="22684" xr:uid="{00000000-0005-0000-0000-000061550000}"/>
    <cellStyle name="Note 2 3 2 2 4 4" xfId="22685" xr:uid="{00000000-0005-0000-0000-000062550000}"/>
    <cellStyle name="Note 2 3 2 2 4 5" xfId="22686" xr:uid="{00000000-0005-0000-0000-000063550000}"/>
    <cellStyle name="Note 2 3 2 2 4 6" xfId="22687" xr:uid="{00000000-0005-0000-0000-000064550000}"/>
    <cellStyle name="Note 2 3 2 2 4 7" xfId="22688" xr:uid="{00000000-0005-0000-0000-000065550000}"/>
    <cellStyle name="Note 2 3 2 2 4 8" xfId="22689" xr:uid="{00000000-0005-0000-0000-000066550000}"/>
    <cellStyle name="Note 2 3 2 2 4 9" xfId="22690" xr:uid="{00000000-0005-0000-0000-000067550000}"/>
    <cellStyle name="Note 2 3 2 2 5" xfId="22691" xr:uid="{00000000-0005-0000-0000-000068550000}"/>
    <cellStyle name="Note 2 3 2 2 5 10" xfId="22692" xr:uid="{00000000-0005-0000-0000-000069550000}"/>
    <cellStyle name="Note 2 3 2 2 5 11" xfId="22693" xr:uid="{00000000-0005-0000-0000-00006A550000}"/>
    <cellStyle name="Note 2 3 2 2 5 12" xfId="22694" xr:uid="{00000000-0005-0000-0000-00006B550000}"/>
    <cellStyle name="Note 2 3 2 2 5 13" xfId="22695" xr:uid="{00000000-0005-0000-0000-00006C550000}"/>
    <cellStyle name="Note 2 3 2 2 5 14" xfId="22696" xr:uid="{00000000-0005-0000-0000-00006D550000}"/>
    <cellStyle name="Note 2 3 2 2 5 15" xfId="22697" xr:uid="{00000000-0005-0000-0000-00006E550000}"/>
    <cellStyle name="Note 2 3 2 2 5 2" xfId="22698" xr:uid="{00000000-0005-0000-0000-00006F550000}"/>
    <cellStyle name="Note 2 3 2 2 5 3" xfId="22699" xr:uid="{00000000-0005-0000-0000-000070550000}"/>
    <cellStyle name="Note 2 3 2 2 5 4" xfId="22700" xr:uid="{00000000-0005-0000-0000-000071550000}"/>
    <cellStyle name="Note 2 3 2 2 5 5" xfId="22701" xr:uid="{00000000-0005-0000-0000-000072550000}"/>
    <cellStyle name="Note 2 3 2 2 5 6" xfId="22702" xr:uid="{00000000-0005-0000-0000-000073550000}"/>
    <cellStyle name="Note 2 3 2 2 5 7" xfId="22703" xr:uid="{00000000-0005-0000-0000-000074550000}"/>
    <cellStyle name="Note 2 3 2 2 5 8" xfId="22704" xr:uid="{00000000-0005-0000-0000-000075550000}"/>
    <cellStyle name="Note 2 3 2 2 5 9" xfId="22705" xr:uid="{00000000-0005-0000-0000-000076550000}"/>
    <cellStyle name="Note 2 3 2 2 6" xfId="22706" xr:uid="{00000000-0005-0000-0000-000077550000}"/>
    <cellStyle name="Note 2 3 2 2 7" xfId="22707" xr:uid="{00000000-0005-0000-0000-000078550000}"/>
    <cellStyle name="Note 2 3 2 2 8" xfId="22708" xr:uid="{00000000-0005-0000-0000-000079550000}"/>
    <cellStyle name="Note 2 3 2 2 9" xfId="22709" xr:uid="{00000000-0005-0000-0000-00007A550000}"/>
    <cellStyle name="Note 2 3 2 20" xfId="22710" xr:uid="{00000000-0005-0000-0000-00007B550000}"/>
    <cellStyle name="Note 2 3 2 21" xfId="22711" xr:uid="{00000000-0005-0000-0000-00007C550000}"/>
    <cellStyle name="Note 2 3 2 22" xfId="22712" xr:uid="{00000000-0005-0000-0000-00007D550000}"/>
    <cellStyle name="Note 2 3 2 23" xfId="22713" xr:uid="{00000000-0005-0000-0000-00007E550000}"/>
    <cellStyle name="Note 2 3 2 3" xfId="22714" xr:uid="{00000000-0005-0000-0000-00007F550000}"/>
    <cellStyle name="Note 2 3 2 3 10" xfId="22715" xr:uid="{00000000-0005-0000-0000-000080550000}"/>
    <cellStyle name="Note 2 3 2 3 11" xfId="22716" xr:uid="{00000000-0005-0000-0000-000081550000}"/>
    <cellStyle name="Note 2 3 2 3 12" xfId="22717" xr:uid="{00000000-0005-0000-0000-000082550000}"/>
    <cellStyle name="Note 2 3 2 3 13" xfId="22718" xr:uid="{00000000-0005-0000-0000-000083550000}"/>
    <cellStyle name="Note 2 3 2 3 14" xfId="22719" xr:uid="{00000000-0005-0000-0000-000084550000}"/>
    <cellStyle name="Note 2 3 2 3 15" xfId="22720" xr:uid="{00000000-0005-0000-0000-000085550000}"/>
    <cellStyle name="Note 2 3 2 3 16" xfId="22721" xr:uid="{00000000-0005-0000-0000-000086550000}"/>
    <cellStyle name="Note 2 3 2 3 17" xfId="22722" xr:uid="{00000000-0005-0000-0000-000087550000}"/>
    <cellStyle name="Note 2 3 2 3 18" xfId="22723" xr:uid="{00000000-0005-0000-0000-000088550000}"/>
    <cellStyle name="Note 2 3 2 3 19" xfId="22724" xr:uid="{00000000-0005-0000-0000-000089550000}"/>
    <cellStyle name="Note 2 3 2 3 2" xfId="22725" xr:uid="{00000000-0005-0000-0000-00008A550000}"/>
    <cellStyle name="Note 2 3 2 3 2 10" xfId="22726" xr:uid="{00000000-0005-0000-0000-00008B550000}"/>
    <cellStyle name="Note 2 3 2 3 2 11" xfId="22727" xr:uid="{00000000-0005-0000-0000-00008C550000}"/>
    <cellStyle name="Note 2 3 2 3 2 12" xfId="22728" xr:uid="{00000000-0005-0000-0000-00008D550000}"/>
    <cellStyle name="Note 2 3 2 3 2 13" xfId="22729" xr:uid="{00000000-0005-0000-0000-00008E550000}"/>
    <cellStyle name="Note 2 3 2 3 2 14" xfId="22730" xr:uid="{00000000-0005-0000-0000-00008F550000}"/>
    <cellStyle name="Note 2 3 2 3 2 15" xfId="22731" xr:uid="{00000000-0005-0000-0000-000090550000}"/>
    <cellStyle name="Note 2 3 2 3 2 2" xfId="22732" xr:uid="{00000000-0005-0000-0000-000091550000}"/>
    <cellStyle name="Note 2 3 2 3 2 3" xfId="22733" xr:uid="{00000000-0005-0000-0000-000092550000}"/>
    <cellStyle name="Note 2 3 2 3 2 4" xfId="22734" xr:uid="{00000000-0005-0000-0000-000093550000}"/>
    <cellStyle name="Note 2 3 2 3 2 5" xfId="22735" xr:uid="{00000000-0005-0000-0000-000094550000}"/>
    <cellStyle name="Note 2 3 2 3 2 6" xfId="22736" xr:uid="{00000000-0005-0000-0000-000095550000}"/>
    <cellStyle name="Note 2 3 2 3 2 7" xfId="22737" xr:uid="{00000000-0005-0000-0000-000096550000}"/>
    <cellStyle name="Note 2 3 2 3 2 8" xfId="22738" xr:uid="{00000000-0005-0000-0000-000097550000}"/>
    <cellStyle name="Note 2 3 2 3 2 9" xfId="22739" xr:uid="{00000000-0005-0000-0000-000098550000}"/>
    <cellStyle name="Note 2 3 2 3 20" xfId="22740" xr:uid="{00000000-0005-0000-0000-000099550000}"/>
    <cellStyle name="Note 2 3 2 3 3" xfId="22741" xr:uid="{00000000-0005-0000-0000-00009A550000}"/>
    <cellStyle name="Note 2 3 2 3 3 10" xfId="22742" xr:uid="{00000000-0005-0000-0000-00009B550000}"/>
    <cellStyle name="Note 2 3 2 3 3 11" xfId="22743" xr:uid="{00000000-0005-0000-0000-00009C550000}"/>
    <cellStyle name="Note 2 3 2 3 3 12" xfId="22744" xr:uid="{00000000-0005-0000-0000-00009D550000}"/>
    <cellStyle name="Note 2 3 2 3 3 13" xfId="22745" xr:uid="{00000000-0005-0000-0000-00009E550000}"/>
    <cellStyle name="Note 2 3 2 3 3 14" xfId="22746" xr:uid="{00000000-0005-0000-0000-00009F550000}"/>
    <cellStyle name="Note 2 3 2 3 3 15" xfId="22747" xr:uid="{00000000-0005-0000-0000-0000A0550000}"/>
    <cellStyle name="Note 2 3 2 3 3 2" xfId="22748" xr:uid="{00000000-0005-0000-0000-0000A1550000}"/>
    <cellStyle name="Note 2 3 2 3 3 3" xfId="22749" xr:uid="{00000000-0005-0000-0000-0000A2550000}"/>
    <cellStyle name="Note 2 3 2 3 3 4" xfId="22750" xr:uid="{00000000-0005-0000-0000-0000A3550000}"/>
    <cellStyle name="Note 2 3 2 3 3 5" xfId="22751" xr:uid="{00000000-0005-0000-0000-0000A4550000}"/>
    <cellStyle name="Note 2 3 2 3 3 6" xfId="22752" xr:uid="{00000000-0005-0000-0000-0000A5550000}"/>
    <cellStyle name="Note 2 3 2 3 3 7" xfId="22753" xr:uid="{00000000-0005-0000-0000-0000A6550000}"/>
    <cellStyle name="Note 2 3 2 3 3 8" xfId="22754" xr:uid="{00000000-0005-0000-0000-0000A7550000}"/>
    <cellStyle name="Note 2 3 2 3 3 9" xfId="22755" xr:uid="{00000000-0005-0000-0000-0000A8550000}"/>
    <cellStyle name="Note 2 3 2 3 4" xfId="22756" xr:uid="{00000000-0005-0000-0000-0000A9550000}"/>
    <cellStyle name="Note 2 3 2 3 4 10" xfId="22757" xr:uid="{00000000-0005-0000-0000-0000AA550000}"/>
    <cellStyle name="Note 2 3 2 3 4 11" xfId="22758" xr:uid="{00000000-0005-0000-0000-0000AB550000}"/>
    <cellStyle name="Note 2 3 2 3 4 12" xfId="22759" xr:uid="{00000000-0005-0000-0000-0000AC550000}"/>
    <cellStyle name="Note 2 3 2 3 4 13" xfId="22760" xr:uid="{00000000-0005-0000-0000-0000AD550000}"/>
    <cellStyle name="Note 2 3 2 3 4 14" xfId="22761" xr:uid="{00000000-0005-0000-0000-0000AE550000}"/>
    <cellStyle name="Note 2 3 2 3 4 15" xfId="22762" xr:uid="{00000000-0005-0000-0000-0000AF550000}"/>
    <cellStyle name="Note 2 3 2 3 4 2" xfId="22763" xr:uid="{00000000-0005-0000-0000-0000B0550000}"/>
    <cellStyle name="Note 2 3 2 3 4 3" xfId="22764" xr:uid="{00000000-0005-0000-0000-0000B1550000}"/>
    <cellStyle name="Note 2 3 2 3 4 4" xfId="22765" xr:uid="{00000000-0005-0000-0000-0000B2550000}"/>
    <cellStyle name="Note 2 3 2 3 4 5" xfId="22766" xr:uid="{00000000-0005-0000-0000-0000B3550000}"/>
    <cellStyle name="Note 2 3 2 3 4 6" xfId="22767" xr:uid="{00000000-0005-0000-0000-0000B4550000}"/>
    <cellStyle name="Note 2 3 2 3 4 7" xfId="22768" xr:uid="{00000000-0005-0000-0000-0000B5550000}"/>
    <cellStyle name="Note 2 3 2 3 4 8" xfId="22769" xr:uid="{00000000-0005-0000-0000-0000B6550000}"/>
    <cellStyle name="Note 2 3 2 3 4 9" xfId="22770" xr:uid="{00000000-0005-0000-0000-0000B7550000}"/>
    <cellStyle name="Note 2 3 2 3 5" xfId="22771" xr:uid="{00000000-0005-0000-0000-0000B8550000}"/>
    <cellStyle name="Note 2 3 2 3 5 10" xfId="22772" xr:uid="{00000000-0005-0000-0000-0000B9550000}"/>
    <cellStyle name="Note 2 3 2 3 5 11" xfId="22773" xr:uid="{00000000-0005-0000-0000-0000BA550000}"/>
    <cellStyle name="Note 2 3 2 3 5 12" xfId="22774" xr:uid="{00000000-0005-0000-0000-0000BB550000}"/>
    <cellStyle name="Note 2 3 2 3 5 13" xfId="22775" xr:uid="{00000000-0005-0000-0000-0000BC550000}"/>
    <cellStyle name="Note 2 3 2 3 5 14" xfId="22776" xr:uid="{00000000-0005-0000-0000-0000BD550000}"/>
    <cellStyle name="Note 2 3 2 3 5 15" xfId="22777" xr:uid="{00000000-0005-0000-0000-0000BE550000}"/>
    <cellStyle name="Note 2 3 2 3 5 2" xfId="22778" xr:uid="{00000000-0005-0000-0000-0000BF550000}"/>
    <cellStyle name="Note 2 3 2 3 5 3" xfId="22779" xr:uid="{00000000-0005-0000-0000-0000C0550000}"/>
    <cellStyle name="Note 2 3 2 3 5 4" xfId="22780" xr:uid="{00000000-0005-0000-0000-0000C1550000}"/>
    <cellStyle name="Note 2 3 2 3 5 5" xfId="22781" xr:uid="{00000000-0005-0000-0000-0000C2550000}"/>
    <cellStyle name="Note 2 3 2 3 5 6" xfId="22782" xr:uid="{00000000-0005-0000-0000-0000C3550000}"/>
    <cellStyle name="Note 2 3 2 3 5 7" xfId="22783" xr:uid="{00000000-0005-0000-0000-0000C4550000}"/>
    <cellStyle name="Note 2 3 2 3 5 8" xfId="22784" xr:uid="{00000000-0005-0000-0000-0000C5550000}"/>
    <cellStyle name="Note 2 3 2 3 5 9" xfId="22785" xr:uid="{00000000-0005-0000-0000-0000C6550000}"/>
    <cellStyle name="Note 2 3 2 3 6" xfId="22786" xr:uid="{00000000-0005-0000-0000-0000C7550000}"/>
    <cellStyle name="Note 2 3 2 3 7" xfId="22787" xr:uid="{00000000-0005-0000-0000-0000C8550000}"/>
    <cellStyle name="Note 2 3 2 3 8" xfId="22788" xr:uid="{00000000-0005-0000-0000-0000C9550000}"/>
    <cellStyle name="Note 2 3 2 3 9" xfId="22789" xr:uid="{00000000-0005-0000-0000-0000CA550000}"/>
    <cellStyle name="Note 2 3 2 4" xfId="22790" xr:uid="{00000000-0005-0000-0000-0000CB550000}"/>
    <cellStyle name="Note 2 3 2 4 10" xfId="22791" xr:uid="{00000000-0005-0000-0000-0000CC550000}"/>
    <cellStyle name="Note 2 3 2 4 11" xfId="22792" xr:uid="{00000000-0005-0000-0000-0000CD550000}"/>
    <cellStyle name="Note 2 3 2 4 12" xfId="22793" xr:uid="{00000000-0005-0000-0000-0000CE550000}"/>
    <cellStyle name="Note 2 3 2 4 13" xfId="22794" xr:uid="{00000000-0005-0000-0000-0000CF550000}"/>
    <cellStyle name="Note 2 3 2 4 14" xfId="22795" xr:uid="{00000000-0005-0000-0000-0000D0550000}"/>
    <cellStyle name="Note 2 3 2 4 15" xfId="22796" xr:uid="{00000000-0005-0000-0000-0000D1550000}"/>
    <cellStyle name="Note 2 3 2 4 16" xfId="22797" xr:uid="{00000000-0005-0000-0000-0000D2550000}"/>
    <cellStyle name="Note 2 3 2 4 17" xfId="22798" xr:uid="{00000000-0005-0000-0000-0000D3550000}"/>
    <cellStyle name="Note 2 3 2 4 18" xfId="22799" xr:uid="{00000000-0005-0000-0000-0000D4550000}"/>
    <cellStyle name="Note 2 3 2 4 19" xfId="22800" xr:uid="{00000000-0005-0000-0000-0000D5550000}"/>
    <cellStyle name="Note 2 3 2 4 2" xfId="22801" xr:uid="{00000000-0005-0000-0000-0000D6550000}"/>
    <cellStyle name="Note 2 3 2 4 2 10" xfId="22802" xr:uid="{00000000-0005-0000-0000-0000D7550000}"/>
    <cellStyle name="Note 2 3 2 4 2 11" xfId="22803" xr:uid="{00000000-0005-0000-0000-0000D8550000}"/>
    <cellStyle name="Note 2 3 2 4 2 12" xfId="22804" xr:uid="{00000000-0005-0000-0000-0000D9550000}"/>
    <cellStyle name="Note 2 3 2 4 2 13" xfId="22805" xr:uid="{00000000-0005-0000-0000-0000DA550000}"/>
    <cellStyle name="Note 2 3 2 4 2 14" xfId="22806" xr:uid="{00000000-0005-0000-0000-0000DB550000}"/>
    <cellStyle name="Note 2 3 2 4 2 15" xfId="22807" xr:uid="{00000000-0005-0000-0000-0000DC550000}"/>
    <cellStyle name="Note 2 3 2 4 2 2" xfId="22808" xr:uid="{00000000-0005-0000-0000-0000DD550000}"/>
    <cellStyle name="Note 2 3 2 4 2 3" xfId="22809" xr:uid="{00000000-0005-0000-0000-0000DE550000}"/>
    <cellStyle name="Note 2 3 2 4 2 4" xfId="22810" xr:uid="{00000000-0005-0000-0000-0000DF550000}"/>
    <cellStyle name="Note 2 3 2 4 2 5" xfId="22811" xr:uid="{00000000-0005-0000-0000-0000E0550000}"/>
    <cellStyle name="Note 2 3 2 4 2 6" xfId="22812" xr:uid="{00000000-0005-0000-0000-0000E1550000}"/>
    <cellStyle name="Note 2 3 2 4 2 7" xfId="22813" xr:uid="{00000000-0005-0000-0000-0000E2550000}"/>
    <cellStyle name="Note 2 3 2 4 2 8" xfId="22814" xr:uid="{00000000-0005-0000-0000-0000E3550000}"/>
    <cellStyle name="Note 2 3 2 4 2 9" xfId="22815" xr:uid="{00000000-0005-0000-0000-0000E4550000}"/>
    <cellStyle name="Note 2 3 2 4 20" xfId="22816" xr:uid="{00000000-0005-0000-0000-0000E5550000}"/>
    <cellStyle name="Note 2 3 2 4 3" xfId="22817" xr:uid="{00000000-0005-0000-0000-0000E6550000}"/>
    <cellStyle name="Note 2 3 2 4 3 10" xfId="22818" xr:uid="{00000000-0005-0000-0000-0000E7550000}"/>
    <cellStyle name="Note 2 3 2 4 3 11" xfId="22819" xr:uid="{00000000-0005-0000-0000-0000E8550000}"/>
    <cellStyle name="Note 2 3 2 4 3 12" xfId="22820" xr:uid="{00000000-0005-0000-0000-0000E9550000}"/>
    <cellStyle name="Note 2 3 2 4 3 13" xfId="22821" xr:uid="{00000000-0005-0000-0000-0000EA550000}"/>
    <cellStyle name="Note 2 3 2 4 3 14" xfId="22822" xr:uid="{00000000-0005-0000-0000-0000EB550000}"/>
    <cellStyle name="Note 2 3 2 4 3 15" xfId="22823" xr:uid="{00000000-0005-0000-0000-0000EC550000}"/>
    <cellStyle name="Note 2 3 2 4 3 2" xfId="22824" xr:uid="{00000000-0005-0000-0000-0000ED550000}"/>
    <cellStyle name="Note 2 3 2 4 3 3" xfId="22825" xr:uid="{00000000-0005-0000-0000-0000EE550000}"/>
    <cellStyle name="Note 2 3 2 4 3 4" xfId="22826" xr:uid="{00000000-0005-0000-0000-0000EF550000}"/>
    <cellStyle name="Note 2 3 2 4 3 5" xfId="22827" xr:uid="{00000000-0005-0000-0000-0000F0550000}"/>
    <cellStyle name="Note 2 3 2 4 3 6" xfId="22828" xr:uid="{00000000-0005-0000-0000-0000F1550000}"/>
    <cellStyle name="Note 2 3 2 4 3 7" xfId="22829" xr:uid="{00000000-0005-0000-0000-0000F2550000}"/>
    <cellStyle name="Note 2 3 2 4 3 8" xfId="22830" xr:uid="{00000000-0005-0000-0000-0000F3550000}"/>
    <cellStyle name="Note 2 3 2 4 3 9" xfId="22831" xr:uid="{00000000-0005-0000-0000-0000F4550000}"/>
    <cellStyle name="Note 2 3 2 4 4" xfId="22832" xr:uid="{00000000-0005-0000-0000-0000F5550000}"/>
    <cellStyle name="Note 2 3 2 4 4 10" xfId="22833" xr:uid="{00000000-0005-0000-0000-0000F6550000}"/>
    <cellStyle name="Note 2 3 2 4 4 11" xfId="22834" xr:uid="{00000000-0005-0000-0000-0000F7550000}"/>
    <cellStyle name="Note 2 3 2 4 4 12" xfId="22835" xr:uid="{00000000-0005-0000-0000-0000F8550000}"/>
    <cellStyle name="Note 2 3 2 4 4 13" xfId="22836" xr:uid="{00000000-0005-0000-0000-0000F9550000}"/>
    <cellStyle name="Note 2 3 2 4 4 14" xfId="22837" xr:uid="{00000000-0005-0000-0000-0000FA550000}"/>
    <cellStyle name="Note 2 3 2 4 4 15" xfId="22838" xr:uid="{00000000-0005-0000-0000-0000FB550000}"/>
    <cellStyle name="Note 2 3 2 4 4 2" xfId="22839" xr:uid="{00000000-0005-0000-0000-0000FC550000}"/>
    <cellStyle name="Note 2 3 2 4 4 3" xfId="22840" xr:uid="{00000000-0005-0000-0000-0000FD550000}"/>
    <cellStyle name="Note 2 3 2 4 4 4" xfId="22841" xr:uid="{00000000-0005-0000-0000-0000FE550000}"/>
    <cellStyle name="Note 2 3 2 4 4 5" xfId="22842" xr:uid="{00000000-0005-0000-0000-0000FF550000}"/>
    <cellStyle name="Note 2 3 2 4 4 6" xfId="22843" xr:uid="{00000000-0005-0000-0000-000000560000}"/>
    <cellStyle name="Note 2 3 2 4 4 7" xfId="22844" xr:uid="{00000000-0005-0000-0000-000001560000}"/>
    <cellStyle name="Note 2 3 2 4 4 8" xfId="22845" xr:uid="{00000000-0005-0000-0000-000002560000}"/>
    <cellStyle name="Note 2 3 2 4 4 9" xfId="22846" xr:uid="{00000000-0005-0000-0000-000003560000}"/>
    <cellStyle name="Note 2 3 2 4 5" xfId="22847" xr:uid="{00000000-0005-0000-0000-000004560000}"/>
    <cellStyle name="Note 2 3 2 4 5 10" xfId="22848" xr:uid="{00000000-0005-0000-0000-000005560000}"/>
    <cellStyle name="Note 2 3 2 4 5 11" xfId="22849" xr:uid="{00000000-0005-0000-0000-000006560000}"/>
    <cellStyle name="Note 2 3 2 4 5 12" xfId="22850" xr:uid="{00000000-0005-0000-0000-000007560000}"/>
    <cellStyle name="Note 2 3 2 4 5 13" xfId="22851" xr:uid="{00000000-0005-0000-0000-000008560000}"/>
    <cellStyle name="Note 2 3 2 4 5 14" xfId="22852" xr:uid="{00000000-0005-0000-0000-000009560000}"/>
    <cellStyle name="Note 2 3 2 4 5 15" xfId="22853" xr:uid="{00000000-0005-0000-0000-00000A560000}"/>
    <cellStyle name="Note 2 3 2 4 5 2" xfId="22854" xr:uid="{00000000-0005-0000-0000-00000B560000}"/>
    <cellStyle name="Note 2 3 2 4 5 3" xfId="22855" xr:uid="{00000000-0005-0000-0000-00000C560000}"/>
    <cellStyle name="Note 2 3 2 4 5 4" xfId="22856" xr:uid="{00000000-0005-0000-0000-00000D560000}"/>
    <cellStyle name="Note 2 3 2 4 5 5" xfId="22857" xr:uid="{00000000-0005-0000-0000-00000E560000}"/>
    <cellStyle name="Note 2 3 2 4 5 6" xfId="22858" xr:uid="{00000000-0005-0000-0000-00000F560000}"/>
    <cellStyle name="Note 2 3 2 4 5 7" xfId="22859" xr:uid="{00000000-0005-0000-0000-000010560000}"/>
    <cellStyle name="Note 2 3 2 4 5 8" xfId="22860" xr:uid="{00000000-0005-0000-0000-000011560000}"/>
    <cellStyle name="Note 2 3 2 4 5 9" xfId="22861" xr:uid="{00000000-0005-0000-0000-000012560000}"/>
    <cellStyle name="Note 2 3 2 4 6" xfId="22862" xr:uid="{00000000-0005-0000-0000-000013560000}"/>
    <cellStyle name="Note 2 3 2 4 7" xfId="22863" xr:uid="{00000000-0005-0000-0000-000014560000}"/>
    <cellStyle name="Note 2 3 2 4 8" xfId="22864" xr:uid="{00000000-0005-0000-0000-000015560000}"/>
    <cellStyle name="Note 2 3 2 4 9" xfId="22865" xr:uid="{00000000-0005-0000-0000-000016560000}"/>
    <cellStyle name="Note 2 3 2 5" xfId="22866" xr:uid="{00000000-0005-0000-0000-000017560000}"/>
    <cellStyle name="Note 2 3 2 5 10" xfId="22867" xr:uid="{00000000-0005-0000-0000-000018560000}"/>
    <cellStyle name="Note 2 3 2 5 11" xfId="22868" xr:uid="{00000000-0005-0000-0000-000019560000}"/>
    <cellStyle name="Note 2 3 2 5 12" xfId="22869" xr:uid="{00000000-0005-0000-0000-00001A560000}"/>
    <cellStyle name="Note 2 3 2 5 13" xfId="22870" xr:uid="{00000000-0005-0000-0000-00001B560000}"/>
    <cellStyle name="Note 2 3 2 5 14" xfId="22871" xr:uid="{00000000-0005-0000-0000-00001C560000}"/>
    <cellStyle name="Note 2 3 2 5 15" xfId="22872" xr:uid="{00000000-0005-0000-0000-00001D560000}"/>
    <cellStyle name="Note 2 3 2 5 2" xfId="22873" xr:uid="{00000000-0005-0000-0000-00001E560000}"/>
    <cellStyle name="Note 2 3 2 5 3" xfId="22874" xr:uid="{00000000-0005-0000-0000-00001F560000}"/>
    <cellStyle name="Note 2 3 2 5 4" xfId="22875" xr:uid="{00000000-0005-0000-0000-000020560000}"/>
    <cellStyle name="Note 2 3 2 5 5" xfId="22876" xr:uid="{00000000-0005-0000-0000-000021560000}"/>
    <cellStyle name="Note 2 3 2 5 6" xfId="22877" xr:uid="{00000000-0005-0000-0000-000022560000}"/>
    <cellStyle name="Note 2 3 2 5 7" xfId="22878" xr:uid="{00000000-0005-0000-0000-000023560000}"/>
    <cellStyle name="Note 2 3 2 5 8" xfId="22879" xr:uid="{00000000-0005-0000-0000-000024560000}"/>
    <cellStyle name="Note 2 3 2 5 9" xfId="22880" xr:uid="{00000000-0005-0000-0000-000025560000}"/>
    <cellStyle name="Note 2 3 2 6" xfId="22881" xr:uid="{00000000-0005-0000-0000-000026560000}"/>
    <cellStyle name="Note 2 3 2 6 10" xfId="22882" xr:uid="{00000000-0005-0000-0000-000027560000}"/>
    <cellStyle name="Note 2 3 2 6 11" xfId="22883" xr:uid="{00000000-0005-0000-0000-000028560000}"/>
    <cellStyle name="Note 2 3 2 6 12" xfId="22884" xr:uid="{00000000-0005-0000-0000-000029560000}"/>
    <cellStyle name="Note 2 3 2 6 13" xfId="22885" xr:uid="{00000000-0005-0000-0000-00002A560000}"/>
    <cellStyle name="Note 2 3 2 6 14" xfId="22886" xr:uid="{00000000-0005-0000-0000-00002B560000}"/>
    <cellStyle name="Note 2 3 2 6 15" xfId="22887" xr:uid="{00000000-0005-0000-0000-00002C560000}"/>
    <cellStyle name="Note 2 3 2 6 2" xfId="22888" xr:uid="{00000000-0005-0000-0000-00002D560000}"/>
    <cellStyle name="Note 2 3 2 6 3" xfId="22889" xr:uid="{00000000-0005-0000-0000-00002E560000}"/>
    <cellStyle name="Note 2 3 2 6 4" xfId="22890" xr:uid="{00000000-0005-0000-0000-00002F560000}"/>
    <cellStyle name="Note 2 3 2 6 5" xfId="22891" xr:uid="{00000000-0005-0000-0000-000030560000}"/>
    <cellStyle name="Note 2 3 2 6 6" xfId="22892" xr:uid="{00000000-0005-0000-0000-000031560000}"/>
    <cellStyle name="Note 2 3 2 6 7" xfId="22893" xr:uid="{00000000-0005-0000-0000-000032560000}"/>
    <cellStyle name="Note 2 3 2 6 8" xfId="22894" xr:uid="{00000000-0005-0000-0000-000033560000}"/>
    <cellStyle name="Note 2 3 2 6 9" xfId="22895" xr:uid="{00000000-0005-0000-0000-000034560000}"/>
    <cellStyle name="Note 2 3 2 7" xfId="22896" xr:uid="{00000000-0005-0000-0000-000035560000}"/>
    <cellStyle name="Note 2 3 2 7 10" xfId="22897" xr:uid="{00000000-0005-0000-0000-000036560000}"/>
    <cellStyle name="Note 2 3 2 7 11" xfId="22898" xr:uid="{00000000-0005-0000-0000-000037560000}"/>
    <cellStyle name="Note 2 3 2 7 12" xfId="22899" xr:uid="{00000000-0005-0000-0000-000038560000}"/>
    <cellStyle name="Note 2 3 2 7 13" xfId="22900" xr:uid="{00000000-0005-0000-0000-000039560000}"/>
    <cellStyle name="Note 2 3 2 7 14" xfId="22901" xr:uid="{00000000-0005-0000-0000-00003A560000}"/>
    <cellStyle name="Note 2 3 2 7 15" xfId="22902" xr:uid="{00000000-0005-0000-0000-00003B560000}"/>
    <cellStyle name="Note 2 3 2 7 2" xfId="22903" xr:uid="{00000000-0005-0000-0000-00003C560000}"/>
    <cellStyle name="Note 2 3 2 7 3" xfId="22904" xr:uid="{00000000-0005-0000-0000-00003D560000}"/>
    <cellStyle name="Note 2 3 2 7 4" xfId="22905" xr:uid="{00000000-0005-0000-0000-00003E560000}"/>
    <cellStyle name="Note 2 3 2 7 5" xfId="22906" xr:uid="{00000000-0005-0000-0000-00003F560000}"/>
    <cellStyle name="Note 2 3 2 7 6" xfId="22907" xr:uid="{00000000-0005-0000-0000-000040560000}"/>
    <cellStyle name="Note 2 3 2 7 7" xfId="22908" xr:uid="{00000000-0005-0000-0000-000041560000}"/>
    <cellStyle name="Note 2 3 2 7 8" xfId="22909" xr:uid="{00000000-0005-0000-0000-000042560000}"/>
    <cellStyle name="Note 2 3 2 7 9" xfId="22910" xr:uid="{00000000-0005-0000-0000-000043560000}"/>
    <cellStyle name="Note 2 3 2 8" xfId="22911" xr:uid="{00000000-0005-0000-0000-000044560000}"/>
    <cellStyle name="Note 2 3 2 8 10" xfId="22912" xr:uid="{00000000-0005-0000-0000-000045560000}"/>
    <cellStyle name="Note 2 3 2 8 11" xfId="22913" xr:uid="{00000000-0005-0000-0000-000046560000}"/>
    <cellStyle name="Note 2 3 2 8 12" xfId="22914" xr:uid="{00000000-0005-0000-0000-000047560000}"/>
    <cellStyle name="Note 2 3 2 8 13" xfId="22915" xr:uid="{00000000-0005-0000-0000-000048560000}"/>
    <cellStyle name="Note 2 3 2 8 14" xfId="22916" xr:uid="{00000000-0005-0000-0000-000049560000}"/>
    <cellStyle name="Note 2 3 2 8 15" xfId="22917" xr:uid="{00000000-0005-0000-0000-00004A560000}"/>
    <cellStyle name="Note 2 3 2 8 2" xfId="22918" xr:uid="{00000000-0005-0000-0000-00004B560000}"/>
    <cellStyle name="Note 2 3 2 8 3" xfId="22919" xr:uid="{00000000-0005-0000-0000-00004C560000}"/>
    <cellStyle name="Note 2 3 2 8 4" xfId="22920" xr:uid="{00000000-0005-0000-0000-00004D560000}"/>
    <cellStyle name="Note 2 3 2 8 5" xfId="22921" xr:uid="{00000000-0005-0000-0000-00004E560000}"/>
    <cellStyle name="Note 2 3 2 8 6" xfId="22922" xr:uid="{00000000-0005-0000-0000-00004F560000}"/>
    <cellStyle name="Note 2 3 2 8 7" xfId="22923" xr:uid="{00000000-0005-0000-0000-000050560000}"/>
    <cellStyle name="Note 2 3 2 8 8" xfId="22924" xr:uid="{00000000-0005-0000-0000-000051560000}"/>
    <cellStyle name="Note 2 3 2 8 9" xfId="22925" xr:uid="{00000000-0005-0000-0000-000052560000}"/>
    <cellStyle name="Note 2 3 2 9" xfId="22926" xr:uid="{00000000-0005-0000-0000-000053560000}"/>
    <cellStyle name="Note 2 3 20" xfId="22927" xr:uid="{00000000-0005-0000-0000-000054560000}"/>
    <cellStyle name="Note 2 3 21" xfId="22928" xr:uid="{00000000-0005-0000-0000-000055560000}"/>
    <cellStyle name="Note 2 3 22" xfId="22929" xr:uid="{00000000-0005-0000-0000-000056560000}"/>
    <cellStyle name="Note 2 3 23" xfId="22930" xr:uid="{00000000-0005-0000-0000-000057560000}"/>
    <cellStyle name="Note 2 3 24" xfId="22931" xr:uid="{00000000-0005-0000-0000-000058560000}"/>
    <cellStyle name="Note 2 3 3" xfId="22932" xr:uid="{00000000-0005-0000-0000-000059560000}"/>
    <cellStyle name="Note 2 3 3 10" xfId="22933" xr:uid="{00000000-0005-0000-0000-00005A560000}"/>
    <cellStyle name="Note 2 3 3 11" xfId="22934" xr:uid="{00000000-0005-0000-0000-00005B560000}"/>
    <cellStyle name="Note 2 3 3 12" xfId="22935" xr:uid="{00000000-0005-0000-0000-00005C560000}"/>
    <cellStyle name="Note 2 3 3 13" xfId="22936" xr:uid="{00000000-0005-0000-0000-00005D560000}"/>
    <cellStyle name="Note 2 3 3 14" xfId="22937" xr:uid="{00000000-0005-0000-0000-00005E560000}"/>
    <cellStyle name="Note 2 3 3 15" xfId="22938" xr:uid="{00000000-0005-0000-0000-00005F560000}"/>
    <cellStyle name="Note 2 3 3 16" xfId="22939" xr:uid="{00000000-0005-0000-0000-000060560000}"/>
    <cellStyle name="Note 2 3 3 17" xfId="22940" xr:uid="{00000000-0005-0000-0000-000061560000}"/>
    <cellStyle name="Note 2 3 3 18" xfId="22941" xr:uid="{00000000-0005-0000-0000-000062560000}"/>
    <cellStyle name="Note 2 3 3 19" xfId="22942" xr:uid="{00000000-0005-0000-0000-000063560000}"/>
    <cellStyle name="Note 2 3 3 2" xfId="22943" xr:uid="{00000000-0005-0000-0000-000064560000}"/>
    <cellStyle name="Note 2 3 3 2 10" xfId="22944" xr:uid="{00000000-0005-0000-0000-000065560000}"/>
    <cellStyle name="Note 2 3 3 2 11" xfId="22945" xr:uid="{00000000-0005-0000-0000-000066560000}"/>
    <cellStyle name="Note 2 3 3 2 12" xfId="22946" xr:uid="{00000000-0005-0000-0000-000067560000}"/>
    <cellStyle name="Note 2 3 3 2 13" xfId="22947" xr:uid="{00000000-0005-0000-0000-000068560000}"/>
    <cellStyle name="Note 2 3 3 2 14" xfId="22948" xr:uid="{00000000-0005-0000-0000-000069560000}"/>
    <cellStyle name="Note 2 3 3 2 15" xfId="22949" xr:uid="{00000000-0005-0000-0000-00006A560000}"/>
    <cellStyle name="Note 2 3 3 2 2" xfId="22950" xr:uid="{00000000-0005-0000-0000-00006B560000}"/>
    <cellStyle name="Note 2 3 3 2 3" xfId="22951" xr:uid="{00000000-0005-0000-0000-00006C560000}"/>
    <cellStyle name="Note 2 3 3 2 4" xfId="22952" xr:uid="{00000000-0005-0000-0000-00006D560000}"/>
    <cellStyle name="Note 2 3 3 2 5" xfId="22953" xr:uid="{00000000-0005-0000-0000-00006E560000}"/>
    <cellStyle name="Note 2 3 3 2 6" xfId="22954" xr:uid="{00000000-0005-0000-0000-00006F560000}"/>
    <cellStyle name="Note 2 3 3 2 7" xfId="22955" xr:uid="{00000000-0005-0000-0000-000070560000}"/>
    <cellStyle name="Note 2 3 3 2 8" xfId="22956" xr:uid="{00000000-0005-0000-0000-000071560000}"/>
    <cellStyle name="Note 2 3 3 2 9" xfId="22957" xr:uid="{00000000-0005-0000-0000-000072560000}"/>
    <cellStyle name="Note 2 3 3 20" xfId="22958" xr:uid="{00000000-0005-0000-0000-000073560000}"/>
    <cellStyle name="Note 2 3 3 3" xfId="22959" xr:uid="{00000000-0005-0000-0000-000074560000}"/>
    <cellStyle name="Note 2 3 3 3 10" xfId="22960" xr:uid="{00000000-0005-0000-0000-000075560000}"/>
    <cellStyle name="Note 2 3 3 3 11" xfId="22961" xr:uid="{00000000-0005-0000-0000-000076560000}"/>
    <cellStyle name="Note 2 3 3 3 12" xfId="22962" xr:uid="{00000000-0005-0000-0000-000077560000}"/>
    <cellStyle name="Note 2 3 3 3 13" xfId="22963" xr:uid="{00000000-0005-0000-0000-000078560000}"/>
    <cellStyle name="Note 2 3 3 3 14" xfId="22964" xr:uid="{00000000-0005-0000-0000-000079560000}"/>
    <cellStyle name="Note 2 3 3 3 15" xfId="22965" xr:uid="{00000000-0005-0000-0000-00007A560000}"/>
    <cellStyle name="Note 2 3 3 3 2" xfId="22966" xr:uid="{00000000-0005-0000-0000-00007B560000}"/>
    <cellStyle name="Note 2 3 3 3 3" xfId="22967" xr:uid="{00000000-0005-0000-0000-00007C560000}"/>
    <cellStyle name="Note 2 3 3 3 4" xfId="22968" xr:uid="{00000000-0005-0000-0000-00007D560000}"/>
    <cellStyle name="Note 2 3 3 3 5" xfId="22969" xr:uid="{00000000-0005-0000-0000-00007E560000}"/>
    <cellStyle name="Note 2 3 3 3 6" xfId="22970" xr:uid="{00000000-0005-0000-0000-00007F560000}"/>
    <cellStyle name="Note 2 3 3 3 7" xfId="22971" xr:uid="{00000000-0005-0000-0000-000080560000}"/>
    <cellStyle name="Note 2 3 3 3 8" xfId="22972" xr:uid="{00000000-0005-0000-0000-000081560000}"/>
    <cellStyle name="Note 2 3 3 3 9" xfId="22973" xr:uid="{00000000-0005-0000-0000-000082560000}"/>
    <cellStyle name="Note 2 3 3 4" xfId="22974" xr:uid="{00000000-0005-0000-0000-000083560000}"/>
    <cellStyle name="Note 2 3 3 4 10" xfId="22975" xr:uid="{00000000-0005-0000-0000-000084560000}"/>
    <cellStyle name="Note 2 3 3 4 11" xfId="22976" xr:uid="{00000000-0005-0000-0000-000085560000}"/>
    <cellStyle name="Note 2 3 3 4 12" xfId="22977" xr:uid="{00000000-0005-0000-0000-000086560000}"/>
    <cellStyle name="Note 2 3 3 4 13" xfId="22978" xr:uid="{00000000-0005-0000-0000-000087560000}"/>
    <cellStyle name="Note 2 3 3 4 14" xfId="22979" xr:uid="{00000000-0005-0000-0000-000088560000}"/>
    <cellStyle name="Note 2 3 3 4 15" xfId="22980" xr:uid="{00000000-0005-0000-0000-000089560000}"/>
    <cellStyle name="Note 2 3 3 4 2" xfId="22981" xr:uid="{00000000-0005-0000-0000-00008A560000}"/>
    <cellStyle name="Note 2 3 3 4 3" xfId="22982" xr:uid="{00000000-0005-0000-0000-00008B560000}"/>
    <cellStyle name="Note 2 3 3 4 4" xfId="22983" xr:uid="{00000000-0005-0000-0000-00008C560000}"/>
    <cellStyle name="Note 2 3 3 4 5" xfId="22984" xr:uid="{00000000-0005-0000-0000-00008D560000}"/>
    <cellStyle name="Note 2 3 3 4 6" xfId="22985" xr:uid="{00000000-0005-0000-0000-00008E560000}"/>
    <cellStyle name="Note 2 3 3 4 7" xfId="22986" xr:uid="{00000000-0005-0000-0000-00008F560000}"/>
    <cellStyle name="Note 2 3 3 4 8" xfId="22987" xr:uid="{00000000-0005-0000-0000-000090560000}"/>
    <cellStyle name="Note 2 3 3 4 9" xfId="22988" xr:uid="{00000000-0005-0000-0000-000091560000}"/>
    <cellStyle name="Note 2 3 3 5" xfId="22989" xr:uid="{00000000-0005-0000-0000-000092560000}"/>
    <cellStyle name="Note 2 3 3 5 10" xfId="22990" xr:uid="{00000000-0005-0000-0000-000093560000}"/>
    <cellStyle name="Note 2 3 3 5 11" xfId="22991" xr:uid="{00000000-0005-0000-0000-000094560000}"/>
    <cellStyle name="Note 2 3 3 5 12" xfId="22992" xr:uid="{00000000-0005-0000-0000-000095560000}"/>
    <cellStyle name="Note 2 3 3 5 13" xfId="22993" xr:uid="{00000000-0005-0000-0000-000096560000}"/>
    <cellStyle name="Note 2 3 3 5 14" xfId="22994" xr:uid="{00000000-0005-0000-0000-000097560000}"/>
    <cellStyle name="Note 2 3 3 5 15" xfId="22995" xr:uid="{00000000-0005-0000-0000-000098560000}"/>
    <cellStyle name="Note 2 3 3 5 2" xfId="22996" xr:uid="{00000000-0005-0000-0000-000099560000}"/>
    <cellStyle name="Note 2 3 3 5 3" xfId="22997" xr:uid="{00000000-0005-0000-0000-00009A560000}"/>
    <cellStyle name="Note 2 3 3 5 4" xfId="22998" xr:uid="{00000000-0005-0000-0000-00009B560000}"/>
    <cellStyle name="Note 2 3 3 5 5" xfId="22999" xr:uid="{00000000-0005-0000-0000-00009C560000}"/>
    <cellStyle name="Note 2 3 3 5 6" xfId="23000" xr:uid="{00000000-0005-0000-0000-00009D560000}"/>
    <cellStyle name="Note 2 3 3 5 7" xfId="23001" xr:uid="{00000000-0005-0000-0000-00009E560000}"/>
    <cellStyle name="Note 2 3 3 5 8" xfId="23002" xr:uid="{00000000-0005-0000-0000-00009F560000}"/>
    <cellStyle name="Note 2 3 3 5 9" xfId="23003" xr:uid="{00000000-0005-0000-0000-0000A0560000}"/>
    <cellStyle name="Note 2 3 3 6" xfId="23004" xr:uid="{00000000-0005-0000-0000-0000A1560000}"/>
    <cellStyle name="Note 2 3 3 7" xfId="23005" xr:uid="{00000000-0005-0000-0000-0000A2560000}"/>
    <cellStyle name="Note 2 3 3 8" xfId="23006" xr:uid="{00000000-0005-0000-0000-0000A3560000}"/>
    <cellStyle name="Note 2 3 3 9" xfId="23007" xr:uid="{00000000-0005-0000-0000-0000A4560000}"/>
    <cellStyle name="Note 2 3 4" xfId="23008" xr:uid="{00000000-0005-0000-0000-0000A5560000}"/>
    <cellStyle name="Note 2 3 4 10" xfId="23009" xr:uid="{00000000-0005-0000-0000-0000A6560000}"/>
    <cellStyle name="Note 2 3 4 11" xfId="23010" xr:uid="{00000000-0005-0000-0000-0000A7560000}"/>
    <cellStyle name="Note 2 3 4 12" xfId="23011" xr:uid="{00000000-0005-0000-0000-0000A8560000}"/>
    <cellStyle name="Note 2 3 4 13" xfId="23012" xr:uid="{00000000-0005-0000-0000-0000A9560000}"/>
    <cellStyle name="Note 2 3 4 14" xfId="23013" xr:uid="{00000000-0005-0000-0000-0000AA560000}"/>
    <cellStyle name="Note 2 3 4 15" xfId="23014" xr:uid="{00000000-0005-0000-0000-0000AB560000}"/>
    <cellStyle name="Note 2 3 4 16" xfId="23015" xr:uid="{00000000-0005-0000-0000-0000AC560000}"/>
    <cellStyle name="Note 2 3 4 17" xfId="23016" xr:uid="{00000000-0005-0000-0000-0000AD560000}"/>
    <cellStyle name="Note 2 3 4 18" xfId="23017" xr:uid="{00000000-0005-0000-0000-0000AE560000}"/>
    <cellStyle name="Note 2 3 4 19" xfId="23018" xr:uid="{00000000-0005-0000-0000-0000AF560000}"/>
    <cellStyle name="Note 2 3 4 2" xfId="23019" xr:uid="{00000000-0005-0000-0000-0000B0560000}"/>
    <cellStyle name="Note 2 3 4 2 10" xfId="23020" xr:uid="{00000000-0005-0000-0000-0000B1560000}"/>
    <cellStyle name="Note 2 3 4 2 11" xfId="23021" xr:uid="{00000000-0005-0000-0000-0000B2560000}"/>
    <cellStyle name="Note 2 3 4 2 12" xfId="23022" xr:uid="{00000000-0005-0000-0000-0000B3560000}"/>
    <cellStyle name="Note 2 3 4 2 13" xfId="23023" xr:uid="{00000000-0005-0000-0000-0000B4560000}"/>
    <cellStyle name="Note 2 3 4 2 14" xfId="23024" xr:uid="{00000000-0005-0000-0000-0000B5560000}"/>
    <cellStyle name="Note 2 3 4 2 15" xfId="23025" xr:uid="{00000000-0005-0000-0000-0000B6560000}"/>
    <cellStyle name="Note 2 3 4 2 2" xfId="23026" xr:uid="{00000000-0005-0000-0000-0000B7560000}"/>
    <cellStyle name="Note 2 3 4 2 3" xfId="23027" xr:uid="{00000000-0005-0000-0000-0000B8560000}"/>
    <cellStyle name="Note 2 3 4 2 4" xfId="23028" xr:uid="{00000000-0005-0000-0000-0000B9560000}"/>
    <cellStyle name="Note 2 3 4 2 5" xfId="23029" xr:uid="{00000000-0005-0000-0000-0000BA560000}"/>
    <cellStyle name="Note 2 3 4 2 6" xfId="23030" xr:uid="{00000000-0005-0000-0000-0000BB560000}"/>
    <cellStyle name="Note 2 3 4 2 7" xfId="23031" xr:uid="{00000000-0005-0000-0000-0000BC560000}"/>
    <cellStyle name="Note 2 3 4 2 8" xfId="23032" xr:uid="{00000000-0005-0000-0000-0000BD560000}"/>
    <cellStyle name="Note 2 3 4 2 9" xfId="23033" xr:uid="{00000000-0005-0000-0000-0000BE560000}"/>
    <cellStyle name="Note 2 3 4 20" xfId="23034" xr:uid="{00000000-0005-0000-0000-0000BF560000}"/>
    <cellStyle name="Note 2 3 4 3" xfId="23035" xr:uid="{00000000-0005-0000-0000-0000C0560000}"/>
    <cellStyle name="Note 2 3 4 3 10" xfId="23036" xr:uid="{00000000-0005-0000-0000-0000C1560000}"/>
    <cellStyle name="Note 2 3 4 3 11" xfId="23037" xr:uid="{00000000-0005-0000-0000-0000C2560000}"/>
    <cellStyle name="Note 2 3 4 3 12" xfId="23038" xr:uid="{00000000-0005-0000-0000-0000C3560000}"/>
    <cellStyle name="Note 2 3 4 3 13" xfId="23039" xr:uid="{00000000-0005-0000-0000-0000C4560000}"/>
    <cellStyle name="Note 2 3 4 3 14" xfId="23040" xr:uid="{00000000-0005-0000-0000-0000C5560000}"/>
    <cellStyle name="Note 2 3 4 3 15" xfId="23041" xr:uid="{00000000-0005-0000-0000-0000C6560000}"/>
    <cellStyle name="Note 2 3 4 3 2" xfId="23042" xr:uid="{00000000-0005-0000-0000-0000C7560000}"/>
    <cellStyle name="Note 2 3 4 3 3" xfId="23043" xr:uid="{00000000-0005-0000-0000-0000C8560000}"/>
    <cellStyle name="Note 2 3 4 3 4" xfId="23044" xr:uid="{00000000-0005-0000-0000-0000C9560000}"/>
    <cellStyle name="Note 2 3 4 3 5" xfId="23045" xr:uid="{00000000-0005-0000-0000-0000CA560000}"/>
    <cellStyle name="Note 2 3 4 3 6" xfId="23046" xr:uid="{00000000-0005-0000-0000-0000CB560000}"/>
    <cellStyle name="Note 2 3 4 3 7" xfId="23047" xr:uid="{00000000-0005-0000-0000-0000CC560000}"/>
    <cellStyle name="Note 2 3 4 3 8" xfId="23048" xr:uid="{00000000-0005-0000-0000-0000CD560000}"/>
    <cellStyle name="Note 2 3 4 3 9" xfId="23049" xr:uid="{00000000-0005-0000-0000-0000CE560000}"/>
    <cellStyle name="Note 2 3 4 4" xfId="23050" xr:uid="{00000000-0005-0000-0000-0000CF560000}"/>
    <cellStyle name="Note 2 3 4 4 10" xfId="23051" xr:uid="{00000000-0005-0000-0000-0000D0560000}"/>
    <cellStyle name="Note 2 3 4 4 11" xfId="23052" xr:uid="{00000000-0005-0000-0000-0000D1560000}"/>
    <cellStyle name="Note 2 3 4 4 12" xfId="23053" xr:uid="{00000000-0005-0000-0000-0000D2560000}"/>
    <cellStyle name="Note 2 3 4 4 13" xfId="23054" xr:uid="{00000000-0005-0000-0000-0000D3560000}"/>
    <cellStyle name="Note 2 3 4 4 14" xfId="23055" xr:uid="{00000000-0005-0000-0000-0000D4560000}"/>
    <cellStyle name="Note 2 3 4 4 15" xfId="23056" xr:uid="{00000000-0005-0000-0000-0000D5560000}"/>
    <cellStyle name="Note 2 3 4 4 2" xfId="23057" xr:uid="{00000000-0005-0000-0000-0000D6560000}"/>
    <cellStyle name="Note 2 3 4 4 3" xfId="23058" xr:uid="{00000000-0005-0000-0000-0000D7560000}"/>
    <cellStyle name="Note 2 3 4 4 4" xfId="23059" xr:uid="{00000000-0005-0000-0000-0000D8560000}"/>
    <cellStyle name="Note 2 3 4 4 5" xfId="23060" xr:uid="{00000000-0005-0000-0000-0000D9560000}"/>
    <cellStyle name="Note 2 3 4 4 6" xfId="23061" xr:uid="{00000000-0005-0000-0000-0000DA560000}"/>
    <cellStyle name="Note 2 3 4 4 7" xfId="23062" xr:uid="{00000000-0005-0000-0000-0000DB560000}"/>
    <cellStyle name="Note 2 3 4 4 8" xfId="23063" xr:uid="{00000000-0005-0000-0000-0000DC560000}"/>
    <cellStyle name="Note 2 3 4 4 9" xfId="23064" xr:uid="{00000000-0005-0000-0000-0000DD560000}"/>
    <cellStyle name="Note 2 3 4 5" xfId="23065" xr:uid="{00000000-0005-0000-0000-0000DE560000}"/>
    <cellStyle name="Note 2 3 4 5 10" xfId="23066" xr:uid="{00000000-0005-0000-0000-0000DF560000}"/>
    <cellStyle name="Note 2 3 4 5 11" xfId="23067" xr:uid="{00000000-0005-0000-0000-0000E0560000}"/>
    <cellStyle name="Note 2 3 4 5 12" xfId="23068" xr:uid="{00000000-0005-0000-0000-0000E1560000}"/>
    <cellStyle name="Note 2 3 4 5 13" xfId="23069" xr:uid="{00000000-0005-0000-0000-0000E2560000}"/>
    <cellStyle name="Note 2 3 4 5 14" xfId="23070" xr:uid="{00000000-0005-0000-0000-0000E3560000}"/>
    <cellStyle name="Note 2 3 4 5 15" xfId="23071" xr:uid="{00000000-0005-0000-0000-0000E4560000}"/>
    <cellStyle name="Note 2 3 4 5 2" xfId="23072" xr:uid="{00000000-0005-0000-0000-0000E5560000}"/>
    <cellStyle name="Note 2 3 4 5 3" xfId="23073" xr:uid="{00000000-0005-0000-0000-0000E6560000}"/>
    <cellStyle name="Note 2 3 4 5 4" xfId="23074" xr:uid="{00000000-0005-0000-0000-0000E7560000}"/>
    <cellStyle name="Note 2 3 4 5 5" xfId="23075" xr:uid="{00000000-0005-0000-0000-0000E8560000}"/>
    <cellStyle name="Note 2 3 4 5 6" xfId="23076" xr:uid="{00000000-0005-0000-0000-0000E9560000}"/>
    <cellStyle name="Note 2 3 4 5 7" xfId="23077" xr:uid="{00000000-0005-0000-0000-0000EA560000}"/>
    <cellStyle name="Note 2 3 4 5 8" xfId="23078" xr:uid="{00000000-0005-0000-0000-0000EB560000}"/>
    <cellStyle name="Note 2 3 4 5 9" xfId="23079" xr:uid="{00000000-0005-0000-0000-0000EC560000}"/>
    <cellStyle name="Note 2 3 4 6" xfId="23080" xr:uid="{00000000-0005-0000-0000-0000ED560000}"/>
    <cellStyle name="Note 2 3 4 7" xfId="23081" xr:uid="{00000000-0005-0000-0000-0000EE560000}"/>
    <cellStyle name="Note 2 3 4 8" xfId="23082" xr:uid="{00000000-0005-0000-0000-0000EF560000}"/>
    <cellStyle name="Note 2 3 4 9" xfId="23083" xr:uid="{00000000-0005-0000-0000-0000F0560000}"/>
    <cellStyle name="Note 2 3 5" xfId="23084" xr:uid="{00000000-0005-0000-0000-0000F1560000}"/>
    <cellStyle name="Note 2 3 5 10" xfId="23085" xr:uid="{00000000-0005-0000-0000-0000F2560000}"/>
    <cellStyle name="Note 2 3 5 11" xfId="23086" xr:uid="{00000000-0005-0000-0000-0000F3560000}"/>
    <cellStyle name="Note 2 3 5 12" xfId="23087" xr:uid="{00000000-0005-0000-0000-0000F4560000}"/>
    <cellStyle name="Note 2 3 5 13" xfId="23088" xr:uid="{00000000-0005-0000-0000-0000F5560000}"/>
    <cellStyle name="Note 2 3 5 14" xfId="23089" xr:uid="{00000000-0005-0000-0000-0000F6560000}"/>
    <cellStyle name="Note 2 3 5 15" xfId="23090" xr:uid="{00000000-0005-0000-0000-0000F7560000}"/>
    <cellStyle name="Note 2 3 5 16" xfId="23091" xr:uid="{00000000-0005-0000-0000-0000F8560000}"/>
    <cellStyle name="Note 2 3 5 17" xfId="23092" xr:uid="{00000000-0005-0000-0000-0000F9560000}"/>
    <cellStyle name="Note 2 3 5 18" xfId="23093" xr:uid="{00000000-0005-0000-0000-0000FA560000}"/>
    <cellStyle name="Note 2 3 5 19" xfId="23094" xr:uid="{00000000-0005-0000-0000-0000FB560000}"/>
    <cellStyle name="Note 2 3 5 2" xfId="23095" xr:uid="{00000000-0005-0000-0000-0000FC560000}"/>
    <cellStyle name="Note 2 3 5 2 10" xfId="23096" xr:uid="{00000000-0005-0000-0000-0000FD560000}"/>
    <cellStyle name="Note 2 3 5 2 11" xfId="23097" xr:uid="{00000000-0005-0000-0000-0000FE560000}"/>
    <cellStyle name="Note 2 3 5 2 12" xfId="23098" xr:uid="{00000000-0005-0000-0000-0000FF560000}"/>
    <cellStyle name="Note 2 3 5 2 13" xfId="23099" xr:uid="{00000000-0005-0000-0000-000000570000}"/>
    <cellStyle name="Note 2 3 5 2 14" xfId="23100" xr:uid="{00000000-0005-0000-0000-000001570000}"/>
    <cellStyle name="Note 2 3 5 2 15" xfId="23101" xr:uid="{00000000-0005-0000-0000-000002570000}"/>
    <cellStyle name="Note 2 3 5 2 2" xfId="23102" xr:uid="{00000000-0005-0000-0000-000003570000}"/>
    <cellStyle name="Note 2 3 5 2 3" xfId="23103" xr:uid="{00000000-0005-0000-0000-000004570000}"/>
    <cellStyle name="Note 2 3 5 2 4" xfId="23104" xr:uid="{00000000-0005-0000-0000-000005570000}"/>
    <cellStyle name="Note 2 3 5 2 5" xfId="23105" xr:uid="{00000000-0005-0000-0000-000006570000}"/>
    <cellStyle name="Note 2 3 5 2 6" xfId="23106" xr:uid="{00000000-0005-0000-0000-000007570000}"/>
    <cellStyle name="Note 2 3 5 2 7" xfId="23107" xr:uid="{00000000-0005-0000-0000-000008570000}"/>
    <cellStyle name="Note 2 3 5 2 8" xfId="23108" xr:uid="{00000000-0005-0000-0000-000009570000}"/>
    <cellStyle name="Note 2 3 5 2 9" xfId="23109" xr:uid="{00000000-0005-0000-0000-00000A570000}"/>
    <cellStyle name="Note 2 3 5 20" xfId="23110" xr:uid="{00000000-0005-0000-0000-00000B570000}"/>
    <cellStyle name="Note 2 3 5 3" xfId="23111" xr:uid="{00000000-0005-0000-0000-00000C570000}"/>
    <cellStyle name="Note 2 3 5 3 10" xfId="23112" xr:uid="{00000000-0005-0000-0000-00000D570000}"/>
    <cellStyle name="Note 2 3 5 3 11" xfId="23113" xr:uid="{00000000-0005-0000-0000-00000E570000}"/>
    <cellStyle name="Note 2 3 5 3 12" xfId="23114" xr:uid="{00000000-0005-0000-0000-00000F570000}"/>
    <cellStyle name="Note 2 3 5 3 13" xfId="23115" xr:uid="{00000000-0005-0000-0000-000010570000}"/>
    <cellStyle name="Note 2 3 5 3 14" xfId="23116" xr:uid="{00000000-0005-0000-0000-000011570000}"/>
    <cellStyle name="Note 2 3 5 3 15" xfId="23117" xr:uid="{00000000-0005-0000-0000-000012570000}"/>
    <cellStyle name="Note 2 3 5 3 2" xfId="23118" xr:uid="{00000000-0005-0000-0000-000013570000}"/>
    <cellStyle name="Note 2 3 5 3 3" xfId="23119" xr:uid="{00000000-0005-0000-0000-000014570000}"/>
    <cellStyle name="Note 2 3 5 3 4" xfId="23120" xr:uid="{00000000-0005-0000-0000-000015570000}"/>
    <cellStyle name="Note 2 3 5 3 5" xfId="23121" xr:uid="{00000000-0005-0000-0000-000016570000}"/>
    <cellStyle name="Note 2 3 5 3 6" xfId="23122" xr:uid="{00000000-0005-0000-0000-000017570000}"/>
    <cellStyle name="Note 2 3 5 3 7" xfId="23123" xr:uid="{00000000-0005-0000-0000-000018570000}"/>
    <cellStyle name="Note 2 3 5 3 8" xfId="23124" xr:uid="{00000000-0005-0000-0000-000019570000}"/>
    <cellStyle name="Note 2 3 5 3 9" xfId="23125" xr:uid="{00000000-0005-0000-0000-00001A570000}"/>
    <cellStyle name="Note 2 3 5 4" xfId="23126" xr:uid="{00000000-0005-0000-0000-00001B570000}"/>
    <cellStyle name="Note 2 3 5 4 10" xfId="23127" xr:uid="{00000000-0005-0000-0000-00001C570000}"/>
    <cellStyle name="Note 2 3 5 4 11" xfId="23128" xr:uid="{00000000-0005-0000-0000-00001D570000}"/>
    <cellStyle name="Note 2 3 5 4 12" xfId="23129" xr:uid="{00000000-0005-0000-0000-00001E570000}"/>
    <cellStyle name="Note 2 3 5 4 13" xfId="23130" xr:uid="{00000000-0005-0000-0000-00001F570000}"/>
    <cellStyle name="Note 2 3 5 4 14" xfId="23131" xr:uid="{00000000-0005-0000-0000-000020570000}"/>
    <cellStyle name="Note 2 3 5 4 15" xfId="23132" xr:uid="{00000000-0005-0000-0000-000021570000}"/>
    <cellStyle name="Note 2 3 5 4 2" xfId="23133" xr:uid="{00000000-0005-0000-0000-000022570000}"/>
    <cellStyle name="Note 2 3 5 4 3" xfId="23134" xr:uid="{00000000-0005-0000-0000-000023570000}"/>
    <cellStyle name="Note 2 3 5 4 4" xfId="23135" xr:uid="{00000000-0005-0000-0000-000024570000}"/>
    <cellStyle name="Note 2 3 5 4 5" xfId="23136" xr:uid="{00000000-0005-0000-0000-000025570000}"/>
    <cellStyle name="Note 2 3 5 4 6" xfId="23137" xr:uid="{00000000-0005-0000-0000-000026570000}"/>
    <cellStyle name="Note 2 3 5 4 7" xfId="23138" xr:uid="{00000000-0005-0000-0000-000027570000}"/>
    <cellStyle name="Note 2 3 5 4 8" xfId="23139" xr:uid="{00000000-0005-0000-0000-000028570000}"/>
    <cellStyle name="Note 2 3 5 4 9" xfId="23140" xr:uid="{00000000-0005-0000-0000-000029570000}"/>
    <cellStyle name="Note 2 3 5 5" xfId="23141" xr:uid="{00000000-0005-0000-0000-00002A570000}"/>
    <cellStyle name="Note 2 3 5 5 10" xfId="23142" xr:uid="{00000000-0005-0000-0000-00002B570000}"/>
    <cellStyle name="Note 2 3 5 5 11" xfId="23143" xr:uid="{00000000-0005-0000-0000-00002C570000}"/>
    <cellStyle name="Note 2 3 5 5 12" xfId="23144" xr:uid="{00000000-0005-0000-0000-00002D570000}"/>
    <cellStyle name="Note 2 3 5 5 13" xfId="23145" xr:uid="{00000000-0005-0000-0000-00002E570000}"/>
    <cellStyle name="Note 2 3 5 5 14" xfId="23146" xr:uid="{00000000-0005-0000-0000-00002F570000}"/>
    <cellStyle name="Note 2 3 5 5 15" xfId="23147" xr:uid="{00000000-0005-0000-0000-000030570000}"/>
    <cellStyle name="Note 2 3 5 5 2" xfId="23148" xr:uid="{00000000-0005-0000-0000-000031570000}"/>
    <cellStyle name="Note 2 3 5 5 3" xfId="23149" xr:uid="{00000000-0005-0000-0000-000032570000}"/>
    <cellStyle name="Note 2 3 5 5 4" xfId="23150" xr:uid="{00000000-0005-0000-0000-000033570000}"/>
    <cellStyle name="Note 2 3 5 5 5" xfId="23151" xr:uid="{00000000-0005-0000-0000-000034570000}"/>
    <cellStyle name="Note 2 3 5 5 6" xfId="23152" xr:uid="{00000000-0005-0000-0000-000035570000}"/>
    <cellStyle name="Note 2 3 5 5 7" xfId="23153" xr:uid="{00000000-0005-0000-0000-000036570000}"/>
    <cellStyle name="Note 2 3 5 5 8" xfId="23154" xr:uid="{00000000-0005-0000-0000-000037570000}"/>
    <cellStyle name="Note 2 3 5 5 9" xfId="23155" xr:uid="{00000000-0005-0000-0000-000038570000}"/>
    <cellStyle name="Note 2 3 5 6" xfId="23156" xr:uid="{00000000-0005-0000-0000-000039570000}"/>
    <cellStyle name="Note 2 3 5 7" xfId="23157" xr:uid="{00000000-0005-0000-0000-00003A570000}"/>
    <cellStyle name="Note 2 3 5 8" xfId="23158" xr:uid="{00000000-0005-0000-0000-00003B570000}"/>
    <cellStyle name="Note 2 3 5 9" xfId="23159" xr:uid="{00000000-0005-0000-0000-00003C570000}"/>
    <cellStyle name="Note 2 3 6" xfId="23160" xr:uid="{00000000-0005-0000-0000-00003D570000}"/>
    <cellStyle name="Note 2 3 6 10" xfId="23161" xr:uid="{00000000-0005-0000-0000-00003E570000}"/>
    <cellStyle name="Note 2 3 6 11" xfId="23162" xr:uid="{00000000-0005-0000-0000-00003F570000}"/>
    <cellStyle name="Note 2 3 6 12" xfId="23163" xr:uid="{00000000-0005-0000-0000-000040570000}"/>
    <cellStyle name="Note 2 3 6 13" xfId="23164" xr:uid="{00000000-0005-0000-0000-000041570000}"/>
    <cellStyle name="Note 2 3 6 14" xfId="23165" xr:uid="{00000000-0005-0000-0000-000042570000}"/>
    <cellStyle name="Note 2 3 6 15" xfId="23166" xr:uid="{00000000-0005-0000-0000-000043570000}"/>
    <cellStyle name="Note 2 3 6 2" xfId="23167" xr:uid="{00000000-0005-0000-0000-000044570000}"/>
    <cellStyle name="Note 2 3 6 3" xfId="23168" xr:uid="{00000000-0005-0000-0000-000045570000}"/>
    <cellStyle name="Note 2 3 6 4" xfId="23169" xr:uid="{00000000-0005-0000-0000-000046570000}"/>
    <cellStyle name="Note 2 3 6 5" xfId="23170" xr:uid="{00000000-0005-0000-0000-000047570000}"/>
    <cellStyle name="Note 2 3 6 6" xfId="23171" xr:uid="{00000000-0005-0000-0000-000048570000}"/>
    <cellStyle name="Note 2 3 6 7" xfId="23172" xr:uid="{00000000-0005-0000-0000-000049570000}"/>
    <cellStyle name="Note 2 3 6 8" xfId="23173" xr:uid="{00000000-0005-0000-0000-00004A570000}"/>
    <cellStyle name="Note 2 3 6 9" xfId="23174" xr:uid="{00000000-0005-0000-0000-00004B570000}"/>
    <cellStyle name="Note 2 3 7" xfId="23175" xr:uid="{00000000-0005-0000-0000-00004C570000}"/>
    <cellStyle name="Note 2 3 7 10" xfId="23176" xr:uid="{00000000-0005-0000-0000-00004D570000}"/>
    <cellStyle name="Note 2 3 7 11" xfId="23177" xr:uid="{00000000-0005-0000-0000-00004E570000}"/>
    <cellStyle name="Note 2 3 7 12" xfId="23178" xr:uid="{00000000-0005-0000-0000-00004F570000}"/>
    <cellStyle name="Note 2 3 7 13" xfId="23179" xr:uid="{00000000-0005-0000-0000-000050570000}"/>
    <cellStyle name="Note 2 3 7 14" xfId="23180" xr:uid="{00000000-0005-0000-0000-000051570000}"/>
    <cellStyle name="Note 2 3 7 15" xfId="23181" xr:uid="{00000000-0005-0000-0000-000052570000}"/>
    <cellStyle name="Note 2 3 7 2" xfId="23182" xr:uid="{00000000-0005-0000-0000-000053570000}"/>
    <cellStyle name="Note 2 3 7 3" xfId="23183" xr:uid="{00000000-0005-0000-0000-000054570000}"/>
    <cellStyle name="Note 2 3 7 4" xfId="23184" xr:uid="{00000000-0005-0000-0000-000055570000}"/>
    <cellStyle name="Note 2 3 7 5" xfId="23185" xr:uid="{00000000-0005-0000-0000-000056570000}"/>
    <cellStyle name="Note 2 3 7 6" xfId="23186" xr:uid="{00000000-0005-0000-0000-000057570000}"/>
    <cellStyle name="Note 2 3 7 7" xfId="23187" xr:uid="{00000000-0005-0000-0000-000058570000}"/>
    <cellStyle name="Note 2 3 7 8" xfId="23188" xr:uid="{00000000-0005-0000-0000-000059570000}"/>
    <cellStyle name="Note 2 3 7 9" xfId="23189" xr:uid="{00000000-0005-0000-0000-00005A570000}"/>
    <cellStyle name="Note 2 3 8" xfId="23190" xr:uid="{00000000-0005-0000-0000-00005B570000}"/>
    <cellStyle name="Note 2 3 8 10" xfId="23191" xr:uid="{00000000-0005-0000-0000-00005C570000}"/>
    <cellStyle name="Note 2 3 8 11" xfId="23192" xr:uid="{00000000-0005-0000-0000-00005D570000}"/>
    <cellStyle name="Note 2 3 8 12" xfId="23193" xr:uid="{00000000-0005-0000-0000-00005E570000}"/>
    <cellStyle name="Note 2 3 8 13" xfId="23194" xr:uid="{00000000-0005-0000-0000-00005F570000}"/>
    <cellStyle name="Note 2 3 8 14" xfId="23195" xr:uid="{00000000-0005-0000-0000-000060570000}"/>
    <cellStyle name="Note 2 3 8 15" xfId="23196" xr:uid="{00000000-0005-0000-0000-000061570000}"/>
    <cellStyle name="Note 2 3 8 2" xfId="23197" xr:uid="{00000000-0005-0000-0000-000062570000}"/>
    <cellStyle name="Note 2 3 8 3" xfId="23198" xr:uid="{00000000-0005-0000-0000-000063570000}"/>
    <cellStyle name="Note 2 3 8 4" xfId="23199" xr:uid="{00000000-0005-0000-0000-000064570000}"/>
    <cellStyle name="Note 2 3 8 5" xfId="23200" xr:uid="{00000000-0005-0000-0000-000065570000}"/>
    <cellStyle name="Note 2 3 8 6" xfId="23201" xr:uid="{00000000-0005-0000-0000-000066570000}"/>
    <cellStyle name="Note 2 3 8 7" xfId="23202" xr:uid="{00000000-0005-0000-0000-000067570000}"/>
    <cellStyle name="Note 2 3 8 8" xfId="23203" xr:uid="{00000000-0005-0000-0000-000068570000}"/>
    <cellStyle name="Note 2 3 8 9" xfId="23204" xr:uid="{00000000-0005-0000-0000-000069570000}"/>
    <cellStyle name="Note 2 3 9" xfId="23205" xr:uid="{00000000-0005-0000-0000-00006A570000}"/>
    <cellStyle name="Note 2 3 9 10" xfId="23206" xr:uid="{00000000-0005-0000-0000-00006B570000}"/>
    <cellStyle name="Note 2 3 9 11" xfId="23207" xr:uid="{00000000-0005-0000-0000-00006C570000}"/>
    <cellStyle name="Note 2 3 9 12" xfId="23208" xr:uid="{00000000-0005-0000-0000-00006D570000}"/>
    <cellStyle name="Note 2 3 9 13" xfId="23209" xr:uid="{00000000-0005-0000-0000-00006E570000}"/>
    <cellStyle name="Note 2 3 9 14" xfId="23210" xr:uid="{00000000-0005-0000-0000-00006F570000}"/>
    <cellStyle name="Note 2 3 9 15" xfId="23211" xr:uid="{00000000-0005-0000-0000-000070570000}"/>
    <cellStyle name="Note 2 3 9 2" xfId="23212" xr:uid="{00000000-0005-0000-0000-000071570000}"/>
    <cellStyle name="Note 2 3 9 3" xfId="23213" xr:uid="{00000000-0005-0000-0000-000072570000}"/>
    <cellStyle name="Note 2 3 9 4" xfId="23214" xr:uid="{00000000-0005-0000-0000-000073570000}"/>
    <cellStyle name="Note 2 3 9 5" xfId="23215" xr:uid="{00000000-0005-0000-0000-000074570000}"/>
    <cellStyle name="Note 2 3 9 6" xfId="23216" xr:uid="{00000000-0005-0000-0000-000075570000}"/>
    <cellStyle name="Note 2 3 9 7" xfId="23217" xr:uid="{00000000-0005-0000-0000-000076570000}"/>
    <cellStyle name="Note 2 3 9 8" xfId="23218" xr:uid="{00000000-0005-0000-0000-000077570000}"/>
    <cellStyle name="Note 2 3 9 9" xfId="23219" xr:uid="{00000000-0005-0000-0000-000078570000}"/>
    <cellStyle name="Note 2 30" xfId="23220" xr:uid="{00000000-0005-0000-0000-000079570000}"/>
    <cellStyle name="Note 2 31" xfId="23221" xr:uid="{00000000-0005-0000-0000-00007A570000}"/>
    <cellStyle name="Note 2 32" xfId="23222" xr:uid="{00000000-0005-0000-0000-00007B570000}"/>
    <cellStyle name="Note 2 33" xfId="23223" xr:uid="{00000000-0005-0000-0000-00007C570000}"/>
    <cellStyle name="Note 2 34" xfId="23224" xr:uid="{00000000-0005-0000-0000-00007D570000}"/>
    <cellStyle name="Note 2 35" xfId="23225" xr:uid="{00000000-0005-0000-0000-00007E570000}"/>
    <cellStyle name="Note 2 36" xfId="20786" xr:uid="{00000000-0005-0000-0000-00007F570000}"/>
    <cellStyle name="Note 2 4" xfId="23226" xr:uid="{00000000-0005-0000-0000-000080570000}"/>
    <cellStyle name="Note 2 4 10" xfId="23227" xr:uid="{00000000-0005-0000-0000-000081570000}"/>
    <cellStyle name="Note 2 4 11" xfId="23228" xr:uid="{00000000-0005-0000-0000-000082570000}"/>
    <cellStyle name="Note 2 4 12" xfId="23229" xr:uid="{00000000-0005-0000-0000-000083570000}"/>
    <cellStyle name="Note 2 4 13" xfId="23230" xr:uid="{00000000-0005-0000-0000-000084570000}"/>
    <cellStyle name="Note 2 4 14" xfId="23231" xr:uid="{00000000-0005-0000-0000-000085570000}"/>
    <cellStyle name="Note 2 4 15" xfId="23232" xr:uid="{00000000-0005-0000-0000-000086570000}"/>
    <cellStyle name="Note 2 4 16" xfId="23233" xr:uid="{00000000-0005-0000-0000-000087570000}"/>
    <cellStyle name="Note 2 4 17" xfId="23234" xr:uid="{00000000-0005-0000-0000-000088570000}"/>
    <cellStyle name="Note 2 4 18" xfId="23235" xr:uid="{00000000-0005-0000-0000-000089570000}"/>
    <cellStyle name="Note 2 4 19" xfId="23236" xr:uid="{00000000-0005-0000-0000-00008A570000}"/>
    <cellStyle name="Note 2 4 2" xfId="23237" xr:uid="{00000000-0005-0000-0000-00008B570000}"/>
    <cellStyle name="Note 2 4 2 10" xfId="23238" xr:uid="{00000000-0005-0000-0000-00008C570000}"/>
    <cellStyle name="Note 2 4 2 11" xfId="23239" xr:uid="{00000000-0005-0000-0000-00008D570000}"/>
    <cellStyle name="Note 2 4 2 12" xfId="23240" xr:uid="{00000000-0005-0000-0000-00008E570000}"/>
    <cellStyle name="Note 2 4 2 13" xfId="23241" xr:uid="{00000000-0005-0000-0000-00008F570000}"/>
    <cellStyle name="Note 2 4 2 14" xfId="23242" xr:uid="{00000000-0005-0000-0000-000090570000}"/>
    <cellStyle name="Note 2 4 2 15" xfId="23243" xr:uid="{00000000-0005-0000-0000-000091570000}"/>
    <cellStyle name="Note 2 4 2 16" xfId="23244" xr:uid="{00000000-0005-0000-0000-000092570000}"/>
    <cellStyle name="Note 2 4 2 17" xfId="23245" xr:uid="{00000000-0005-0000-0000-000093570000}"/>
    <cellStyle name="Note 2 4 2 18" xfId="23246" xr:uid="{00000000-0005-0000-0000-000094570000}"/>
    <cellStyle name="Note 2 4 2 19" xfId="23247" xr:uid="{00000000-0005-0000-0000-000095570000}"/>
    <cellStyle name="Note 2 4 2 2" xfId="23248" xr:uid="{00000000-0005-0000-0000-000096570000}"/>
    <cellStyle name="Note 2 4 2 2 10" xfId="23249" xr:uid="{00000000-0005-0000-0000-000097570000}"/>
    <cellStyle name="Note 2 4 2 2 11" xfId="23250" xr:uid="{00000000-0005-0000-0000-000098570000}"/>
    <cellStyle name="Note 2 4 2 2 12" xfId="23251" xr:uid="{00000000-0005-0000-0000-000099570000}"/>
    <cellStyle name="Note 2 4 2 2 13" xfId="23252" xr:uid="{00000000-0005-0000-0000-00009A570000}"/>
    <cellStyle name="Note 2 4 2 2 14" xfId="23253" xr:uid="{00000000-0005-0000-0000-00009B570000}"/>
    <cellStyle name="Note 2 4 2 2 15" xfId="23254" xr:uid="{00000000-0005-0000-0000-00009C570000}"/>
    <cellStyle name="Note 2 4 2 2 16" xfId="23255" xr:uid="{00000000-0005-0000-0000-00009D570000}"/>
    <cellStyle name="Note 2 4 2 2 17" xfId="23256" xr:uid="{00000000-0005-0000-0000-00009E570000}"/>
    <cellStyle name="Note 2 4 2 2 18" xfId="23257" xr:uid="{00000000-0005-0000-0000-00009F570000}"/>
    <cellStyle name="Note 2 4 2 2 19" xfId="23258" xr:uid="{00000000-0005-0000-0000-0000A0570000}"/>
    <cellStyle name="Note 2 4 2 2 2" xfId="23259" xr:uid="{00000000-0005-0000-0000-0000A1570000}"/>
    <cellStyle name="Note 2 4 2 2 2 10" xfId="23260" xr:uid="{00000000-0005-0000-0000-0000A2570000}"/>
    <cellStyle name="Note 2 4 2 2 2 11" xfId="23261" xr:uid="{00000000-0005-0000-0000-0000A3570000}"/>
    <cellStyle name="Note 2 4 2 2 2 12" xfId="23262" xr:uid="{00000000-0005-0000-0000-0000A4570000}"/>
    <cellStyle name="Note 2 4 2 2 2 13" xfId="23263" xr:uid="{00000000-0005-0000-0000-0000A5570000}"/>
    <cellStyle name="Note 2 4 2 2 2 14" xfId="23264" xr:uid="{00000000-0005-0000-0000-0000A6570000}"/>
    <cellStyle name="Note 2 4 2 2 2 15" xfId="23265" xr:uid="{00000000-0005-0000-0000-0000A7570000}"/>
    <cellStyle name="Note 2 4 2 2 2 2" xfId="23266" xr:uid="{00000000-0005-0000-0000-0000A8570000}"/>
    <cellStyle name="Note 2 4 2 2 2 3" xfId="23267" xr:uid="{00000000-0005-0000-0000-0000A9570000}"/>
    <cellStyle name="Note 2 4 2 2 2 4" xfId="23268" xr:uid="{00000000-0005-0000-0000-0000AA570000}"/>
    <cellStyle name="Note 2 4 2 2 2 5" xfId="23269" xr:uid="{00000000-0005-0000-0000-0000AB570000}"/>
    <cellStyle name="Note 2 4 2 2 2 6" xfId="23270" xr:uid="{00000000-0005-0000-0000-0000AC570000}"/>
    <cellStyle name="Note 2 4 2 2 2 7" xfId="23271" xr:uid="{00000000-0005-0000-0000-0000AD570000}"/>
    <cellStyle name="Note 2 4 2 2 2 8" xfId="23272" xr:uid="{00000000-0005-0000-0000-0000AE570000}"/>
    <cellStyle name="Note 2 4 2 2 2 9" xfId="23273" xr:uid="{00000000-0005-0000-0000-0000AF570000}"/>
    <cellStyle name="Note 2 4 2 2 20" xfId="23274" xr:uid="{00000000-0005-0000-0000-0000B0570000}"/>
    <cellStyle name="Note 2 4 2 2 3" xfId="23275" xr:uid="{00000000-0005-0000-0000-0000B1570000}"/>
    <cellStyle name="Note 2 4 2 2 3 10" xfId="23276" xr:uid="{00000000-0005-0000-0000-0000B2570000}"/>
    <cellStyle name="Note 2 4 2 2 3 11" xfId="23277" xr:uid="{00000000-0005-0000-0000-0000B3570000}"/>
    <cellStyle name="Note 2 4 2 2 3 12" xfId="23278" xr:uid="{00000000-0005-0000-0000-0000B4570000}"/>
    <cellStyle name="Note 2 4 2 2 3 13" xfId="23279" xr:uid="{00000000-0005-0000-0000-0000B5570000}"/>
    <cellStyle name="Note 2 4 2 2 3 14" xfId="23280" xr:uid="{00000000-0005-0000-0000-0000B6570000}"/>
    <cellStyle name="Note 2 4 2 2 3 15" xfId="23281" xr:uid="{00000000-0005-0000-0000-0000B7570000}"/>
    <cellStyle name="Note 2 4 2 2 3 2" xfId="23282" xr:uid="{00000000-0005-0000-0000-0000B8570000}"/>
    <cellStyle name="Note 2 4 2 2 3 3" xfId="23283" xr:uid="{00000000-0005-0000-0000-0000B9570000}"/>
    <cellStyle name="Note 2 4 2 2 3 4" xfId="23284" xr:uid="{00000000-0005-0000-0000-0000BA570000}"/>
    <cellStyle name="Note 2 4 2 2 3 5" xfId="23285" xr:uid="{00000000-0005-0000-0000-0000BB570000}"/>
    <cellStyle name="Note 2 4 2 2 3 6" xfId="23286" xr:uid="{00000000-0005-0000-0000-0000BC570000}"/>
    <cellStyle name="Note 2 4 2 2 3 7" xfId="23287" xr:uid="{00000000-0005-0000-0000-0000BD570000}"/>
    <cellStyle name="Note 2 4 2 2 3 8" xfId="23288" xr:uid="{00000000-0005-0000-0000-0000BE570000}"/>
    <cellStyle name="Note 2 4 2 2 3 9" xfId="23289" xr:uid="{00000000-0005-0000-0000-0000BF570000}"/>
    <cellStyle name="Note 2 4 2 2 4" xfId="23290" xr:uid="{00000000-0005-0000-0000-0000C0570000}"/>
    <cellStyle name="Note 2 4 2 2 4 10" xfId="23291" xr:uid="{00000000-0005-0000-0000-0000C1570000}"/>
    <cellStyle name="Note 2 4 2 2 4 11" xfId="23292" xr:uid="{00000000-0005-0000-0000-0000C2570000}"/>
    <cellStyle name="Note 2 4 2 2 4 12" xfId="23293" xr:uid="{00000000-0005-0000-0000-0000C3570000}"/>
    <cellStyle name="Note 2 4 2 2 4 13" xfId="23294" xr:uid="{00000000-0005-0000-0000-0000C4570000}"/>
    <cellStyle name="Note 2 4 2 2 4 14" xfId="23295" xr:uid="{00000000-0005-0000-0000-0000C5570000}"/>
    <cellStyle name="Note 2 4 2 2 4 15" xfId="23296" xr:uid="{00000000-0005-0000-0000-0000C6570000}"/>
    <cellStyle name="Note 2 4 2 2 4 2" xfId="23297" xr:uid="{00000000-0005-0000-0000-0000C7570000}"/>
    <cellStyle name="Note 2 4 2 2 4 3" xfId="23298" xr:uid="{00000000-0005-0000-0000-0000C8570000}"/>
    <cellStyle name="Note 2 4 2 2 4 4" xfId="23299" xr:uid="{00000000-0005-0000-0000-0000C9570000}"/>
    <cellStyle name="Note 2 4 2 2 4 5" xfId="23300" xr:uid="{00000000-0005-0000-0000-0000CA570000}"/>
    <cellStyle name="Note 2 4 2 2 4 6" xfId="23301" xr:uid="{00000000-0005-0000-0000-0000CB570000}"/>
    <cellStyle name="Note 2 4 2 2 4 7" xfId="23302" xr:uid="{00000000-0005-0000-0000-0000CC570000}"/>
    <cellStyle name="Note 2 4 2 2 4 8" xfId="23303" xr:uid="{00000000-0005-0000-0000-0000CD570000}"/>
    <cellStyle name="Note 2 4 2 2 4 9" xfId="23304" xr:uid="{00000000-0005-0000-0000-0000CE570000}"/>
    <cellStyle name="Note 2 4 2 2 5" xfId="23305" xr:uid="{00000000-0005-0000-0000-0000CF570000}"/>
    <cellStyle name="Note 2 4 2 2 5 10" xfId="23306" xr:uid="{00000000-0005-0000-0000-0000D0570000}"/>
    <cellStyle name="Note 2 4 2 2 5 11" xfId="23307" xr:uid="{00000000-0005-0000-0000-0000D1570000}"/>
    <cellStyle name="Note 2 4 2 2 5 12" xfId="23308" xr:uid="{00000000-0005-0000-0000-0000D2570000}"/>
    <cellStyle name="Note 2 4 2 2 5 13" xfId="23309" xr:uid="{00000000-0005-0000-0000-0000D3570000}"/>
    <cellStyle name="Note 2 4 2 2 5 14" xfId="23310" xr:uid="{00000000-0005-0000-0000-0000D4570000}"/>
    <cellStyle name="Note 2 4 2 2 5 15" xfId="23311" xr:uid="{00000000-0005-0000-0000-0000D5570000}"/>
    <cellStyle name="Note 2 4 2 2 5 2" xfId="23312" xr:uid="{00000000-0005-0000-0000-0000D6570000}"/>
    <cellStyle name="Note 2 4 2 2 5 3" xfId="23313" xr:uid="{00000000-0005-0000-0000-0000D7570000}"/>
    <cellStyle name="Note 2 4 2 2 5 4" xfId="23314" xr:uid="{00000000-0005-0000-0000-0000D8570000}"/>
    <cellStyle name="Note 2 4 2 2 5 5" xfId="23315" xr:uid="{00000000-0005-0000-0000-0000D9570000}"/>
    <cellStyle name="Note 2 4 2 2 5 6" xfId="23316" xr:uid="{00000000-0005-0000-0000-0000DA570000}"/>
    <cellStyle name="Note 2 4 2 2 5 7" xfId="23317" xr:uid="{00000000-0005-0000-0000-0000DB570000}"/>
    <cellStyle name="Note 2 4 2 2 5 8" xfId="23318" xr:uid="{00000000-0005-0000-0000-0000DC570000}"/>
    <cellStyle name="Note 2 4 2 2 5 9" xfId="23319" xr:uid="{00000000-0005-0000-0000-0000DD570000}"/>
    <cellStyle name="Note 2 4 2 2 6" xfId="23320" xr:uid="{00000000-0005-0000-0000-0000DE570000}"/>
    <cellStyle name="Note 2 4 2 2 7" xfId="23321" xr:uid="{00000000-0005-0000-0000-0000DF570000}"/>
    <cellStyle name="Note 2 4 2 2 8" xfId="23322" xr:uid="{00000000-0005-0000-0000-0000E0570000}"/>
    <cellStyle name="Note 2 4 2 2 9" xfId="23323" xr:uid="{00000000-0005-0000-0000-0000E1570000}"/>
    <cellStyle name="Note 2 4 2 20" xfId="23324" xr:uid="{00000000-0005-0000-0000-0000E2570000}"/>
    <cellStyle name="Note 2 4 2 21" xfId="23325" xr:uid="{00000000-0005-0000-0000-0000E3570000}"/>
    <cellStyle name="Note 2 4 2 22" xfId="23326" xr:uid="{00000000-0005-0000-0000-0000E4570000}"/>
    <cellStyle name="Note 2 4 2 23" xfId="23327" xr:uid="{00000000-0005-0000-0000-0000E5570000}"/>
    <cellStyle name="Note 2 4 2 3" xfId="23328" xr:uid="{00000000-0005-0000-0000-0000E6570000}"/>
    <cellStyle name="Note 2 4 2 3 10" xfId="23329" xr:uid="{00000000-0005-0000-0000-0000E7570000}"/>
    <cellStyle name="Note 2 4 2 3 11" xfId="23330" xr:uid="{00000000-0005-0000-0000-0000E8570000}"/>
    <cellStyle name="Note 2 4 2 3 12" xfId="23331" xr:uid="{00000000-0005-0000-0000-0000E9570000}"/>
    <cellStyle name="Note 2 4 2 3 13" xfId="23332" xr:uid="{00000000-0005-0000-0000-0000EA570000}"/>
    <cellStyle name="Note 2 4 2 3 14" xfId="23333" xr:uid="{00000000-0005-0000-0000-0000EB570000}"/>
    <cellStyle name="Note 2 4 2 3 15" xfId="23334" xr:uid="{00000000-0005-0000-0000-0000EC570000}"/>
    <cellStyle name="Note 2 4 2 3 16" xfId="23335" xr:uid="{00000000-0005-0000-0000-0000ED570000}"/>
    <cellStyle name="Note 2 4 2 3 17" xfId="23336" xr:uid="{00000000-0005-0000-0000-0000EE570000}"/>
    <cellStyle name="Note 2 4 2 3 18" xfId="23337" xr:uid="{00000000-0005-0000-0000-0000EF570000}"/>
    <cellStyle name="Note 2 4 2 3 19" xfId="23338" xr:uid="{00000000-0005-0000-0000-0000F0570000}"/>
    <cellStyle name="Note 2 4 2 3 2" xfId="23339" xr:uid="{00000000-0005-0000-0000-0000F1570000}"/>
    <cellStyle name="Note 2 4 2 3 2 10" xfId="23340" xr:uid="{00000000-0005-0000-0000-0000F2570000}"/>
    <cellStyle name="Note 2 4 2 3 2 11" xfId="23341" xr:uid="{00000000-0005-0000-0000-0000F3570000}"/>
    <cellStyle name="Note 2 4 2 3 2 12" xfId="23342" xr:uid="{00000000-0005-0000-0000-0000F4570000}"/>
    <cellStyle name="Note 2 4 2 3 2 13" xfId="23343" xr:uid="{00000000-0005-0000-0000-0000F5570000}"/>
    <cellStyle name="Note 2 4 2 3 2 14" xfId="23344" xr:uid="{00000000-0005-0000-0000-0000F6570000}"/>
    <cellStyle name="Note 2 4 2 3 2 15" xfId="23345" xr:uid="{00000000-0005-0000-0000-0000F7570000}"/>
    <cellStyle name="Note 2 4 2 3 2 2" xfId="23346" xr:uid="{00000000-0005-0000-0000-0000F8570000}"/>
    <cellStyle name="Note 2 4 2 3 2 3" xfId="23347" xr:uid="{00000000-0005-0000-0000-0000F9570000}"/>
    <cellStyle name="Note 2 4 2 3 2 4" xfId="23348" xr:uid="{00000000-0005-0000-0000-0000FA570000}"/>
    <cellStyle name="Note 2 4 2 3 2 5" xfId="23349" xr:uid="{00000000-0005-0000-0000-0000FB570000}"/>
    <cellStyle name="Note 2 4 2 3 2 6" xfId="23350" xr:uid="{00000000-0005-0000-0000-0000FC570000}"/>
    <cellStyle name="Note 2 4 2 3 2 7" xfId="23351" xr:uid="{00000000-0005-0000-0000-0000FD570000}"/>
    <cellStyle name="Note 2 4 2 3 2 8" xfId="23352" xr:uid="{00000000-0005-0000-0000-0000FE570000}"/>
    <cellStyle name="Note 2 4 2 3 2 9" xfId="23353" xr:uid="{00000000-0005-0000-0000-0000FF570000}"/>
    <cellStyle name="Note 2 4 2 3 20" xfId="23354" xr:uid="{00000000-0005-0000-0000-000000580000}"/>
    <cellStyle name="Note 2 4 2 3 3" xfId="23355" xr:uid="{00000000-0005-0000-0000-000001580000}"/>
    <cellStyle name="Note 2 4 2 3 3 10" xfId="23356" xr:uid="{00000000-0005-0000-0000-000002580000}"/>
    <cellStyle name="Note 2 4 2 3 3 11" xfId="23357" xr:uid="{00000000-0005-0000-0000-000003580000}"/>
    <cellStyle name="Note 2 4 2 3 3 12" xfId="23358" xr:uid="{00000000-0005-0000-0000-000004580000}"/>
    <cellStyle name="Note 2 4 2 3 3 13" xfId="23359" xr:uid="{00000000-0005-0000-0000-000005580000}"/>
    <cellStyle name="Note 2 4 2 3 3 14" xfId="23360" xr:uid="{00000000-0005-0000-0000-000006580000}"/>
    <cellStyle name="Note 2 4 2 3 3 15" xfId="23361" xr:uid="{00000000-0005-0000-0000-000007580000}"/>
    <cellStyle name="Note 2 4 2 3 3 2" xfId="23362" xr:uid="{00000000-0005-0000-0000-000008580000}"/>
    <cellStyle name="Note 2 4 2 3 3 3" xfId="23363" xr:uid="{00000000-0005-0000-0000-000009580000}"/>
    <cellStyle name="Note 2 4 2 3 3 4" xfId="23364" xr:uid="{00000000-0005-0000-0000-00000A580000}"/>
    <cellStyle name="Note 2 4 2 3 3 5" xfId="23365" xr:uid="{00000000-0005-0000-0000-00000B580000}"/>
    <cellStyle name="Note 2 4 2 3 3 6" xfId="23366" xr:uid="{00000000-0005-0000-0000-00000C580000}"/>
    <cellStyle name="Note 2 4 2 3 3 7" xfId="23367" xr:uid="{00000000-0005-0000-0000-00000D580000}"/>
    <cellStyle name="Note 2 4 2 3 3 8" xfId="23368" xr:uid="{00000000-0005-0000-0000-00000E580000}"/>
    <cellStyle name="Note 2 4 2 3 3 9" xfId="23369" xr:uid="{00000000-0005-0000-0000-00000F580000}"/>
    <cellStyle name="Note 2 4 2 3 4" xfId="23370" xr:uid="{00000000-0005-0000-0000-000010580000}"/>
    <cellStyle name="Note 2 4 2 3 4 10" xfId="23371" xr:uid="{00000000-0005-0000-0000-000011580000}"/>
    <cellStyle name="Note 2 4 2 3 4 11" xfId="23372" xr:uid="{00000000-0005-0000-0000-000012580000}"/>
    <cellStyle name="Note 2 4 2 3 4 12" xfId="23373" xr:uid="{00000000-0005-0000-0000-000013580000}"/>
    <cellStyle name="Note 2 4 2 3 4 13" xfId="23374" xr:uid="{00000000-0005-0000-0000-000014580000}"/>
    <cellStyle name="Note 2 4 2 3 4 14" xfId="23375" xr:uid="{00000000-0005-0000-0000-000015580000}"/>
    <cellStyle name="Note 2 4 2 3 4 15" xfId="23376" xr:uid="{00000000-0005-0000-0000-000016580000}"/>
    <cellStyle name="Note 2 4 2 3 4 2" xfId="23377" xr:uid="{00000000-0005-0000-0000-000017580000}"/>
    <cellStyle name="Note 2 4 2 3 4 3" xfId="23378" xr:uid="{00000000-0005-0000-0000-000018580000}"/>
    <cellStyle name="Note 2 4 2 3 4 4" xfId="23379" xr:uid="{00000000-0005-0000-0000-000019580000}"/>
    <cellStyle name="Note 2 4 2 3 4 5" xfId="23380" xr:uid="{00000000-0005-0000-0000-00001A580000}"/>
    <cellStyle name="Note 2 4 2 3 4 6" xfId="23381" xr:uid="{00000000-0005-0000-0000-00001B580000}"/>
    <cellStyle name="Note 2 4 2 3 4 7" xfId="23382" xr:uid="{00000000-0005-0000-0000-00001C580000}"/>
    <cellStyle name="Note 2 4 2 3 4 8" xfId="23383" xr:uid="{00000000-0005-0000-0000-00001D580000}"/>
    <cellStyle name="Note 2 4 2 3 4 9" xfId="23384" xr:uid="{00000000-0005-0000-0000-00001E580000}"/>
    <cellStyle name="Note 2 4 2 3 5" xfId="23385" xr:uid="{00000000-0005-0000-0000-00001F580000}"/>
    <cellStyle name="Note 2 4 2 3 5 10" xfId="23386" xr:uid="{00000000-0005-0000-0000-000020580000}"/>
    <cellStyle name="Note 2 4 2 3 5 11" xfId="23387" xr:uid="{00000000-0005-0000-0000-000021580000}"/>
    <cellStyle name="Note 2 4 2 3 5 12" xfId="23388" xr:uid="{00000000-0005-0000-0000-000022580000}"/>
    <cellStyle name="Note 2 4 2 3 5 13" xfId="23389" xr:uid="{00000000-0005-0000-0000-000023580000}"/>
    <cellStyle name="Note 2 4 2 3 5 14" xfId="23390" xr:uid="{00000000-0005-0000-0000-000024580000}"/>
    <cellStyle name="Note 2 4 2 3 5 15" xfId="23391" xr:uid="{00000000-0005-0000-0000-000025580000}"/>
    <cellStyle name="Note 2 4 2 3 5 2" xfId="23392" xr:uid="{00000000-0005-0000-0000-000026580000}"/>
    <cellStyle name="Note 2 4 2 3 5 3" xfId="23393" xr:uid="{00000000-0005-0000-0000-000027580000}"/>
    <cellStyle name="Note 2 4 2 3 5 4" xfId="23394" xr:uid="{00000000-0005-0000-0000-000028580000}"/>
    <cellStyle name="Note 2 4 2 3 5 5" xfId="23395" xr:uid="{00000000-0005-0000-0000-000029580000}"/>
    <cellStyle name="Note 2 4 2 3 5 6" xfId="23396" xr:uid="{00000000-0005-0000-0000-00002A580000}"/>
    <cellStyle name="Note 2 4 2 3 5 7" xfId="23397" xr:uid="{00000000-0005-0000-0000-00002B580000}"/>
    <cellStyle name="Note 2 4 2 3 5 8" xfId="23398" xr:uid="{00000000-0005-0000-0000-00002C580000}"/>
    <cellStyle name="Note 2 4 2 3 5 9" xfId="23399" xr:uid="{00000000-0005-0000-0000-00002D580000}"/>
    <cellStyle name="Note 2 4 2 3 6" xfId="23400" xr:uid="{00000000-0005-0000-0000-00002E580000}"/>
    <cellStyle name="Note 2 4 2 3 7" xfId="23401" xr:uid="{00000000-0005-0000-0000-00002F580000}"/>
    <cellStyle name="Note 2 4 2 3 8" xfId="23402" xr:uid="{00000000-0005-0000-0000-000030580000}"/>
    <cellStyle name="Note 2 4 2 3 9" xfId="23403" xr:uid="{00000000-0005-0000-0000-000031580000}"/>
    <cellStyle name="Note 2 4 2 4" xfId="23404" xr:uid="{00000000-0005-0000-0000-000032580000}"/>
    <cellStyle name="Note 2 4 2 4 10" xfId="23405" xr:uid="{00000000-0005-0000-0000-000033580000}"/>
    <cellStyle name="Note 2 4 2 4 11" xfId="23406" xr:uid="{00000000-0005-0000-0000-000034580000}"/>
    <cellStyle name="Note 2 4 2 4 12" xfId="23407" xr:uid="{00000000-0005-0000-0000-000035580000}"/>
    <cellStyle name="Note 2 4 2 4 13" xfId="23408" xr:uid="{00000000-0005-0000-0000-000036580000}"/>
    <cellStyle name="Note 2 4 2 4 14" xfId="23409" xr:uid="{00000000-0005-0000-0000-000037580000}"/>
    <cellStyle name="Note 2 4 2 4 15" xfId="23410" xr:uid="{00000000-0005-0000-0000-000038580000}"/>
    <cellStyle name="Note 2 4 2 4 16" xfId="23411" xr:uid="{00000000-0005-0000-0000-000039580000}"/>
    <cellStyle name="Note 2 4 2 4 17" xfId="23412" xr:uid="{00000000-0005-0000-0000-00003A580000}"/>
    <cellStyle name="Note 2 4 2 4 18" xfId="23413" xr:uid="{00000000-0005-0000-0000-00003B580000}"/>
    <cellStyle name="Note 2 4 2 4 19" xfId="23414" xr:uid="{00000000-0005-0000-0000-00003C580000}"/>
    <cellStyle name="Note 2 4 2 4 2" xfId="23415" xr:uid="{00000000-0005-0000-0000-00003D580000}"/>
    <cellStyle name="Note 2 4 2 4 2 10" xfId="23416" xr:uid="{00000000-0005-0000-0000-00003E580000}"/>
    <cellStyle name="Note 2 4 2 4 2 11" xfId="23417" xr:uid="{00000000-0005-0000-0000-00003F580000}"/>
    <cellStyle name="Note 2 4 2 4 2 12" xfId="23418" xr:uid="{00000000-0005-0000-0000-000040580000}"/>
    <cellStyle name="Note 2 4 2 4 2 13" xfId="23419" xr:uid="{00000000-0005-0000-0000-000041580000}"/>
    <cellStyle name="Note 2 4 2 4 2 14" xfId="23420" xr:uid="{00000000-0005-0000-0000-000042580000}"/>
    <cellStyle name="Note 2 4 2 4 2 15" xfId="23421" xr:uid="{00000000-0005-0000-0000-000043580000}"/>
    <cellStyle name="Note 2 4 2 4 2 2" xfId="23422" xr:uid="{00000000-0005-0000-0000-000044580000}"/>
    <cellStyle name="Note 2 4 2 4 2 3" xfId="23423" xr:uid="{00000000-0005-0000-0000-000045580000}"/>
    <cellStyle name="Note 2 4 2 4 2 4" xfId="23424" xr:uid="{00000000-0005-0000-0000-000046580000}"/>
    <cellStyle name="Note 2 4 2 4 2 5" xfId="23425" xr:uid="{00000000-0005-0000-0000-000047580000}"/>
    <cellStyle name="Note 2 4 2 4 2 6" xfId="23426" xr:uid="{00000000-0005-0000-0000-000048580000}"/>
    <cellStyle name="Note 2 4 2 4 2 7" xfId="23427" xr:uid="{00000000-0005-0000-0000-000049580000}"/>
    <cellStyle name="Note 2 4 2 4 2 8" xfId="23428" xr:uid="{00000000-0005-0000-0000-00004A580000}"/>
    <cellStyle name="Note 2 4 2 4 2 9" xfId="23429" xr:uid="{00000000-0005-0000-0000-00004B580000}"/>
    <cellStyle name="Note 2 4 2 4 20" xfId="23430" xr:uid="{00000000-0005-0000-0000-00004C580000}"/>
    <cellStyle name="Note 2 4 2 4 3" xfId="23431" xr:uid="{00000000-0005-0000-0000-00004D580000}"/>
    <cellStyle name="Note 2 4 2 4 3 10" xfId="23432" xr:uid="{00000000-0005-0000-0000-00004E580000}"/>
    <cellStyle name="Note 2 4 2 4 3 11" xfId="23433" xr:uid="{00000000-0005-0000-0000-00004F580000}"/>
    <cellStyle name="Note 2 4 2 4 3 12" xfId="23434" xr:uid="{00000000-0005-0000-0000-000050580000}"/>
    <cellStyle name="Note 2 4 2 4 3 13" xfId="23435" xr:uid="{00000000-0005-0000-0000-000051580000}"/>
    <cellStyle name="Note 2 4 2 4 3 14" xfId="23436" xr:uid="{00000000-0005-0000-0000-000052580000}"/>
    <cellStyle name="Note 2 4 2 4 3 15" xfId="23437" xr:uid="{00000000-0005-0000-0000-000053580000}"/>
    <cellStyle name="Note 2 4 2 4 3 2" xfId="23438" xr:uid="{00000000-0005-0000-0000-000054580000}"/>
    <cellStyle name="Note 2 4 2 4 3 3" xfId="23439" xr:uid="{00000000-0005-0000-0000-000055580000}"/>
    <cellStyle name="Note 2 4 2 4 3 4" xfId="23440" xr:uid="{00000000-0005-0000-0000-000056580000}"/>
    <cellStyle name="Note 2 4 2 4 3 5" xfId="23441" xr:uid="{00000000-0005-0000-0000-000057580000}"/>
    <cellStyle name="Note 2 4 2 4 3 6" xfId="23442" xr:uid="{00000000-0005-0000-0000-000058580000}"/>
    <cellStyle name="Note 2 4 2 4 3 7" xfId="23443" xr:uid="{00000000-0005-0000-0000-000059580000}"/>
    <cellStyle name="Note 2 4 2 4 3 8" xfId="23444" xr:uid="{00000000-0005-0000-0000-00005A580000}"/>
    <cellStyle name="Note 2 4 2 4 3 9" xfId="23445" xr:uid="{00000000-0005-0000-0000-00005B580000}"/>
    <cellStyle name="Note 2 4 2 4 4" xfId="23446" xr:uid="{00000000-0005-0000-0000-00005C580000}"/>
    <cellStyle name="Note 2 4 2 4 4 10" xfId="23447" xr:uid="{00000000-0005-0000-0000-00005D580000}"/>
    <cellStyle name="Note 2 4 2 4 4 11" xfId="23448" xr:uid="{00000000-0005-0000-0000-00005E580000}"/>
    <cellStyle name="Note 2 4 2 4 4 12" xfId="23449" xr:uid="{00000000-0005-0000-0000-00005F580000}"/>
    <cellStyle name="Note 2 4 2 4 4 13" xfId="23450" xr:uid="{00000000-0005-0000-0000-000060580000}"/>
    <cellStyle name="Note 2 4 2 4 4 14" xfId="23451" xr:uid="{00000000-0005-0000-0000-000061580000}"/>
    <cellStyle name="Note 2 4 2 4 4 15" xfId="23452" xr:uid="{00000000-0005-0000-0000-000062580000}"/>
    <cellStyle name="Note 2 4 2 4 4 2" xfId="23453" xr:uid="{00000000-0005-0000-0000-000063580000}"/>
    <cellStyle name="Note 2 4 2 4 4 3" xfId="23454" xr:uid="{00000000-0005-0000-0000-000064580000}"/>
    <cellStyle name="Note 2 4 2 4 4 4" xfId="23455" xr:uid="{00000000-0005-0000-0000-000065580000}"/>
    <cellStyle name="Note 2 4 2 4 4 5" xfId="23456" xr:uid="{00000000-0005-0000-0000-000066580000}"/>
    <cellStyle name="Note 2 4 2 4 4 6" xfId="23457" xr:uid="{00000000-0005-0000-0000-000067580000}"/>
    <cellStyle name="Note 2 4 2 4 4 7" xfId="23458" xr:uid="{00000000-0005-0000-0000-000068580000}"/>
    <cellStyle name="Note 2 4 2 4 4 8" xfId="23459" xr:uid="{00000000-0005-0000-0000-000069580000}"/>
    <cellStyle name="Note 2 4 2 4 4 9" xfId="23460" xr:uid="{00000000-0005-0000-0000-00006A580000}"/>
    <cellStyle name="Note 2 4 2 4 5" xfId="23461" xr:uid="{00000000-0005-0000-0000-00006B580000}"/>
    <cellStyle name="Note 2 4 2 4 5 10" xfId="23462" xr:uid="{00000000-0005-0000-0000-00006C580000}"/>
    <cellStyle name="Note 2 4 2 4 5 11" xfId="23463" xr:uid="{00000000-0005-0000-0000-00006D580000}"/>
    <cellStyle name="Note 2 4 2 4 5 12" xfId="23464" xr:uid="{00000000-0005-0000-0000-00006E580000}"/>
    <cellStyle name="Note 2 4 2 4 5 13" xfId="23465" xr:uid="{00000000-0005-0000-0000-00006F580000}"/>
    <cellStyle name="Note 2 4 2 4 5 14" xfId="23466" xr:uid="{00000000-0005-0000-0000-000070580000}"/>
    <cellStyle name="Note 2 4 2 4 5 15" xfId="23467" xr:uid="{00000000-0005-0000-0000-000071580000}"/>
    <cellStyle name="Note 2 4 2 4 5 2" xfId="23468" xr:uid="{00000000-0005-0000-0000-000072580000}"/>
    <cellStyle name="Note 2 4 2 4 5 3" xfId="23469" xr:uid="{00000000-0005-0000-0000-000073580000}"/>
    <cellStyle name="Note 2 4 2 4 5 4" xfId="23470" xr:uid="{00000000-0005-0000-0000-000074580000}"/>
    <cellStyle name="Note 2 4 2 4 5 5" xfId="23471" xr:uid="{00000000-0005-0000-0000-000075580000}"/>
    <cellStyle name="Note 2 4 2 4 5 6" xfId="23472" xr:uid="{00000000-0005-0000-0000-000076580000}"/>
    <cellStyle name="Note 2 4 2 4 5 7" xfId="23473" xr:uid="{00000000-0005-0000-0000-000077580000}"/>
    <cellStyle name="Note 2 4 2 4 5 8" xfId="23474" xr:uid="{00000000-0005-0000-0000-000078580000}"/>
    <cellStyle name="Note 2 4 2 4 5 9" xfId="23475" xr:uid="{00000000-0005-0000-0000-000079580000}"/>
    <cellStyle name="Note 2 4 2 4 6" xfId="23476" xr:uid="{00000000-0005-0000-0000-00007A580000}"/>
    <cellStyle name="Note 2 4 2 4 7" xfId="23477" xr:uid="{00000000-0005-0000-0000-00007B580000}"/>
    <cellStyle name="Note 2 4 2 4 8" xfId="23478" xr:uid="{00000000-0005-0000-0000-00007C580000}"/>
    <cellStyle name="Note 2 4 2 4 9" xfId="23479" xr:uid="{00000000-0005-0000-0000-00007D580000}"/>
    <cellStyle name="Note 2 4 2 5" xfId="23480" xr:uid="{00000000-0005-0000-0000-00007E580000}"/>
    <cellStyle name="Note 2 4 2 5 10" xfId="23481" xr:uid="{00000000-0005-0000-0000-00007F580000}"/>
    <cellStyle name="Note 2 4 2 5 11" xfId="23482" xr:uid="{00000000-0005-0000-0000-000080580000}"/>
    <cellStyle name="Note 2 4 2 5 12" xfId="23483" xr:uid="{00000000-0005-0000-0000-000081580000}"/>
    <cellStyle name="Note 2 4 2 5 13" xfId="23484" xr:uid="{00000000-0005-0000-0000-000082580000}"/>
    <cellStyle name="Note 2 4 2 5 14" xfId="23485" xr:uid="{00000000-0005-0000-0000-000083580000}"/>
    <cellStyle name="Note 2 4 2 5 15" xfId="23486" xr:uid="{00000000-0005-0000-0000-000084580000}"/>
    <cellStyle name="Note 2 4 2 5 2" xfId="23487" xr:uid="{00000000-0005-0000-0000-000085580000}"/>
    <cellStyle name="Note 2 4 2 5 3" xfId="23488" xr:uid="{00000000-0005-0000-0000-000086580000}"/>
    <cellStyle name="Note 2 4 2 5 4" xfId="23489" xr:uid="{00000000-0005-0000-0000-000087580000}"/>
    <cellStyle name="Note 2 4 2 5 5" xfId="23490" xr:uid="{00000000-0005-0000-0000-000088580000}"/>
    <cellStyle name="Note 2 4 2 5 6" xfId="23491" xr:uid="{00000000-0005-0000-0000-000089580000}"/>
    <cellStyle name="Note 2 4 2 5 7" xfId="23492" xr:uid="{00000000-0005-0000-0000-00008A580000}"/>
    <cellStyle name="Note 2 4 2 5 8" xfId="23493" xr:uid="{00000000-0005-0000-0000-00008B580000}"/>
    <cellStyle name="Note 2 4 2 5 9" xfId="23494" xr:uid="{00000000-0005-0000-0000-00008C580000}"/>
    <cellStyle name="Note 2 4 2 6" xfId="23495" xr:uid="{00000000-0005-0000-0000-00008D580000}"/>
    <cellStyle name="Note 2 4 2 6 10" xfId="23496" xr:uid="{00000000-0005-0000-0000-00008E580000}"/>
    <cellStyle name="Note 2 4 2 6 11" xfId="23497" xr:uid="{00000000-0005-0000-0000-00008F580000}"/>
    <cellStyle name="Note 2 4 2 6 12" xfId="23498" xr:uid="{00000000-0005-0000-0000-000090580000}"/>
    <cellStyle name="Note 2 4 2 6 13" xfId="23499" xr:uid="{00000000-0005-0000-0000-000091580000}"/>
    <cellStyle name="Note 2 4 2 6 14" xfId="23500" xr:uid="{00000000-0005-0000-0000-000092580000}"/>
    <cellStyle name="Note 2 4 2 6 15" xfId="23501" xr:uid="{00000000-0005-0000-0000-000093580000}"/>
    <cellStyle name="Note 2 4 2 6 2" xfId="23502" xr:uid="{00000000-0005-0000-0000-000094580000}"/>
    <cellStyle name="Note 2 4 2 6 3" xfId="23503" xr:uid="{00000000-0005-0000-0000-000095580000}"/>
    <cellStyle name="Note 2 4 2 6 4" xfId="23504" xr:uid="{00000000-0005-0000-0000-000096580000}"/>
    <cellStyle name="Note 2 4 2 6 5" xfId="23505" xr:uid="{00000000-0005-0000-0000-000097580000}"/>
    <cellStyle name="Note 2 4 2 6 6" xfId="23506" xr:uid="{00000000-0005-0000-0000-000098580000}"/>
    <cellStyle name="Note 2 4 2 6 7" xfId="23507" xr:uid="{00000000-0005-0000-0000-000099580000}"/>
    <cellStyle name="Note 2 4 2 6 8" xfId="23508" xr:uid="{00000000-0005-0000-0000-00009A580000}"/>
    <cellStyle name="Note 2 4 2 6 9" xfId="23509" xr:uid="{00000000-0005-0000-0000-00009B580000}"/>
    <cellStyle name="Note 2 4 2 7" xfId="23510" xr:uid="{00000000-0005-0000-0000-00009C580000}"/>
    <cellStyle name="Note 2 4 2 7 10" xfId="23511" xr:uid="{00000000-0005-0000-0000-00009D580000}"/>
    <cellStyle name="Note 2 4 2 7 11" xfId="23512" xr:uid="{00000000-0005-0000-0000-00009E580000}"/>
    <cellStyle name="Note 2 4 2 7 12" xfId="23513" xr:uid="{00000000-0005-0000-0000-00009F580000}"/>
    <cellStyle name="Note 2 4 2 7 13" xfId="23514" xr:uid="{00000000-0005-0000-0000-0000A0580000}"/>
    <cellStyle name="Note 2 4 2 7 14" xfId="23515" xr:uid="{00000000-0005-0000-0000-0000A1580000}"/>
    <cellStyle name="Note 2 4 2 7 15" xfId="23516" xr:uid="{00000000-0005-0000-0000-0000A2580000}"/>
    <cellStyle name="Note 2 4 2 7 2" xfId="23517" xr:uid="{00000000-0005-0000-0000-0000A3580000}"/>
    <cellStyle name="Note 2 4 2 7 3" xfId="23518" xr:uid="{00000000-0005-0000-0000-0000A4580000}"/>
    <cellStyle name="Note 2 4 2 7 4" xfId="23519" xr:uid="{00000000-0005-0000-0000-0000A5580000}"/>
    <cellStyle name="Note 2 4 2 7 5" xfId="23520" xr:uid="{00000000-0005-0000-0000-0000A6580000}"/>
    <cellStyle name="Note 2 4 2 7 6" xfId="23521" xr:uid="{00000000-0005-0000-0000-0000A7580000}"/>
    <cellStyle name="Note 2 4 2 7 7" xfId="23522" xr:uid="{00000000-0005-0000-0000-0000A8580000}"/>
    <cellStyle name="Note 2 4 2 7 8" xfId="23523" xr:uid="{00000000-0005-0000-0000-0000A9580000}"/>
    <cellStyle name="Note 2 4 2 7 9" xfId="23524" xr:uid="{00000000-0005-0000-0000-0000AA580000}"/>
    <cellStyle name="Note 2 4 2 8" xfId="23525" xr:uid="{00000000-0005-0000-0000-0000AB580000}"/>
    <cellStyle name="Note 2 4 2 8 10" xfId="23526" xr:uid="{00000000-0005-0000-0000-0000AC580000}"/>
    <cellStyle name="Note 2 4 2 8 11" xfId="23527" xr:uid="{00000000-0005-0000-0000-0000AD580000}"/>
    <cellStyle name="Note 2 4 2 8 12" xfId="23528" xr:uid="{00000000-0005-0000-0000-0000AE580000}"/>
    <cellStyle name="Note 2 4 2 8 13" xfId="23529" xr:uid="{00000000-0005-0000-0000-0000AF580000}"/>
    <cellStyle name="Note 2 4 2 8 14" xfId="23530" xr:uid="{00000000-0005-0000-0000-0000B0580000}"/>
    <cellStyle name="Note 2 4 2 8 15" xfId="23531" xr:uid="{00000000-0005-0000-0000-0000B1580000}"/>
    <cellStyle name="Note 2 4 2 8 2" xfId="23532" xr:uid="{00000000-0005-0000-0000-0000B2580000}"/>
    <cellStyle name="Note 2 4 2 8 3" xfId="23533" xr:uid="{00000000-0005-0000-0000-0000B3580000}"/>
    <cellStyle name="Note 2 4 2 8 4" xfId="23534" xr:uid="{00000000-0005-0000-0000-0000B4580000}"/>
    <cellStyle name="Note 2 4 2 8 5" xfId="23535" xr:uid="{00000000-0005-0000-0000-0000B5580000}"/>
    <cellStyle name="Note 2 4 2 8 6" xfId="23536" xr:uid="{00000000-0005-0000-0000-0000B6580000}"/>
    <cellStyle name="Note 2 4 2 8 7" xfId="23537" xr:uid="{00000000-0005-0000-0000-0000B7580000}"/>
    <cellStyle name="Note 2 4 2 8 8" xfId="23538" xr:uid="{00000000-0005-0000-0000-0000B8580000}"/>
    <cellStyle name="Note 2 4 2 8 9" xfId="23539" xr:uid="{00000000-0005-0000-0000-0000B9580000}"/>
    <cellStyle name="Note 2 4 2 9" xfId="23540" xr:uid="{00000000-0005-0000-0000-0000BA580000}"/>
    <cellStyle name="Note 2 4 20" xfId="23541" xr:uid="{00000000-0005-0000-0000-0000BB580000}"/>
    <cellStyle name="Note 2 4 21" xfId="23542" xr:uid="{00000000-0005-0000-0000-0000BC580000}"/>
    <cellStyle name="Note 2 4 22" xfId="23543" xr:uid="{00000000-0005-0000-0000-0000BD580000}"/>
    <cellStyle name="Note 2 4 23" xfId="23544" xr:uid="{00000000-0005-0000-0000-0000BE580000}"/>
    <cellStyle name="Note 2 4 24" xfId="23545" xr:uid="{00000000-0005-0000-0000-0000BF580000}"/>
    <cellStyle name="Note 2 4 3" xfId="23546" xr:uid="{00000000-0005-0000-0000-0000C0580000}"/>
    <cellStyle name="Note 2 4 3 10" xfId="23547" xr:uid="{00000000-0005-0000-0000-0000C1580000}"/>
    <cellStyle name="Note 2 4 3 11" xfId="23548" xr:uid="{00000000-0005-0000-0000-0000C2580000}"/>
    <cellStyle name="Note 2 4 3 12" xfId="23549" xr:uid="{00000000-0005-0000-0000-0000C3580000}"/>
    <cellStyle name="Note 2 4 3 13" xfId="23550" xr:uid="{00000000-0005-0000-0000-0000C4580000}"/>
    <cellStyle name="Note 2 4 3 14" xfId="23551" xr:uid="{00000000-0005-0000-0000-0000C5580000}"/>
    <cellStyle name="Note 2 4 3 15" xfId="23552" xr:uid="{00000000-0005-0000-0000-0000C6580000}"/>
    <cellStyle name="Note 2 4 3 16" xfId="23553" xr:uid="{00000000-0005-0000-0000-0000C7580000}"/>
    <cellStyle name="Note 2 4 3 17" xfId="23554" xr:uid="{00000000-0005-0000-0000-0000C8580000}"/>
    <cellStyle name="Note 2 4 3 18" xfId="23555" xr:uid="{00000000-0005-0000-0000-0000C9580000}"/>
    <cellStyle name="Note 2 4 3 19" xfId="23556" xr:uid="{00000000-0005-0000-0000-0000CA580000}"/>
    <cellStyle name="Note 2 4 3 2" xfId="23557" xr:uid="{00000000-0005-0000-0000-0000CB580000}"/>
    <cellStyle name="Note 2 4 3 2 10" xfId="23558" xr:uid="{00000000-0005-0000-0000-0000CC580000}"/>
    <cellStyle name="Note 2 4 3 2 11" xfId="23559" xr:uid="{00000000-0005-0000-0000-0000CD580000}"/>
    <cellStyle name="Note 2 4 3 2 12" xfId="23560" xr:uid="{00000000-0005-0000-0000-0000CE580000}"/>
    <cellStyle name="Note 2 4 3 2 13" xfId="23561" xr:uid="{00000000-0005-0000-0000-0000CF580000}"/>
    <cellStyle name="Note 2 4 3 2 14" xfId="23562" xr:uid="{00000000-0005-0000-0000-0000D0580000}"/>
    <cellStyle name="Note 2 4 3 2 15" xfId="23563" xr:uid="{00000000-0005-0000-0000-0000D1580000}"/>
    <cellStyle name="Note 2 4 3 2 2" xfId="23564" xr:uid="{00000000-0005-0000-0000-0000D2580000}"/>
    <cellStyle name="Note 2 4 3 2 3" xfId="23565" xr:uid="{00000000-0005-0000-0000-0000D3580000}"/>
    <cellStyle name="Note 2 4 3 2 4" xfId="23566" xr:uid="{00000000-0005-0000-0000-0000D4580000}"/>
    <cellStyle name="Note 2 4 3 2 5" xfId="23567" xr:uid="{00000000-0005-0000-0000-0000D5580000}"/>
    <cellStyle name="Note 2 4 3 2 6" xfId="23568" xr:uid="{00000000-0005-0000-0000-0000D6580000}"/>
    <cellStyle name="Note 2 4 3 2 7" xfId="23569" xr:uid="{00000000-0005-0000-0000-0000D7580000}"/>
    <cellStyle name="Note 2 4 3 2 8" xfId="23570" xr:uid="{00000000-0005-0000-0000-0000D8580000}"/>
    <cellStyle name="Note 2 4 3 2 9" xfId="23571" xr:uid="{00000000-0005-0000-0000-0000D9580000}"/>
    <cellStyle name="Note 2 4 3 20" xfId="23572" xr:uid="{00000000-0005-0000-0000-0000DA580000}"/>
    <cellStyle name="Note 2 4 3 3" xfId="23573" xr:uid="{00000000-0005-0000-0000-0000DB580000}"/>
    <cellStyle name="Note 2 4 3 3 10" xfId="23574" xr:uid="{00000000-0005-0000-0000-0000DC580000}"/>
    <cellStyle name="Note 2 4 3 3 11" xfId="23575" xr:uid="{00000000-0005-0000-0000-0000DD580000}"/>
    <cellStyle name="Note 2 4 3 3 12" xfId="23576" xr:uid="{00000000-0005-0000-0000-0000DE580000}"/>
    <cellStyle name="Note 2 4 3 3 13" xfId="23577" xr:uid="{00000000-0005-0000-0000-0000DF580000}"/>
    <cellStyle name="Note 2 4 3 3 14" xfId="23578" xr:uid="{00000000-0005-0000-0000-0000E0580000}"/>
    <cellStyle name="Note 2 4 3 3 15" xfId="23579" xr:uid="{00000000-0005-0000-0000-0000E1580000}"/>
    <cellStyle name="Note 2 4 3 3 2" xfId="23580" xr:uid="{00000000-0005-0000-0000-0000E2580000}"/>
    <cellStyle name="Note 2 4 3 3 3" xfId="23581" xr:uid="{00000000-0005-0000-0000-0000E3580000}"/>
    <cellStyle name="Note 2 4 3 3 4" xfId="23582" xr:uid="{00000000-0005-0000-0000-0000E4580000}"/>
    <cellStyle name="Note 2 4 3 3 5" xfId="23583" xr:uid="{00000000-0005-0000-0000-0000E5580000}"/>
    <cellStyle name="Note 2 4 3 3 6" xfId="23584" xr:uid="{00000000-0005-0000-0000-0000E6580000}"/>
    <cellStyle name="Note 2 4 3 3 7" xfId="23585" xr:uid="{00000000-0005-0000-0000-0000E7580000}"/>
    <cellStyle name="Note 2 4 3 3 8" xfId="23586" xr:uid="{00000000-0005-0000-0000-0000E8580000}"/>
    <cellStyle name="Note 2 4 3 3 9" xfId="23587" xr:uid="{00000000-0005-0000-0000-0000E9580000}"/>
    <cellStyle name="Note 2 4 3 4" xfId="23588" xr:uid="{00000000-0005-0000-0000-0000EA580000}"/>
    <cellStyle name="Note 2 4 3 4 10" xfId="23589" xr:uid="{00000000-0005-0000-0000-0000EB580000}"/>
    <cellStyle name="Note 2 4 3 4 11" xfId="23590" xr:uid="{00000000-0005-0000-0000-0000EC580000}"/>
    <cellStyle name="Note 2 4 3 4 12" xfId="23591" xr:uid="{00000000-0005-0000-0000-0000ED580000}"/>
    <cellStyle name="Note 2 4 3 4 13" xfId="23592" xr:uid="{00000000-0005-0000-0000-0000EE580000}"/>
    <cellStyle name="Note 2 4 3 4 14" xfId="23593" xr:uid="{00000000-0005-0000-0000-0000EF580000}"/>
    <cellStyle name="Note 2 4 3 4 15" xfId="23594" xr:uid="{00000000-0005-0000-0000-0000F0580000}"/>
    <cellStyle name="Note 2 4 3 4 2" xfId="23595" xr:uid="{00000000-0005-0000-0000-0000F1580000}"/>
    <cellStyle name="Note 2 4 3 4 3" xfId="23596" xr:uid="{00000000-0005-0000-0000-0000F2580000}"/>
    <cellStyle name="Note 2 4 3 4 4" xfId="23597" xr:uid="{00000000-0005-0000-0000-0000F3580000}"/>
    <cellStyle name="Note 2 4 3 4 5" xfId="23598" xr:uid="{00000000-0005-0000-0000-0000F4580000}"/>
    <cellStyle name="Note 2 4 3 4 6" xfId="23599" xr:uid="{00000000-0005-0000-0000-0000F5580000}"/>
    <cellStyle name="Note 2 4 3 4 7" xfId="23600" xr:uid="{00000000-0005-0000-0000-0000F6580000}"/>
    <cellStyle name="Note 2 4 3 4 8" xfId="23601" xr:uid="{00000000-0005-0000-0000-0000F7580000}"/>
    <cellStyle name="Note 2 4 3 4 9" xfId="23602" xr:uid="{00000000-0005-0000-0000-0000F8580000}"/>
    <cellStyle name="Note 2 4 3 5" xfId="23603" xr:uid="{00000000-0005-0000-0000-0000F9580000}"/>
    <cellStyle name="Note 2 4 3 5 10" xfId="23604" xr:uid="{00000000-0005-0000-0000-0000FA580000}"/>
    <cellStyle name="Note 2 4 3 5 11" xfId="23605" xr:uid="{00000000-0005-0000-0000-0000FB580000}"/>
    <cellStyle name="Note 2 4 3 5 12" xfId="23606" xr:uid="{00000000-0005-0000-0000-0000FC580000}"/>
    <cellStyle name="Note 2 4 3 5 13" xfId="23607" xr:uid="{00000000-0005-0000-0000-0000FD580000}"/>
    <cellStyle name="Note 2 4 3 5 14" xfId="23608" xr:uid="{00000000-0005-0000-0000-0000FE580000}"/>
    <cellStyle name="Note 2 4 3 5 15" xfId="23609" xr:uid="{00000000-0005-0000-0000-0000FF580000}"/>
    <cellStyle name="Note 2 4 3 5 2" xfId="23610" xr:uid="{00000000-0005-0000-0000-000000590000}"/>
    <cellStyle name="Note 2 4 3 5 3" xfId="23611" xr:uid="{00000000-0005-0000-0000-000001590000}"/>
    <cellStyle name="Note 2 4 3 5 4" xfId="23612" xr:uid="{00000000-0005-0000-0000-000002590000}"/>
    <cellStyle name="Note 2 4 3 5 5" xfId="23613" xr:uid="{00000000-0005-0000-0000-000003590000}"/>
    <cellStyle name="Note 2 4 3 5 6" xfId="23614" xr:uid="{00000000-0005-0000-0000-000004590000}"/>
    <cellStyle name="Note 2 4 3 5 7" xfId="23615" xr:uid="{00000000-0005-0000-0000-000005590000}"/>
    <cellStyle name="Note 2 4 3 5 8" xfId="23616" xr:uid="{00000000-0005-0000-0000-000006590000}"/>
    <cellStyle name="Note 2 4 3 5 9" xfId="23617" xr:uid="{00000000-0005-0000-0000-000007590000}"/>
    <cellStyle name="Note 2 4 3 6" xfId="23618" xr:uid="{00000000-0005-0000-0000-000008590000}"/>
    <cellStyle name="Note 2 4 3 7" xfId="23619" xr:uid="{00000000-0005-0000-0000-000009590000}"/>
    <cellStyle name="Note 2 4 3 8" xfId="23620" xr:uid="{00000000-0005-0000-0000-00000A590000}"/>
    <cellStyle name="Note 2 4 3 9" xfId="23621" xr:uid="{00000000-0005-0000-0000-00000B590000}"/>
    <cellStyle name="Note 2 4 4" xfId="23622" xr:uid="{00000000-0005-0000-0000-00000C590000}"/>
    <cellStyle name="Note 2 4 4 10" xfId="23623" xr:uid="{00000000-0005-0000-0000-00000D590000}"/>
    <cellStyle name="Note 2 4 4 11" xfId="23624" xr:uid="{00000000-0005-0000-0000-00000E590000}"/>
    <cellStyle name="Note 2 4 4 12" xfId="23625" xr:uid="{00000000-0005-0000-0000-00000F590000}"/>
    <cellStyle name="Note 2 4 4 13" xfId="23626" xr:uid="{00000000-0005-0000-0000-000010590000}"/>
    <cellStyle name="Note 2 4 4 14" xfId="23627" xr:uid="{00000000-0005-0000-0000-000011590000}"/>
    <cellStyle name="Note 2 4 4 15" xfId="23628" xr:uid="{00000000-0005-0000-0000-000012590000}"/>
    <cellStyle name="Note 2 4 4 16" xfId="23629" xr:uid="{00000000-0005-0000-0000-000013590000}"/>
    <cellStyle name="Note 2 4 4 17" xfId="23630" xr:uid="{00000000-0005-0000-0000-000014590000}"/>
    <cellStyle name="Note 2 4 4 18" xfId="23631" xr:uid="{00000000-0005-0000-0000-000015590000}"/>
    <cellStyle name="Note 2 4 4 19" xfId="23632" xr:uid="{00000000-0005-0000-0000-000016590000}"/>
    <cellStyle name="Note 2 4 4 2" xfId="23633" xr:uid="{00000000-0005-0000-0000-000017590000}"/>
    <cellStyle name="Note 2 4 4 2 10" xfId="23634" xr:uid="{00000000-0005-0000-0000-000018590000}"/>
    <cellStyle name="Note 2 4 4 2 11" xfId="23635" xr:uid="{00000000-0005-0000-0000-000019590000}"/>
    <cellStyle name="Note 2 4 4 2 12" xfId="23636" xr:uid="{00000000-0005-0000-0000-00001A590000}"/>
    <cellStyle name="Note 2 4 4 2 13" xfId="23637" xr:uid="{00000000-0005-0000-0000-00001B590000}"/>
    <cellStyle name="Note 2 4 4 2 14" xfId="23638" xr:uid="{00000000-0005-0000-0000-00001C590000}"/>
    <cellStyle name="Note 2 4 4 2 15" xfId="23639" xr:uid="{00000000-0005-0000-0000-00001D590000}"/>
    <cellStyle name="Note 2 4 4 2 2" xfId="23640" xr:uid="{00000000-0005-0000-0000-00001E590000}"/>
    <cellStyle name="Note 2 4 4 2 3" xfId="23641" xr:uid="{00000000-0005-0000-0000-00001F590000}"/>
    <cellStyle name="Note 2 4 4 2 4" xfId="23642" xr:uid="{00000000-0005-0000-0000-000020590000}"/>
    <cellStyle name="Note 2 4 4 2 5" xfId="23643" xr:uid="{00000000-0005-0000-0000-000021590000}"/>
    <cellStyle name="Note 2 4 4 2 6" xfId="23644" xr:uid="{00000000-0005-0000-0000-000022590000}"/>
    <cellStyle name="Note 2 4 4 2 7" xfId="23645" xr:uid="{00000000-0005-0000-0000-000023590000}"/>
    <cellStyle name="Note 2 4 4 2 8" xfId="23646" xr:uid="{00000000-0005-0000-0000-000024590000}"/>
    <cellStyle name="Note 2 4 4 2 9" xfId="23647" xr:uid="{00000000-0005-0000-0000-000025590000}"/>
    <cellStyle name="Note 2 4 4 20" xfId="23648" xr:uid="{00000000-0005-0000-0000-000026590000}"/>
    <cellStyle name="Note 2 4 4 3" xfId="23649" xr:uid="{00000000-0005-0000-0000-000027590000}"/>
    <cellStyle name="Note 2 4 4 3 10" xfId="23650" xr:uid="{00000000-0005-0000-0000-000028590000}"/>
    <cellStyle name="Note 2 4 4 3 11" xfId="23651" xr:uid="{00000000-0005-0000-0000-000029590000}"/>
    <cellStyle name="Note 2 4 4 3 12" xfId="23652" xr:uid="{00000000-0005-0000-0000-00002A590000}"/>
    <cellStyle name="Note 2 4 4 3 13" xfId="23653" xr:uid="{00000000-0005-0000-0000-00002B590000}"/>
    <cellStyle name="Note 2 4 4 3 14" xfId="23654" xr:uid="{00000000-0005-0000-0000-00002C590000}"/>
    <cellStyle name="Note 2 4 4 3 15" xfId="23655" xr:uid="{00000000-0005-0000-0000-00002D590000}"/>
    <cellStyle name="Note 2 4 4 3 2" xfId="23656" xr:uid="{00000000-0005-0000-0000-00002E590000}"/>
    <cellStyle name="Note 2 4 4 3 3" xfId="23657" xr:uid="{00000000-0005-0000-0000-00002F590000}"/>
    <cellStyle name="Note 2 4 4 3 4" xfId="23658" xr:uid="{00000000-0005-0000-0000-000030590000}"/>
    <cellStyle name="Note 2 4 4 3 5" xfId="23659" xr:uid="{00000000-0005-0000-0000-000031590000}"/>
    <cellStyle name="Note 2 4 4 3 6" xfId="23660" xr:uid="{00000000-0005-0000-0000-000032590000}"/>
    <cellStyle name="Note 2 4 4 3 7" xfId="23661" xr:uid="{00000000-0005-0000-0000-000033590000}"/>
    <cellStyle name="Note 2 4 4 3 8" xfId="23662" xr:uid="{00000000-0005-0000-0000-000034590000}"/>
    <cellStyle name="Note 2 4 4 3 9" xfId="23663" xr:uid="{00000000-0005-0000-0000-000035590000}"/>
    <cellStyle name="Note 2 4 4 4" xfId="23664" xr:uid="{00000000-0005-0000-0000-000036590000}"/>
    <cellStyle name="Note 2 4 4 4 10" xfId="23665" xr:uid="{00000000-0005-0000-0000-000037590000}"/>
    <cellStyle name="Note 2 4 4 4 11" xfId="23666" xr:uid="{00000000-0005-0000-0000-000038590000}"/>
    <cellStyle name="Note 2 4 4 4 12" xfId="23667" xr:uid="{00000000-0005-0000-0000-000039590000}"/>
    <cellStyle name="Note 2 4 4 4 13" xfId="23668" xr:uid="{00000000-0005-0000-0000-00003A590000}"/>
    <cellStyle name="Note 2 4 4 4 14" xfId="23669" xr:uid="{00000000-0005-0000-0000-00003B590000}"/>
    <cellStyle name="Note 2 4 4 4 15" xfId="23670" xr:uid="{00000000-0005-0000-0000-00003C590000}"/>
    <cellStyle name="Note 2 4 4 4 2" xfId="23671" xr:uid="{00000000-0005-0000-0000-00003D590000}"/>
    <cellStyle name="Note 2 4 4 4 3" xfId="23672" xr:uid="{00000000-0005-0000-0000-00003E590000}"/>
    <cellStyle name="Note 2 4 4 4 4" xfId="23673" xr:uid="{00000000-0005-0000-0000-00003F590000}"/>
    <cellStyle name="Note 2 4 4 4 5" xfId="23674" xr:uid="{00000000-0005-0000-0000-000040590000}"/>
    <cellStyle name="Note 2 4 4 4 6" xfId="23675" xr:uid="{00000000-0005-0000-0000-000041590000}"/>
    <cellStyle name="Note 2 4 4 4 7" xfId="23676" xr:uid="{00000000-0005-0000-0000-000042590000}"/>
    <cellStyle name="Note 2 4 4 4 8" xfId="23677" xr:uid="{00000000-0005-0000-0000-000043590000}"/>
    <cellStyle name="Note 2 4 4 4 9" xfId="23678" xr:uid="{00000000-0005-0000-0000-000044590000}"/>
    <cellStyle name="Note 2 4 4 5" xfId="23679" xr:uid="{00000000-0005-0000-0000-000045590000}"/>
    <cellStyle name="Note 2 4 4 5 10" xfId="23680" xr:uid="{00000000-0005-0000-0000-000046590000}"/>
    <cellStyle name="Note 2 4 4 5 11" xfId="23681" xr:uid="{00000000-0005-0000-0000-000047590000}"/>
    <cellStyle name="Note 2 4 4 5 12" xfId="23682" xr:uid="{00000000-0005-0000-0000-000048590000}"/>
    <cellStyle name="Note 2 4 4 5 13" xfId="23683" xr:uid="{00000000-0005-0000-0000-000049590000}"/>
    <cellStyle name="Note 2 4 4 5 14" xfId="23684" xr:uid="{00000000-0005-0000-0000-00004A590000}"/>
    <cellStyle name="Note 2 4 4 5 15" xfId="23685" xr:uid="{00000000-0005-0000-0000-00004B590000}"/>
    <cellStyle name="Note 2 4 4 5 2" xfId="23686" xr:uid="{00000000-0005-0000-0000-00004C590000}"/>
    <cellStyle name="Note 2 4 4 5 3" xfId="23687" xr:uid="{00000000-0005-0000-0000-00004D590000}"/>
    <cellStyle name="Note 2 4 4 5 4" xfId="23688" xr:uid="{00000000-0005-0000-0000-00004E590000}"/>
    <cellStyle name="Note 2 4 4 5 5" xfId="23689" xr:uid="{00000000-0005-0000-0000-00004F590000}"/>
    <cellStyle name="Note 2 4 4 5 6" xfId="23690" xr:uid="{00000000-0005-0000-0000-000050590000}"/>
    <cellStyle name="Note 2 4 4 5 7" xfId="23691" xr:uid="{00000000-0005-0000-0000-000051590000}"/>
    <cellStyle name="Note 2 4 4 5 8" xfId="23692" xr:uid="{00000000-0005-0000-0000-000052590000}"/>
    <cellStyle name="Note 2 4 4 5 9" xfId="23693" xr:uid="{00000000-0005-0000-0000-000053590000}"/>
    <cellStyle name="Note 2 4 4 6" xfId="23694" xr:uid="{00000000-0005-0000-0000-000054590000}"/>
    <cellStyle name="Note 2 4 4 7" xfId="23695" xr:uid="{00000000-0005-0000-0000-000055590000}"/>
    <cellStyle name="Note 2 4 4 8" xfId="23696" xr:uid="{00000000-0005-0000-0000-000056590000}"/>
    <cellStyle name="Note 2 4 4 9" xfId="23697" xr:uid="{00000000-0005-0000-0000-000057590000}"/>
    <cellStyle name="Note 2 4 5" xfId="23698" xr:uid="{00000000-0005-0000-0000-000058590000}"/>
    <cellStyle name="Note 2 4 5 10" xfId="23699" xr:uid="{00000000-0005-0000-0000-000059590000}"/>
    <cellStyle name="Note 2 4 5 11" xfId="23700" xr:uid="{00000000-0005-0000-0000-00005A590000}"/>
    <cellStyle name="Note 2 4 5 12" xfId="23701" xr:uid="{00000000-0005-0000-0000-00005B590000}"/>
    <cellStyle name="Note 2 4 5 13" xfId="23702" xr:uid="{00000000-0005-0000-0000-00005C590000}"/>
    <cellStyle name="Note 2 4 5 14" xfId="23703" xr:uid="{00000000-0005-0000-0000-00005D590000}"/>
    <cellStyle name="Note 2 4 5 15" xfId="23704" xr:uid="{00000000-0005-0000-0000-00005E590000}"/>
    <cellStyle name="Note 2 4 5 16" xfId="23705" xr:uid="{00000000-0005-0000-0000-00005F590000}"/>
    <cellStyle name="Note 2 4 5 17" xfId="23706" xr:uid="{00000000-0005-0000-0000-000060590000}"/>
    <cellStyle name="Note 2 4 5 18" xfId="23707" xr:uid="{00000000-0005-0000-0000-000061590000}"/>
    <cellStyle name="Note 2 4 5 19" xfId="23708" xr:uid="{00000000-0005-0000-0000-000062590000}"/>
    <cellStyle name="Note 2 4 5 2" xfId="23709" xr:uid="{00000000-0005-0000-0000-000063590000}"/>
    <cellStyle name="Note 2 4 5 2 10" xfId="23710" xr:uid="{00000000-0005-0000-0000-000064590000}"/>
    <cellStyle name="Note 2 4 5 2 11" xfId="23711" xr:uid="{00000000-0005-0000-0000-000065590000}"/>
    <cellStyle name="Note 2 4 5 2 12" xfId="23712" xr:uid="{00000000-0005-0000-0000-000066590000}"/>
    <cellStyle name="Note 2 4 5 2 13" xfId="23713" xr:uid="{00000000-0005-0000-0000-000067590000}"/>
    <cellStyle name="Note 2 4 5 2 14" xfId="23714" xr:uid="{00000000-0005-0000-0000-000068590000}"/>
    <cellStyle name="Note 2 4 5 2 15" xfId="23715" xr:uid="{00000000-0005-0000-0000-000069590000}"/>
    <cellStyle name="Note 2 4 5 2 2" xfId="23716" xr:uid="{00000000-0005-0000-0000-00006A590000}"/>
    <cellStyle name="Note 2 4 5 2 3" xfId="23717" xr:uid="{00000000-0005-0000-0000-00006B590000}"/>
    <cellStyle name="Note 2 4 5 2 4" xfId="23718" xr:uid="{00000000-0005-0000-0000-00006C590000}"/>
    <cellStyle name="Note 2 4 5 2 5" xfId="23719" xr:uid="{00000000-0005-0000-0000-00006D590000}"/>
    <cellStyle name="Note 2 4 5 2 6" xfId="23720" xr:uid="{00000000-0005-0000-0000-00006E590000}"/>
    <cellStyle name="Note 2 4 5 2 7" xfId="23721" xr:uid="{00000000-0005-0000-0000-00006F590000}"/>
    <cellStyle name="Note 2 4 5 2 8" xfId="23722" xr:uid="{00000000-0005-0000-0000-000070590000}"/>
    <cellStyle name="Note 2 4 5 2 9" xfId="23723" xr:uid="{00000000-0005-0000-0000-000071590000}"/>
    <cellStyle name="Note 2 4 5 20" xfId="23724" xr:uid="{00000000-0005-0000-0000-000072590000}"/>
    <cellStyle name="Note 2 4 5 3" xfId="23725" xr:uid="{00000000-0005-0000-0000-000073590000}"/>
    <cellStyle name="Note 2 4 5 3 10" xfId="23726" xr:uid="{00000000-0005-0000-0000-000074590000}"/>
    <cellStyle name="Note 2 4 5 3 11" xfId="23727" xr:uid="{00000000-0005-0000-0000-000075590000}"/>
    <cellStyle name="Note 2 4 5 3 12" xfId="23728" xr:uid="{00000000-0005-0000-0000-000076590000}"/>
    <cellStyle name="Note 2 4 5 3 13" xfId="23729" xr:uid="{00000000-0005-0000-0000-000077590000}"/>
    <cellStyle name="Note 2 4 5 3 14" xfId="23730" xr:uid="{00000000-0005-0000-0000-000078590000}"/>
    <cellStyle name="Note 2 4 5 3 15" xfId="23731" xr:uid="{00000000-0005-0000-0000-000079590000}"/>
    <cellStyle name="Note 2 4 5 3 2" xfId="23732" xr:uid="{00000000-0005-0000-0000-00007A590000}"/>
    <cellStyle name="Note 2 4 5 3 3" xfId="23733" xr:uid="{00000000-0005-0000-0000-00007B590000}"/>
    <cellStyle name="Note 2 4 5 3 4" xfId="23734" xr:uid="{00000000-0005-0000-0000-00007C590000}"/>
    <cellStyle name="Note 2 4 5 3 5" xfId="23735" xr:uid="{00000000-0005-0000-0000-00007D590000}"/>
    <cellStyle name="Note 2 4 5 3 6" xfId="23736" xr:uid="{00000000-0005-0000-0000-00007E590000}"/>
    <cellStyle name="Note 2 4 5 3 7" xfId="23737" xr:uid="{00000000-0005-0000-0000-00007F590000}"/>
    <cellStyle name="Note 2 4 5 3 8" xfId="23738" xr:uid="{00000000-0005-0000-0000-000080590000}"/>
    <cellStyle name="Note 2 4 5 3 9" xfId="23739" xr:uid="{00000000-0005-0000-0000-000081590000}"/>
    <cellStyle name="Note 2 4 5 4" xfId="23740" xr:uid="{00000000-0005-0000-0000-000082590000}"/>
    <cellStyle name="Note 2 4 5 4 10" xfId="23741" xr:uid="{00000000-0005-0000-0000-000083590000}"/>
    <cellStyle name="Note 2 4 5 4 11" xfId="23742" xr:uid="{00000000-0005-0000-0000-000084590000}"/>
    <cellStyle name="Note 2 4 5 4 12" xfId="23743" xr:uid="{00000000-0005-0000-0000-000085590000}"/>
    <cellStyle name="Note 2 4 5 4 13" xfId="23744" xr:uid="{00000000-0005-0000-0000-000086590000}"/>
    <cellStyle name="Note 2 4 5 4 14" xfId="23745" xr:uid="{00000000-0005-0000-0000-000087590000}"/>
    <cellStyle name="Note 2 4 5 4 15" xfId="23746" xr:uid="{00000000-0005-0000-0000-000088590000}"/>
    <cellStyle name="Note 2 4 5 4 2" xfId="23747" xr:uid="{00000000-0005-0000-0000-000089590000}"/>
    <cellStyle name="Note 2 4 5 4 3" xfId="23748" xr:uid="{00000000-0005-0000-0000-00008A590000}"/>
    <cellStyle name="Note 2 4 5 4 4" xfId="23749" xr:uid="{00000000-0005-0000-0000-00008B590000}"/>
    <cellStyle name="Note 2 4 5 4 5" xfId="23750" xr:uid="{00000000-0005-0000-0000-00008C590000}"/>
    <cellStyle name="Note 2 4 5 4 6" xfId="23751" xr:uid="{00000000-0005-0000-0000-00008D590000}"/>
    <cellStyle name="Note 2 4 5 4 7" xfId="23752" xr:uid="{00000000-0005-0000-0000-00008E590000}"/>
    <cellStyle name="Note 2 4 5 4 8" xfId="23753" xr:uid="{00000000-0005-0000-0000-00008F590000}"/>
    <cellStyle name="Note 2 4 5 4 9" xfId="23754" xr:uid="{00000000-0005-0000-0000-000090590000}"/>
    <cellStyle name="Note 2 4 5 5" xfId="23755" xr:uid="{00000000-0005-0000-0000-000091590000}"/>
    <cellStyle name="Note 2 4 5 5 10" xfId="23756" xr:uid="{00000000-0005-0000-0000-000092590000}"/>
    <cellStyle name="Note 2 4 5 5 11" xfId="23757" xr:uid="{00000000-0005-0000-0000-000093590000}"/>
    <cellStyle name="Note 2 4 5 5 12" xfId="23758" xr:uid="{00000000-0005-0000-0000-000094590000}"/>
    <cellStyle name="Note 2 4 5 5 13" xfId="23759" xr:uid="{00000000-0005-0000-0000-000095590000}"/>
    <cellStyle name="Note 2 4 5 5 14" xfId="23760" xr:uid="{00000000-0005-0000-0000-000096590000}"/>
    <cellStyle name="Note 2 4 5 5 15" xfId="23761" xr:uid="{00000000-0005-0000-0000-000097590000}"/>
    <cellStyle name="Note 2 4 5 5 2" xfId="23762" xr:uid="{00000000-0005-0000-0000-000098590000}"/>
    <cellStyle name="Note 2 4 5 5 3" xfId="23763" xr:uid="{00000000-0005-0000-0000-000099590000}"/>
    <cellStyle name="Note 2 4 5 5 4" xfId="23764" xr:uid="{00000000-0005-0000-0000-00009A590000}"/>
    <cellStyle name="Note 2 4 5 5 5" xfId="23765" xr:uid="{00000000-0005-0000-0000-00009B590000}"/>
    <cellStyle name="Note 2 4 5 5 6" xfId="23766" xr:uid="{00000000-0005-0000-0000-00009C590000}"/>
    <cellStyle name="Note 2 4 5 5 7" xfId="23767" xr:uid="{00000000-0005-0000-0000-00009D590000}"/>
    <cellStyle name="Note 2 4 5 5 8" xfId="23768" xr:uid="{00000000-0005-0000-0000-00009E590000}"/>
    <cellStyle name="Note 2 4 5 5 9" xfId="23769" xr:uid="{00000000-0005-0000-0000-00009F590000}"/>
    <cellStyle name="Note 2 4 5 6" xfId="23770" xr:uid="{00000000-0005-0000-0000-0000A0590000}"/>
    <cellStyle name="Note 2 4 5 7" xfId="23771" xr:uid="{00000000-0005-0000-0000-0000A1590000}"/>
    <cellStyle name="Note 2 4 5 8" xfId="23772" xr:uid="{00000000-0005-0000-0000-0000A2590000}"/>
    <cellStyle name="Note 2 4 5 9" xfId="23773" xr:uid="{00000000-0005-0000-0000-0000A3590000}"/>
    <cellStyle name="Note 2 4 6" xfId="23774" xr:uid="{00000000-0005-0000-0000-0000A4590000}"/>
    <cellStyle name="Note 2 4 6 10" xfId="23775" xr:uid="{00000000-0005-0000-0000-0000A5590000}"/>
    <cellStyle name="Note 2 4 6 11" xfId="23776" xr:uid="{00000000-0005-0000-0000-0000A6590000}"/>
    <cellStyle name="Note 2 4 6 12" xfId="23777" xr:uid="{00000000-0005-0000-0000-0000A7590000}"/>
    <cellStyle name="Note 2 4 6 13" xfId="23778" xr:uid="{00000000-0005-0000-0000-0000A8590000}"/>
    <cellStyle name="Note 2 4 6 14" xfId="23779" xr:uid="{00000000-0005-0000-0000-0000A9590000}"/>
    <cellStyle name="Note 2 4 6 15" xfId="23780" xr:uid="{00000000-0005-0000-0000-0000AA590000}"/>
    <cellStyle name="Note 2 4 6 2" xfId="23781" xr:uid="{00000000-0005-0000-0000-0000AB590000}"/>
    <cellStyle name="Note 2 4 6 3" xfId="23782" xr:uid="{00000000-0005-0000-0000-0000AC590000}"/>
    <cellStyle name="Note 2 4 6 4" xfId="23783" xr:uid="{00000000-0005-0000-0000-0000AD590000}"/>
    <cellStyle name="Note 2 4 6 5" xfId="23784" xr:uid="{00000000-0005-0000-0000-0000AE590000}"/>
    <cellStyle name="Note 2 4 6 6" xfId="23785" xr:uid="{00000000-0005-0000-0000-0000AF590000}"/>
    <cellStyle name="Note 2 4 6 7" xfId="23786" xr:uid="{00000000-0005-0000-0000-0000B0590000}"/>
    <cellStyle name="Note 2 4 6 8" xfId="23787" xr:uid="{00000000-0005-0000-0000-0000B1590000}"/>
    <cellStyle name="Note 2 4 6 9" xfId="23788" xr:uid="{00000000-0005-0000-0000-0000B2590000}"/>
    <cellStyle name="Note 2 4 7" xfId="23789" xr:uid="{00000000-0005-0000-0000-0000B3590000}"/>
    <cellStyle name="Note 2 4 7 10" xfId="23790" xr:uid="{00000000-0005-0000-0000-0000B4590000}"/>
    <cellStyle name="Note 2 4 7 11" xfId="23791" xr:uid="{00000000-0005-0000-0000-0000B5590000}"/>
    <cellStyle name="Note 2 4 7 12" xfId="23792" xr:uid="{00000000-0005-0000-0000-0000B6590000}"/>
    <cellStyle name="Note 2 4 7 13" xfId="23793" xr:uid="{00000000-0005-0000-0000-0000B7590000}"/>
    <cellStyle name="Note 2 4 7 14" xfId="23794" xr:uid="{00000000-0005-0000-0000-0000B8590000}"/>
    <cellStyle name="Note 2 4 7 15" xfId="23795" xr:uid="{00000000-0005-0000-0000-0000B9590000}"/>
    <cellStyle name="Note 2 4 7 2" xfId="23796" xr:uid="{00000000-0005-0000-0000-0000BA590000}"/>
    <cellStyle name="Note 2 4 7 3" xfId="23797" xr:uid="{00000000-0005-0000-0000-0000BB590000}"/>
    <cellStyle name="Note 2 4 7 4" xfId="23798" xr:uid="{00000000-0005-0000-0000-0000BC590000}"/>
    <cellStyle name="Note 2 4 7 5" xfId="23799" xr:uid="{00000000-0005-0000-0000-0000BD590000}"/>
    <cellStyle name="Note 2 4 7 6" xfId="23800" xr:uid="{00000000-0005-0000-0000-0000BE590000}"/>
    <cellStyle name="Note 2 4 7 7" xfId="23801" xr:uid="{00000000-0005-0000-0000-0000BF590000}"/>
    <cellStyle name="Note 2 4 7 8" xfId="23802" xr:uid="{00000000-0005-0000-0000-0000C0590000}"/>
    <cellStyle name="Note 2 4 7 9" xfId="23803" xr:uid="{00000000-0005-0000-0000-0000C1590000}"/>
    <cellStyle name="Note 2 4 8" xfId="23804" xr:uid="{00000000-0005-0000-0000-0000C2590000}"/>
    <cellStyle name="Note 2 4 8 10" xfId="23805" xr:uid="{00000000-0005-0000-0000-0000C3590000}"/>
    <cellStyle name="Note 2 4 8 11" xfId="23806" xr:uid="{00000000-0005-0000-0000-0000C4590000}"/>
    <cellStyle name="Note 2 4 8 12" xfId="23807" xr:uid="{00000000-0005-0000-0000-0000C5590000}"/>
    <cellStyle name="Note 2 4 8 13" xfId="23808" xr:uid="{00000000-0005-0000-0000-0000C6590000}"/>
    <cellStyle name="Note 2 4 8 14" xfId="23809" xr:uid="{00000000-0005-0000-0000-0000C7590000}"/>
    <cellStyle name="Note 2 4 8 15" xfId="23810" xr:uid="{00000000-0005-0000-0000-0000C8590000}"/>
    <cellStyle name="Note 2 4 8 2" xfId="23811" xr:uid="{00000000-0005-0000-0000-0000C9590000}"/>
    <cellStyle name="Note 2 4 8 3" xfId="23812" xr:uid="{00000000-0005-0000-0000-0000CA590000}"/>
    <cellStyle name="Note 2 4 8 4" xfId="23813" xr:uid="{00000000-0005-0000-0000-0000CB590000}"/>
    <cellStyle name="Note 2 4 8 5" xfId="23814" xr:uid="{00000000-0005-0000-0000-0000CC590000}"/>
    <cellStyle name="Note 2 4 8 6" xfId="23815" xr:uid="{00000000-0005-0000-0000-0000CD590000}"/>
    <cellStyle name="Note 2 4 8 7" xfId="23816" xr:uid="{00000000-0005-0000-0000-0000CE590000}"/>
    <cellStyle name="Note 2 4 8 8" xfId="23817" xr:uid="{00000000-0005-0000-0000-0000CF590000}"/>
    <cellStyle name="Note 2 4 8 9" xfId="23818" xr:uid="{00000000-0005-0000-0000-0000D0590000}"/>
    <cellStyle name="Note 2 4 9" xfId="23819" xr:uid="{00000000-0005-0000-0000-0000D1590000}"/>
    <cellStyle name="Note 2 4 9 10" xfId="23820" xr:uid="{00000000-0005-0000-0000-0000D2590000}"/>
    <cellStyle name="Note 2 4 9 11" xfId="23821" xr:uid="{00000000-0005-0000-0000-0000D3590000}"/>
    <cellStyle name="Note 2 4 9 12" xfId="23822" xr:uid="{00000000-0005-0000-0000-0000D4590000}"/>
    <cellStyle name="Note 2 4 9 13" xfId="23823" xr:uid="{00000000-0005-0000-0000-0000D5590000}"/>
    <cellStyle name="Note 2 4 9 14" xfId="23824" xr:uid="{00000000-0005-0000-0000-0000D6590000}"/>
    <cellStyle name="Note 2 4 9 15" xfId="23825" xr:uid="{00000000-0005-0000-0000-0000D7590000}"/>
    <cellStyle name="Note 2 4 9 2" xfId="23826" xr:uid="{00000000-0005-0000-0000-0000D8590000}"/>
    <cellStyle name="Note 2 4 9 3" xfId="23827" xr:uid="{00000000-0005-0000-0000-0000D9590000}"/>
    <cellStyle name="Note 2 4 9 4" xfId="23828" xr:uid="{00000000-0005-0000-0000-0000DA590000}"/>
    <cellStyle name="Note 2 4 9 5" xfId="23829" xr:uid="{00000000-0005-0000-0000-0000DB590000}"/>
    <cellStyle name="Note 2 4 9 6" xfId="23830" xr:uid="{00000000-0005-0000-0000-0000DC590000}"/>
    <cellStyle name="Note 2 4 9 7" xfId="23831" xr:uid="{00000000-0005-0000-0000-0000DD590000}"/>
    <cellStyle name="Note 2 4 9 8" xfId="23832" xr:uid="{00000000-0005-0000-0000-0000DE590000}"/>
    <cellStyle name="Note 2 4 9 9" xfId="23833" xr:uid="{00000000-0005-0000-0000-0000DF590000}"/>
    <cellStyle name="Note 2 5" xfId="23834" xr:uid="{00000000-0005-0000-0000-0000E0590000}"/>
    <cellStyle name="Note 2 5 10" xfId="23835" xr:uid="{00000000-0005-0000-0000-0000E1590000}"/>
    <cellStyle name="Note 2 5 11" xfId="23836" xr:uid="{00000000-0005-0000-0000-0000E2590000}"/>
    <cellStyle name="Note 2 5 12" xfId="23837" xr:uid="{00000000-0005-0000-0000-0000E3590000}"/>
    <cellStyle name="Note 2 5 13" xfId="23838" xr:uid="{00000000-0005-0000-0000-0000E4590000}"/>
    <cellStyle name="Note 2 5 14" xfId="23839" xr:uid="{00000000-0005-0000-0000-0000E5590000}"/>
    <cellStyle name="Note 2 5 15" xfId="23840" xr:uid="{00000000-0005-0000-0000-0000E6590000}"/>
    <cellStyle name="Note 2 5 16" xfId="23841" xr:uid="{00000000-0005-0000-0000-0000E7590000}"/>
    <cellStyle name="Note 2 5 17" xfId="23842" xr:uid="{00000000-0005-0000-0000-0000E8590000}"/>
    <cellStyle name="Note 2 5 18" xfId="23843" xr:uid="{00000000-0005-0000-0000-0000E9590000}"/>
    <cellStyle name="Note 2 5 19" xfId="23844" xr:uid="{00000000-0005-0000-0000-0000EA590000}"/>
    <cellStyle name="Note 2 5 2" xfId="23845" xr:uid="{00000000-0005-0000-0000-0000EB590000}"/>
    <cellStyle name="Note 2 5 2 10" xfId="23846" xr:uid="{00000000-0005-0000-0000-0000EC590000}"/>
    <cellStyle name="Note 2 5 2 11" xfId="23847" xr:uid="{00000000-0005-0000-0000-0000ED590000}"/>
    <cellStyle name="Note 2 5 2 12" xfId="23848" xr:uid="{00000000-0005-0000-0000-0000EE590000}"/>
    <cellStyle name="Note 2 5 2 13" xfId="23849" xr:uid="{00000000-0005-0000-0000-0000EF590000}"/>
    <cellStyle name="Note 2 5 2 14" xfId="23850" xr:uid="{00000000-0005-0000-0000-0000F0590000}"/>
    <cellStyle name="Note 2 5 2 15" xfId="23851" xr:uid="{00000000-0005-0000-0000-0000F1590000}"/>
    <cellStyle name="Note 2 5 2 16" xfId="23852" xr:uid="{00000000-0005-0000-0000-0000F2590000}"/>
    <cellStyle name="Note 2 5 2 17" xfId="23853" xr:uid="{00000000-0005-0000-0000-0000F3590000}"/>
    <cellStyle name="Note 2 5 2 18" xfId="23854" xr:uid="{00000000-0005-0000-0000-0000F4590000}"/>
    <cellStyle name="Note 2 5 2 19" xfId="23855" xr:uid="{00000000-0005-0000-0000-0000F5590000}"/>
    <cellStyle name="Note 2 5 2 2" xfId="23856" xr:uid="{00000000-0005-0000-0000-0000F6590000}"/>
    <cellStyle name="Note 2 5 2 2 10" xfId="23857" xr:uid="{00000000-0005-0000-0000-0000F7590000}"/>
    <cellStyle name="Note 2 5 2 2 11" xfId="23858" xr:uid="{00000000-0005-0000-0000-0000F8590000}"/>
    <cellStyle name="Note 2 5 2 2 12" xfId="23859" xr:uid="{00000000-0005-0000-0000-0000F9590000}"/>
    <cellStyle name="Note 2 5 2 2 13" xfId="23860" xr:uid="{00000000-0005-0000-0000-0000FA590000}"/>
    <cellStyle name="Note 2 5 2 2 14" xfId="23861" xr:uid="{00000000-0005-0000-0000-0000FB590000}"/>
    <cellStyle name="Note 2 5 2 2 15" xfId="23862" xr:uid="{00000000-0005-0000-0000-0000FC590000}"/>
    <cellStyle name="Note 2 5 2 2 16" xfId="23863" xr:uid="{00000000-0005-0000-0000-0000FD590000}"/>
    <cellStyle name="Note 2 5 2 2 17" xfId="23864" xr:uid="{00000000-0005-0000-0000-0000FE590000}"/>
    <cellStyle name="Note 2 5 2 2 18" xfId="23865" xr:uid="{00000000-0005-0000-0000-0000FF590000}"/>
    <cellStyle name="Note 2 5 2 2 19" xfId="23866" xr:uid="{00000000-0005-0000-0000-0000005A0000}"/>
    <cellStyle name="Note 2 5 2 2 2" xfId="23867" xr:uid="{00000000-0005-0000-0000-0000015A0000}"/>
    <cellStyle name="Note 2 5 2 2 2 10" xfId="23868" xr:uid="{00000000-0005-0000-0000-0000025A0000}"/>
    <cellStyle name="Note 2 5 2 2 2 11" xfId="23869" xr:uid="{00000000-0005-0000-0000-0000035A0000}"/>
    <cellStyle name="Note 2 5 2 2 2 12" xfId="23870" xr:uid="{00000000-0005-0000-0000-0000045A0000}"/>
    <cellStyle name="Note 2 5 2 2 2 13" xfId="23871" xr:uid="{00000000-0005-0000-0000-0000055A0000}"/>
    <cellStyle name="Note 2 5 2 2 2 14" xfId="23872" xr:uid="{00000000-0005-0000-0000-0000065A0000}"/>
    <cellStyle name="Note 2 5 2 2 2 15" xfId="23873" xr:uid="{00000000-0005-0000-0000-0000075A0000}"/>
    <cellStyle name="Note 2 5 2 2 2 2" xfId="23874" xr:uid="{00000000-0005-0000-0000-0000085A0000}"/>
    <cellStyle name="Note 2 5 2 2 2 3" xfId="23875" xr:uid="{00000000-0005-0000-0000-0000095A0000}"/>
    <cellStyle name="Note 2 5 2 2 2 4" xfId="23876" xr:uid="{00000000-0005-0000-0000-00000A5A0000}"/>
    <cellStyle name="Note 2 5 2 2 2 5" xfId="23877" xr:uid="{00000000-0005-0000-0000-00000B5A0000}"/>
    <cellStyle name="Note 2 5 2 2 2 6" xfId="23878" xr:uid="{00000000-0005-0000-0000-00000C5A0000}"/>
    <cellStyle name="Note 2 5 2 2 2 7" xfId="23879" xr:uid="{00000000-0005-0000-0000-00000D5A0000}"/>
    <cellStyle name="Note 2 5 2 2 2 8" xfId="23880" xr:uid="{00000000-0005-0000-0000-00000E5A0000}"/>
    <cellStyle name="Note 2 5 2 2 2 9" xfId="23881" xr:uid="{00000000-0005-0000-0000-00000F5A0000}"/>
    <cellStyle name="Note 2 5 2 2 20" xfId="23882" xr:uid="{00000000-0005-0000-0000-0000105A0000}"/>
    <cellStyle name="Note 2 5 2 2 3" xfId="23883" xr:uid="{00000000-0005-0000-0000-0000115A0000}"/>
    <cellStyle name="Note 2 5 2 2 3 10" xfId="23884" xr:uid="{00000000-0005-0000-0000-0000125A0000}"/>
    <cellStyle name="Note 2 5 2 2 3 11" xfId="23885" xr:uid="{00000000-0005-0000-0000-0000135A0000}"/>
    <cellStyle name="Note 2 5 2 2 3 12" xfId="23886" xr:uid="{00000000-0005-0000-0000-0000145A0000}"/>
    <cellStyle name="Note 2 5 2 2 3 13" xfId="23887" xr:uid="{00000000-0005-0000-0000-0000155A0000}"/>
    <cellStyle name="Note 2 5 2 2 3 14" xfId="23888" xr:uid="{00000000-0005-0000-0000-0000165A0000}"/>
    <cellStyle name="Note 2 5 2 2 3 15" xfId="23889" xr:uid="{00000000-0005-0000-0000-0000175A0000}"/>
    <cellStyle name="Note 2 5 2 2 3 2" xfId="23890" xr:uid="{00000000-0005-0000-0000-0000185A0000}"/>
    <cellStyle name="Note 2 5 2 2 3 3" xfId="23891" xr:uid="{00000000-0005-0000-0000-0000195A0000}"/>
    <cellStyle name="Note 2 5 2 2 3 4" xfId="23892" xr:uid="{00000000-0005-0000-0000-00001A5A0000}"/>
    <cellStyle name="Note 2 5 2 2 3 5" xfId="23893" xr:uid="{00000000-0005-0000-0000-00001B5A0000}"/>
    <cellStyle name="Note 2 5 2 2 3 6" xfId="23894" xr:uid="{00000000-0005-0000-0000-00001C5A0000}"/>
    <cellStyle name="Note 2 5 2 2 3 7" xfId="23895" xr:uid="{00000000-0005-0000-0000-00001D5A0000}"/>
    <cellStyle name="Note 2 5 2 2 3 8" xfId="23896" xr:uid="{00000000-0005-0000-0000-00001E5A0000}"/>
    <cellStyle name="Note 2 5 2 2 3 9" xfId="23897" xr:uid="{00000000-0005-0000-0000-00001F5A0000}"/>
    <cellStyle name="Note 2 5 2 2 4" xfId="23898" xr:uid="{00000000-0005-0000-0000-0000205A0000}"/>
    <cellStyle name="Note 2 5 2 2 4 10" xfId="23899" xr:uid="{00000000-0005-0000-0000-0000215A0000}"/>
    <cellStyle name="Note 2 5 2 2 4 11" xfId="23900" xr:uid="{00000000-0005-0000-0000-0000225A0000}"/>
    <cellStyle name="Note 2 5 2 2 4 12" xfId="23901" xr:uid="{00000000-0005-0000-0000-0000235A0000}"/>
    <cellStyle name="Note 2 5 2 2 4 13" xfId="23902" xr:uid="{00000000-0005-0000-0000-0000245A0000}"/>
    <cellStyle name="Note 2 5 2 2 4 14" xfId="23903" xr:uid="{00000000-0005-0000-0000-0000255A0000}"/>
    <cellStyle name="Note 2 5 2 2 4 15" xfId="23904" xr:uid="{00000000-0005-0000-0000-0000265A0000}"/>
    <cellStyle name="Note 2 5 2 2 4 2" xfId="23905" xr:uid="{00000000-0005-0000-0000-0000275A0000}"/>
    <cellStyle name="Note 2 5 2 2 4 3" xfId="23906" xr:uid="{00000000-0005-0000-0000-0000285A0000}"/>
    <cellStyle name="Note 2 5 2 2 4 4" xfId="23907" xr:uid="{00000000-0005-0000-0000-0000295A0000}"/>
    <cellStyle name="Note 2 5 2 2 4 5" xfId="23908" xr:uid="{00000000-0005-0000-0000-00002A5A0000}"/>
    <cellStyle name="Note 2 5 2 2 4 6" xfId="23909" xr:uid="{00000000-0005-0000-0000-00002B5A0000}"/>
    <cellStyle name="Note 2 5 2 2 4 7" xfId="23910" xr:uid="{00000000-0005-0000-0000-00002C5A0000}"/>
    <cellStyle name="Note 2 5 2 2 4 8" xfId="23911" xr:uid="{00000000-0005-0000-0000-00002D5A0000}"/>
    <cellStyle name="Note 2 5 2 2 4 9" xfId="23912" xr:uid="{00000000-0005-0000-0000-00002E5A0000}"/>
    <cellStyle name="Note 2 5 2 2 5" xfId="23913" xr:uid="{00000000-0005-0000-0000-00002F5A0000}"/>
    <cellStyle name="Note 2 5 2 2 5 10" xfId="23914" xr:uid="{00000000-0005-0000-0000-0000305A0000}"/>
    <cellStyle name="Note 2 5 2 2 5 11" xfId="23915" xr:uid="{00000000-0005-0000-0000-0000315A0000}"/>
    <cellStyle name="Note 2 5 2 2 5 12" xfId="23916" xr:uid="{00000000-0005-0000-0000-0000325A0000}"/>
    <cellStyle name="Note 2 5 2 2 5 13" xfId="23917" xr:uid="{00000000-0005-0000-0000-0000335A0000}"/>
    <cellStyle name="Note 2 5 2 2 5 14" xfId="23918" xr:uid="{00000000-0005-0000-0000-0000345A0000}"/>
    <cellStyle name="Note 2 5 2 2 5 15" xfId="23919" xr:uid="{00000000-0005-0000-0000-0000355A0000}"/>
    <cellStyle name="Note 2 5 2 2 5 2" xfId="23920" xr:uid="{00000000-0005-0000-0000-0000365A0000}"/>
    <cellStyle name="Note 2 5 2 2 5 3" xfId="23921" xr:uid="{00000000-0005-0000-0000-0000375A0000}"/>
    <cellStyle name="Note 2 5 2 2 5 4" xfId="23922" xr:uid="{00000000-0005-0000-0000-0000385A0000}"/>
    <cellStyle name="Note 2 5 2 2 5 5" xfId="23923" xr:uid="{00000000-0005-0000-0000-0000395A0000}"/>
    <cellStyle name="Note 2 5 2 2 5 6" xfId="23924" xr:uid="{00000000-0005-0000-0000-00003A5A0000}"/>
    <cellStyle name="Note 2 5 2 2 5 7" xfId="23925" xr:uid="{00000000-0005-0000-0000-00003B5A0000}"/>
    <cellStyle name="Note 2 5 2 2 5 8" xfId="23926" xr:uid="{00000000-0005-0000-0000-00003C5A0000}"/>
    <cellStyle name="Note 2 5 2 2 5 9" xfId="23927" xr:uid="{00000000-0005-0000-0000-00003D5A0000}"/>
    <cellStyle name="Note 2 5 2 2 6" xfId="23928" xr:uid="{00000000-0005-0000-0000-00003E5A0000}"/>
    <cellStyle name="Note 2 5 2 2 7" xfId="23929" xr:uid="{00000000-0005-0000-0000-00003F5A0000}"/>
    <cellStyle name="Note 2 5 2 2 8" xfId="23930" xr:uid="{00000000-0005-0000-0000-0000405A0000}"/>
    <cellStyle name="Note 2 5 2 2 9" xfId="23931" xr:uid="{00000000-0005-0000-0000-0000415A0000}"/>
    <cellStyle name="Note 2 5 2 20" xfId="23932" xr:uid="{00000000-0005-0000-0000-0000425A0000}"/>
    <cellStyle name="Note 2 5 2 21" xfId="23933" xr:uid="{00000000-0005-0000-0000-0000435A0000}"/>
    <cellStyle name="Note 2 5 2 22" xfId="23934" xr:uid="{00000000-0005-0000-0000-0000445A0000}"/>
    <cellStyle name="Note 2 5 2 23" xfId="23935" xr:uid="{00000000-0005-0000-0000-0000455A0000}"/>
    <cellStyle name="Note 2 5 2 3" xfId="23936" xr:uid="{00000000-0005-0000-0000-0000465A0000}"/>
    <cellStyle name="Note 2 5 2 3 10" xfId="23937" xr:uid="{00000000-0005-0000-0000-0000475A0000}"/>
    <cellStyle name="Note 2 5 2 3 11" xfId="23938" xr:uid="{00000000-0005-0000-0000-0000485A0000}"/>
    <cellStyle name="Note 2 5 2 3 12" xfId="23939" xr:uid="{00000000-0005-0000-0000-0000495A0000}"/>
    <cellStyle name="Note 2 5 2 3 13" xfId="23940" xr:uid="{00000000-0005-0000-0000-00004A5A0000}"/>
    <cellStyle name="Note 2 5 2 3 14" xfId="23941" xr:uid="{00000000-0005-0000-0000-00004B5A0000}"/>
    <cellStyle name="Note 2 5 2 3 15" xfId="23942" xr:uid="{00000000-0005-0000-0000-00004C5A0000}"/>
    <cellStyle name="Note 2 5 2 3 16" xfId="23943" xr:uid="{00000000-0005-0000-0000-00004D5A0000}"/>
    <cellStyle name="Note 2 5 2 3 17" xfId="23944" xr:uid="{00000000-0005-0000-0000-00004E5A0000}"/>
    <cellStyle name="Note 2 5 2 3 18" xfId="23945" xr:uid="{00000000-0005-0000-0000-00004F5A0000}"/>
    <cellStyle name="Note 2 5 2 3 19" xfId="23946" xr:uid="{00000000-0005-0000-0000-0000505A0000}"/>
    <cellStyle name="Note 2 5 2 3 2" xfId="23947" xr:uid="{00000000-0005-0000-0000-0000515A0000}"/>
    <cellStyle name="Note 2 5 2 3 2 10" xfId="23948" xr:uid="{00000000-0005-0000-0000-0000525A0000}"/>
    <cellStyle name="Note 2 5 2 3 2 11" xfId="23949" xr:uid="{00000000-0005-0000-0000-0000535A0000}"/>
    <cellStyle name="Note 2 5 2 3 2 12" xfId="23950" xr:uid="{00000000-0005-0000-0000-0000545A0000}"/>
    <cellStyle name="Note 2 5 2 3 2 13" xfId="23951" xr:uid="{00000000-0005-0000-0000-0000555A0000}"/>
    <cellStyle name="Note 2 5 2 3 2 14" xfId="23952" xr:uid="{00000000-0005-0000-0000-0000565A0000}"/>
    <cellStyle name="Note 2 5 2 3 2 15" xfId="23953" xr:uid="{00000000-0005-0000-0000-0000575A0000}"/>
    <cellStyle name="Note 2 5 2 3 2 2" xfId="23954" xr:uid="{00000000-0005-0000-0000-0000585A0000}"/>
    <cellStyle name="Note 2 5 2 3 2 3" xfId="23955" xr:uid="{00000000-0005-0000-0000-0000595A0000}"/>
    <cellStyle name="Note 2 5 2 3 2 4" xfId="23956" xr:uid="{00000000-0005-0000-0000-00005A5A0000}"/>
    <cellStyle name="Note 2 5 2 3 2 5" xfId="23957" xr:uid="{00000000-0005-0000-0000-00005B5A0000}"/>
    <cellStyle name="Note 2 5 2 3 2 6" xfId="23958" xr:uid="{00000000-0005-0000-0000-00005C5A0000}"/>
    <cellStyle name="Note 2 5 2 3 2 7" xfId="23959" xr:uid="{00000000-0005-0000-0000-00005D5A0000}"/>
    <cellStyle name="Note 2 5 2 3 2 8" xfId="23960" xr:uid="{00000000-0005-0000-0000-00005E5A0000}"/>
    <cellStyle name="Note 2 5 2 3 2 9" xfId="23961" xr:uid="{00000000-0005-0000-0000-00005F5A0000}"/>
    <cellStyle name="Note 2 5 2 3 20" xfId="23962" xr:uid="{00000000-0005-0000-0000-0000605A0000}"/>
    <cellStyle name="Note 2 5 2 3 3" xfId="23963" xr:uid="{00000000-0005-0000-0000-0000615A0000}"/>
    <cellStyle name="Note 2 5 2 3 3 10" xfId="23964" xr:uid="{00000000-0005-0000-0000-0000625A0000}"/>
    <cellStyle name="Note 2 5 2 3 3 11" xfId="23965" xr:uid="{00000000-0005-0000-0000-0000635A0000}"/>
    <cellStyle name="Note 2 5 2 3 3 12" xfId="23966" xr:uid="{00000000-0005-0000-0000-0000645A0000}"/>
    <cellStyle name="Note 2 5 2 3 3 13" xfId="23967" xr:uid="{00000000-0005-0000-0000-0000655A0000}"/>
    <cellStyle name="Note 2 5 2 3 3 14" xfId="23968" xr:uid="{00000000-0005-0000-0000-0000665A0000}"/>
    <cellStyle name="Note 2 5 2 3 3 15" xfId="23969" xr:uid="{00000000-0005-0000-0000-0000675A0000}"/>
    <cellStyle name="Note 2 5 2 3 3 2" xfId="23970" xr:uid="{00000000-0005-0000-0000-0000685A0000}"/>
    <cellStyle name="Note 2 5 2 3 3 3" xfId="23971" xr:uid="{00000000-0005-0000-0000-0000695A0000}"/>
    <cellStyle name="Note 2 5 2 3 3 4" xfId="23972" xr:uid="{00000000-0005-0000-0000-00006A5A0000}"/>
    <cellStyle name="Note 2 5 2 3 3 5" xfId="23973" xr:uid="{00000000-0005-0000-0000-00006B5A0000}"/>
    <cellStyle name="Note 2 5 2 3 3 6" xfId="23974" xr:uid="{00000000-0005-0000-0000-00006C5A0000}"/>
    <cellStyle name="Note 2 5 2 3 3 7" xfId="23975" xr:uid="{00000000-0005-0000-0000-00006D5A0000}"/>
    <cellStyle name="Note 2 5 2 3 3 8" xfId="23976" xr:uid="{00000000-0005-0000-0000-00006E5A0000}"/>
    <cellStyle name="Note 2 5 2 3 3 9" xfId="23977" xr:uid="{00000000-0005-0000-0000-00006F5A0000}"/>
    <cellStyle name="Note 2 5 2 3 4" xfId="23978" xr:uid="{00000000-0005-0000-0000-0000705A0000}"/>
    <cellStyle name="Note 2 5 2 3 4 10" xfId="23979" xr:uid="{00000000-0005-0000-0000-0000715A0000}"/>
    <cellStyle name="Note 2 5 2 3 4 11" xfId="23980" xr:uid="{00000000-0005-0000-0000-0000725A0000}"/>
    <cellStyle name="Note 2 5 2 3 4 12" xfId="23981" xr:uid="{00000000-0005-0000-0000-0000735A0000}"/>
    <cellStyle name="Note 2 5 2 3 4 13" xfId="23982" xr:uid="{00000000-0005-0000-0000-0000745A0000}"/>
    <cellStyle name="Note 2 5 2 3 4 14" xfId="23983" xr:uid="{00000000-0005-0000-0000-0000755A0000}"/>
    <cellStyle name="Note 2 5 2 3 4 15" xfId="23984" xr:uid="{00000000-0005-0000-0000-0000765A0000}"/>
    <cellStyle name="Note 2 5 2 3 4 2" xfId="23985" xr:uid="{00000000-0005-0000-0000-0000775A0000}"/>
    <cellStyle name="Note 2 5 2 3 4 3" xfId="23986" xr:uid="{00000000-0005-0000-0000-0000785A0000}"/>
    <cellStyle name="Note 2 5 2 3 4 4" xfId="23987" xr:uid="{00000000-0005-0000-0000-0000795A0000}"/>
    <cellStyle name="Note 2 5 2 3 4 5" xfId="23988" xr:uid="{00000000-0005-0000-0000-00007A5A0000}"/>
    <cellStyle name="Note 2 5 2 3 4 6" xfId="23989" xr:uid="{00000000-0005-0000-0000-00007B5A0000}"/>
    <cellStyle name="Note 2 5 2 3 4 7" xfId="23990" xr:uid="{00000000-0005-0000-0000-00007C5A0000}"/>
    <cellStyle name="Note 2 5 2 3 4 8" xfId="23991" xr:uid="{00000000-0005-0000-0000-00007D5A0000}"/>
    <cellStyle name="Note 2 5 2 3 4 9" xfId="23992" xr:uid="{00000000-0005-0000-0000-00007E5A0000}"/>
    <cellStyle name="Note 2 5 2 3 5" xfId="23993" xr:uid="{00000000-0005-0000-0000-00007F5A0000}"/>
    <cellStyle name="Note 2 5 2 3 5 10" xfId="23994" xr:uid="{00000000-0005-0000-0000-0000805A0000}"/>
    <cellStyle name="Note 2 5 2 3 5 11" xfId="23995" xr:uid="{00000000-0005-0000-0000-0000815A0000}"/>
    <cellStyle name="Note 2 5 2 3 5 12" xfId="23996" xr:uid="{00000000-0005-0000-0000-0000825A0000}"/>
    <cellStyle name="Note 2 5 2 3 5 13" xfId="23997" xr:uid="{00000000-0005-0000-0000-0000835A0000}"/>
    <cellStyle name="Note 2 5 2 3 5 14" xfId="23998" xr:uid="{00000000-0005-0000-0000-0000845A0000}"/>
    <cellStyle name="Note 2 5 2 3 5 15" xfId="23999" xr:uid="{00000000-0005-0000-0000-0000855A0000}"/>
    <cellStyle name="Note 2 5 2 3 5 2" xfId="24000" xr:uid="{00000000-0005-0000-0000-0000865A0000}"/>
    <cellStyle name="Note 2 5 2 3 5 3" xfId="24001" xr:uid="{00000000-0005-0000-0000-0000875A0000}"/>
    <cellStyle name="Note 2 5 2 3 5 4" xfId="24002" xr:uid="{00000000-0005-0000-0000-0000885A0000}"/>
    <cellStyle name="Note 2 5 2 3 5 5" xfId="24003" xr:uid="{00000000-0005-0000-0000-0000895A0000}"/>
    <cellStyle name="Note 2 5 2 3 5 6" xfId="24004" xr:uid="{00000000-0005-0000-0000-00008A5A0000}"/>
    <cellStyle name="Note 2 5 2 3 5 7" xfId="24005" xr:uid="{00000000-0005-0000-0000-00008B5A0000}"/>
    <cellStyle name="Note 2 5 2 3 5 8" xfId="24006" xr:uid="{00000000-0005-0000-0000-00008C5A0000}"/>
    <cellStyle name="Note 2 5 2 3 5 9" xfId="24007" xr:uid="{00000000-0005-0000-0000-00008D5A0000}"/>
    <cellStyle name="Note 2 5 2 3 6" xfId="24008" xr:uid="{00000000-0005-0000-0000-00008E5A0000}"/>
    <cellStyle name="Note 2 5 2 3 7" xfId="24009" xr:uid="{00000000-0005-0000-0000-00008F5A0000}"/>
    <cellStyle name="Note 2 5 2 3 8" xfId="24010" xr:uid="{00000000-0005-0000-0000-0000905A0000}"/>
    <cellStyle name="Note 2 5 2 3 9" xfId="24011" xr:uid="{00000000-0005-0000-0000-0000915A0000}"/>
    <cellStyle name="Note 2 5 2 4" xfId="24012" xr:uid="{00000000-0005-0000-0000-0000925A0000}"/>
    <cellStyle name="Note 2 5 2 4 10" xfId="24013" xr:uid="{00000000-0005-0000-0000-0000935A0000}"/>
    <cellStyle name="Note 2 5 2 4 11" xfId="24014" xr:uid="{00000000-0005-0000-0000-0000945A0000}"/>
    <cellStyle name="Note 2 5 2 4 12" xfId="24015" xr:uid="{00000000-0005-0000-0000-0000955A0000}"/>
    <cellStyle name="Note 2 5 2 4 13" xfId="24016" xr:uid="{00000000-0005-0000-0000-0000965A0000}"/>
    <cellStyle name="Note 2 5 2 4 14" xfId="24017" xr:uid="{00000000-0005-0000-0000-0000975A0000}"/>
    <cellStyle name="Note 2 5 2 4 15" xfId="24018" xr:uid="{00000000-0005-0000-0000-0000985A0000}"/>
    <cellStyle name="Note 2 5 2 4 16" xfId="24019" xr:uid="{00000000-0005-0000-0000-0000995A0000}"/>
    <cellStyle name="Note 2 5 2 4 17" xfId="24020" xr:uid="{00000000-0005-0000-0000-00009A5A0000}"/>
    <cellStyle name="Note 2 5 2 4 18" xfId="24021" xr:uid="{00000000-0005-0000-0000-00009B5A0000}"/>
    <cellStyle name="Note 2 5 2 4 19" xfId="24022" xr:uid="{00000000-0005-0000-0000-00009C5A0000}"/>
    <cellStyle name="Note 2 5 2 4 2" xfId="24023" xr:uid="{00000000-0005-0000-0000-00009D5A0000}"/>
    <cellStyle name="Note 2 5 2 4 2 10" xfId="24024" xr:uid="{00000000-0005-0000-0000-00009E5A0000}"/>
    <cellStyle name="Note 2 5 2 4 2 11" xfId="24025" xr:uid="{00000000-0005-0000-0000-00009F5A0000}"/>
    <cellStyle name="Note 2 5 2 4 2 12" xfId="24026" xr:uid="{00000000-0005-0000-0000-0000A05A0000}"/>
    <cellStyle name="Note 2 5 2 4 2 13" xfId="24027" xr:uid="{00000000-0005-0000-0000-0000A15A0000}"/>
    <cellStyle name="Note 2 5 2 4 2 14" xfId="24028" xr:uid="{00000000-0005-0000-0000-0000A25A0000}"/>
    <cellStyle name="Note 2 5 2 4 2 15" xfId="24029" xr:uid="{00000000-0005-0000-0000-0000A35A0000}"/>
    <cellStyle name="Note 2 5 2 4 2 2" xfId="24030" xr:uid="{00000000-0005-0000-0000-0000A45A0000}"/>
    <cellStyle name="Note 2 5 2 4 2 3" xfId="24031" xr:uid="{00000000-0005-0000-0000-0000A55A0000}"/>
    <cellStyle name="Note 2 5 2 4 2 4" xfId="24032" xr:uid="{00000000-0005-0000-0000-0000A65A0000}"/>
    <cellStyle name="Note 2 5 2 4 2 5" xfId="24033" xr:uid="{00000000-0005-0000-0000-0000A75A0000}"/>
    <cellStyle name="Note 2 5 2 4 2 6" xfId="24034" xr:uid="{00000000-0005-0000-0000-0000A85A0000}"/>
    <cellStyle name="Note 2 5 2 4 2 7" xfId="24035" xr:uid="{00000000-0005-0000-0000-0000A95A0000}"/>
    <cellStyle name="Note 2 5 2 4 2 8" xfId="24036" xr:uid="{00000000-0005-0000-0000-0000AA5A0000}"/>
    <cellStyle name="Note 2 5 2 4 2 9" xfId="24037" xr:uid="{00000000-0005-0000-0000-0000AB5A0000}"/>
    <cellStyle name="Note 2 5 2 4 20" xfId="24038" xr:uid="{00000000-0005-0000-0000-0000AC5A0000}"/>
    <cellStyle name="Note 2 5 2 4 3" xfId="24039" xr:uid="{00000000-0005-0000-0000-0000AD5A0000}"/>
    <cellStyle name="Note 2 5 2 4 3 10" xfId="24040" xr:uid="{00000000-0005-0000-0000-0000AE5A0000}"/>
    <cellStyle name="Note 2 5 2 4 3 11" xfId="24041" xr:uid="{00000000-0005-0000-0000-0000AF5A0000}"/>
    <cellStyle name="Note 2 5 2 4 3 12" xfId="24042" xr:uid="{00000000-0005-0000-0000-0000B05A0000}"/>
    <cellStyle name="Note 2 5 2 4 3 13" xfId="24043" xr:uid="{00000000-0005-0000-0000-0000B15A0000}"/>
    <cellStyle name="Note 2 5 2 4 3 14" xfId="24044" xr:uid="{00000000-0005-0000-0000-0000B25A0000}"/>
    <cellStyle name="Note 2 5 2 4 3 15" xfId="24045" xr:uid="{00000000-0005-0000-0000-0000B35A0000}"/>
    <cellStyle name="Note 2 5 2 4 3 2" xfId="24046" xr:uid="{00000000-0005-0000-0000-0000B45A0000}"/>
    <cellStyle name="Note 2 5 2 4 3 3" xfId="24047" xr:uid="{00000000-0005-0000-0000-0000B55A0000}"/>
    <cellStyle name="Note 2 5 2 4 3 4" xfId="24048" xr:uid="{00000000-0005-0000-0000-0000B65A0000}"/>
    <cellStyle name="Note 2 5 2 4 3 5" xfId="24049" xr:uid="{00000000-0005-0000-0000-0000B75A0000}"/>
    <cellStyle name="Note 2 5 2 4 3 6" xfId="24050" xr:uid="{00000000-0005-0000-0000-0000B85A0000}"/>
    <cellStyle name="Note 2 5 2 4 3 7" xfId="24051" xr:uid="{00000000-0005-0000-0000-0000B95A0000}"/>
    <cellStyle name="Note 2 5 2 4 3 8" xfId="24052" xr:uid="{00000000-0005-0000-0000-0000BA5A0000}"/>
    <cellStyle name="Note 2 5 2 4 3 9" xfId="24053" xr:uid="{00000000-0005-0000-0000-0000BB5A0000}"/>
    <cellStyle name="Note 2 5 2 4 4" xfId="24054" xr:uid="{00000000-0005-0000-0000-0000BC5A0000}"/>
    <cellStyle name="Note 2 5 2 4 4 10" xfId="24055" xr:uid="{00000000-0005-0000-0000-0000BD5A0000}"/>
    <cellStyle name="Note 2 5 2 4 4 11" xfId="24056" xr:uid="{00000000-0005-0000-0000-0000BE5A0000}"/>
    <cellStyle name="Note 2 5 2 4 4 12" xfId="24057" xr:uid="{00000000-0005-0000-0000-0000BF5A0000}"/>
    <cellStyle name="Note 2 5 2 4 4 13" xfId="24058" xr:uid="{00000000-0005-0000-0000-0000C05A0000}"/>
    <cellStyle name="Note 2 5 2 4 4 14" xfId="24059" xr:uid="{00000000-0005-0000-0000-0000C15A0000}"/>
    <cellStyle name="Note 2 5 2 4 4 15" xfId="24060" xr:uid="{00000000-0005-0000-0000-0000C25A0000}"/>
    <cellStyle name="Note 2 5 2 4 4 2" xfId="24061" xr:uid="{00000000-0005-0000-0000-0000C35A0000}"/>
    <cellStyle name="Note 2 5 2 4 4 3" xfId="24062" xr:uid="{00000000-0005-0000-0000-0000C45A0000}"/>
    <cellStyle name="Note 2 5 2 4 4 4" xfId="24063" xr:uid="{00000000-0005-0000-0000-0000C55A0000}"/>
    <cellStyle name="Note 2 5 2 4 4 5" xfId="24064" xr:uid="{00000000-0005-0000-0000-0000C65A0000}"/>
    <cellStyle name="Note 2 5 2 4 4 6" xfId="24065" xr:uid="{00000000-0005-0000-0000-0000C75A0000}"/>
    <cellStyle name="Note 2 5 2 4 4 7" xfId="24066" xr:uid="{00000000-0005-0000-0000-0000C85A0000}"/>
    <cellStyle name="Note 2 5 2 4 4 8" xfId="24067" xr:uid="{00000000-0005-0000-0000-0000C95A0000}"/>
    <cellStyle name="Note 2 5 2 4 4 9" xfId="24068" xr:uid="{00000000-0005-0000-0000-0000CA5A0000}"/>
    <cellStyle name="Note 2 5 2 4 5" xfId="24069" xr:uid="{00000000-0005-0000-0000-0000CB5A0000}"/>
    <cellStyle name="Note 2 5 2 4 5 10" xfId="24070" xr:uid="{00000000-0005-0000-0000-0000CC5A0000}"/>
    <cellStyle name="Note 2 5 2 4 5 11" xfId="24071" xr:uid="{00000000-0005-0000-0000-0000CD5A0000}"/>
    <cellStyle name="Note 2 5 2 4 5 12" xfId="24072" xr:uid="{00000000-0005-0000-0000-0000CE5A0000}"/>
    <cellStyle name="Note 2 5 2 4 5 13" xfId="24073" xr:uid="{00000000-0005-0000-0000-0000CF5A0000}"/>
    <cellStyle name="Note 2 5 2 4 5 14" xfId="24074" xr:uid="{00000000-0005-0000-0000-0000D05A0000}"/>
    <cellStyle name="Note 2 5 2 4 5 15" xfId="24075" xr:uid="{00000000-0005-0000-0000-0000D15A0000}"/>
    <cellStyle name="Note 2 5 2 4 5 2" xfId="24076" xr:uid="{00000000-0005-0000-0000-0000D25A0000}"/>
    <cellStyle name="Note 2 5 2 4 5 3" xfId="24077" xr:uid="{00000000-0005-0000-0000-0000D35A0000}"/>
    <cellStyle name="Note 2 5 2 4 5 4" xfId="24078" xr:uid="{00000000-0005-0000-0000-0000D45A0000}"/>
    <cellStyle name="Note 2 5 2 4 5 5" xfId="24079" xr:uid="{00000000-0005-0000-0000-0000D55A0000}"/>
    <cellStyle name="Note 2 5 2 4 5 6" xfId="24080" xr:uid="{00000000-0005-0000-0000-0000D65A0000}"/>
    <cellStyle name="Note 2 5 2 4 5 7" xfId="24081" xr:uid="{00000000-0005-0000-0000-0000D75A0000}"/>
    <cellStyle name="Note 2 5 2 4 5 8" xfId="24082" xr:uid="{00000000-0005-0000-0000-0000D85A0000}"/>
    <cellStyle name="Note 2 5 2 4 5 9" xfId="24083" xr:uid="{00000000-0005-0000-0000-0000D95A0000}"/>
    <cellStyle name="Note 2 5 2 4 6" xfId="24084" xr:uid="{00000000-0005-0000-0000-0000DA5A0000}"/>
    <cellStyle name="Note 2 5 2 4 7" xfId="24085" xr:uid="{00000000-0005-0000-0000-0000DB5A0000}"/>
    <cellStyle name="Note 2 5 2 4 8" xfId="24086" xr:uid="{00000000-0005-0000-0000-0000DC5A0000}"/>
    <cellStyle name="Note 2 5 2 4 9" xfId="24087" xr:uid="{00000000-0005-0000-0000-0000DD5A0000}"/>
    <cellStyle name="Note 2 5 2 5" xfId="24088" xr:uid="{00000000-0005-0000-0000-0000DE5A0000}"/>
    <cellStyle name="Note 2 5 2 5 10" xfId="24089" xr:uid="{00000000-0005-0000-0000-0000DF5A0000}"/>
    <cellStyle name="Note 2 5 2 5 11" xfId="24090" xr:uid="{00000000-0005-0000-0000-0000E05A0000}"/>
    <cellStyle name="Note 2 5 2 5 12" xfId="24091" xr:uid="{00000000-0005-0000-0000-0000E15A0000}"/>
    <cellStyle name="Note 2 5 2 5 13" xfId="24092" xr:uid="{00000000-0005-0000-0000-0000E25A0000}"/>
    <cellStyle name="Note 2 5 2 5 14" xfId="24093" xr:uid="{00000000-0005-0000-0000-0000E35A0000}"/>
    <cellStyle name="Note 2 5 2 5 15" xfId="24094" xr:uid="{00000000-0005-0000-0000-0000E45A0000}"/>
    <cellStyle name="Note 2 5 2 5 2" xfId="24095" xr:uid="{00000000-0005-0000-0000-0000E55A0000}"/>
    <cellStyle name="Note 2 5 2 5 3" xfId="24096" xr:uid="{00000000-0005-0000-0000-0000E65A0000}"/>
    <cellStyle name="Note 2 5 2 5 4" xfId="24097" xr:uid="{00000000-0005-0000-0000-0000E75A0000}"/>
    <cellStyle name="Note 2 5 2 5 5" xfId="24098" xr:uid="{00000000-0005-0000-0000-0000E85A0000}"/>
    <cellStyle name="Note 2 5 2 5 6" xfId="24099" xr:uid="{00000000-0005-0000-0000-0000E95A0000}"/>
    <cellStyle name="Note 2 5 2 5 7" xfId="24100" xr:uid="{00000000-0005-0000-0000-0000EA5A0000}"/>
    <cellStyle name="Note 2 5 2 5 8" xfId="24101" xr:uid="{00000000-0005-0000-0000-0000EB5A0000}"/>
    <cellStyle name="Note 2 5 2 5 9" xfId="24102" xr:uid="{00000000-0005-0000-0000-0000EC5A0000}"/>
    <cellStyle name="Note 2 5 2 6" xfId="24103" xr:uid="{00000000-0005-0000-0000-0000ED5A0000}"/>
    <cellStyle name="Note 2 5 2 6 10" xfId="24104" xr:uid="{00000000-0005-0000-0000-0000EE5A0000}"/>
    <cellStyle name="Note 2 5 2 6 11" xfId="24105" xr:uid="{00000000-0005-0000-0000-0000EF5A0000}"/>
    <cellStyle name="Note 2 5 2 6 12" xfId="24106" xr:uid="{00000000-0005-0000-0000-0000F05A0000}"/>
    <cellStyle name="Note 2 5 2 6 13" xfId="24107" xr:uid="{00000000-0005-0000-0000-0000F15A0000}"/>
    <cellStyle name="Note 2 5 2 6 14" xfId="24108" xr:uid="{00000000-0005-0000-0000-0000F25A0000}"/>
    <cellStyle name="Note 2 5 2 6 15" xfId="24109" xr:uid="{00000000-0005-0000-0000-0000F35A0000}"/>
    <cellStyle name="Note 2 5 2 6 2" xfId="24110" xr:uid="{00000000-0005-0000-0000-0000F45A0000}"/>
    <cellStyle name="Note 2 5 2 6 3" xfId="24111" xr:uid="{00000000-0005-0000-0000-0000F55A0000}"/>
    <cellStyle name="Note 2 5 2 6 4" xfId="24112" xr:uid="{00000000-0005-0000-0000-0000F65A0000}"/>
    <cellStyle name="Note 2 5 2 6 5" xfId="24113" xr:uid="{00000000-0005-0000-0000-0000F75A0000}"/>
    <cellStyle name="Note 2 5 2 6 6" xfId="24114" xr:uid="{00000000-0005-0000-0000-0000F85A0000}"/>
    <cellStyle name="Note 2 5 2 6 7" xfId="24115" xr:uid="{00000000-0005-0000-0000-0000F95A0000}"/>
    <cellStyle name="Note 2 5 2 6 8" xfId="24116" xr:uid="{00000000-0005-0000-0000-0000FA5A0000}"/>
    <cellStyle name="Note 2 5 2 6 9" xfId="24117" xr:uid="{00000000-0005-0000-0000-0000FB5A0000}"/>
    <cellStyle name="Note 2 5 2 7" xfId="24118" xr:uid="{00000000-0005-0000-0000-0000FC5A0000}"/>
    <cellStyle name="Note 2 5 2 7 10" xfId="24119" xr:uid="{00000000-0005-0000-0000-0000FD5A0000}"/>
    <cellStyle name="Note 2 5 2 7 11" xfId="24120" xr:uid="{00000000-0005-0000-0000-0000FE5A0000}"/>
    <cellStyle name="Note 2 5 2 7 12" xfId="24121" xr:uid="{00000000-0005-0000-0000-0000FF5A0000}"/>
    <cellStyle name="Note 2 5 2 7 13" xfId="24122" xr:uid="{00000000-0005-0000-0000-0000005B0000}"/>
    <cellStyle name="Note 2 5 2 7 14" xfId="24123" xr:uid="{00000000-0005-0000-0000-0000015B0000}"/>
    <cellStyle name="Note 2 5 2 7 15" xfId="24124" xr:uid="{00000000-0005-0000-0000-0000025B0000}"/>
    <cellStyle name="Note 2 5 2 7 2" xfId="24125" xr:uid="{00000000-0005-0000-0000-0000035B0000}"/>
    <cellStyle name="Note 2 5 2 7 3" xfId="24126" xr:uid="{00000000-0005-0000-0000-0000045B0000}"/>
    <cellStyle name="Note 2 5 2 7 4" xfId="24127" xr:uid="{00000000-0005-0000-0000-0000055B0000}"/>
    <cellStyle name="Note 2 5 2 7 5" xfId="24128" xr:uid="{00000000-0005-0000-0000-0000065B0000}"/>
    <cellStyle name="Note 2 5 2 7 6" xfId="24129" xr:uid="{00000000-0005-0000-0000-0000075B0000}"/>
    <cellStyle name="Note 2 5 2 7 7" xfId="24130" xr:uid="{00000000-0005-0000-0000-0000085B0000}"/>
    <cellStyle name="Note 2 5 2 7 8" xfId="24131" xr:uid="{00000000-0005-0000-0000-0000095B0000}"/>
    <cellStyle name="Note 2 5 2 7 9" xfId="24132" xr:uid="{00000000-0005-0000-0000-00000A5B0000}"/>
    <cellStyle name="Note 2 5 2 8" xfId="24133" xr:uid="{00000000-0005-0000-0000-00000B5B0000}"/>
    <cellStyle name="Note 2 5 2 8 10" xfId="24134" xr:uid="{00000000-0005-0000-0000-00000C5B0000}"/>
    <cellStyle name="Note 2 5 2 8 11" xfId="24135" xr:uid="{00000000-0005-0000-0000-00000D5B0000}"/>
    <cellStyle name="Note 2 5 2 8 12" xfId="24136" xr:uid="{00000000-0005-0000-0000-00000E5B0000}"/>
    <cellStyle name="Note 2 5 2 8 13" xfId="24137" xr:uid="{00000000-0005-0000-0000-00000F5B0000}"/>
    <cellStyle name="Note 2 5 2 8 14" xfId="24138" xr:uid="{00000000-0005-0000-0000-0000105B0000}"/>
    <cellStyle name="Note 2 5 2 8 15" xfId="24139" xr:uid="{00000000-0005-0000-0000-0000115B0000}"/>
    <cellStyle name="Note 2 5 2 8 2" xfId="24140" xr:uid="{00000000-0005-0000-0000-0000125B0000}"/>
    <cellStyle name="Note 2 5 2 8 3" xfId="24141" xr:uid="{00000000-0005-0000-0000-0000135B0000}"/>
    <cellStyle name="Note 2 5 2 8 4" xfId="24142" xr:uid="{00000000-0005-0000-0000-0000145B0000}"/>
    <cellStyle name="Note 2 5 2 8 5" xfId="24143" xr:uid="{00000000-0005-0000-0000-0000155B0000}"/>
    <cellStyle name="Note 2 5 2 8 6" xfId="24144" xr:uid="{00000000-0005-0000-0000-0000165B0000}"/>
    <cellStyle name="Note 2 5 2 8 7" xfId="24145" xr:uid="{00000000-0005-0000-0000-0000175B0000}"/>
    <cellStyle name="Note 2 5 2 8 8" xfId="24146" xr:uid="{00000000-0005-0000-0000-0000185B0000}"/>
    <cellStyle name="Note 2 5 2 8 9" xfId="24147" xr:uid="{00000000-0005-0000-0000-0000195B0000}"/>
    <cellStyle name="Note 2 5 2 9" xfId="24148" xr:uid="{00000000-0005-0000-0000-00001A5B0000}"/>
    <cellStyle name="Note 2 5 20" xfId="24149" xr:uid="{00000000-0005-0000-0000-00001B5B0000}"/>
    <cellStyle name="Note 2 5 21" xfId="24150" xr:uid="{00000000-0005-0000-0000-00001C5B0000}"/>
    <cellStyle name="Note 2 5 22" xfId="24151" xr:uid="{00000000-0005-0000-0000-00001D5B0000}"/>
    <cellStyle name="Note 2 5 23" xfId="24152" xr:uid="{00000000-0005-0000-0000-00001E5B0000}"/>
    <cellStyle name="Note 2 5 24" xfId="24153" xr:uid="{00000000-0005-0000-0000-00001F5B0000}"/>
    <cellStyle name="Note 2 5 3" xfId="24154" xr:uid="{00000000-0005-0000-0000-0000205B0000}"/>
    <cellStyle name="Note 2 5 3 10" xfId="24155" xr:uid="{00000000-0005-0000-0000-0000215B0000}"/>
    <cellStyle name="Note 2 5 3 11" xfId="24156" xr:uid="{00000000-0005-0000-0000-0000225B0000}"/>
    <cellStyle name="Note 2 5 3 12" xfId="24157" xr:uid="{00000000-0005-0000-0000-0000235B0000}"/>
    <cellStyle name="Note 2 5 3 13" xfId="24158" xr:uid="{00000000-0005-0000-0000-0000245B0000}"/>
    <cellStyle name="Note 2 5 3 14" xfId="24159" xr:uid="{00000000-0005-0000-0000-0000255B0000}"/>
    <cellStyle name="Note 2 5 3 15" xfId="24160" xr:uid="{00000000-0005-0000-0000-0000265B0000}"/>
    <cellStyle name="Note 2 5 3 16" xfId="24161" xr:uid="{00000000-0005-0000-0000-0000275B0000}"/>
    <cellStyle name="Note 2 5 3 17" xfId="24162" xr:uid="{00000000-0005-0000-0000-0000285B0000}"/>
    <cellStyle name="Note 2 5 3 18" xfId="24163" xr:uid="{00000000-0005-0000-0000-0000295B0000}"/>
    <cellStyle name="Note 2 5 3 19" xfId="24164" xr:uid="{00000000-0005-0000-0000-00002A5B0000}"/>
    <cellStyle name="Note 2 5 3 2" xfId="24165" xr:uid="{00000000-0005-0000-0000-00002B5B0000}"/>
    <cellStyle name="Note 2 5 3 2 10" xfId="24166" xr:uid="{00000000-0005-0000-0000-00002C5B0000}"/>
    <cellStyle name="Note 2 5 3 2 11" xfId="24167" xr:uid="{00000000-0005-0000-0000-00002D5B0000}"/>
    <cellStyle name="Note 2 5 3 2 12" xfId="24168" xr:uid="{00000000-0005-0000-0000-00002E5B0000}"/>
    <cellStyle name="Note 2 5 3 2 13" xfId="24169" xr:uid="{00000000-0005-0000-0000-00002F5B0000}"/>
    <cellStyle name="Note 2 5 3 2 14" xfId="24170" xr:uid="{00000000-0005-0000-0000-0000305B0000}"/>
    <cellStyle name="Note 2 5 3 2 15" xfId="24171" xr:uid="{00000000-0005-0000-0000-0000315B0000}"/>
    <cellStyle name="Note 2 5 3 2 2" xfId="24172" xr:uid="{00000000-0005-0000-0000-0000325B0000}"/>
    <cellStyle name="Note 2 5 3 2 3" xfId="24173" xr:uid="{00000000-0005-0000-0000-0000335B0000}"/>
    <cellStyle name="Note 2 5 3 2 4" xfId="24174" xr:uid="{00000000-0005-0000-0000-0000345B0000}"/>
    <cellStyle name="Note 2 5 3 2 5" xfId="24175" xr:uid="{00000000-0005-0000-0000-0000355B0000}"/>
    <cellStyle name="Note 2 5 3 2 6" xfId="24176" xr:uid="{00000000-0005-0000-0000-0000365B0000}"/>
    <cellStyle name="Note 2 5 3 2 7" xfId="24177" xr:uid="{00000000-0005-0000-0000-0000375B0000}"/>
    <cellStyle name="Note 2 5 3 2 8" xfId="24178" xr:uid="{00000000-0005-0000-0000-0000385B0000}"/>
    <cellStyle name="Note 2 5 3 2 9" xfId="24179" xr:uid="{00000000-0005-0000-0000-0000395B0000}"/>
    <cellStyle name="Note 2 5 3 20" xfId="24180" xr:uid="{00000000-0005-0000-0000-00003A5B0000}"/>
    <cellStyle name="Note 2 5 3 3" xfId="24181" xr:uid="{00000000-0005-0000-0000-00003B5B0000}"/>
    <cellStyle name="Note 2 5 3 3 10" xfId="24182" xr:uid="{00000000-0005-0000-0000-00003C5B0000}"/>
    <cellStyle name="Note 2 5 3 3 11" xfId="24183" xr:uid="{00000000-0005-0000-0000-00003D5B0000}"/>
    <cellStyle name="Note 2 5 3 3 12" xfId="24184" xr:uid="{00000000-0005-0000-0000-00003E5B0000}"/>
    <cellStyle name="Note 2 5 3 3 13" xfId="24185" xr:uid="{00000000-0005-0000-0000-00003F5B0000}"/>
    <cellStyle name="Note 2 5 3 3 14" xfId="24186" xr:uid="{00000000-0005-0000-0000-0000405B0000}"/>
    <cellStyle name="Note 2 5 3 3 15" xfId="24187" xr:uid="{00000000-0005-0000-0000-0000415B0000}"/>
    <cellStyle name="Note 2 5 3 3 2" xfId="24188" xr:uid="{00000000-0005-0000-0000-0000425B0000}"/>
    <cellStyle name="Note 2 5 3 3 3" xfId="24189" xr:uid="{00000000-0005-0000-0000-0000435B0000}"/>
    <cellStyle name="Note 2 5 3 3 4" xfId="24190" xr:uid="{00000000-0005-0000-0000-0000445B0000}"/>
    <cellStyle name="Note 2 5 3 3 5" xfId="24191" xr:uid="{00000000-0005-0000-0000-0000455B0000}"/>
    <cellStyle name="Note 2 5 3 3 6" xfId="24192" xr:uid="{00000000-0005-0000-0000-0000465B0000}"/>
    <cellStyle name="Note 2 5 3 3 7" xfId="24193" xr:uid="{00000000-0005-0000-0000-0000475B0000}"/>
    <cellStyle name="Note 2 5 3 3 8" xfId="24194" xr:uid="{00000000-0005-0000-0000-0000485B0000}"/>
    <cellStyle name="Note 2 5 3 3 9" xfId="24195" xr:uid="{00000000-0005-0000-0000-0000495B0000}"/>
    <cellStyle name="Note 2 5 3 4" xfId="24196" xr:uid="{00000000-0005-0000-0000-00004A5B0000}"/>
    <cellStyle name="Note 2 5 3 4 10" xfId="24197" xr:uid="{00000000-0005-0000-0000-00004B5B0000}"/>
    <cellStyle name="Note 2 5 3 4 11" xfId="24198" xr:uid="{00000000-0005-0000-0000-00004C5B0000}"/>
    <cellStyle name="Note 2 5 3 4 12" xfId="24199" xr:uid="{00000000-0005-0000-0000-00004D5B0000}"/>
    <cellStyle name="Note 2 5 3 4 13" xfId="24200" xr:uid="{00000000-0005-0000-0000-00004E5B0000}"/>
    <cellStyle name="Note 2 5 3 4 14" xfId="24201" xr:uid="{00000000-0005-0000-0000-00004F5B0000}"/>
    <cellStyle name="Note 2 5 3 4 15" xfId="24202" xr:uid="{00000000-0005-0000-0000-0000505B0000}"/>
    <cellStyle name="Note 2 5 3 4 2" xfId="24203" xr:uid="{00000000-0005-0000-0000-0000515B0000}"/>
    <cellStyle name="Note 2 5 3 4 3" xfId="24204" xr:uid="{00000000-0005-0000-0000-0000525B0000}"/>
    <cellStyle name="Note 2 5 3 4 4" xfId="24205" xr:uid="{00000000-0005-0000-0000-0000535B0000}"/>
    <cellStyle name="Note 2 5 3 4 5" xfId="24206" xr:uid="{00000000-0005-0000-0000-0000545B0000}"/>
    <cellStyle name="Note 2 5 3 4 6" xfId="24207" xr:uid="{00000000-0005-0000-0000-0000555B0000}"/>
    <cellStyle name="Note 2 5 3 4 7" xfId="24208" xr:uid="{00000000-0005-0000-0000-0000565B0000}"/>
    <cellStyle name="Note 2 5 3 4 8" xfId="24209" xr:uid="{00000000-0005-0000-0000-0000575B0000}"/>
    <cellStyle name="Note 2 5 3 4 9" xfId="24210" xr:uid="{00000000-0005-0000-0000-0000585B0000}"/>
    <cellStyle name="Note 2 5 3 5" xfId="24211" xr:uid="{00000000-0005-0000-0000-0000595B0000}"/>
    <cellStyle name="Note 2 5 3 5 10" xfId="24212" xr:uid="{00000000-0005-0000-0000-00005A5B0000}"/>
    <cellStyle name="Note 2 5 3 5 11" xfId="24213" xr:uid="{00000000-0005-0000-0000-00005B5B0000}"/>
    <cellStyle name="Note 2 5 3 5 12" xfId="24214" xr:uid="{00000000-0005-0000-0000-00005C5B0000}"/>
    <cellStyle name="Note 2 5 3 5 13" xfId="24215" xr:uid="{00000000-0005-0000-0000-00005D5B0000}"/>
    <cellStyle name="Note 2 5 3 5 14" xfId="24216" xr:uid="{00000000-0005-0000-0000-00005E5B0000}"/>
    <cellStyle name="Note 2 5 3 5 15" xfId="24217" xr:uid="{00000000-0005-0000-0000-00005F5B0000}"/>
    <cellStyle name="Note 2 5 3 5 2" xfId="24218" xr:uid="{00000000-0005-0000-0000-0000605B0000}"/>
    <cellStyle name="Note 2 5 3 5 3" xfId="24219" xr:uid="{00000000-0005-0000-0000-0000615B0000}"/>
    <cellStyle name="Note 2 5 3 5 4" xfId="24220" xr:uid="{00000000-0005-0000-0000-0000625B0000}"/>
    <cellStyle name="Note 2 5 3 5 5" xfId="24221" xr:uid="{00000000-0005-0000-0000-0000635B0000}"/>
    <cellStyle name="Note 2 5 3 5 6" xfId="24222" xr:uid="{00000000-0005-0000-0000-0000645B0000}"/>
    <cellStyle name="Note 2 5 3 5 7" xfId="24223" xr:uid="{00000000-0005-0000-0000-0000655B0000}"/>
    <cellStyle name="Note 2 5 3 5 8" xfId="24224" xr:uid="{00000000-0005-0000-0000-0000665B0000}"/>
    <cellStyle name="Note 2 5 3 5 9" xfId="24225" xr:uid="{00000000-0005-0000-0000-0000675B0000}"/>
    <cellStyle name="Note 2 5 3 6" xfId="24226" xr:uid="{00000000-0005-0000-0000-0000685B0000}"/>
    <cellStyle name="Note 2 5 3 7" xfId="24227" xr:uid="{00000000-0005-0000-0000-0000695B0000}"/>
    <cellStyle name="Note 2 5 3 8" xfId="24228" xr:uid="{00000000-0005-0000-0000-00006A5B0000}"/>
    <cellStyle name="Note 2 5 3 9" xfId="24229" xr:uid="{00000000-0005-0000-0000-00006B5B0000}"/>
    <cellStyle name="Note 2 5 4" xfId="24230" xr:uid="{00000000-0005-0000-0000-00006C5B0000}"/>
    <cellStyle name="Note 2 5 4 10" xfId="24231" xr:uid="{00000000-0005-0000-0000-00006D5B0000}"/>
    <cellStyle name="Note 2 5 4 11" xfId="24232" xr:uid="{00000000-0005-0000-0000-00006E5B0000}"/>
    <cellStyle name="Note 2 5 4 12" xfId="24233" xr:uid="{00000000-0005-0000-0000-00006F5B0000}"/>
    <cellStyle name="Note 2 5 4 13" xfId="24234" xr:uid="{00000000-0005-0000-0000-0000705B0000}"/>
    <cellStyle name="Note 2 5 4 14" xfId="24235" xr:uid="{00000000-0005-0000-0000-0000715B0000}"/>
    <cellStyle name="Note 2 5 4 15" xfId="24236" xr:uid="{00000000-0005-0000-0000-0000725B0000}"/>
    <cellStyle name="Note 2 5 4 16" xfId="24237" xr:uid="{00000000-0005-0000-0000-0000735B0000}"/>
    <cellStyle name="Note 2 5 4 17" xfId="24238" xr:uid="{00000000-0005-0000-0000-0000745B0000}"/>
    <cellStyle name="Note 2 5 4 18" xfId="24239" xr:uid="{00000000-0005-0000-0000-0000755B0000}"/>
    <cellStyle name="Note 2 5 4 19" xfId="24240" xr:uid="{00000000-0005-0000-0000-0000765B0000}"/>
    <cellStyle name="Note 2 5 4 2" xfId="24241" xr:uid="{00000000-0005-0000-0000-0000775B0000}"/>
    <cellStyle name="Note 2 5 4 2 10" xfId="24242" xr:uid="{00000000-0005-0000-0000-0000785B0000}"/>
    <cellStyle name="Note 2 5 4 2 11" xfId="24243" xr:uid="{00000000-0005-0000-0000-0000795B0000}"/>
    <cellStyle name="Note 2 5 4 2 12" xfId="24244" xr:uid="{00000000-0005-0000-0000-00007A5B0000}"/>
    <cellStyle name="Note 2 5 4 2 13" xfId="24245" xr:uid="{00000000-0005-0000-0000-00007B5B0000}"/>
    <cellStyle name="Note 2 5 4 2 14" xfId="24246" xr:uid="{00000000-0005-0000-0000-00007C5B0000}"/>
    <cellStyle name="Note 2 5 4 2 15" xfId="24247" xr:uid="{00000000-0005-0000-0000-00007D5B0000}"/>
    <cellStyle name="Note 2 5 4 2 2" xfId="24248" xr:uid="{00000000-0005-0000-0000-00007E5B0000}"/>
    <cellStyle name="Note 2 5 4 2 3" xfId="24249" xr:uid="{00000000-0005-0000-0000-00007F5B0000}"/>
    <cellStyle name="Note 2 5 4 2 4" xfId="24250" xr:uid="{00000000-0005-0000-0000-0000805B0000}"/>
    <cellStyle name="Note 2 5 4 2 5" xfId="24251" xr:uid="{00000000-0005-0000-0000-0000815B0000}"/>
    <cellStyle name="Note 2 5 4 2 6" xfId="24252" xr:uid="{00000000-0005-0000-0000-0000825B0000}"/>
    <cellStyle name="Note 2 5 4 2 7" xfId="24253" xr:uid="{00000000-0005-0000-0000-0000835B0000}"/>
    <cellStyle name="Note 2 5 4 2 8" xfId="24254" xr:uid="{00000000-0005-0000-0000-0000845B0000}"/>
    <cellStyle name="Note 2 5 4 2 9" xfId="24255" xr:uid="{00000000-0005-0000-0000-0000855B0000}"/>
    <cellStyle name="Note 2 5 4 20" xfId="24256" xr:uid="{00000000-0005-0000-0000-0000865B0000}"/>
    <cellStyle name="Note 2 5 4 3" xfId="24257" xr:uid="{00000000-0005-0000-0000-0000875B0000}"/>
    <cellStyle name="Note 2 5 4 3 10" xfId="24258" xr:uid="{00000000-0005-0000-0000-0000885B0000}"/>
    <cellStyle name="Note 2 5 4 3 11" xfId="24259" xr:uid="{00000000-0005-0000-0000-0000895B0000}"/>
    <cellStyle name="Note 2 5 4 3 12" xfId="24260" xr:uid="{00000000-0005-0000-0000-00008A5B0000}"/>
    <cellStyle name="Note 2 5 4 3 13" xfId="24261" xr:uid="{00000000-0005-0000-0000-00008B5B0000}"/>
    <cellStyle name="Note 2 5 4 3 14" xfId="24262" xr:uid="{00000000-0005-0000-0000-00008C5B0000}"/>
    <cellStyle name="Note 2 5 4 3 15" xfId="24263" xr:uid="{00000000-0005-0000-0000-00008D5B0000}"/>
    <cellStyle name="Note 2 5 4 3 2" xfId="24264" xr:uid="{00000000-0005-0000-0000-00008E5B0000}"/>
    <cellStyle name="Note 2 5 4 3 3" xfId="24265" xr:uid="{00000000-0005-0000-0000-00008F5B0000}"/>
    <cellStyle name="Note 2 5 4 3 4" xfId="24266" xr:uid="{00000000-0005-0000-0000-0000905B0000}"/>
    <cellStyle name="Note 2 5 4 3 5" xfId="24267" xr:uid="{00000000-0005-0000-0000-0000915B0000}"/>
    <cellStyle name="Note 2 5 4 3 6" xfId="24268" xr:uid="{00000000-0005-0000-0000-0000925B0000}"/>
    <cellStyle name="Note 2 5 4 3 7" xfId="24269" xr:uid="{00000000-0005-0000-0000-0000935B0000}"/>
    <cellStyle name="Note 2 5 4 3 8" xfId="24270" xr:uid="{00000000-0005-0000-0000-0000945B0000}"/>
    <cellStyle name="Note 2 5 4 3 9" xfId="24271" xr:uid="{00000000-0005-0000-0000-0000955B0000}"/>
    <cellStyle name="Note 2 5 4 4" xfId="24272" xr:uid="{00000000-0005-0000-0000-0000965B0000}"/>
    <cellStyle name="Note 2 5 4 4 10" xfId="24273" xr:uid="{00000000-0005-0000-0000-0000975B0000}"/>
    <cellStyle name="Note 2 5 4 4 11" xfId="24274" xr:uid="{00000000-0005-0000-0000-0000985B0000}"/>
    <cellStyle name="Note 2 5 4 4 12" xfId="24275" xr:uid="{00000000-0005-0000-0000-0000995B0000}"/>
    <cellStyle name="Note 2 5 4 4 13" xfId="24276" xr:uid="{00000000-0005-0000-0000-00009A5B0000}"/>
    <cellStyle name="Note 2 5 4 4 14" xfId="24277" xr:uid="{00000000-0005-0000-0000-00009B5B0000}"/>
    <cellStyle name="Note 2 5 4 4 15" xfId="24278" xr:uid="{00000000-0005-0000-0000-00009C5B0000}"/>
    <cellStyle name="Note 2 5 4 4 2" xfId="24279" xr:uid="{00000000-0005-0000-0000-00009D5B0000}"/>
    <cellStyle name="Note 2 5 4 4 3" xfId="24280" xr:uid="{00000000-0005-0000-0000-00009E5B0000}"/>
    <cellStyle name="Note 2 5 4 4 4" xfId="24281" xr:uid="{00000000-0005-0000-0000-00009F5B0000}"/>
    <cellStyle name="Note 2 5 4 4 5" xfId="24282" xr:uid="{00000000-0005-0000-0000-0000A05B0000}"/>
    <cellStyle name="Note 2 5 4 4 6" xfId="24283" xr:uid="{00000000-0005-0000-0000-0000A15B0000}"/>
    <cellStyle name="Note 2 5 4 4 7" xfId="24284" xr:uid="{00000000-0005-0000-0000-0000A25B0000}"/>
    <cellStyle name="Note 2 5 4 4 8" xfId="24285" xr:uid="{00000000-0005-0000-0000-0000A35B0000}"/>
    <cellStyle name="Note 2 5 4 4 9" xfId="24286" xr:uid="{00000000-0005-0000-0000-0000A45B0000}"/>
    <cellStyle name="Note 2 5 4 5" xfId="24287" xr:uid="{00000000-0005-0000-0000-0000A55B0000}"/>
    <cellStyle name="Note 2 5 4 5 10" xfId="24288" xr:uid="{00000000-0005-0000-0000-0000A65B0000}"/>
    <cellStyle name="Note 2 5 4 5 11" xfId="24289" xr:uid="{00000000-0005-0000-0000-0000A75B0000}"/>
    <cellStyle name="Note 2 5 4 5 12" xfId="24290" xr:uid="{00000000-0005-0000-0000-0000A85B0000}"/>
    <cellStyle name="Note 2 5 4 5 13" xfId="24291" xr:uid="{00000000-0005-0000-0000-0000A95B0000}"/>
    <cellStyle name="Note 2 5 4 5 14" xfId="24292" xr:uid="{00000000-0005-0000-0000-0000AA5B0000}"/>
    <cellStyle name="Note 2 5 4 5 15" xfId="24293" xr:uid="{00000000-0005-0000-0000-0000AB5B0000}"/>
    <cellStyle name="Note 2 5 4 5 2" xfId="24294" xr:uid="{00000000-0005-0000-0000-0000AC5B0000}"/>
    <cellStyle name="Note 2 5 4 5 3" xfId="24295" xr:uid="{00000000-0005-0000-0000-0000AD5B0000}"/>
    <cellStyle name="Note 2 5 4 5 4" xfId="24296" xr:uid="{00000000-0005-0000-0000-0000AE5B0000}"/>
    <cellStyle name="Note 2 5 4 5 5" xfId="24297" xr:uid="{00000000-0005-0000-0000-0000AF5B0000}"/>
    <cellStyle name="Note 2 5 4 5 6" xfId="24298" xr:uid="{00000000-0005-0000-0000-0000B05B0000}"/>
    <cellStyle name="Note 2 5 4 5 7" xfId="24299" xr:uid="{00000000-0005-0000-0000-0000B15B0000}"/>
    <cellStyle name="Note 2 5 4 5 8" xfId="24300" xr:uid="{00000000-0005-0000-0000-0000B25B0000}"/>
    <cellStyle name="Note 2 5 4 5 9" xfId="24301" xr:uid="{00000000-0005-0000-0000-0000B35B0000}"/>
    <cellStyle name="Note 2 5 4 6" xfId="24302" xr:uid="{00000000-0005-0000-0000-0000B45B0000}"/>
    <cellStyle name="Note 2 5 4 7" xfId="24303" xr:uid="{00000000-0005-0000-0000-0000B55B0000}"/>
    <cellStyle name="Note 2 5 4 8" xfId="24304" xr:uid="{00000000-0005-0000-0000-0000B65B0000}"/>
    <cellStyle name="Note 2 5 4 9" xfId="24305" xr:uid="{00000000-0005-0000-0000-0000B75B0000}"/>
    <cellStyle name="Note 2 5 5" xfId="24306" xr:uid="{00000000-0005-0000-0000-0000B85B0000}"/>
    <cellStyle name="Note 2 5 5 10" xfId="24307" xr:uid="{00000000-0005-0000-0000-0000B95B0000}"/>
    <cellStyle name="Note 2 5 5 11" xfId="24308" xr:uid="{00000000-0005-0000-0000-0000BA5B0000}"/>
    <cellStyle name="Note 2 5 5 12" xfId="24309" xr:uid="{00000000-0005-0000-0000-0000BB5B0000}"/>
    <cellStyle name="Note 2 5 5 13" xfId="24310" xr:uid="{00000000-0005-0000-0000-0000BC5B0000}"/>
    <cellStyle name="Note 2 5 5 14" xfId="24311" xr:uid="{00000000-0005-0000-0000-0000BD5B0000}"/>
    <cellStyle name="Note 2 5 5 15" xfId="24312" xr:uid="{00000000-0005-0000-0000-0000BE5B0000}"/>
    <cellStyle name="Note 2 5 5 16" xfId="24313" xr:uid="{00000000-0005-0000-0000-0000BF5B0000}"/>
    <cellStyle name="Note 2 5 5 17" xfId="24314" xr:uid="{00000000-0005-0000-0000-0000C05B0000}"/>
    <cellStyle name="Note 2 5 5 18" xfId="24315" xr:uid="{00000000-0005-0000-0000-0000C15B0000}"/>
    <cellStyle name="Note 2 5 5 19" xfId="24316" xr:uid="{00000000-0005-0000-0000-0000C25B0000}"/>
    <cellStyle name="Note 2 5 5 2" xfId="24317" xr:uid="{00000000-0005-0000-0000-0000C35B0000}"/>
    <cellStyle name="Note 2 5 5 2 10" xfId="24318" xr:uid="{00000000-0005-0000-0000-0000C45B0000}"/>
    <cellStyle name="Note 2 5 5 2 11" xfId="24319" xr:uid="{00000000-0005-0000-0000-0000C55B0000}"/>
    <cellStyle name="Note 2 5 5 2 12" xfId="24320" xr:uid="{00000000-0005-0000-0000-0000C65B0000}"/>
    <cellStyle name="Note 2 5 5 2 13" xfId="24321" xr:uid="{00000000-0005-0000-0000-0000C75B0000}"/>
    <cellStyle name="Note 2 5 5 2 14" xfId="24322" xr:uid="{00000000-0005-0000-0000-0000C85B0000}"/>
    <cellStyle name="Note 2 5 5 2 15" xfId="24323" xr:uid="{00000000-0005-0000-0000-0000C95B0000}"/>
    <cellStyle name="Note 2 5 5 2 2" xfId="24324" xr:uid="{00000000-0005-0000-0000-0000CA5B0000}"/>
    <cellStyle name="Note 2 5 5 2 3" xfId="24325" xr:uid="{00000000-0005-0000-0000-0000CB5B0000}"/>
    <cellStyle name="Note 2 5 5 2 4" xfId="24326" xr:uid="{00000000-0005-0000-0000-0000CC5B0000}"/>
    <cellStyle name="Note 2 5 5 2 5" xfId="24327" xr:uid="{00000000-0005-0000-0000-0000CD5B0000}"/>
    <cellStyle name="Note 2 5 5 2 6" xfId="24328" xr:uid="{00000000-0005-0000-0000-0000CE5B0000}"/>
    <cellStyle name="Note 2 5 5 2 7" xfId="24329" xr:uid="{00000000-0005-0000-0000-0000CF5B0000}"/>
    <cellStyle name="Note 2 5 5 2 8" xfId="24330" xr:uid="{00000000-0005-0000-0000-0000D05B0000}"/>
    <cellStyle name="Note 2 5 5 2 9" xfId="24331" xr:uid="{00000000-0005-0000-0000-0000D15B0000}"/>
    <cellStyle name="Note 2 5 5 20" xfId="24332" xr:uid="{00000000-0005-0000-0000-0000D25B0000}"/>
    <cellStyle name="Note 2 5 5 3" xfId="24333" xr:uid="{00000000-0005-0000-0000-0000D35B0000}"/>
    <cellStyle name="Note 2 5 5 3 10" xfId="24334" xr:uid="{00000000-0005-0000-0000-0000D45B0000}"/>
    <cellStyle name="Note 2 5 5 3 11" xfId="24335" xr:uid="{00000000-0005-0000-0000-0000D55B0000}"/>
    <cellStyle name="Note 2 5 5 3 12" xfId="24336" xr:uid="{00000000-0005-0000-0000-0000D65B0000}"/>
    <cellStyle name="Note 2 5 5 3 13" xfId="24337" xr:uid="{00000000-0005-0000-0000-0000D75B0000}"/>
    <cellStyle name="Note 2 5 5 3 14" xfId="24338" xr:uid="{00000000-0005-0000-0000-0000D85B0000}"/>
    <cellStyle name="Note 2 5 5 3 15" xfId="24339" xr:uid="{00000000-0005-0000-0000-0000D95B0000}"/>
    <cellStyle name="Note 2 5 5 3 2" xfId="24340" xr:uid="{00000000-0005-0000-0000-0000DA5B0000}"/>
    <cellStyle name="Note 2 5 5 3 3" xfId="24341" xr:uid="{00000000-0005-0000-0000-0000DB5B0000}"/>
    <cellStyle name="Note 2 5 5 3 4" xfId="24342" xr:uid="{00000000-0005-0000-0000-0000DC5B0000}"/>
    <cellStyle name="Note 2 5 5 3 5" xfId="24343" xr:uid="{00000000-0005-0000-0000-0000DD5B0000}"/>
    <cellStyle name="Note 2 5 5 3 6" xfId="24344" xr:uid="{00000000-0005-0000-0000-0000DE5B0000}"/>
    <cellStyle name="Note 2 5 5 3 7" xfId="24345" xr:uid="{00000000-0005-0000-0000-0000DF5B0000}"/>
    <cellStyle name="Note 2 5 5 3 8" xfId="24346" xr:uid="{00000000-0005-0000-0000-0000E05B0000}"/>
    <cellStyle name="Note 2 5 5 3 9" xfId="24347" xr:uid="{00000000-0005-0000-0000-0000E15B0000}"/>
    <cellStyle name="Note 2 5 5 4" xfId="24348" xr:uid="{00000000-0005-0000-0000-0000E25B0000}"/>
    <cellStyle name="Note 2 5 5 4 10" xfId="24349" xr:uid="{00000000-0005-0000-0000-0000E35B0000}"/>
    <cellStyle name="Note 2 5 5 4 11" xfId="24350" xr:uid="{00000000-0005-0000-0000-0000E45B0000}"/>
    <cellStyle name="Note 2 5 5 4 12" xfId="24351" xr:uid="{00000000-0005-0000-0000-0000E55B0000}"/>
    <cellStyle name="Note 2 5 5 4 13" xfId="24352" xr:uid="{00000000-0005-0000-0000-0000E65B0000}"/>
    <cellStyle name="Note 2 5 5 4 14" xfId="24353" xr:uid="{00000000-0005-0000-0000-0000E75B0000}"/>
    <cellStyle name="Note 2 5 5 4 15" xfId="24354" xr:uid="{00000000-0005-0000-0000-0000E85B0000}"/>
    <cellStyle name="Note 2 5 5 4 2" xfId="24355" xr:uid="{00000000-0005-0000-0000-0000E95B0000}"/>
    <cellStyle name="Note 2 5 5 4 3" xfId="24356" xr:uid="{00000000-0005-0000-0000-0000EA5B0000}"/>
    <cellStyle name="Note 2 5 5 4 4" xfId="24357" xr:uid="{00000000-0005-0000-0000-0000EB5B0000}"/>
    <cellStyle name="Note 2 5 5 4 5" xfId="24358" xr:uid="{00000000-0005-0000-0000-0000EC5B0000}"/>
    <cellStyle name="Note 2 5 5 4 6" xfId="24359" xr:uid="{00000000-0005-0000-0000-0000ED5B0000}"/>
    <cellStyle name="Note 2 5 5 4 7" xfId="24360" xr:uid="{00000000-0005-0000-0000-0000EE5B0000}"/>
    <cellStyle name="Note 2 5 5 4 8" xfId="24361" xr:uid="{00000000-0005-0000-0000-0000EF5B0000}"/>
    <cellStyle name="Note 2 5 5 4 9" xfId="24362" xr:uid="{00000000-0005-0000-0000-0000F05B0000}"/>
    <cellStyle name="Note 2 5 5 5" xfId="24363" xr:uid="{00000000-0005-0000-0000-0000F15B0000}"/>
    <cellStyle name="Note 2 5 5 5 10" xfId="24364" xr:uid="{00000000-0005-0000-0000-0000F25B0000}"/>
    <cellStyle name="Note 2 5 5 5 11" xfId="24365" xr:uid="{00000000-0005-0000-0000-0000F35B0000}"/>
    <cellStyle name="Note 2 5 5 5 12" xfId="24366" xr:uid="{00000000-0005-0000-0000-0000F45B0000}"/>
    <cellStyle name="Note 2 5 5 5 13" xfId="24367" xr:uid="{00000000-0005-0000-0000-0000F55B0000}"/>
    <cellStyle name="Note 2 5 5 5 14" xfId="24368" xr:uid="{00000000-0005-0000-0000-0000F65B0000}"/>
    <cellStyle name="Note 2 5 5 5 15" xfId="24369" xr:uid="{00000000-0005-0000-0000-0000F75B0000}"/>
    <cellStyle name="Note 2 5 5 5 2" xfId="24370" xr:uid="{00000000-0005-0000-0000-0000F85B0000}"/>
    <cellStyle name="Note 2 5 5 5 3" xfId="24371" xr:uid="{00000000-0005-0000-0000-0000F95B0000}"/>
    <cellStyle name="Note 2 5 5 5 4" xfId="24372" xr:uid="{00000000-0005-0000-0000-0000FA5B0000}"/>
    <cellStyle name="Note 2 5 5 5 5" xfId="24373" xr:uid="{00000000-0005-0000-0000-0000FB5B0000}"/>
    <cellStyle name="Note 2 5 5 5 6" xfId="24374" xr:uid="{00000000-0005-0000-0000-0000FC5B0000}"/>
    <cellStyle name="Note 2 5 5 5 7" xfId="24375" xr:uid="{00000000-0005-0000-0000-0000FD5B0000}"/>
    <cellStyle name="Note 2 5 5 5 8" xfId="24376" xr:uid="{00000000-0005-0000-0000-0000FE5B0000}"/>
    <cellStyle name="Note 2 5 5 5 9" xfId="24377" xr:uid="{00000000-0005-0000-0000-0000FF5B0000}"/>
    <cellStyle name="Note 2 5 5 6" xfId="24378" xr:uid="{00000000-0005-0000-0000-0000005C0000}"/>
    <cellStyle name="Note 2 5 5 7" xfId="24379" xr:uid="{00000000-0005-0000-0000-0000015C0000}"/>
    <cellStyle name="Note 2 5 5 8" xfId="24380" xr:uid="{00000000-0005-0000-0000-0000025C0000}"/>
    <cellStyle name="Note 2 5 5 9" xfId="24381" xr:uid="{00000000-0005-0000-0000-0000035C0000}"/>
    <cellStyle name="Note 2 5 6" xfId="24382" xr:uid="{00000000-0005-0000-0000-0000045C0000}"/>
    <cellStyle name="Note 2 5 6 10" xfId="24383" xr:uid="{00000000-0005-0000-0000-0000055C0000}"/>
    <cellStyle name="Note 2 5 6 11" xfId="24384" xr:uid="{00000000-0005-0000-0000-0000065C0000}"/>
    <cellStyle name="Note 2 5 6 12" xfId="24385" xr:uid="{00000000-0005-0000-0000-0000075C0000}"/>
    <cellStyle name="Note 2 5 6 13" xfId="24386" xr:uid="{00000000-0005-0000-0000-0000085C0000}"/>
    <cellStyle name="Note 2 5 6 14" xfId="24387" xr:uid="{00000000-0005-0000-0000-0000095C0000}"/>
    <cellStyle name="Note 2 5 6 15" xfId="24388" xr:uid="{00000000-0005-0000-0000-00000A5C0000}"/>
    <cellStyle name="Note 2 5 6 2" xfId="24389" xr:uid="{00000000-0005-0000-0000-00000B5C0000}"/>
    <cellStyle name="Note 2 5 6 3" xfId="24390" xr:uid="{00000000-0005-0000-0000-00000C5C0000}"/>
    <cellStyle name="Note 2 5 6 4" xfId="24391" xr:uid="{00000000-0005-0000-0000-00000D5C0000}"/>
    <cellStyle name="Note 2 5 6 5" xfId="24392" xr:uid="{00000000-0005-0000-0000-00000E5C0000}"/>
    <cellStyle name="Note 2 5 6 6" xfId="24393" xr:uid="{00000000-0005-0000-0000-00000F5C0000}"/>
    <cellStyle name="Note 2 5 6 7" xfId="24394" xr:uid="{00000000-0005-0000-0000-0000105C0000}"/>
    <cellStyle name="Note 2 5 6 8" xfId="24395" xr:uid="{00000000-0005-0000-0000-0000115C0000}"/>
    <cellStyle name="Note 2 5 6 9" xfId="24396" xr:uid="{00000000-0005-0000-0000-0000125C0000}"/>
    <cellStyle name="Note 2 5 7" xfId="24397" xr:uid="{00000000-0005-0000-0000-0000135C0000}"/>
    <cellStyle name="Note 2 5 7 10" xfId="24398" xr:uid="{00000000-0005-0000-0000-0000145C0000}"/>
    <cellStyle name="Note 2 5 7 11" xfId="24399" xr:uid="{00000000-0005-0000-0000-0000155C0000}"/>
    <cellStyle name="Note 2 5 7 12" xfId="24400" xr:uid="{00000000-0005-0000-0000-0000165C0000}"/>
    <cellStyle name="Note 2 5 7 13" xfId="24401" xr:uid="{00000000-0005-0000-0000-0000175C0000}"/>
    <cellStyle name="Note 2 5 7 14" xfId="24402" xr:uid="{00000000-0005-0000-0000-0000185C0000}"/>
    <cellStyle name="Note 2 5 7 15" xfId="24403" xr:uid="{00000000-0005-0000-0000-0000195C0000}"/>
    <cellStyle name="Note 2 5 7 2" xfId="24404" xr:uid="{00000000-0005-0000-0000-00001A5C0000}"/>
    <cellStyle name="Note 2 5 7 3" xfId="24405" xr:uid="{00000000-0005-0000-0000-00001B5C0000}"/>
    <cellStyle name="Note 2 5 7 4" xfId="24406" xr:uid="{00000000-0005-0000-0000-00001C5C0000}"/>
    <cellStyle name="Note 2 5 7 5" xfId="24407" xr:uid="{00000000-0005-0000-0000-00001D5C0000}"/>
    <cellStyle name="Note 2 5 7 6" xfId="24408" xr:uid="{00000000-0005-0000-0000-00001E5C0000}"/>
    <cellStyle name="Note 2 5 7 7" xfId="24409" xr:uid="{00000000-0005-0000-0000-00001F5C0000}"/>
    <cellStyle name="Note 2 5 7 8" xfId="24410" xr:uid="{00000000-0005-0000-0000-0000205C0000}"/>
    <cellStyle name="Note 2 5 7 9" xfId="24411" xr:uid="{00000000-0005-0000-0000-0000215C0000}"/>
    <cellStyle name="Note 2 5 8" xfId="24412" xr:uid="{00000000-0005-0000-0000-0000225C0000}"/>
    <cellStyle name="Note 2 5 8 10" xfId="24413" xr:uid="{00000000-0005-0000-0000-0000235C0000}"/>
    <cellStyle name="Note 2 5 8 11" xfId="24414" xr:uid="{00000000-0005-0000-0000-0000245C0000}"/>
    <cellStyle name="Note 2 5 8 12" xfId="24415" xr:uid="{00000000-0005-0000-0000-0000255C0000}"/>
    <cellStyle name="Note 2 5 8 13" xfId="24416" xr:uid="{00000000-0005-0000-0000-0000265C0000}"/>
    <cellStyle name="Note 2 5 8 14" xfId="24417" xr:uid="{00000000-0005-0000-0000-0000275C0000}"/>
    <cellStyle name="Note 2 5 8 15" xfId="24418" xr:uid="{00000000-0005-0000-0000-0000285C0000}"/>
    <cellStyle name="Note 2 5 8 2" xfId="24419" xr:uid="{00000000-0005-0000-0000-0000295C0000}"/>
    <cellStyle name="Note 2 5 8 3" xfId="24420" xr:uid="{00000000-0005-0000-0000-00002A5C0000}"/>
    <cellStyle name="Note 2 5 8 4" xfId="24421" xr:uid="{00000000-0005-0000-0000-00002B5C0000}"/>
    <cellStyle name="Note 2 5 8 5" xfId="24422" xr:uid="{00000000-0005-0000-0000-00002C5C0000}"/>
    <cellStyle name="Note 2 5 8 6" xfId="24423" xr:uid="{00000000-0005-0000-0000-00002D5C0000}"/>
    <cellStyle name="Note 2 5 8 7" xfId="24424" xr:uid="{00000000-0005-0000-0000-00002E5C0000}"/>
    <cellStyle name="Note 2 5 8 8" xfId="24425" xr:uid="{00000000-0005-0000-0000-00002F5C0000}"/>
    <cellStyle name="Note 2 5 8 9" xfId="24426" xr:uid="{00000000-0005-0000-0000-0000305C0000}"/>
    <cellStyle name="Note 2 5 9" xfId="24427" xr:uid="{00000000-0005-0000-0000-0000315C0000}"/>
    <cellStyle name="Note 2 5 9 10" xfId="24428" xr:uid="{00000000-0005-0000-0000-0000325C0000}"/>
    <cellStyle name="Note 2 5 9 11" xfId="24429" xr:uid="{00000000-0005-0000-0000-0000335C0000}"/>
    <cellStyle name="Note 2 5 9 12" xfId="24430" xr:uid="{00000000-0005-0000-0000-0000345C0000}"/>
    <cellStyle name="Note 2 5 9 13" xfId="24431" xr:uid="{00000000-0005-0000-0000-0000355C0000}"/>
    <cellStyle name="Note 2 5 9 14" xfId="24432" xr:uid="{00000000-0005-0000-0000-0000365C0000}"/>
    <cellStyle name="Note 2 5 9 15" xfId="24433" xr:uid="{00000000-0005-0000-0000-0000375C0000}"/>
    <cellStyle name="Note 2 5 9 2" xfId="24434" xr:uid="{00000000-0005-0000-0000-0000385C0000}"/>
    <cellStyle name="Note 2 5 9 3" xfId="24435" xr:uid="{00000000-0005-0000-0000-0000395C0000}"/>
    <cellStyle name="Note 2 5 9 4" xfId="24436" xr:uid="{00000000-0005-0000-0000-00003A5C0000}"/>
    <cellStyle name="Note 2 5 9 5" xfId="24437" xr:uid="{00000000-0005-0000-0000-00003B5C0000}"/>
    <cellStyle name="Note 2 5 9 6" xfId="24438" xr:uid="{00000000-0005-0000-0000-00003C5C0000}"/>
    <cellStyle name="Note 2 5 9 7" xfId="24439" xr:uid="{00000000-0005-0000-0000-00003D5C0000}"/>
    <cellStyle name="Note 2 5 9 8" xfId="24440" xr:uid="{00000000-0005-0000-0000-00003E5C0000}"/>
    <cellStyle name="Note 2 5 9 9" xfId="24441" xr:uid="{00000000-0005-0000-0000-00003F5C0000}"/>
    <cellStyle name="Note 2 6" xfId="24442" xr:uid="{00000000-0005-0000-0000-0000405C0000}"/>
    <cellStyle name="Note 2 6 10" xfId="24443" xr:uid="{00000000-0005-0000-0000-0000415C0000}"/>
    <cellStyle name="Note 2 6 11" xfId="24444" xr:uid="{00000000-0005-0000-0000-0000425C0000}"/>
    <cellStyle name="Note 2 6 12" xfId="24445" xr:uid="{00000000-0005-0000-0000-0000435C0000}"/>
    <cellStyle name="Note 2 6 13" xfId="24446" xr:uid="{00000000-0005-0000-0000-0000445C0000}"/>
    <cellStyle name="Note 2 6 14" xfId="24447" xr:uid="{00000000-0005-0000-0000-0000455C0000}"/>
    <cellStyle name="Note 2 6 15" xfId="24448" xr:uid="{00000000-0005-0000-0000-0000465C0000}"/>
    <cellStyle name="Note 2 6 16" xfId="24449" xr:uid="{00000000-0005-0000-0000-0000475C0000}"/>
    <cellStyle name="Note 2 6 17" xfId="24450" xr:uid="{00000000-0005-0000-0000-0000485C0000}"/>
    <cellStyle name="Note 2 6 18" xfId="24451" xr:uid="{00000000-0005-0000-0000-0000495C0000}"/>
    <cellStyle name="Note 2 6 19" xfId="24452" xr:uid="{00000000-0005-0000-0000-00004A5C0000}"/>
    <cellStyle name="Note 2 6 2" xfId="24453" xr:uid="{00000000-0005-0000-0000-00004B5C0000}"/>
    <cellStyle name="Note 2 6 2 10" xfId="24454" xr:uid="{00000000-0005-0000-0000-00004C5C0000}"/>
    <cellStyle name="Note 2 6 2 11" xfId="24455" xr:uid="{00000000-0005-0000-0000-00004D5C0000}"/>
    <cellStyle name="Note 2 6 2 12" xfId="24456" xr:uid="{00000000-0005-0000-0000-00004E5C0000}"/>
    <cellStyle name="Note 2 6 2 13" xfId="24457" xr:uid="{00000000-0005-0000-0000-00004F5C0000}"/>
    <cellStyle name="Note 2 6 2 14" xfId="24458" xr:uid="{00000000-0005-0000-0000-0000505C0000}"/>
    <cellStyle name="Note 2 6 2 15" xfId="24459" xr:uid="{00000000-0005-0000-0000-0000515C0000}"/>
    <cellStyle name="Note 2 6 2 16" xfId="24460" xr:uid="{00000000-0005-0000-0000-0000525C0000}"/>
    <cellStyle name="Note 2 6 2 17" xfId="24461" xr:uid="{00000000-0005-0000-0000-0000535C0000}"/>
    <cellStyle name="Note 2 6 2 18" xfId="24462" xr:uid="{00000000-0005-0000-0000-0000545C0000}"/>
    <cellStyle name="Note 2 6 2 19" xfId="24463" xr:uid="{00000000-0005-0000-0000-0000555C0000}"/>
    <cellStyle name="Note 2 6 2 2" xfId="24464" xr:uid="{00000000-0005-0000-0000-0000565C0000}"/>
    <cellStyle name="Note 2 6 2 2 10" xfId="24465" xr:uid="{00000000-0005-0000-0000-0000575C0000}"/>
    <cellStyle name="Note 2 6 2 2 11" xfId="24466" xr:uid="{00000000-0005-0000-0000-0000585C0000}"/>
    <cellStyle name="Note 2 6 2 2 12" xfId="24467" xr:uid="{00000000-0005-0000-0000-0000595C0000}"/>
    <cellStyle name="Note 2 6 2 2 13" xfId="24468" xr:uid="{00000000-0005-0000-0000-00005A5C0000}"/>
    <cellStyle name="Note 2 6 2 2 14" xfId="24469" xr:uid="{00000000-0005-0000-0000-00005B5C0000}"/>
    <cellStyle name="Note 2 6 2 2 15" xfId="24470" xr:uid="{00000000-0005-0000-0000-00005C5C0000}"/>
    <cellStyle name="Note 2 6 2 2 16" xfId="24471" xr:uid="{00000000-0005-0000-0000-00005D5C0000}"/>
    <cellStyle name="Note 2 6 2 2 17" xfId="24472" xr:uid="{00000000-0005-0000-0000-00005E5C0000}"/>
    <cellStyle name="Note 2 6 2 2 18" xfId="24473" xr:uid="{00000000-0005-0000-0000-00005F5C0000}"/>
    <cellStyle name="Note 2 6 2 2 19" xfId="24474" xr:uid="{00000000-0005-0000-0000-0000605C0000}"/>
    <cellStyle name="Note 2 6 2 2 2" xfId="24475" xr:uid="{00000000-0005-0000-0000-0000615C0000}"/>
    <cellStyle name="Note 2 6 2 2 2 10" xfId="24476" xr:uid="{00000000-0005-0000-0000-0000625C0000}"/>
    <cellStyle name="Note 2 6 2 2 2 11" xfId="24477" xr:uid="{00000000-0005-0000-0000-0000635C0000}"/>
    <cellStyle name="Note 2 6 2 2 2 12" xfId="24478" xr:uid="{00000000-0005-0000-0000-0000645C0000}"/>
    <cellStyle name="Note 2 6 2 2 2 13" xfId="24479" xr:uid="{00000000-0005-0000-0000-0000655C0000}"/>
    <cellStyle name="Note 2 6 2 2 2 14" xfId="24480" xr:uid="{00000000-0005-0000-0000-0000665C0000}"/>
    <cellStyle name="Note 2 6 2 2 2 15" xfId="24481" xr:uid="{00000000-0005-0000-0000-0000675C0000}"/>
    <cellStyle name="Note 2 6 2 2 2 2" xfId="24482" xr:uid="{00000000-0005-0000-0000-0000685C0000}"/>
    <cellStyle name="Note 2 6 2 2 2 3" xfId="24483" xr:uid="{00000000-0005-0000-0000-0000695C0000}"/>
    <cellStyle name="Note 2 6 2 2 2 4" xfId="24484" xr:uid="{00000000-0005-0000-0000-00006A5C0000}"/>
    <cellStyle name="Note 2 6 2 2 2 5" xfId="24485" xr:uid="{00000000-0005-0000-0000-00006B5C0000}"/>
    <cellStyle name="Note 2 6 2 2 2 6" xfId="24486" xr:uid="{00000000-0005-0000-0000-00006C5C0000}"/>
    <cellStyle name="Note 2 6 2 2 2 7" xfId="24487" xr:uid="{00000000-0005-0000-0000-00006D5C0000}"/>
    <cellStyle name="Note 2 6 2 2 2 8" xfId="24488" xr:uid="{00000000-0005-0000-0000-00006E5C0000}"/>
    <cellStyle name="Note 2 6 2 2 2 9" xfId="24489" xr:uid="{00000000-0005-0000-0000-00006F5C0000}"/>
    <cellStyle name="Note 2 6 2 2 20" xfId="24490" xr:uid="{00000000-0005-0000-0000-0000705C0000}"/>
    <cellStyle name="Note 2 6 2 2 3" xfId="24491" xr:uid="{00000000-0005-0000-0000-0000715C0000}"/>
    <cellStyle name="Note 2 6 2 2 3 10" xfId="24492" xr:uid="{00000000-0005-0000-0000-0000725C0000}"/>
    <cellStyle name="Note 2 6 2 2 3 11" xfId="24493" xr:uid="{00000000-0005-0000-0000-0000735C0000}"/>
    <cellStyle name="Note 2 6 2 2 3 12" xfId="24494" xr:uid="{00000000-0005-0000-0000-0000745C0000}"/>
    <cellStyle name="Note 2 6 2 2 3 13" xfId="24495" xr:uid="{00000000-0005-0000-0000-0000755C0000}"/>
    <cellStyle name="Note 2 6 2 2 3 14" xfId="24496" xr:uid="{00000000-0005-0000-0000-0000765C0000}"/>
    <cellStyle name="Note 2 6 2 2 3 15" xfId="24497" xr:uid="{00000000-0005-0000-0000-0000775C0000}"/>
    <cellStyle name="Note 2 6 2 2 3 2" xfId="24498" xr:uid="{00000000-0005-0000-0000-0000785C0000}"/>
    <cellStyle name="Note 2 6 2 2 3 3" xfId="24499" xr:uid="{00000000-0005-0000-0000-0000795C0000}"/>
    <cellStyle name="Note 2 6 2 2 3 4" xfId="24500" xr:uid="{00000000-0005-0000-0000-00007A5C0000}"/>
    <cellStyle name="Note 2 6 2 2 3 5" xfId="24501" xr:uid="{00000000-0005-0000-0000-00007B5C0000}"/>
    <cellStyle name="Note 2 6 2 2 3 6" xfId="24502" xr:uid="{00000000-0005-0000-0000-00007C5C0000}"/>
    <cellStyle name="Note 2 6 2 2 3 7" xfId="24503" xr:uid="{00000000-0005-0000-0000-00007D5C0000}"/>
    <cellStyle name="Note 2 6 2 2 3 8" xfId="24504" xr:uid="{00000000-0005-0000-0000-00007E5C0000}"/>
    <cellStyle name="Note 2 6 2 2 3 9" xfId="24505" xr:uid="{00000000-0005-0000-0000-00007F5C0000}"/>
    <cellStyle name="Note 2 6 2 2 4" xfId="24506" xr:uid="{00000000-0005-0000-0000-0000805C0000}"/>
    <cellStyle name="Note 2 6 2 2 4 10" xfId="24507" xr:uid="{00000000-0005-0000-0000-0000815C0000}"/>
    <cellStyle name="Note 2 6 2 2 4 11" xfId="24508" xr:uid="{00000000-0005-0000-0000-0000825C0000}"/>
    <cellStyle name="Note 2 6 2 2 4 12" xfId="24509" xr:uid="{00000000-0005-0000-0000-0000835C0000}"/>
    <cellStyle name="Note 2 6 2 2 4 13" xfId="24510" xr:uid="{00000000-0005-0000-0000-0000845C0000}"/>
    <cellStyle name="Note 2 6 2 2 4 14" xfId="24511" xr:uid="{00000000-0005-0000-0000-0000855C0000}"/>
    <cellStyle name="Note 2 6 2 2 4 15" xfId="24512" xr:uid="{00000000-0005-0000-0000-0000865C0000}"/>
    <cellStyle name="Note 2 6 2 2 4 2" xfId="24513" xr:uid="{00000000-0005-0000-0000-0000875C0000}"/>
    <cellStyle name="Note 2 6 2 2 4 3" xfId="24514" xr:uid="{00000000-0005-0000-0000-0000885C0000}"/>
    <cellStyle name="Note 2 6 2 2 4 4" xfId="24515" xr:uid="{00000000-0005-0000-0000-0000895C0000}"/>
    <cellStyle name="Note 2 6 2 2 4 5" xfId="24516" xr:uid="{00000000-0005-0000-0000-00008A5C0000}"/>
    <cellStyle name="Note 2 6 2 2 4 6" xfId="24517" xr:uid="{00000000-0005-0000-0000-00008B5C0000}"/>
    <cellStyle name="Note 2 6 2 2 4 7" xfId="24518" xr:uid="{00000000-0005-0000-0000-00008C5C0000}"/>
    <cellStyle name="Note 2 6 2 2 4 8" xfId="24519" xr:uid="{00000000-0005-0000-0000-00008D5C0000}"/>
    <cellStyle name="Note 2 6 2 2 4 9" xfId="24520" xr:uid="{00000000-0005-0000-0000-00008E5C0000}"/>
    <cellStyle name="Note 2 6 2 2 5" xfId="24521" xr:uid="{00000000-0005-0000-0000-00008F5C0000}"/>
    <cellStyle name="Note 2 6 2 2 5 10" xfId="24522" xr:uid="{00000000-0005-0000-0000-0000905C0000}"/>
    <cellStyle name="Note 2 6 2 2 5 11" xfId="24523" xr:uid="{00000000-0005-0000-0000-0000915C0000}"/>
    <cellStyle name="Note 2 6 2 2 5 12" xfId="24524" xr:uid="{00000000-0005-0000-0000-0000925C0000}"/>
    <cellStyle name="Note 2 6 2 2 5 13" xfId="24525" xr:uid="{00000000-0005-0000-0000-0000935C0000}"/>
    <cellStyle name="Note 2 6 2 2 5 14" xfId="24526" xr:uid="{00000000-0005-0000-0000-0000945C0000}"/>
    <cellStyle name="Note 2 6 2 2 5 15" xfId="24527" xr:uid="{00000000-0005-0000-0000-0000955C0000}"/>
    <cellStyle name="Note 2 6 2 2 5 2" xfId="24528" xr:uid="{00000000-0005-0000-0000-0000965C0000}"/>
    <cellStyle name="Note 2 6 2 2 5 3" xfId="24529" xr:uid="{00000000-0005-0000-0000-0000975C0000}"/>
    <cellStyle name="Note 2 6 2 2 5 4" xfId="24530" xr:uid="{00000000-0005-0000-0000-0000985C0000}"/>
    <cellStyle name="Note 2 6 2 2 5 5" xfId="24531" xr:uid="{00000000-0005-0000-0000-0000995C0000}"/>
    <cellStyle name="Note 2 6 2 2 5 6" xfId="24532" xr:uid="{00000000-0005-0000-0000-00009A5C0000}"/>
    <cellStyle name="Note 2 6 2 2 5 7" xfId="24533" xr:uid="{00000000-0005-0000-0000-00009B5C0000}"/>
    <cellStyle name="Note 2 6 2 2 5 8" xfId="24534" xr:uid="{00000000-0005-0000-0000-00009C5C0000}"/>
    <cellStyle name="Note 2 6 2 2 5 9" xfId="24535" xr:uid="{00000000-0005-0000-0000-00009D5C0000}"/>
    <cellStyle name="Note 2 6 2 2 6" xfId="24536" xr:uid="{00000000-0005-0000-0000-00009E5C0000}"/>
    <cellStyle name="Note 2 6 2 2 7" xfId="24537" xr:uid="{00000000-0005-0000-0000-00009F5C0000}"/>
    <cellStyle name="Note 2 6 2 2 8" xfId="24538" xr:uid="{00000000-0005-0000-0000-0000A05C0000}"/>
    <cellStyle name="Note 2 6 2 2 9" xfId="24539" xr:uid="{00000000-0005-0000-0000-0000A15C0000}"/>
    <cellStyle name="Note 2 6 2 20" xfId="24540" xr:uid="{00000000-0005-0000-0000-0000A25C0000}"/>
    <cellStyle name="Note 2 6 2 21" xfId="24541" xr:uid="{00000000-0005-0000-0000-0000A35C0000}"/>
    <cellStyle name="Note 2 6 2 22" xfId="24542" xr:uid="{00000000-0005-0000-0000-0000A45C0000}"/>
    <cellStyle name="Note 2 6 2 23" xfId="24543" xr:uid="{00000000-0005-0000-0000-0000A55C0000}"/>
    <cellStyle name="Note 2 6 2 3" xfId="24544" xr:uid="{00000000-0005-0000-0000-0000A65C0000}"/>
    <cellStyle name="Note 2 6 2 3 10" xfId="24545" xr:uid="{00000000-0005-0000-0000-0000A75C0000}"/>
    <cellStyle name="Note 2 6 2 3 11" xfId="24546" xr:uid="{00000000-0005-0000-0000-0000A85C0000}"/>
    <cellStyle name="Note 2 6 2 3 12" xfId="24547" xr:uid="{00000000-0005-0000-0000-0000A95C0000}"/>
    <cellStyle name="Note 2 6 2 3 13" xfId="24548" xr:uid="{00000000-0005-0000-0000-0000AA5C0000}"/>
    <cellStyle name="Note 2 6 2 3 14" xfId="24549" xr:uid="{00000000-0005-0000-0000-0000AB5C0000}"/>
    <cellStyle name="Note 2 6 2 3 15" xfId="24550" xr:uid="{00000000-0005-0000-0000-0000AC5C0000}"/>
    <cellStyle name="Note 2 6 2 3 16" xfId="24551" xr:uid="{00000000-0005-0000-0000-0000AD5C0000}"/>
    <cellStyle name="Note 2 6 2 3 17" xfId="24552" xr:uid="{00000000-0005-0000-0000-0000AE5C0000}"/>
    <cellStyle name="Note 2 6 2 3 18" xfId="24553" xr:uid="{00000000-0005-0000-0000-0000AF5C0000}"/>
    <cellStyle name="Note 2 6 2 3 19" xfId="24554" xr:uid="{00000000-0005-0000-0000-0000B05C0000}"/>
    <cellStyle name="Note 2 6 2 3 2" xfId="24555" xr:uid="{00000000-0005-0000-0000-0000B15C0000}"/>
    <cellStyle name="Note 2 6 2 3 2 10" xfId="24556" xr:uid="{00000000-0005-0000-0000-0000B25C0000}"/>
    <cellStyle name="Note 2 6 2 3 2 11" xfId="24557" xr:uid="{00000000-0005-0000-0000-0000B35C0000}"/>
    <cellStyle name="Note 2 6 2 3 2 12" xfId="24558" xr:uid="{00000000-0005-0000-0000-0000B45C0000}"/>
    <cellStyle name="Note 2 6 2 3 2 13" xfId="24559" xr:uid="{00000000-0005-0000-0000-0000B55C0000}"/>
    <cellStyle name="Note 2 6 2 3 2 14" xfId="24560" xr:uid="{00000000-0005-0000-0000-0000B65C0000}"/>
    <cellStyle name="Note 2 6 2 3 2 15" xfId="24561" xr:uid="{00000000-0005-0000-0000-0000B75C0000}"/>
    <cellStyle name="Note 2 6 2 3 2 2" xfId="24562" xr:uid="{00000000-0005-0000-0000-0000B85C0000}"/>
    <cellStyle name="Note 2 6 2 3 2 3" xfId="24563" xr:uid="{00000000-0005-0000-0000-0000B95C0000}"/>
    <cellStyle name="Note 2 6 2 3 2 4" xfId="24564" xr:uid="{00000000-0005-0000-0000-0000BA5C0000}"/>
    <cellStyle name="Note 2 6 2 3 2 5" xfId="24565" xr:uid="{00000000-0005-0000-0000-0000BB5C0000}"/>
    <cellStyle name="Note 2 6 2 3 2 6" xfId="24566" xr:uid="{00000000-0005-0000-0000-0000BC5C0000}"/>
    <cellStyle name="Note 2 6 2 3 2 7" xfId="24567" xr:uid="{00000000-0005-0000-0000-0000BD5C0000}"/>
    <cellStyle name="Note 2 6 2 3 2 8" xfId="24568" xr:uid="{00000000-0005-0000-0000-0000BE5C0000}"/>
    <cellStyle name="Note 2 6 2 3 2 9" xfId="24569" xr:uid="{00000000-0005-0000-0000-0000BF5C0000}"/>
    <cellStyle name="Note 2 6 2 3 20" xfId="24570" xr:uid="{00000000-0005-0000-0000-0000C05C0000}"/>
    <cellStyle name="Note 2 6 2 3 3" xfId="24571" xr:uid="{00000000-0005-0000-0000-0000C15C0000}"/>
    <cellStyle name="Note 2 6 2 3 3 10" xfId="24572" xr:uid="{00000000-0005-0000-0000-0000C25C0000}"/>
    <cellStyle name="Note 2 6 2 3 3 11" xfId="24573" xr:uid="{00000000-0005-0000-0000-0000C35C0000}"/>
    <cellStyle name="Note 2 6 2 3 3 12" xfId="24574" xr:uid="{00000000-0005-0000-0000-0000C45C0000}"/>
    <cellStyle name="Note 2 6 2 3 3 13" xfId="24575" xr:uid="{00000000-0005-0000-0000-0000C55C0000}"/>
    <cellStyle name="Note 2 6 2 3 3 14" xfId="24576" xr:uid="{00000000-0005-0000-0000-0000C65C0000}"/>
    <cellStyle name="Note 2 6 2 3 3 15" xfId="24577" xr:uid="{00000000-0005-0000-0000-0000C75C0000}"/>
    <cellStyle name="Note 2 6 2 3 3 2" xfId="24578" xr:uid="{00000000-0005-0000-0000-0000C85C0000}"/>
    <cellStyle name="Note 2 6 2 3 3 3" xfId="24579" xr:uid="{00000000-0005-0000-0000-0000C95C0000}"/>
    <cellStyle name="Note 2 6 2 3 3 4" xfId="24580" xr:uid="{00000000-0005-0000-0000-0000CA5C0000}"/>
    <cellStyle name="Note 2 6 2 3 3 5" xfId="24581" xr:uid="{00000000-0005-0000-0000-0000CB5C0000}"/>
    <cellStyle name="Note 2 6 2 3 3 6" xfId="24582" xr:uid="{00000000-0005-0000-0000-0000CC5C0000}"/>
    <cellStyle name="Note 2 6 2 3 3 7" xfId="24583" xr:uid="{00000000-0005-0000-0000-0000CD5C0000}"/>
    <cellStyle name="Note 2 6 2 3 3 8" xfId="24584" xr:uid="{00000000-0005-0000-0000-0000CE5C0000}"/>
    <cellStyle name="Note 2 6 2 3 3 9" xfId="24585" xr:uid="{00000000-0005-0000-0000-0000CF5C0000}"/>
    <cellStyle name="Note 2 6 2 3 4" xfId="24586" xr:uid="{00000000-0005-0000-0000-0000D05C0000}"/>
    <cellStyle name="Note 2 6 2 3 4 10" xfId="24587" xr:uid="{00000000-0005-0000-0000-0000D15C0000}"/>
    <cellStyle name="Note 2 6 2 3 4 11" xfId="24588" xr:uid="{00000000-0005-0000-0000-0000D25C0000}"/>
    <cellStyle name="Note 2 6 2 3 4 12" xfId="24589" xr:uid="{00000000-0005-0000-0000-0000D35C0000}"/>
    <cellStyle name="Note 2 6 2 3 4 13" xfId="24590" xr:uid="{00000000-0005-0000-0000-0000D45C0000}"/>
    <cellStyle name="Note 2 6 2 3 4 14" xfId="24591" xr:uid="{00000000-0005-0000-0000-0000D55C0000}"/>
    <cellStyle name="Note 2 6 2 3 4 15" xfId="24592" xr:uid="{00000000-0005-0000-0000-0000D65C0000}"/>
    <cellStyle name="Note 2 6 2 3 4 2" xfId="24593" xr:uid="{00000000-0005-0000-0000-0000D75C0000}"/>
    <cellStyle name="Note 2 6 2 3 4 3" xfId="24594" xr:uid="{00000000-0005-0000-0000-0000D85C0000}"/>
    <cellStyle name="Note 2 6 2 3 4 4" xfId="24595" xr:uid="{00000000-0005-0000-0000-0000D95C0000}"/>
    <cellStyle name="Note 2 6 2 3 4 5" xfId="24596" xr:uid="{00000000-0005-0000-0000-0000DA5C0000}"/>
    <cellStyle name="Note 2 6 2 3 4 6" xfId="24597" xr:uid="{00000000-0005-0000-0000-0000DB5C0000}"/>
    <cellStyle name="Note 2 6 2 3 4 7" xfId="24598" xr:uid="{00000000-0005-0000-0000-0000DC5C0000}"/>
    <cellStyle name="Note 2 6 2 3 4 8" xfId="24599" xr:uid="{00000000-0005-0000-0000-0000DD5C0000}"/>
    <cellStyle name="Note 2 6 2 3 4 9" xfId="24600" xr:uid="{00000000-0005-0000-0000-0000DE5C0000}"/>
    <cellStyle name="Note 2 6 2 3 5" xfId="24601" xr:uid="{00000000-0005-0000-0000-0000DF5C0000}"/>
    <cellStyle name="Note 2 6 2 3 5 10" xfId="24602" xr:uid="{00000000-0005-0000-0000-0000E05C0000}"/>
    <cellStyle name="Note 2 6 2 3 5 11" xfId="24603" xr:uid="{00000000-0005-0000-0000-0000E15C0000}"/>
    <cellStyle name="Note 2 6 2 3 5 12" xfId="24604" xr:uid="{00000000-0005-0000-0000-0000E25C0000}"/>
    <cellStyle name="Note 2 6 2 3 5 13" xfId="24605" xr:uid="{00000000-0005-0000-0000-0000E35C0000}"/>
    <cellStyle name="Note 2 6 2 3 5 14" xfId="24606" xr:uid="{00000000-0005-0000-0000-0000E45C0000}"/>
    <cellStyle name="Note 2 6 2 3 5 15" xfId="24607" xr:uid="{00000000-0005-0000-0000-0000E55C0000}"/>
    <cellStyle name="Note 2 6 2 3 5 2" xfId="24608" xr:uid="{00000000-0005-0000-0000-0000E65C0000}"/>
    <cellStyle name="Note 2 6 2 3 5 3" xfId="24609" xr:uid="{00000000-0005-0000-0000-0000E75C0000}"/>
    <cellStyle name="Note 2 6 2 3 5 4" xfId="24610" xr:uid="{00000000-0005-0000-0000-0000E85C0000}"/>
    <cellStyle name="Note 2 6 2 3 5 5" xfId="24611" xr:uid="{00000000-0005-0000-0000-0000E95C0000}"/>
    <cellStyle name="Note 2 6 2 3 5 6" xfId="24612" xr:uid="{00000000-0005-0000-0000-0000EA5C0000}"/>
    <cellStyle name="Note 2 6 2 3 5 7" xfId="24613" xr:uid="{00000000-0005-0000-0000-0000EB5C0000}"/>
    <cellStyle name="Note 2 6 2 3 5 8" xfId="24614" xr:uid="{00000000-0005-0000-0000-0000EC5C0000}"/>
    <cellStyle name="Note 2 6 2 3 5 9" xfId="24615" xr:uid="{00000000-0005-0000-0000-0000ED5C0000}"/>
    <cellStyle name="Note 2 6 2 3 6" xfId="24616" xr:uid="{00000000-0005-0000-0000-0000EE5C0000}"/>
    <cellStyle name="Note 2 6 2 3 7" xfId="24617" xr:uid="{00000000-0005-0000-0000-0000EF5C0000}"/>
    <cellStyle name="Note 2 6 2 3 8" xfId="24618" xr:uid="{00000000-0005-0000-0000-0000F05C0000}"/>
    <cellStyle name="Note 2 6 2 3 9" xfId="24619" xr:uid="{00000000-0005-0000-0000-0000F15C0000}"/>
    <cellStyle name="Note 2 6 2 4" xfId="24620" xr:uid="{00000000-0005-0000-0000-0000F25C0000}"/>
    <cellStyle name="Note 2 6 2 4 10" xfId="24621" xr:uid="{00000000-0005-0000-0000-0000F35C0000}"/>
    <cellStyle name="Note 2 6 2 4 11" xfId="24622" xr:uid="{00000000-0005-0000-0000-0000F45C0000}"/>
    <cellStyle name="Note 2 6 2 4 12" xfId="24623" xr:uid="{00000000-0005-0000-0000-0000F55C0000}"/>
    <cellStyle name="Note 2 6 2 4 13" xfId="24624" xr:uid="{00000000-0005-0000-0000-0000F65C0000}"/>
    <cellStyle name="Note 2 6 2 4 14" xfId="24625" xr:uid="{00000000-0005-0000-0000-0000F75C0000}"/>
    <cellStyle name="Note 2 6 2 4 15" xfId="24626" xr:uid="{00000000-0005-0000-0000-0000F85C0000}"/>
    <cellStyle name="Note 2 6 2 4 16" xfId="24627" xr:uid="{00000000-0005-0000-0000-0000F95C0000}"/>
    <cellStyle name="Note 2 6 2 4 17" xfId="24628" xr:uid="{00000000-0005-0000-0000-0000FA5C0000}"/>
    <cellStyle name="Note 2 6 2 4 18" xfId="24629" xr:uid="{00000000-0005-0000-0000-0000FB5C0000}"/>
    <cellStyle name="Note 2 6 2 4 19" xfId="24630" xr:uid="{00000000-0005-0000-0000-0000FC5C0000}"/>
    <cellStyle name="Note 2 6 2 4 2" xfId="24631" xr:uid="{00000000-0005-0000-0000-0000FD5C0000}"/>
    <cellStyle name="Note 2 6 2 4 2 10" xfId="24632" xr:uid="{00000000-0005-0000-0000-0000FE5C0000}"/>
    <cellStyle name="Note 2 6 2 4 2 11" xfId="24633" xr:uid="{00000000-0005-0000-0000-0000FF5C0000}"/>
    <cellStyle name="Note 2 6 2 4 2 12" xfId="24634" xr:uid="{00000000-0005-0000-0000-0000005D0000}"/>
    <cellStyle name="Note 2 6 2 4 2 13" xfId="24635" xr:uid="{00000000-0005-0000-0000-0000015D0000}"/>
    <cellStyle name="Note 2 6 2 4 2 14" xfId="24636" xr:uid="{00000000-0005-0000-0000-0000025D0000}"/>
    <cellStyle name="Note 2 6 2 4 2 15" xfId="24637" xr:uid="{00000000-0005-0000-0000-0000035D0000}"/>
    <cellStyle name="Note 2 6 2 4 2 2" xfId="24638" xr:uid="{00000000-0005-0000-0000-0000045D0000}"/>
    <cellStyle name="Note 2 6 2 4 2 3" xfId="24639" xr:uid="{00000000-0005-0000-0000-0000055D0000}"/>
    <cellStyle name="Note 2 6 2 4 2 4" xfId="24640" xr:uid="{00000000-0005-0000-0000-0000065D0000}"/>
    <cellStyle name="Note 2 6 2 4 2 5" xfId="24641" xr:uid="{00000000-0005-0000-0000-0000075D0000}"/>
    <cellStyle name="Note 2 6 2 4 2 6" xfId="24642" xr:uid="{00000000-0005-0000-0000-0000085D0000}"/>
    <cellStyle name="Note 2 6 2 4 2 7" xfId="24643" xr:uid="{00000000-0005-0000-0000-0000095D0000}"/>
    <cellStyle name="Note 2 6 2 4 2 8" xfId="24644" xr:uid="{00000000-0005-0000-0000-00000A5D0000}"/>
    <cellStyle name="Note 2 6 2 4 2 9" xfId="24645" xr:uid="{00000000-0005-0000-0000-00000B5D0000}"/>
    <cellStyle name="Note 2 6 2 4 20" xfId="24646" xr:uid="{00000000-0005-0000-0000-00000C5D0000}"/>
    <cellStyle name="Note 2 6 2 4 3" xfId="24647" xr:uid="{00000000-0005-0000-0000-00000D5D0000}"/>
    <cellStyle name="Note 2 6 2 4 3 10" xfId="24648" xr:uid="{00000000-0005-0000-0000-00000E5D0000}"/>
    <cellStyle name="Note 2 6 2 4 3 11" xfId="24649" xr:uid="{00000000-0005-0000-0000-00000F5D0000}"/>
    <cellStyle name="Note 2 6 2 4 3 12" xfId="24650" xr:uid="{00000000-0005-0000-0000-0000105D0000}"/>
    <cellStyle name="Note 2 6 2 4 3 13" xfId="24651" xr:uid="{00000000-0005-0000-0000-0000115D0000}"/>
    <cellStyle name="Note 2 6 2 4 3 14" xfId="24652" xr:uid="{00000000-0005-0000-0000-0000125D0000}"/>
    <cellStyle name="Note 2 6 2 4 3 15" xfId="24653" xr:uid="{00000000-0005-0000-0000-0000135D0000}"/>
    <cellStyle name="Note 2 6 2 4 3 2" xfId="24654" xr:uid="{00000000-0005-0000-0000-0000145D0000}"/>
    <cellStyle name="Note 2 6 2 4 3 3" xfId="24655" xr:uid="{00000000-0005-0000-0000-0000155D0000}"/>
    <cellStyle name="Note 2 6 2 4 3 4" xfId="24656" xr:uid="{00000000-0005-0000-0000-0000165D0000}"/>
    <cellStyle name="Note 2 6 2 4 3 5" xfId="24657" xr:uid="{00000000-0005-0000-0000-0000175D0000}"/>
    <cellStyle name="Note 2 6 2 4 3 6" xfId="24658" xr:uid="{00000000-0005-0000-0000-0000185D0000}"/>
    <cellStyle name="Note 2 6 2 4 3 7" xfId="24659" xr:uid="{00000000-0005-0000-0000-0000195D0000}"/>
    <cellStyle name="Note 2 6 2 4 3 8" xfId="24660" xr:uid="{00000000-0005-0000-0000-00001A5D0000}"/>
    <cellStyle name="Note 2 6 2 4 3 9" xfId="24661" xr:uid="{00000000-0005-0000-0000-00001B5D0000}"/>
    <cellStyle name="Note 2 6 2 4 4" xfId="24662" xr:uid="{00000000-0005-0000-0000-00001C5D0000}"/>
    <cellStyle name="Note 2 6 2 4 4 10" xfId="24663" xr:uid="{00000000-0005-0000-0000-00001D5D0000}"/>
    <cellStyle name="Note 2 6 2 4 4 11" xfId="24664" xr:uid="{00000000-0005-0000-0000-00001E5D0000}"/>
    <cellStyle name="Note 2 6 2 4 4 12" xfId="24665" xr:uid="{00000000-0005-0000-0000-00001F5D0000}"/>
    <cellStyle name="Note 2 6 2 4 4 13" xfId="24666" xr:uid="{00000000-0005-0000-0000-0000205D0000}"/>
    <cellStyle name="Note 2 6 2 4 4 14" xfId="24667" xr:uid="{00000000-0005-0000-0000-0000215D0000}"/>
    <cellStyle name="Note 2 6 2 4 4 15" xfId="24668" xr:uid="{00000000-0005-0000-0000-0000225D0000}"/>
    <cellStyle name="Note 2 6 2 4 4 2" xfId="24669" xr:uid="{00000000-0005-0000-0000-0000235D0000}"/>
    <cellStyle name="Note 2 6 2 4 4 3" xfId="24670" xr:uid="{00000000-0005-0000-0000-0000245D0000}"/>
    <cellStyle name="Note 2 6 2 4 4 4" xfId="24671" xr:uid="{00000000-0005-0000-0000-0000255D0000}"/>
    <cellStyle name="Note 2 6 2 4 4 5" xfId="24672" xr:uid="{00000000-0005-0000-0000-0000265D0000}"/>
    <cellStyle name="Note 2 6 2 4 4 6" xfId="24673" xr:uid="{00000000-0005-0000-0000-0000275D0000}"/>
    <cellStyle name="Note 2 6 2 4 4 7" xfId="24674" xr:uid="{00000000-0005-0000-0000-0000285D0000}"/>
    <cellStyle name="Note 2 6 2 4 4 8" xfId="24675" xr:uid="{00000000-0005-0000-0000-0000295D0000}"/>
    <cellStyle name="Note 2 6 2 4 4 9" xfId="24676" xr:uid="{00000000-0005-0000-0000-00002A5D0000}"/>
    <cellStyle name="Note 2 6 2 4 5" xfId="24677" xr:uid="{00000000-0005-0000-0000-00002B5D0000}"/>
    <cellStyle name="Note 2 6 2 4 5 10" xfId="24678" xr:uid="{00000000-0005-0000-0000-00002C5D0000}"/>
    <cellStyle name="Note 2 6 2 4 5 11" xfId="24679" xr:uid="{00000000-0005-0000-0000-00002D5D0000}"/>
    <cellStyle name="Note 2 6 2 4 5 12" xfId="24680" xr:uid="{00000000-0005-0000-0000-00002E5D0000}"/>
    <cellStyle name="Note 2 6 2 4 5 13" xfId="24681" xr:uid="{00000000-0005-0000-0000-00002F5D0000}"/>
    <cellStyle name="Note 2 6 2 4 5 14" xfId="24682" xr:uid="{00000000-0005-0000-0000-0000305D0000}"/>
    <cellStyle name="Note 2 6 2 4 5 15" xfId="24683" xr:uid="{00000000-0005-0000-0000-0000315D0000}"/>
    <cellStyle name="Note 2 6 2 4 5 2" xfId="24684" xr:uid="{00000000-0005-0000-0000-0000325D0000}"/>
    <cellStyle name="Note 2 6 2 4 5 3" xfId="24685" xr:uid="{00000000-0005-0000-0000-0000335D0000}"/>
    <cellStyle name="Note 2 6 2 4 5 4" xfId="24686" xr:uid="{00000000-0005-0000-0000-0000345D0000}"/>
    <cellStyle name="Note 2 6 2 4 5 5" xfId="24687" xr:uid="{00000000-0005-0000-0000-0000355D0000}"/>
    <cellStyle name="Note 2 6 2 4 5 6" xfId="24688" xr:uid="{00000000-0005-0000-0000-0000365D0000}"/>
    <cellStyle name="Note 2 6 2 4 5 7" xfId="24689" xr:uid="{00000000-0005-0000-0000-0000375D0000}"/>
    <cellStyle name="Note 2 6 2 4 5 8" xfId="24690" xr:uid="{00000000-0005-0000-0000-0000385D0000}"/>
    <cellStyle name="Note 2 6 2 4 5 9" xfId="24691" xr:uid="{00000000-0005-0000-0000-0000395D0000}"/>
    <cellStyle name="Note 2 6 2 4 6" xfId="24692" xr:uid="{00000000-0005-0000-0000-00003A5D0000}"/>
    <cellStyle name="Note 2 6 2 4 7" xfId="24693" xr:uid="{00000000-0005-0000-0000-00003B5D0000}"/>
    <cellStyle name="Note 2 6 2 4 8" xfId="24694" xr:uid="{00000000-0005-0000-0000-00003C5D0000}"/>
    <cellStyle name="Note 2 6 2 4 9" xfId="24695" xr:uid="{00000000-0005-0000-0000-00003D5D0000}"/>
    <cellStyle name="Note 2 6 2 5" xfId="24696" xr:uid="{00000000-0005-0000-0000-00003E5D0000}"/>
    <cellStyle name="Note 2 6 2 5 10" xfId="24697" xr:uid="{00000000-0005-0000-0000-00003F5D0000}"/>
    <cellStyle name="Note 2 6 2 5 11" xfId="24698" xr:uid="{00000000-0005-0000-0000-0000405D0000}"/>
    <cellStyle name="Note 2 6 2 5 12" xfId="24699" xr:uid="{00000000-0005-0000-0000-0000415D0000}"/>
    <cellStyle name="Note 2 6 2 5 13" xfId="24700" xr:uid="{00000000-0005-0000-0000-0000425D0000}"/>
    <cellStyle name="Note 2 6 2 5 14" xfId="24701" xr:uid="{00000000-0005-0000-0000-0000435D0000}"/>
    <cellStyle name="Note 2 6 2 5 15" xfId="24702" xr:uid="{00000000-0005-0000-0000-0000445D0000}"/>
    <cellStyle name="Note 2 6 2 5 2" xfId="24703" xr:uid="{00000000-0005-0000-0000-0000455D0000}"/>
    <cellStyle name="Note 2 6 2 5 3" xfId="24704" xr:uid="{00000000-0005-0000-0000-0000465D0000}"/>
    <cellStyle name="Note 2 6 2 5 4" xfId="24705" xr:uid="{00000000-0005-0000-0000-0000475D0000}"/>
    <cellStyle name="Note 2 6 2 5 5" xfId="24706" xr:uid="{00000000-0005-0000-0000-0000485D0000}"/>
    <cellStyle name="Note 2 6 2 5 6" xfId="24707" xr:uid="{00000000-0005-0000-0000-0000495D0000}"/>
    <cellStyle name="Note 2 6 2 5 7" xfId="24708" xr:uid="{00000000-0005-0000-0000-00004A5D0000}"/>
    <cellStyle name="Note 2 6 2 5 8" xfId="24709" xr:uid="{00000000-0005-0000-0000-00004B5D0000}"/>
    <cellStyle name="Note 2 6 2 5 9" xfId="24710" xr:uid="{00000000-0005-0000-0000-00004C5D0000}"/>
    <cellStyle name="Note 2 6 2 6" xfId="24711" xr:uid="{00000000-0005-0000-0000-00004D5D0000}"/>
    <cellStyle name="Note 2 6 2 6 10" xfId="24712" xr:uid="{00000000-0005-0000-0000-00004E5D0000}"/>
    <cellStyle name="Note 2 6 2 6 11" xfId="24713" xr:uid="{00000000-0005-0000-0000-00004F5D0000}"/>
    <cellStyle name="Note 2 6 2 6 12" xfId="24714" xr:uid="{00000000-0005-0000-0000-0000505D0000}"/>
    <cellStyle name="Note 2 6 2 6 13" xfId="24715" xr:uid="{00000000-0005-0000-0000-0000515D0000}"/>
    <cellStyle name="Note 2 6 2 6 14" xfId="24716" xr:uid="{00000000-0005-0000-0000-0000525D0000}"/>
    <cellStyle name="Note 2 6 2 6 15" xfId="24717" xr:uid="{00000000-0005-0000-0000-0000535D0000}"/>
    <cellStyle name="Note 2 6 2 6 2" xfId="24718" xr:uid="{00000000-0005-0000-0000-0000545D0000}"/>
    <cellStyle name="Note 2 6 2 6 3" xfId="24719" xr:uid="{00000000-0005-0000-0000-0000555D0000}"/>
    <cellStyle name="Note 2 6 2 6 4" xfId="24720" xr:uid="{00000000-0005-0000-0000-0000565D0000}"/>
    <cellStyle name="Note 2 6 2 6 5" xfId="24721" xr:uid="{00000000-0005-0000-0000-0000575D0000}"/>
    <cellStyle name="Note 2 6 2 6 6" xfId="24722" xr:uid="{00000000-0005-0000-0000-0000585D0000}"/>
    <cellStyle name="Note 2 6 2 6 7" xfId="24723" xr:uid="{00000000-0005-0000-0000-0000595D0000}"/>
    <cellStyle name="Note 2 6 2 6 8" xfId="24724" xr:uid="{00000000-0005-0000-0000-00005A5D0000}"/>
    <cellStyle name="Note 2 6 2 6 9" xfId="24725" xr:uid="{00000000-0005-0000-0000-00005B5D0000}"/>
    <cellStyle name="Note 2 6 2 7" xfId="24726" xr:uid="{00000000-0005-0000-0000-00005C5D0000}"/>
    <cellStyle name="Note 2 6 2 7 10" xfId="24727" xr:uid="{00000000-0005-0000-0000-00005D5D0000}"/>
    <cellStyle name="Note 2 6 2 7 11" xfId="24728" xr:uid="{00000000-0005-0000-0000-00005E5D0000}"/>
    <cellStyle name="Note 2 6 2 7 12" xfId="24729" xr:uid="{00000000-0005-0000-0000-00005F5D0000}"/>
    <cellStyle name="Note 2 6 2 7 13" xfId="24730" xr:uid="{00000000-0005-0000-0000-0000605D0000}"/>
    <cellStyle name="Note 2 6 2 7 14" xfId="24731" xr:uid="{00000000-0005-0000-0000-0000615D0000}"/>
    <cellStyle name="Note 2 6 2 7 15" xfId="24732" xr:uid="{00000000-0005-0000-0000-0000625D0000}"/>
    <cellStyle name="Note 2 6 2 7 2" xfId="24733" xr:uid="{00000000-0005-0000-0000-0000635D0000}"/>
    <cellStyle name="Note 2 6 2 7 3" xfId="24734" xr:uid="{00000000-0005-0000-0000-0000645D0000}"/>
    <cellStyle name="Note 2 6 2 7 4" xfId="24735" xr:uid="{00000000-0005-0000-0000-0000655D0000}"/>
    <cellStyle name="Note 2 6 2 7 5" xfId="24736" xr:uid="{00000000-0005-0000-0000-0000665D0000}"/>
    <cellStyle name="Note 2 6 2 7 6" xfId="24737" xr:uid="{00000000-0005-0000-0000-0000675D0000}"/>
    <cellStyle name="Note 2 6 2 7 7" xfId="24738" xr:uid="{00000000-0005-0000-0000-0000685D0000}"/>
    <cellStyle name="Note 2 6 2 7 8" xfId="24739" xr:uid="{00000000-0005-0000-0000-0000695D0000}"/>
    <cellStyle name="Note 2 6 2 7 9" xfId="24740" xr:uid="{00000000-0005-0000-0000-00006A5D0000}"/>
    <cellStyle name="Note 2 6 2 8" xfId="24741" xr:uid="{00000000-0005-0000-0000-00006B5D0000}"/>
    <cellStyle name="Note 2 6 2 8 10" xfId="24742" xr:uid="{00000000-0005-0000-0000-00006C5D0000}"/>
    <cellStyle name="Note 2 6 2 8 11" xfId="24743" xr:uid="{00000000-0005-0000-0000-00006D5D0000}"/>
    <cellStyle name="Note 2 6 2 8 12" xfId="24744" xr:uid="{00000000-0005-0000-0000-00006E5D0000}"/>
    <cellStyle name="Note 2 6 2 8 13" xfId="24745" xr:uid="{00000000-0005-0000-0000-00006F5D0000}"/>
    <cellStyle name="Note 2 6 2 8 14" xfId="24746" xr:uid="{00000000-0005-0000-0000-0000705D0000}"/>
    <cellStyle name="Note 2 6 2 8 15" xfId="24747" xr:uid="{00000000-0005-0000-0000-0000715D0000}"/>
    <cellStyle name="Note 2 6 2 8 2" xfId="24748" xr:uid="{00000000-0005-0000-0000-0000725D0000}"/>
    <cellStyle name="Note 2 6 2 8 3" xfId="24749" xr:uid="{00000000-0005-0000-0000-0000735D0000}"/>
    <cellStyle name="Note 2 6 2 8 4" xfId="24750" xr:uid="{00000000-0005-0000-0000-0000745D0000}"/>
    <cellStyle name="Note 2 6 2 8 5" xfId="24751" xr:uid="{00000000-0005-0000-0000-0000755D0000}"/>
    <cellStyle name="Note 2 6 2 8 6" xfId="24752" xr:uid="{00000000-0005-0000-0000-0000765D0000}"/>
    <cellStyle name="Note 2 6 2 8 7" xfId="24753" xr:uid="{00000000-0005-0000-0000-0000775D0000}"/>
    <cellStyle name="Note 2 6 2 8 8" xfId="24754" xr:uid="{00000000-0005-0000-0000-0000785D0000}"/>
    <cellStyle name="Note 2 6 2 8 9" xfId="24755" xr:uid="{00000000-0005-0000-0000-0000795D0000}"/>
    <cellStyle name="Note 2 6 2 9" xfId="24756" xr:uid="{00000000-0005-0000-0000-00007A5D0000}"/>
    <cellStyle name="Note 2 6 20" xfId="24757" xr:uid="{00000000-0005-0000-0000-00007B5D0000}"/>
    <cellStyle name="Note 2 6 21" xfId="24758" xr:uid="{00000000-0005-0000-0000-00007C5D0000}"/>
    <cellStyle name="Note 2 6 22" xfId="24759" xr:uid="{00000000-0005-0000-0000-00007D5D0000}"/>
    <cellStyle name="Note 2 6 23" xfId="24760" xr:uid="{00000000-0005-0000-0000-00007E5D0000}"/>
    <cellStyle name="Note 2 6 24" xfId="24761" xr:uid="{00000000-0005-0000-0000-00007F5D0000}"/>
    <cellStyle name="Note 2 6 3" xfId="24762" xr:uid="{00000000-0005-0000-0000-0000805D0000}"/>
    <cellStyle name="Note 2 6 3 10" xfId="24763" xr:uid="{00000000-0005-0000-0000-0000815D0000}"/>
    <cellStyle name="Note 2 6 3 11" xfId="24764" xr:uid="{00000000-0005-0000-0000-0000825D0000}"/>
    <cellStyle name="Note 2 6 3 12" xfId="24765" xr:uid="{00000000-0005-0000-0000-0000835D0000}"/>
    <cellStyle name="Note 2 6 3 13" xfId="24766" xr:uid="{00000000-0005-0000-0000-0000845D0000}"/>
    <cellStyle name="Note 2 6 3 14" xfId="24767" xr:uid="{00000000-0005-0000-0000-0000855D0000}"/>
    <cellStyle name="Note 2 6 3 15" xfId="24768" xr:uid="{00000000-0005-0000-0000-0000865D0000}"/>
    <cellStyle name="Note 2 6 3 16" xfId="24769" xr:uid="{00000000-0005-0000-0000-0000875D0000}"/>
    <cellStyle name="Note 2 6 3 17" xfId="24770" xr:uid="{00000000-0005-0000-0000-0000885D0000}"/>
    <cellStyle name="Note 2 6 3 18" xfId="24771" xr:uid="{00000000-0005-0000-0000-0000895D0000}"/>
    <cellStyle name="Note 2 6 3 19" xfId="24772" xr:uid="{00000000-0005-0000-0000-00008A5D0000}"/>
    <cellStyle name="Note 2 6 3 2" xfId="24773" xr:uid="{00000000-0005-0000-0000-00008B5D0000}"/>
    <cellStyle name="Note 2 6 3 2 10" xfId="24774" xr:uid="{00000000-0005-0000-0000-00008C5D0000}"/>
    <cellStyle name="Note 2 6 3 2 11" xfId="24775" xr:uid="{00000000-0005-0000-0000-00008D5D0000}"/>
    <cellStyle name="Note 2 6 3 2 12" xfId="24776" xr:uid="{00000000-0005-0000-0000-00008E5D0000}"/>
    <cellStyle name="Note 2 6 3 2 13" xfId="24777" xr:uid="{00000000-0005-0000-0000-00008F5D0000}"/>
    <cellStyle name="Note 2 6 3 2 14" xfId="24778" xr:uid="{00000000-0005-0000-0000-0000905D0000}"/>
    <cellStyle name="Note 2 6 3 2 15" xfId="24779" xr:uid="{00000000-0005-0000-0000-0000915D0000}"/>
    <cellStyle name="Note 2 6 3 2 2" xfId="24780" xr:uid="{00000000-0005-0000-0000-0000925D0000}"/>
    <cellStyle name="Note 2 6 3 2 3" xfId="24781" xr:uid="{00000000-0005-0000-0000-0000935D0000}"/>
    <cellStyle name="Note 2 6 3 2 4" xfId="24782" xr:uid="{00000000-0005-0000-0000-0000945D0000}"/>
    <cellStyle name="Note 2 6 3 2 5" xfId="24783" xr:uid="{00000000-0005-0000-0000-0000955D0000}"/>
    <cellStyle name="Note 2 6 3 2 6" xfId="24784" xr:uid="{00000000-0005-0000-0000-0000965D0000}"/>
    <cellStyle name="Note 2 6 3 2 7" xfId="24785" xr:uid="{00000000-0005-0000-0000-0000975D0000}"/>
    <cellStyle name="Note 2 6 3 2 8" xfId="24786" xr:uid="{00000000-0005-0000-0000-0000985D0000}"/>
    <cellStyle name="Note 2 6 3 2 9" xfId="24787" xr:uid="{00000000-0005-0000-0000-0000995D0000}"/>
    <cellStyle name="Note 2 6 3 20" xfId="24788" xr:uid="{00000000-0005-0000-0000-00009A5D0000}"/>
    <cellStyle name="Note 2 6 3 3" xfId="24789" xr:uid="{00000000-0005-0000-0000-00009B5D0000}"/>
    <cellStyle name="Note 2 6 3 3 10" xfId="24790" xr:uid="{00000000-0005-0000-0000-00009C5D0000}"/>
    <cellStyle name="Note 2 6 3 3 11" xfId="24791" xr:uid="{00000000-0005-0000-0000-00009D5D0000}"/>
    <cellStyle name="Note 2 6 3 3 12" xfId="24792" xr:uid="{00000000-0005-0000-0000-00009E5D0000}"/>
    <cellStyle name="Note 2 6 3 3 13" xfId="24793" xr:uid="{00000000-0005-0000-0000-00009F5D0000}"/>
    <cellStyle name="Note 2 6 3 3 14" xfId="24794" xr:uid="{00000000-0005-0000-0000-0000A05D0000}"/>
    <cellStyle name="Note 2 6 3 3 15" xfId="24795" xr:uid="{00000000-0005-0000-0000-0000A15D0000}"/>
    <cellStyle name="Note 2 6 3 3 2" xfId="24796" xr:uid="{00000000-0005-0000-0000-0000A25D0000}"/>
    <cellStyle name="Note 2 6 3 3 3" xfId="24797" xr:uid="{00000000-0005-0000-0000-0000A35D0000}"/>
    <cellStyle name="Note 2 6 3 3 4" xfId="24798" xr:uid="{00000000-0005-0000-0000-0000A45D0000}"/>
    <cellStyle name="Note 2 6 3 3 5" xfId="24799" xr:uid="{00000000-0005-0000-0000-0000A55D0000}"/>
    <cellStyle name="Note 2 6 3 3 6" xfId="24800" xr:uid="{00000000-0005-0000-0000-0000A65D0000}"/>
    <cellStyle name="Note 2 6 3 3 7" xfId="24801" xr:uid="{00000000-0005-0000-0000-0000A75D0000}"/>
    <cellStyle name="Note 2 6 3 3 8" xfId="24802" xr:uid="{00000000-0005-0000-0000-0000A85D0000}"/>
    <cellStyle name="Note 2 6 3 3 9" xfId="24803" xr:uid="{00000000-0005-0000-0000-0000A95D0000}"/>
    <cellStyle name="Note 2 6 3 4" xfId="24804" xr:uid="{00000000-0005-0000-0000-0000AA5D0000}"/>
    <cellStyle name="Note 2 6 3 4 10" xfId="24805" xr:uid="{00000000-0005-0000-0000-0000AB5D0000}"/>
    <cellStyle name="Note 2 6 3 4 11" xfId="24806" xr:uid="{00000000-0005-0000-0000-0000AC5D0000}"/>
    <cellStyle name="Note 2 6 3 4 12" xfId="24807" xr:uid="{00000000-0005-0000-0000-0000AD5D0000}"/>
    <cellStyle name="Note 2 6 3 4 13" xfId="24808" xr:uid="{00000000-0005-0000-0000-0000AE5D0000}"/>
    <cellStyle name="Note 2 6 3 4 14" xfId="24809" xr:uid="{00000000-0005-0000-0000-0000AF5D0000}"/>
    <cellStyle name="Note 2 6 3 4 15" xfId="24810" xr:uid="{00000000-0005-0000-0000-0000B05D0000}"/>
    <cellStyle name="Note 2 6 3 4 2" xfId="24811" xr:uid="{00000000-0005-0000-0000-0000B15D0000}"/>
    <cellStyle name="Note 2 6 3 4 3" xfId="24812" xr:uid="{00000000-0005-0000-0000-0000B25D0000}"/>
    <cellStyle name="Note 2 6 3 4 4" xfId="24813" xr:uid="{00000000-0005-0000-0000-0000B35D0000}"/>
    <cellStyle name="Note 2 6 3 4 5" xfId="24814" xr:uid="{00000000-0005-0000-0000-0000B45D0000}"/>
    <cellStyle name="Note 2 6 3 4 6" xfId="24815" xr:uid="{00000000-0005-0000-0000-0000B55D0000}"/>
    <cellStyle name="Note 2 6 3 4 7" xfId="24816" xr:uid="{00000000-0005-0000-0000-0000B65D0000}"/>
    <cellStyle name="Note 2 6 3 4 8" xfId="24817" xr:uid="{00000000-0005-0000-0000-0000B75D0000}"/>
    <cellStyle name="Note 2 6 3 4 9" xfId="24818" xr:uid="{00000000-0005-0000-0000-0000B85D0000}"/>
    <cellStyle name="Note 2 6 3 5" xfId="24819" xr:uid="{00000000-0005-0000-0000-0000B95D0000}"/>
    <cellStyle name="Note 2 6 3 5 10" xfId="24820" xr:uid="{00000000-0005-0000-0000-0000BA5D0000}"/>
    <cellStyle name="Note 2 6 3 5 11" xfId="24821" xr:uid="{00000000-0005-0000-0000-0000BB5D0000}"/>
    <cellStyle name="Note 2 6 3 5 12" xfId="24822" xr:uid="{00000000-0005-0000-0000-0000BC5D0000}"/>
    <cellStyle name="Note 2 6 3 5 13" xfId="24823" xr:uid="{00000000-0005-0000-0000-0000BD5D0000}"/>
    <cellStyle name="Note 2 6 3 5 14" xfId="24824" xr:uid="{00000000-0005-0000-0000-0000BE5D0000}"/>
    <cellStyle name="Note 2 6 3 5 15" xfId="24825" xr:uid="{00000000-0005-0000-0000-0000BF5D0000}"/>
    <cellStyle name="Note 2 6 3 5 2" xfId="24826" xr:uid="{00000000-0005-0000-0000-0000C05D0000}"/>
    <cellStyle name="Note 2 6 3 5 3" xfId="24827" xr:uid="{00000000-0005-0000-0000-0000C15D0000}"/>
    <cellStyle name="Note 2 6 3 5 4" xfId="24828" xr:uid="{00000000-0005-0000-0000-0000C25D0000}"/>
    <cellStyle name="Note 2 6 3 5 5" xfId="24829" xr:uid="{00000000-0005-0000-0000-0000C35D0000}"/>
    <cellStyle name="Note 2 6 3 5 6" xfId="24830" xr:uid="{00000000-0005-0000-0000-0000C45D0000}"/>
    <cellStyle name="Note 2 6 3 5 7" xfId="24831" xr:uid="{00000000-0005-0000-0000-0000C55D0000}"/>
    <cellStyle name="Note 2 6 3 5 8" xfId="24832" xr:uid="{00000000-0005-0000-0000-0000C65D0000}"/>
    <cellStyle name="Note 2 6 3 5 9" xfId="24833" xr:uid="{00000000-0005-0000-0000-0000C75D0000}"/>
    <cellStyle name="Note 2 6 3 6" xfId="24834" xr:uid="{00000000-0005-0000-0000-0000C85D0000}"/>
    <cellStyle name="Note 2 6 3 7" xfId="24835" xr:uid="{00000000-0005-0000-0000-0000C95D0000}"/>
    <cellStyle name="Note 2 6 3 8" xfId="24836" xr:uid="{00000000-0005-0000-0000-0000CA5D0000}"/>
    <cellStyle name="Note 2 6 3 9" xfId="24837" xr:uid="{00000000-0005-0000-0000-0000CB5D0000}"/>
    <cellStyle name="Note 2 6 4" xfId="24838" xr:uid="{00000000-0005-0000-0000-0000CC5D0000}"/>
    <cellStyle name="Note 2 6 4 10" xfId="24839" xr:uid="{00000000-0005-0000-0000-0000CD5D0000}"/>
    <cellStyle name="Note 2 6 4 11" xfId="24840" xr:uid="{00000000-0005-0000-0000-0000CE5D0000}"/>
    <cellStyle name="Note 2 6 4 12" xfId="24841" xr:uid="{00000000-0005-0000-0000-0000CF5D0000}"/>
    <cellStyle name="Note 2 6 4 13" xfId="24842" xr:uid="{00000000-0005-0000-0000-0000D05D0000}"/>
    <cellStyle name="Note 2 6 4 14" xfId="24843" xr:uid="{00000000-0005-0000-0000-0000D15D0000}"/>
    <cellStyle name="Note 2 6 4 15" xfId="24844" xr:uid="{00000000-0005-0000-0000-0000D25D0000}"/>
    <cellStyle name="Note 2 6 4 16" xfId="24845" xr:uid="{00000000-0005-0000-0000-0000D35D0000}"/>
    <cellStyle name="Note 2 6 4 17" xfId="24846" xr:uid="{00000000-0005-0000-0000-0000D45D0000}"/>
    <cellStyle name="Note 2 6 4 18" xfId="24847" xr:uid="{00000000-0005-0000-0000-0000D55D0000}"/>
    <cellStyle name="Note 2 6 4 19" xfId="24848" xr:uid="{00000000-0005-0000-0000-0000D65D0000}"/>
    <cellStyle name="Note 2 6 4 2" xfId="24849" xr:uid="{00000000-0005-0000-0000-0000D75D0000}"/>
    <cellStyle name="Note 2 6 4 2 10" xfId="24850" xr:uid="{00000000-0005-0000-0000-0000D85D0000}"/>
    <cellStyle name="Note 2 6 4 2 11" xfId="24851" xr:uid="{00000000-0005-0000-0000-0000D95D0000}"/>
    <cellStyle name="Note 2 6 4 2 12" xfId="24852" xr:uid="{00000000-0005-0000-0000-0000DA5D0000}"/>
    <cellStyle name="Note 2 6 4 2 13" xfId="24853" xr:uid="{00000000-0005-0000-0000-0000DB5D0000}"/>
    <cellStyle name="Note 2 6 4 2 14" xfId="24854" xr:uid="{00000000-0005-0000-0000-0000DC5D0000}"/>
    <cellStyle name="Note 2 6 4 2 15" xfId="24855" xr:uid="{00000000-0005-0000-0000-0000DD5D0000}"/>
    <cellStyle name="Note 2 6 4 2 2" xfId="24856" xr:uid="{00000000-0005-0000-0000-0000DE5D0000}"/>
    <cellStyle name="Note 2 6 4 2 3" xfId="24857" xr:uid="{00000000-0005-0000-0000-0000DF5D0000}"/>
    <cellStyle name="Note 2 6 4 2 4" xfId="24858" xr:uid="{00000000-0005-0000-0000-0000E05D0000}"/>
    <cellStyle name="Note 2 6 4 2 5" xfId="24859" xr:uid="{00000000-0005-0000-0000-0000E15D0000}"/>
    <cellStyle name="Note 2 6 4 2 6" xfId="24860" xr:uid="{00000000-0005-0000-0000-0000E25D0000}"/>
    <cellStyle name="Note 2 6 4 2 7" xfId="24861" xr:uid="{00000000-0005-0000-0000-0000E35D0000}"/>
    <cellStyle name="Note 2 6 4 2 8" xfId="24862" xr:uid="{00000000-0005-0000-0000-0000E45D0000}"/>
    <cellStyle name="Note 2 6 4 2 9" xfId="24863" xr:uid="{00000000-0005-0000-0000-0000E55D0000}"/>
    <cellStyle name="Note 2 6 4 20" xfId="24864" xr:uid="{00000000-0005-0000-0000-0000E65D0000}"/>
    <cellStyle name="Note 2 6 4 3" xfId="24865" xr:uid="{00000000-0005-0000-0000-0000E75D0000}"/>
    <cellStyle name="Note 2 6 4 3 10" xfId="24866" xr:uid="{00000000-0005-0000-0000-0000E85D0000}"/>
    <cellStyle name="Note 2 6 4 3 11" xfId="24867" xr:uid="{00000000-0005-0000-0000-0000E95D0000}"/>
    <cellStyle name="Note 2 6 4 3 12" xfId="24868" xr:uid="{00000000-0005-0000-0000-0000EA5D0000}"/>
    <cellStyle name="Note 2 6 4 3 13" xfId="24869" xr:uid="{00000000-0005-0000-0000-0000EB5D0000}"/>
    <cellStyle name="Note 2 6 4 3 14" xfId="24870" xr:uid="{00000000-0005-0000-0000-0000EC5D0000}"/>
    <cellStyle name="Note 2 6 4 3 15" xfId="24871" xr:uid="{00000000-0005-0000-0000-0000ED5D0000}"/>
    <cellStyle name="Note 2 6 4 3 2" xfId="24872" xr:uid="{00000000-0005-0000-0000-0000EE5D0000}"/>
    <cellStyle name="Note 2 6 4 3 3" xfId="24873" xr:uid="{00000000-0005-0000-0000-0000EF5D0000}"/>
    <cellStyle name="Note 2 6 4 3 4" xfId="24874" xr:uid="{00000000-0005-0000-0000-0000F05D0000}"/>
    <cellStyle name="Note 2 6 4 3 5" xfId="24875" xr:uid="{00000000-0005-0000-0000-0000F15D0000}"/>
    <cellStyle name="Note 2 6 4 3 6" xfId="24876" xr:uid="{00000000-0005-0000-0000-0000F25D0000}"/>
    <cellStyle name="Note 2 6 4 3 7" xfId="24877" xr:uid="{00000000-0005-0000-0000-0000F35D0000}"/>
    <cellStyle name="Note 2 6 4 3 8" xfId="24878" xr:uid="{00000000-0005-0000-0000-0000F45D0000}"/>
    <cellStyle name="Note 2 6 4 3 9" xfId="24879" xr:uid="{00000000-0005-0000-0000-0000F55D0000}"/>
    <cellStyle name="Note 2 6 4 4" xfId="24880" xr:uid="{00000000-0005-0000-0000-0000F65D0000}"/>
    <cellStyle name="Note 2 6 4 4 10" xfId="24881" xr:uid="{00000000-0005-0000-0000-0000F75D0000}"/>
    <cellStyle name="Note 2 6 4 4 11" xfId="24882" xr:uid="{00000000-0005-0000-0000-0000F85D0000}"/>
    <cellStyle name="Note 2 6 4 4 12" xfId="24883" xr:uid="{00000000-0005-0000-0000-0000F95D0000}"/>
    <cellStyle name="Note 2 6 4 4 13" xfId="24884" xr:uid="{00000000-0005-0000-0000-0000FA5D0000}"/>
    <cellStyle name="Note 2 6 4 4 14" xfId="24885" xr:uid="{00000000-0005-0000-0000-0000FB5D0000}"/>
    <cellStyle name="Note 2 6 4 4 15" xfId="24886" xr:uid="{00000000-0005-0000-0000-0000FC5D0000}"/>
    <cellStyle name="Note 2 6 4 4 2" xfId="24887" xr:uid="{00000000-0005-0000-0000-0000FD5D0000}"/>
    <cellStyle name="Note 2 6 4 4 3" xfId="24888" xr:uid="{00000000-0005-0000-0000-0000FE5D0000}"/>
    <cellStyle name="Note 2 6 4 4 4" xfId="24889" xr:uid="{00000000-0005-0000-0000-0000FF5D0000}"/>
    <cellStyle name="Note 2 6 4 4 5" xfId="24890" xr:uid="{00000000-0005-0000-0000-0000005E0000}"/>
    <cellStyle name="Note 2 6 4 4 6" xfId="24891" xr:uid="{00000000-0005-0000-0000-0000015E0000}"/>
    <cellStyle name="Note 2 6 4 4 7" xfId="24892" xr:uid="{00000000-0005-0000-0000-0000025E0000}"/>
    <cellStyle name="Note 2 6 4 4 8" xfId="24893" xr:uid="{00000000-0005-0000-0000-0000035E0000}"/>
    <cellStyle name="Note 2 6 4 4 9" xfId="24894" xr:uid="{00000000-0005-0000-0000-0000045E0000}"/>
    <cellStyle name="Note 2 6 4 5" xfId="24895" xr:uid="{00000000-0005-0000-0000-0000055E0000}"/>
    <cellStyle name="Note 2 6 4 5 10" xfId="24896" xr:uid="{00000000-0005-0000-0000-0000065E0000}"/>
    <cellStyle name="Note 2 6 4 5 11" xfId="24897" xr:uid="{00000000-0005-0000-0000-0000075E0000}"/>
    <cellStyle name="Note 2 6 4 5 12" xfId="24898" xr:uid="{00000000-0005-0000-0000-0000085E0000}"/>
    <cellStyle name="Note 2 6 4 5 13" xfId="24899" xr:uid="{00000000-0005-0000-0000-0000095E0000}"/>
    <cellStyle name="Note 2 6 4 5 14" xfId="24900" xr:uid="{00000000-0005-0000-0000-00000A5E0000}"/>
    <cellStyle name="Note 2 6 4 5 15" xfId="24901" xr:uid="{00000000-0005-0000-0000-00000B5E0000}"/>
    <cellStyle name="Note 2 6 4 5 2" xfId="24902" xr:uid="{00000000-0005-0000-0000-00000C5E0000}"/>
    <cellStyle name="Note 2 6 4 5 3" xfId="24903" xr:uid="{00000000-0005-0000-0000-00000D5E0000}"/>
    <cellStyle name="Note 2 6 4 5 4" xfId="24904" xr:uid="{00000000-0005-0000-0000-00000E5E0000}"/>
    <cellStyle name="Note 2 6 4 5 5" xfId="24905" xr:uid="{00000000-0005-0000-0000-00000F5E0000}"/>
    <cellStyle name="Note 2 6 4 5 6" xfId="24906" xr:uid="{00000000-0005-0000-0000-0000105E0000}"/>
    <cellStyle name="Note 2 6 4 5 7" xfId="24907" xr:uid="{00000000-0005-0000-0000-0000115E0000}"/>
    <cellStyle name="Note 2 6 4 5 8" xfId="24908" xr:uid="{00000000-0005-0000-0000-0000125E0000}"/>
    <cellStyle name="Note 2 6 4 5 9" xfId="24909" xr:uid="{00000000-0005-0000-0000-0000135E0000}"/>
    <cellStyle name="Note 2 6 4 6" xfId="24910" xr:uid="{00000000-0005-0000-0000-0000145E0000}"/>
    <cellStyle name="Note 2 6 4 7" xfId="24911" xr:uid="{00000000-0005-0000-0000-0000155E0000}"/>
    <cellStyle name="Note 2 6 4 8" xfId="24912" xr:uid="{00000000-0005-0000-0000-0000165E0000}"/>
    <cellStyle name="Note 2 6 4 9" xfId="24913" xr:uid="{00000000-0005-0000-0000-0000175E0000}"/>
    <cellStyle name="Note 2 6 5" xfId="24914" xr:uid="{00000000-0005-0000-0000-0000185E0000}"/>
    <cellStyle name="Note 2 6 5 10" xfId="24915" xr:uid="{00000000-0005-0000-0000-0000195E0000}"/>
    <cellStyle name="Note 2 6 5 11" xfId="24916" xr:uid="{00000000-0005-0000-0000-00001A5E0000}"/>
    <cellStyle name="Note 2 6 5 12" xfId="24917" xr:uid="{00000000-0005-0000-0000-00001B5E0000}"/>
    <cellStyle name="Note 2 6 5 13" xfId="24918" xr:uid="{00000000-0005-0000-0000-00001C5E0000}"/>
    <cellStyle name="Note 2 6 5 14" xfId="24919" xr:uid="{00000000-0005-0000-0000-00001D5E0000}"/>
    <cellStyle name="Note 2 6 5 15" xfId="24920" xr:uid="{00000000-0005-0000-0000-00001E5E0000}"/>
    <cellStyle name="Note 2 6 5 16" xfId="24921" xr:uid="{00000000-0005-0000-0000-00001F5E0000}"/>
    <cellStyle name="Note 2 6 5 17" xfId="24922" xr:uid="{00000000-0005-0000-0000-0000205E0000}"/>
    <cellStyle name="Note 2 6 5 18" xfId="24923" xr:uid="{00000000-0005-0000-0000-0000215E0000}"/>
    <cellStyle name="Note 2 6 5 19" xfId="24924" xr:uid="{00000000-0005-0000-0000-0000225E0000}"/>
    <cellStyle name="Note 2 6 5 2" xfId="24925" xr:uid="{00000000-0005-0000-0000-0000235E0000}"/>
    <cellStyle name="Note 2 6 5 2 10" xfId="24926" xr:uid="{00000000-0005-0000-0000-0000245E0000}"/>
    <cellStyle name="Note 2 6 5 2 11" xfId="24927" xr:uid="{00000000-0005-0000-0000-0000255E0000}"/>
    <cellStyle name="Note 2 6 5 2 12" xfId="24928" xr:uid="{00000000-0005-0000-0000-0000265E0000}"/>
    <cellStyle name="Note 2 6 5 2 13" xfId="24929" xr:uid="{00000000-0005-0000-0000-0000275E0000}"/>
    <cellStyle name="Note 2 6 5 2 14" xfId="24930" xr:uid="{00000000-0005-0000-0000-0000285E0000}"/>
    <cellStyle name="Note 2 6 5 2 15" xfId="24931" xr:uid="{00000000-0005-0000-0000-0000295E0000}"/>
    <cellStyle name="Note 2 6 5 2 2" xfId="24932" xr:uid="{00000000-0005-0000-0000-00002A5E0000}"/>
    <cellStyle name="Note 2 6 5 2 3" xfId="24933" xr:uid="{00000000-0005-0000-0000-00002B5E0000}"/>
    <cellStyle name="Note 2 6 5 2 4" xfId="24934" xr:uid="{00000000-0005-0000-0000-00002C5E0000}"/>
    <cellStyle name="Note 2 6 5 2 5" xfId="24935" xr:uid="{00000000-0005-0000-0000-00002D5E0000}"/>
    <cellStyle name="Note 2 6 5 2 6" xfId="24936" xr:uid="{00000000-0005-0000-0000-00002E5E0000}"/>
    <cellStyle name="Note 2 6 5 2 7" xfId="24937" xr:uid="{00000000-0005-0000-0000-00002F5E0000}"/>
    <cellStyle name="Note 2 6 5 2 8" xfId="24938" xr:uid="{00000000-0005-0000-0000-0000305E0000}"/>
    <cellStyle name="Note 2 6 5 2 9" xfId="24939" xr:uid="{00000000-0005-0000-0000-0000315E0000}"/>
    <cellStyle name="Note 2 6 5 20" xfId="24940" xr:uid="{00000000-0005-0000-0000-0000325E0000}"/>
    <cellStyle name="Note 2 6 5 3" xfId="24941" xr:uid="{00000000-0005-0000-0000-0000335E0000}"/>
    <cellStyle name="Note 2 6 5 3 10" xfId="24942" xr:uid="{00000000-0005-0000-0000-0000345E0000}"/>
    <cellStyle name="Note 2 6 5 3 11" xfId="24943" xr:uid="{00000000-0005-0000-0000-0000355E0000}"/>
    <cellStyle name="Note 2 6 5 3 12" xfId="24944" xr:uid="{00000000-0005-0000-0000-0000365E0000}"/>
    <cellStyle name="Note 2 6 5 3 13" xfId="24945" xr:uid="{00000000-0005-0000-0000-0000375E0000}"/>
    <cellStyle name="Note 2 6 5 3 14" xfId="24946" xr:uid="{00000000-0005-0000-0000-0000385E0000}"/>
    <cellStyle name="Note 2 6 5 3 15" xfId="24947" xr:uid="{00000000-0005-0000-0000-0000395E0000}"/>
    <cellStyle name="Note 2 6 5 3 2" xfId="24948" xr:uid="{00000000-0005-0000-0000-00003A5E0000}"/>
    <cellStyle name="Note 2 6 5 3 3" xfId="24949" xr:uid="{00000000-0005-0000-0000-00003B5E0000}"/>
    <cellStyle name="Note 2 6 5 3 4" xfId="24950" xr:uid="{00000000-0005-0000-0000-00003C5E0000}"/>
    <cellStyle name="Note 2 6 5 3 5" xfId="24951" xr:uid="{00000000-0005-0000-0000-00003D5E0000}"/>
    <cellStyle name="Note 2 6 5 3 6" xfId="24952" xr:uid="{00000000-0005-0000-0000-00003E5E0000}"/>
    <cellStyle name="Note 2 6 5 3 7" xfId="24953" xr:uid="{00000000-0005-0000-0000-00003F5E0000}"/>
    <cellStyle name="Note 2 6 5 3 8" xfId="24954" xr:uid="{00000000-0005-0000-0000-0000405E0000}"/>
    <cellStyle name="Note 2 6 5 3 9" xfId="24955" xr:uid="{00000000-0005-0000-0000-0000415E0000}"/>
    <cellStyle name="Note 2 6 5 4" xfId="24956" xr:uid="{00000000-0005-0000-0000-0000425E0000}"/>
    <cellStyle name="Note 2 6 5 4 10" xfId="24957" xr:uid="{00000000-0005-0000-0000-0000435E0000}"/>
    <cellStyle name="Note 2 6 5 4 11" xfId="24958" xr:uid="{00000000-0005-0000-0000-0000445E0000}"/>
    <cellStyle name="Note 2 6 5 4 12" xfId="24959" xr:uid="{00000000-0005-0000-0000-0000455E0000}"/>
    <cellStyle name="Note 2 6 5 4 13" xfId="24960" xr:uid="{00000000-0005-0000-0000-0000465E0000}"/>
    <cellStyle name="Note 2 6 5 4 14" xfId="24961" xr:uid="{00000000-0005-0000-0000-0000475E0000}"/>
    <cellStyle name="Note 2 6 5 4 15" xfId="24962" xr:uid="{00000000-0005-0000-0000-0000485E0000}"/>
    <cellStyle name="Note 2 6 5 4 2" xfId="24963" xr:uid="{00000000-0005-0000-0000-0000495E0000}"/>
    <cellStyle name="Note 2 6 5 4 3" xfId="24964" xr:uid="{00000000-0005-0000-0000-00004A5E0000}"/>
    <cellStyle name="Note 2 6 5 4 4" xfId="24965" xr:uid="{00000000-0005-0000-0000-00004B5E0000}"/>
    <cellStyle name="Note 2 6 5 4 5" xfId="24966" xr:uid="{00000000-0005-0000-0000-00004C5E0000}"/>
    <cellStyle name="Note 2 6 5 4 6" xfId="24967" xr:uid="{00000000-0005-0000-0000-00004D5E0000}"/>
    <cellStyle name="Note 2 6 5 4 7" xfId="24968" xr:uid="{00000000-0005-0000-0000-00004E5E0000}"/>
    <cellStyle name="Note 2 6 5 4 8" xfId="24969" xr:uid="{00000000-0005-0000-0000-00004F5E0000}"/>
    <cellStyle name="Note 2 6 5 4 9" xfId="24970" xr:uid="{00000000-0005-0000-0000-0000505E0000}"/>
    <cellStyle name="Note 2 6 5 5" xfId="24971" xr:uid="{00000000-0005-0000-0000-0000515E0000}"/>
    <cellStyle name="Note 2 6 5 5 10" xfId="24972" xr:uid="{00000000-0005-0000-0000-0000525E0000}"/>
    <cellStyle name="Note 2 6 5 5 11" xfId="24973" xr:uid="{00000000-0005-0000-0000-0000535E0000}"/>
    <cellStyle name="Note 2 6 5 5 12" xfId="24974" xr:uid="{00000000-0005-0000-0000-0000545E0000}"/>
    <cellStyle name="Note 2 6 5 5 13" xfId="24975" xr:uid="{00000000-0005-0000-0000-0000555E0000}"/>
    <cellStyle name="Note 2 6 5 5 14" xfId="24976" xr:uid="{00000000-0005-0000-0000-0000565E0000}"/>
    <cellStyle name="Note 2 6 5 5 15" xfId="24977" xr:uid="{00000000-0005-0000-0000-0000575E0000}"/>
    <cellStyle name="Note 2 6 5 5 2" xfId="24978" xr:uid="{00000000-0005-0000-0000-0000585E0000}"/>
    <cellStyle name="Note 2 6 5 5 3" xfId="24979" xr:uid="{00000000-0005-0000-0000-0000595E0000}"/>
    <cellStyle name="Note 2 6 5 5 4" xfId="24980" xr:uid="{00000000-0005-0000-0000-00005A5E0000}"/>
    <cellStyle name="Note 2 6 5 5 5" xfId="24981" xr:uid="{00000000-0005-0000-0000-00005B5E0000}"/>
    <cellStyle name="Note 2 6 5 5 6" xfId="24982" xr:uid="{00000000-0005-0000-0000-00005C5E0000}"/>
    <cellStyle name="Note 2 6 5 5 7" xfId="24983" xr:uid="{00000000-0005-0000-0000-00005D5E0000}"/>
    <cellStyle name="Note 2 6 5 5 8" xfId="24984" xr:uid="{00000000-0005-0000-0000-00005E5E0000}"/>
    <cellStyle name="Note 2 6 5 5 9" xfId="24985" xr:uid="{00000000-0005-0000-0000-00005F5E0000}"/>
    <cellStyle name="Note 2 6 5 6" xfId="24986" xr:uid="{00000000-0005-0000-0000-0000605E0000}"/>
    <cellStyle name="Note 2 6 5 7" xfId="24987" xr:uid="{00000000-0005-0000-0000-0000615E0000}"/>
    <cellStyle name="Note 2 6 5 8" xfId="24988" xr:uid="{00000000-0005-0000-0000-0000625E0000}"/>
    <cellStyle name="Note 2 6 5 9" xfId="24989" xr:uid="{00000000-0005-0000-0000-0000635E0000}"/>
    <cellStyle name="Note 2 6 6" xfId="24990" xr:uid="{00000000-0005-0000-0000-0000645E0000}"/>
    <cellStyle name="Note 2 6 6 10" xfId="24991" xr:uid="{00000000-0005-0000-0000-0000655E0000}"/>
    <cellStyle name="Note 2 6 6 11" xfId="24992" xr:uid="{00000000-0005-0000-0000-0000665E0000}"/>
    <cellStyle name="Note 2 6 6 12" xfId="24993" xr:uid="{00000000-0005-0000-0000-0000675E0000}"/>
    <cellStyle name="Note 2 6 6 13" xfId="24994" xr:uid="{00000000-0005-0000-0000-0000685E0000}"/>
    <cellStyle name="Note 2 6 6 14" xfId="24995" xr:uid="{00000000-0005-0000-0000-0000695E0000}"/>
    <cellStyle name="Note 2 6 6 15" xfId="24996" xr:uid="{00000000-0005-0000-0000-00006A5E0000}"/>
    <cellStyle name="Note 2 6 6 2" xfId="24997" xr:uid="{00000000-0005-0000-0000-00006B5E0000}"/>
    <cellStyle name="Note 2 6 6 3" xfId="24998" xr:uid="{00000000-0005-0000-0000-00006C5E0000}"/>
    <cellStyle name="Note 2 6 6 4" xfId="24999" xr:uid="{00000000-0005-0000-0000-00006D5E0000}"/>
    <cellStyle name="Note 2 6 6 5" xfId="25000" xr:uid="{00000000-0005-0000-0000-00006E5E0000}"/>
    <cellStyle name="Note 2 6 6 6" xfId="25001" xr:uid="{00000000-0005-0000-0000-00006F5E0000}"/>
    <cellStyle name="Note 2 6 6 7" xfId="25002" xr:uid="{00000000-0005-0000-0000-0000705E0000}"/>
    <cellStyle name="Note 2 6 6 8" xfId="25003" xr:uid="{00000000-0005-0000-0000-0000715E0000}"/>
    <cellStyle name="Note 2 6 6 9" xfId="25004" xr:uid="{00000000-0005-0000-0000-0000725E0000}"/>
    <cellStyle name="Note 2 6 7" xfId="25005" xr:uid="{00000000-0005-0000-0000-0000735E0000}"/>
    <cellStyle name="Note 2 6 7 10" xfId="25006" xr:uid="{00000000-0005-0000-0000-0000745E0000}"/>
    <cellStyle name="Note 2 6 7 11" xfId="25007" xr:uid="{00000000-0005-0000-0000-0000755E0000}"/>
    <cellStyle name="Note 2 6 7 12" xfId="25008" xr:uid="{00000000-0005-0000-0000-0000765E0000}"/>
    <cellStyle name="Note 2 6 7 13" xfId="25009" xr:uid="{00000000-0005-0000-0000-0000775E0000}"/>
    <cellStyle name="Note 2 6 7 14" xfId="25010" xr:uid="{00000000-0005-0000-0000-0000785E0000}"/>
    <cellStyle name="Note 2 6 7 15" xfId="25011" xr:uid="{00000000-0005-0000-0000-0000795E0000}"/>
    <cellStyle name="Note 2 6 7 2" xfId="25012" xr:uid="{00000000-0005-0000-0000-00007A5E0000}"/>
    <cellStyle name="Note 2 6 7 3" xfId="25013" xr:uid="{00000000-0005-0000-0000-00007B5E0000}"/>
    <cellStyle name="Note 2 6 7 4" xfId="25014" xr:uid="{00000000-0005-0000-0000-00007C5E0000}"/>
    <cellStyle name="Note 2 6 7 5" xfId="25015" xr:uid="{00000000-0005-0000-0000-00007D5E0000}"/>
    <cellStyle name="Note 2 6 7 6" xfId="25016" xr:uid="{00000000-0005-0000-0000-00007E5E0000}"/>
    <cellStyle name="Note 2 6 7 7" xfId="25017" xr:uid="{00000000-0005-0000-0000-00007F5E0000}"/>
    <cellStyle name="Note 2 6 7 8" xfId="25018" xr:uid="{00000000-0005-0000-0000-0000805E0000}"/>
    <cellStyle name="Note 2 6 7 9" xfId="25019" xr:uid="{00000000-0005-0000-0000-0000815E0000}"/>
    <cellStyle name="Note 2 6 8" xfId="25020" xr:uid="{00000000-0005-0000-0000-0000825E0000}"/>
    <cellStyle name="Note 2 6 8 10" xfId="25021" xr:uid="{00000000-0005-0000-0000-0000835E0000}"/>
    <cellStyle name="Note 2 6 8 11" xfId="25022" xr:uid="{00000000-0005-0000-0000-0000845E0000}"/>
    <cellStyle name="Note 2 6 8 12" xfId="25023" xr:uid="{00000000-0005-0000-0000-0000855E0000}"/>
    <cellStyle name="Note 2 6 8 13" xfId="25024" xr:uid="{00000000-0005-0000-0000-0000865E0000}"/>
    <cellStyle name="Note 2 6 8 14" xfId="25025" xr:uid="{00000000-0005-0000-0000-0000875E0000}"/>
    <cellStyle name="Note 2 6 8 15" xfId="25026" xr:uid="{00000000-0005-0000-0000-0000885E0000}"/>
    <cellStyle name="Note 2 6 8 2" xfId="25027" xr:uid="{00000000-0005-0000-0000-0000895E0000}"/>
    <cellStyle name="Note 2 6 8 3" xfId="25028" xr:uid="{00000000-0005-0000-0000-00008A5E0000}"/>
    <cellStyle name="Note 2 6 8 4" xfId="25029" xr:uid="{00000000-0005-0000-0000-00008B5E0000}"/>
    <cellStyle name="Note 2 6 8 5" xfId="25030" xr:uid="{00000000-0005-0000-0000-00008C5E0000}"/>
    <cellStyle name="Note 2 6 8 6" xfId="25031" xr:uid="{00000000-0005-0000-0000-00008D5E0000}"/>
    <cellStyle name="Note 2 6 8 7" xfId="25032" xr:uid="{00000000-0005-0000-0000-00008E5E0000}"/>
    <cellStyle name="Note 2 6 8 8" xfId="25033" xr:uid="{00000000-0005-0000-0000-00008F5E0000}"/>
    <cellStyle name="Note 2 6 8 9" xfId="25034" xr:uid="{00000000-0005-0000-0000-0000905E0000}"/>
    <cellStyle name="Note 2 6 9" xfId="25035" xr:uid="{00000000-0005-0000-0000-0000915E0000}"/>
    <cellStyle name="Note 2 6 9 10" xfId="25036" xr:uid="{00000000-0005-0000-0000-0000925E0000}"/>
    <cellStyle name="Note 2 6 9 11" xfId="25037" xr:uid="{00000000-0005-0000-0000-0000935E0000}"/>
    <cellStyle name="Note 2 6 9 12" xfId="25038" xr:uid="{00000000-0005-0000-0000-0000945E0000}"/>
    <cellStyle name="Note 2 6 9 13" xfId="25039" xr:uid="{00000000-0005-0000-0000-0000955E0000}"/>
    <cellStyle name="Note 2 6 9 14" xfId="25040" xr:uid="{00000000-0005-0000-0000-0000965E0000}"/>
    <cellStyle name="Note 2 6 9 15" xfId="25041" xr:uid="{00000000-0005-0000-0000-0000975E0000}"/>
    <cellStyle name="Note 2 6 9 2" xfId="25042" xr:uid="{00000000-0005-0000-0000-0000985E0000}"/>
    <cellStyle name="Note 2 6 9 3" xfId="25043" xr:uid="{00000000-0005-0000-0000-0000995E0000}"/>
    <cellStyle name="Note 2 6 9 4" xfId="25044" xr:uid="{00000000-0005-0000-0000-00009A5E0000}"/>
    <cellStyle name="Note 2 6 9 5" xfId="25045" xr:uid="{00000000-0005-0000-0000-00009B5E0000}"/>
    <cellStyle name="Note 2 6 9 6" xfId="25046" xr:uid="{00000000-0005-0000-0000-00009C5E0000}"/>
    <cellStyle name="Note 2 6 9 7" xfId="25047" xr:uid="{00000000-0005-0000-0000-00009D5E0000}"/>
    <cellStyle name="Note 2 6 9 8" xfId="25048" xr:uid="{00000000-0005-0000-0000-00009E5E0000}"/>
    <cellStyle name="Note 2 6 9 9" xfId="25049" xr:uid="{00000000-0005-0000-0000-00009F5E0000}"/>
    <cellStyle name="Note 2 7" xfId="25050" xr:uid="{00000000-0005-0000-0000-0000A05E0000}"/>
    <cellStyle name="Note 2 7 10" xfId="25051" xr:uid="{00000000-0005-0000-0000-0000A15E0000}"/>
    <cellStyle name="Note 2 7 11" xfId="25052" xr:uid="{00000000-0005-0000-0000-0000A25E0000}"/>
    <cellStyle name="Note 2 7 12" xfId="25053" xr:uid="{00000000-0005-0000-0000-0000A35E0000}"/>
    <cellStyle name="Note 2 7 13" xfId="25054" xr:uid="{00000000-0005-0000-0000-0000A45E0000}"/>
    <cellStyle name="Note 2 7 14" xfId="25055" xr:uid="{00000000-0005-0000-0000-0000A55E0000}"/>
    <cellStyle name="Note 2 7 15" xfId="25056" xr:uid="{00000000-0005-0000-0000-0000A65E0000}"/>
    <cellStyle name="Note 2 7 16" xfId="25057" xr:uid="{00000000-0005-0000-0000-0000A75E0000}"/>
    <cellStyle name="Note 2 7 17" xfId="25058" xr:uid="{00000000-0005-0000-0000-0000A85E0000}"/>
    <cellStyle name="Note 2 7 18" xfId="25059" xr:uid="{00000000-0005-0000-0000-0000A95E0000}"/>
    <cellStyle name="Note 2 7 19" xfId="25060" xr:uid="{00000000-0005-0000-0000-0000AA5E0000}"/>
    <cellStyle name="Note 2 7 2" xfId="25061" xr:uid="{00000000-0005-0000-0000-0000AB5E0000}"/>
    <cellStyle name="Note 2 7 2 10" xfId="25062" xr:uid="{00000000-0005-0000-0000-0000AC5E0000}"/>
    <cellStyle name="Note 2 7 2 11" xfId="25063" xr:uid="{00000000-0005-0000-0000-0000AD5E0000}"/>
    <cellStyle name="Note 2 7 2 12" xfId="25064" xr:uid="{00000000-0005-0000-0000-0000AE5E0000}"/>
    <cellStyle name="Note 2 7 2 13" xfId="25065" xr:uid="{00000000-0005-0000-0000-0000AF5E0000}"/>
    <cellStyle name="Note 2 7 2 14" xfId="25066" xr:uid="{00000000-0005-0000-0000-0000B05E0000}"/>
    <cellStyle name="Note 2 7 2 15" xfId="25067" xr:uid="{00000000-0005-0000-0000-0000B15E0000}"/>
    <cellStyle name="Note 2 7 2 16" xfId="25068" xr:uid="{00000000-0005-0000-0000-0000B25E0000}"/>
    <cellStyle name="Note 2 7 2 17" xfId="25069" xr:uid="{00000000-0005-0000-0000-0000B35E0000}"/>
    <cellStyle name="Note 2 7 2 18" xfId="25070" xr:uid="{00000000-0005-0000-0000-0000B45E0000}"/>
    <cellStyle name="Note 2 7 2 19" xfId="25071" xr:uid="{00000000-0005-0000-0000-0000B55E0000}"/>
    <cellStyle name="Note 2 7 2 2" xfId="25072" xr:uid="{00000000-0005-0000-0000-0000B65E0000}"/>
    <cellStyle name="Note 2 7 2 2 10" xfId="25073" xr:uid="{00000000-0005-0000-0000-0000B75E0000}"/>
    <cellStyle name="Note 2 7 2 2 11" xfId="25074" xr:uid="{00000000-0005-0000-0000-0000B85E0000}"/>
    <cellStyle name="Note 2 7 2 2 12" xfId="25075" xr:uid="{00000000-0005-0000-0000-0000B95E0000}"/>
    <cellStyle name="Note 2 7 2 2 13" xfId="25076" xr:uid="{00000000-0005-0000-0000-0000BA5E0000}"/>
    <cellStyle name="Note 2 7 2 2 14" xfId="25077" xr:uid="{00000000-0005-0000-0000-0000BB5E0000}"/>
    <cellStyle name="Note 2 7 2 2 15" xfId="25078" xr:uid="{00000000-0005-0000-0000-0000BC5E0000}"/>
    <cellStyle name="Note 2 7 2 2 16" xfId="25079" xr:uid="{00000000-0005-0000-0000-0000BD5E0000}"/>
    <cellStyle name="Note 2 7 2 2 17" xfId="25080" xr:uid="{00000000-0005-0000-0000-0000BE5E0000}"/>
    <cellStyle name="Note 2 7 2 2 18" xfId="25081" xr:uid="{00000000-0005-0000-0000-0000BF5E0000}"/>
    <cellStyle name="Note 2 7 2 2 19" xfId="25082" xr:uid="{00000000-0005-0000-0000-0000C05E0000}"/>
    <cellStyle name="Note 2 7 2 2 2" xfId="25083" xr:uid="{00000000-0005-0000-0000-0000C15E0000}"/>
    <cellStyle name="Note 2 7 2 2 2 10" xfId="25084" xr:uid="{00000000-0005-0000-0000-0000C25E0000}"/>
    <cellStyle name="Note 2 7 2 2 2 11" xfId="25085" xr:uid="{00000000-0005-0000-0000-0000C35E0000}"/>
    <cellStyle name="Note 2 7 2 2 2 12" xfId="25086" xr:uid="{00000000-0005-0000-0000-0000C45E0000}"/>
    <cellStyle name="Note 2 7 2 2 2 13" xfId="25087" xr:uid="{00000000-0005-0000-0000-0000C55E0000}"/>
    <cellStyle name="Note 2 7 2 2 2 14" xfId="25088" xr:uid="{00000000-0005-0000-0000-0000C65E0000}"/>
    <cellStyle name="Note 2 7 2 2 2 15" xfId="25089" xr:uid="{00000000-0005-0000-0000-0000C75E0000}"/>
    <cellStyle name="Note 2 7 2 2 2 2" xfId="25090" xr:uid="{00000000-0005-0000-0000-0000C85E0000}"/>
    <cellStyle name="Note 2 7 2 2 2 3" xfId="25091" xr:uid="{00000000-0005-0000-0000-0000C95E0000}"/>
    <cellStyle name="Note 2 7 2 2 2 4" xfId="25092" xr:uid="{00000000-0005-0000-0000-0000CA5E0000}"/>
    <cellStyle name="Note 2 7 2 2 2 5" xfId="25093" xr:uid="{00000000-0005-0000-0000-0000CB5E0000}"/>
    <cellStyle name="Note 2 7 2 2 2 6" xfId="25094" xr:uid="{00000000-0005-0000-0000-0000CC5E0000}"/>
    <cellStyle name="Note 2 7 2 2 2 7" xfId="25095" xr:uid="{00000000-0005-0000-0000-0000CD5E0000}"/>
    <cellStyle name="Note 2 7 2 2 2 8" xfId="25096" xr:uid="{00000000-0005-0000-0000-0000CE5E0000}"/>
    <cellStyle name="Note 2 7 2 2 2 9" xfId="25097" xr:uid="{00000000-0005-0000-0000-0000CF5E0000}"/>
    <cellStyle name="Note 2 7 2 2 20" xfId="25098" xr:uid="{00000000-0005-0000-0000-0000D05E0000}"/>
    <cellStyle name="Note 2 7 2 2 3" xfId="25099" xr:uid="{00000000-0005-0000-0000-0000D15E0000}"/>
    <cellStyle name="Note 2 7 2 2 3 10" xfId="25100" xr:uid="{00000000-0005-0000-0000-0000D25E0000}"/>
    <cellStyle name="Note 2 7 2 2 3 11" xfId="25101" xr:uid="{00000000-0005-0000-0000-0000D35E0000}"/>
    <cellStyle name="Note 2 7 2 2 3 12" xfId="25102" xr:uid="{00000000-0005-0000-0000-0000D45E0000}"/>
    <cellStyle name="Note 2 7 2 2 3 13" xfId="25103" xr:uid="{00000000-0005-0000-0000-0000D55E0000}"/>
    <cellStyle name="Note 2 7 2 2 3 14" xfId="25104" xr:uid="{00000000-0005-0000-0000-0000D65E0000}"/>
    <cellStyle name="Note 2 7 2 2 3 15" xfId="25105" xr:uid="{00000000-0005-0000-0000-0000D75E0000}"/>
    <cellStyle name="Note 2 7 2 2 3 2" xfId="25106" xr:uid="{00000000-0005-0000-0000-0000D85E0000}"/>
    <cellStyle name="Note 2 7 2 2 3 3" xfId="25107" xr:uid="{00000000-0005-0000-0000-0000D95E0000}"/>
    <cellStyle name="Note 2 7 2 2 3 4" xfId="25108" xr:uid="{00000000-0005-0000-0000-0000DA5E0000}"/>
    <cellStyle name="Note 2 7 2 2 3 5" xfId="25109" xr:uid="{00000000-0005-0000-0000-0000DB5E0000}"/>
    <cellStyle name="Note 2 7 2 2 3 6" xfId="25110" xr:uid="{00000000-0005-0000-0000-0000DC5E0000}"/>
    <cellStyle name="Note 2 7 2 2 3 7" xfId="25111" xr:uid="{00000000-0005-0000-0000-0000DD5E0000}"/>
    <cellStyle name="Note 2 7 2 2 3 8" xfId="25112" xr:uid="{00000000-0005-0000-0000-0000DE5E0000}"/>
    <cellStyle name="Note 2 7 2 2 3 9" xfId="25113" xr:uid="{00000000-0005-0000-0000-0000DF5E0000}"/>
    <cellStyle name="Note 2 7 2 2 4" xfId="25114" xr:uid="{00000000-0005-0000-0000-0000E05E0000}"/>
    <cellStyle name="Note 2 7 2 2 4 10" xfId="25115" xr:uid="{00000000-0005-0000-0000-0000E15E0000}"/>
    <cellStyle name="Note 2 7 2 2 4 11" xfId="25116" xr:uid="{00000000-0005-0000-0000-0000E25E0000}"/>
    <cellStyle name="Note 2 7 2 2 4 12" xfId="25117" xr:uid="{00000000-0005-0000-0000-0000E35E0000}"/>
    <cellStyle name="Note 2 7 2 2 4 13" xfId="25118" xr:uid="{00000000-0005-0000-0000-0000E45E0000}"/>
    <cellStyle name="Note 2 7 2 2 4 14" xfId="25119" xr:uid="{00000000-0005-0000-0000-0000E55E0000}"/>
    <cellStyle name="Note 2 7 2 2 4 15" xfId="25120" xr:uid="{00000000-0005-0000-0000-0000E65E0000}"/>
    <cellStyle name="Note 2 7 2 2 4 2" xfId="25121" xr:uid="{00000000-0005-0000-0000-0000E75E0000}"/>
    <cellStyle name="Note 2 7 2 2 4 3" xfId="25122" xr:uid="{00000000-0005-0000-0000-0000E85E0000}"/>
    <cellStyle name="Note 2 7 2 2 4 4" xfId="25123" xr:uid="{00000000-0005-0000-0000-0000E95E0000}"/>
    <cellStyle name="Note 2 7 2 2 4 5" xfId="25124" xr:uid="{00000000-0005-0000-0000-0000EA5E0000}"/>
    <cellStyle name="Note 2 7 2 2 4 6" xfId="25125" xr:uid="{00000000-0005-0000-0000-0000EB5E0000}"/>
    <cellStyle name="Note 2 7 2 2 4 7" xfId="25126" xr:uid="{00000000-0005-0000-0000-0000EC5E0000}"/>
    <cellStyle name="Note 2 7 2 2 4 8" xfId="25127" xr:uid="{00000000-0005-0000-0000-0000ED5E0000}"/>
    <cellStyle name="Note 2 7 2 2 4 9" xfId="25128" xr:uid="{00000000-0005-0000-0000-0000EE5E0000}"/>
    <cellStyle name="Note 2 7 2 2 5" xfId="25129" xr:uid="{00000000-0005-0000-0000-0000EF5E0000}"/>
    <cellStyle name="Note 2 7 2 2 5 10" xfId="25130" xr:uid="{00000000-0005-0000-0000-0000F05E0000}"/>
    <cellStyle name="Note 2 7 2 2 5 11" xfId="25131" xr:uid="{00000000-0005-0000-0000-0000F15E0000}"/>
    <cellStyle name="Note 2 7 2 2 5 12" xfId="25132" xr:uid="{00000000-0005-0000-0000-0000F25E0000}"/>
    <cellStyle name="Note 2 7 2 2 5 13" xfId="25133" xr:uid="{00000000-0005-0000-0000-0000F35E0000}"/>
    <cellStyle name="Note 2 7 2 2 5 14" xfId="25134" xr:uid="{00000000-0005-0000-0000-0000F45E0000}"/>
    <cellStyle name="Note 2 7 2 2 5 15" xfId="25135" xr:uid="{00000000-0005-0000-0000-0000F55E0000}"/>
    <cellStyle name="Note 2 7 2 2 5 2" xfId="25136" xr:uid="{00000000-0005-0000-0000-0000F65E0000}"/>
    <cellStyle name="Note 2 7 2 2 5 3" xfId="25137" xr:uid="{00000000-0005-0000-0000-0000F75E0000}"/>
    <cellStyle name="Note 2 7 2 2 5 4" xfId="25138" xr:uid="{00000000-0005-0000-0000-0000F85E0000}"/>
    <cellStyle name="Note 2 7 2 2 5 5" xfId="25139" xr:uid="{00000000-0005-0000-0000-0000F95E0000}"/>
    <cellStyle name="Note 2 7 2 2 5 6" xfId="25140" xr:uid="{00000000-0005-0000-0000-0000FA5E0000}"/>
    <cellStyle name="Note 2 7 2 2 5 7" xfId="25141" xr:uid="{00000000-0005-0000-0000-0000FB5E0000}"/>
    <cellStyle name="Note 2 7 2 2 5 8" xfId="25142" xr:uid="{00000000-0005-0000-0000-0000FC5E0000}"/>
    <cellStyle name="Note 2 7 2 2 5 9" xfId="25143" xr:uid="{00000000-0005-0000-0000-0000FD5E0000}"/>
    <cellStyle name="Note 2 7 2 2 6" xfId="25144" xr:uid="{00000000-0005-0000-0000-0000FE5E0000}"/>
    <cellStyle name="Note 2 7 2 2 7" xfId="25145" xr:uid="{00000000-0005-0000-0000-0000FF5E0000}"/>
    <cellStyle name="Note 2 7 2 2 8" xfId="25146" xr:uid="{00000000-0005-0000-0000-0000005F0000}"/>
    <cellStyle name="Note 2 7 2 2 9" xfId="25147" xr:uid="{00000000-0005-0000-0000-0000015F0000}"/>
    <cellStyle name="Note 2 7 2 20" xfId="25148" xr:uid="{00000000-0005-0000-0000-0000025F0000}"/>
    <cellStyle name="Note 2 7 2 21" xfId="25149" xr:uid="{00000000-0005-0000-0000-0000035F0000}"/>
    <cellStyle name="Note 2 7 2 22" xfId="25150" xr:uid="{00000000-0005-0000-0000-0000045F0000}"/>
    <cellStyle name="Note 2 7 2 23" xfId="25151" xr:uid="{00000000-0005-0000-0000-0000055F0000}"/>
    <cellStyle name="Note 2 7 2 3" xfId="25152" xr:uid="{00000000-0005-0000-0000-0000065F0000}"/>
    <cellStyle name="Note 2 7 2 3 10" xfId="25153" xr:uid="{00000000-0005-0000-0000-0000075F0000}"/>
    <cellStyle name="Note 2 7 2 3 11" xfId="25154" xr:uid="{00000000-0005-0000-0000-0000085F0000}"/>
    <cellStyle name="Note 2 7 2 3 12" xfId="25155" xr:uid="{00000000-0005-0000-0000-0000095F0000}"/>
    <cellStyle name="Note 2 7 2 3 13" xfId="25156" xr:uid="{00000000-0005-0000-0000-00000A5F0000}"/>
    <cellStyle name="Note 2 7 2 3 14" xfId="25157" xr:uid="{00000000-0005-0000-0000-00000B5F0000}"/>
    <cellStyle name="Note 2 7 2 3 15" xfId="25158" xr:uid="{00000000-0005-0000-0000-00000C5F0000}"/>
    <cellStyle name="Note 2 7 2 3 16" xfId="25159" xr:uid="{00000000-0005-0000-0000-00000D5F0000}"/>
    <cellStyle name="Note 2 7 2 3 17" xfId="25160" xr:uid="{00000000-0005-0000-0000-00000E5F0000}"/>
    <cellStyle name="Note 2 7 2 3 18" xfId="25161" xr:uid="{00000000-0005-0000-0000-00000F5F0000}"/>
    <cellStyle name="Note 2 7 2 3 19" xfId="25162" xr:uid="{00000000-0005-0000-0000-0000105F0000}"/>
    <cellStyle name="Note 2 7 2 3 2" xfId="25163" xr:uid="{00000000-0005-0000-0000-0000115F0000}"/>
    <cellStyle name="Note 2 7 2 3 2 10" xfId="25164" xr:uid="{00000000-0005-0000-0000-0000125F0000}"/>
    <cellStyle name="Note 2 7 2 3 2 11" xfId="25165" xr:uid="{00000000-0005-0000-0000-0000135F0000}"/>
    <cellStyle name="Note 2 7 2 3 2 12" xfId="25166" xr:uid="{00000000-0005-0000-0000-0000145F0000}"/>
    <cellStyle name="Note 2 7 2 3 2 13" xfId="25167" xr:uid="{00000000-0005-0000-0000-0000155F0000}"/>
    <cellStyle name="Note 2 7 2 3 2 14" xfId="25168" xr:uid="{00000000-0005-0000-0000-0000165F0000}"/>
    <cellStyle name="Note 2 7 2 3 2 15" xfId="25169" xr:uid="{00000000-0005-0000-0000-0000175F0000}"/>
    <cellStyle name="Note 2 7 2 3 2 2" xfId="25170" xr:uid="{00000000-0005-0000-0000-0000185F0000}"/>
    <cellStyle name="Note 2 7 2 3 2 3" xfId="25171" xr:uid="{00000000-0005-0000-0000-0000195F0000}"/>
    <cellStyle name="Note 2 7 2 3 2 4" xfId="25172" xr:uid="{00000000-0005-0000-0000-00001A5F0000}"/>
    <cellStyle name="Note 2 7 2 3 2 5" xfId="25173" xr:uid="{00000000-0005-0000-0000-00001B5F0000}"/>
    <cellStyle name="Note 2 7 2 3 2 6" xfId="25174" xr:uid="{00000000-0005-0000-0000-00001C5F0000}"/>
    <cellStyle name="Note 2 7 2 3 2 7" xfId="25175" xr:uid="{00000000-0005-0000-0000-00001D5F0000}"/>
    <cellStyle name="Note 2 7 2 3 2 8" xfId="25176" xr:uid="{00000000-0005-0000-0000-00001E5F0000}"/>
    <cellStyle name="Note 2 7 2 3 2 9" xfId="25177" xr:uid="{00000000-0005-0000-0000-00001F5F0000}"/>
    <cellStyle name="Note 2 7 2 3 20" xfId="25178" xr:uid="{00000000-0005-0000-0000-0000205F0000}"/>
    <cellStyle name="Note 2 7 2 3 3" xfId="25179" xr:uid="{00000000-0005-0000-0000-0000215F0000}"/>
    <cellStyle name="Note 2 7 2 3 3 10" xfId="25180" xr:uid="{00000000-0005-0000-0000-0000225F0000}"/>
    <cellStyle name="Note 2 7 2 3 3 11" xfId="25181" xr:uid="{00000000-0005-0000-0000-0000235F0000}"/>
    <cellStyle name="Note 2 7 2 3 3 12" xfId="25182" xr:uid="{00000000-0005-0000-0000-0000245F0000}"/>
    <cellStyle name="Note 2 7 2 3 3 13" xfId="25183" xr:uid="{00000000-0005-0000-0000-0000255F0000}"/>
    <cellStyle name="Note 2 7 2 3 3 14" xfId="25184" xr:uid="{00000000-0005-0000-0000-0000265F0000}"/>
    <cellStyle name="Note 2 7 2 3 3 15" xfId="25185" xr:uid="{00000000-0005-0000-0000-0000275F0000}"/>
    <cellStyle name="Note 2 7 2 3 3 2" xfId="25186" xr:uid="{00000000-0005-0000-0000-0000285F0000}"/>
    <cellStyle name="Note 2 7 2 3 3 3" xfId="25187" xr:uid="{00000000-0005-0000-0000-0000295F0000}"/>
    <cellStyle name="Note 2 7 2 3 3 4" xfId="25188" xr:uid="{00000000-0005-0000-0000-00002A5F0000}"/>
    <cellStyle name="Note 2 7 2 3 3 5" xfId="25189" xr:uid="{00000000-0005-0000-0000-00002B5F0000}"/>
    <cellStyle name="Note 2 7 2 3 3 6" xfId="25190" xr:uid="{00000000-0005-0000-0000-00002C5F0000}"/>
    <cellStyle name="Note 2 7 2 3 3 7" xfId="25191" xr:uid="{00000000-0005-0000-0000-00002D5F0000}"/>
    <cellStyle name="Note 2 7 2 3 3 8" xfId="25192" xr:uid="{00000000-0005-0000-0000-00002E5F0000}"/>
    <cellStyle name="Note 2 7 2 3 3 9" xfId="25193" xr:uid="{00000000-0005-0000-0000-00002F5F0000}"/>
    <cellStyle name="Note 2 7 2 3 4" xfId="25194" xr:uid="{00000000-0005-0000-0000-0000305F0000}"/>
    <cellStyle name="Note 2 7 2 3 4 10" xfId="25195" xr:uid="{00000000-0005-0000-0000-0000315F0000}"/>
    <cellStyle name="Note 2 7 2 3 4 11" xfId="25196" xr:uid="{00000000-0005-0000-0000-0000325F0000}"/>
    <cellStyle name="Note 2 7 2 3 4 12" xfId="25197" xr:uid="{00000000-0005-0000-0000-0000335F0000}"/>
    <cellStyle name="Note 2 7 2 3 4 13" xfId="25198" xr:uid="{00000000-0005-0000-0000-0000345F0000}"/>
    <cellStyle name="Note 2 7 2 3 4 14" xfId="25199" xr:uid="{00000000-0005-0000-0000-0000355F0000}"/>
    <cellStyle name="Note 2 7 2 3 4 15" xfId="25200" xr:uid="{00000000-0005-0000-0000-0000365F0000}"/>
    <cellStyle name="Note 2 7 2 3 4 2" xfId="25201" xr:uid="{00000000-0005-0000-0000-0000375F0000}"/>
    <cellStyle name="Note 2 7 2 3 4 3" xfId="25202" xr:uid="{00000000-0005-0000-0000-0000385F0000}"/>
    <cellStyle name="Note 2 7 2 3 4 4" xfId="25203" xr:uid="{00000000-0005-0000-0000-0000395F0000}"/>
    <cellStyle name="Note 2 7 2 3 4 5" xfId="25204" xr:uid="{00000000-0005-0000-0000-00003A5F0000}"/>
    <cellStyle name="Note 2 7 2 3 4 6" xfId="25205" xr:uid="{00000000-0005-0000-0000-00003B5F0000}"/>
    <cellStyle name="Note 2 7 2 3 4 7" xfId="25206" xr:uid="{00000000-0005-0000-0000-00003C5F0000}"/>
    <cellStyle name="Note 2 7 2 3 4 8" xfId="25207" xr:uid="{00000000-0005-0000-0000-00003D5F0000}"/>
    <cellStyle name="Note 2 7 2 3 4 9" xfId="25208" xr:uid="{00000000-0005-0000-0000-00003E5F0000}"/>
    <cellStyle name="Note 2 7 2 3 5" xfId="25209" xr:uid="{00000000-0005-0000-0000-00003F5F0000}"/>
    <cellStyle name="Note 2 7 2 3 5 10" xfId="25210" xr:uid="{00000000-0005-0000-0000-0000405F0000}"/>
    <cellStyle name="Note 2 7 2 3 5 11" xfId="25211" xr:uid="{00000000-0005-0000-0000-0000415F0000}"/>
    <cellStyle name="Note 2 7 2 3 5 12" xfId="25212" xr:uid="{00000000-0005-0000-0000-0000425F0000}"/>
    <cellStyle name="Note 2 7 2 3 5 13" xfId="25213" xr:uid="{00000000-0005-0000-0000-0000435F0000}"/>
    <cellStyle name="Note 2 7 2 3 5 14" xfId="25214" xr:uid="{00000000-0005-0000-0000-0000445F0000}"/>
    <cellStyle name="Note 2 7 2 3 5 15" xfId="25215" xr:uid="{00000000-0005-0000-0000-0000455F0000}"/>
    <cellStyle name="Note 2 7 2 3 5 2" xfId="25216" xr:uid="{00000000-0005-0000-0000-0000465F0000}"/>
    <cellStyle name="Note 2 7 2 3 5 3" xfId="25217" xr:uid="{00000000-0005-0000-0000-0000475F0000}"/>
    <cellStyle name="Note 2 7 2 3 5 4" xfId="25218" xr:uid="{00000000-0005-0000-0000-0000485F0000}"/>
    <cellStyle name="Note 2 7 2 3 5 5" xfId="25219" xr:uid="{00000000-0005-0000-0000-0000495F0000}"/>
    <cellStyle name="Note 2 7 2 3 5 6" xfId="25220" xr:uid="{00000000-0005-0000-0000-00004A5F0000}"/>
    <cellStyle name="Note 2 7 2 3 5 7" xfId="25221" xr:uid="{00000000-0005-0000-0000-00004B5F0000}"/>
    <cellStyle name="Note 2 7 2 3 5 8" xfId="25222" xr:uid="{00000000-0005-0000-0000-00004C5F0000}"/>
    <cellStyle name="Note 2 7 2 3 5 9" xfId="25223" xr:uid="{00000000-0005-0000-0000-00004D5F0000}"/>
    <cellStyle name="Note 2 7 2 3 6" xfId="25224" xr:uid="{00000000-0005-0000-0000-00004E5F0000}"/>
    <cellStyle name="Note 2 7 2 3 7" xfId="25225" xr:uid="{00000000-0005-0000-0000-00004F5F0000}"/>
    <cellStyle name="Note 2 7 2 3 8" xfId="25226" xr:uid="{00000000-0005-0000-0000-0000505F0000}"/>
    <cellStyle name="Note 2 7 2 3 9" xfId="25227" xr:uid="{00000000-0005-0000-0000-0000515F0000}"/>
    <cellStyle name="Note 2 7 2 4" xfId="25228" xr:uid="{00000000-0005-0000-0000-0000525F0000}"/>
    <cellStyle name="Note 2 7 2 4 10" xfId="25229" xr:uid="{00000000-0005-0000-0000-0000535F0000}"/>
    <cellStyle name="Note 2 7 2 4 11" xfId="25230" xr:uid="{00000000-0005-0000-0000-0000545F0000}"/>
    <cellStyle name="Note 2 7 2 4 12" xfId="25231" xr:uid="{00000000-0005-0000-0000-0000555F0000}"/>
    <cellStyle name="Note 2 7 2 4 13" xfId="25232" xr:uid="{00000000-0005-0000-0000-0000565F0000}"/>
    <cellStyle name="Note 2 7 2 4 14" xfId="25233" xr:uid="{00000000-0005-0000-0000-0000575F0000}"/>
    <cellStyle name="Note 2 7 2 4 15" xfId="25234" xr:uid="{00000000-0005-0000-0000-0000585F0000}"/>
    <cellStyle name="Note 2 7 2 4 16" xfId="25235" xr:uid="{00000000-0005-0000-0000-0000595F0000}"/>
    <cellStyle name="Note 2 7 2 4 17" xfId="25236" xr:uid="{00000000-0005-0000-0000-00005A5F0000}"/>
    <cellStyle name="Note 2 7 2 4 18" xfId="25237" xr:uid="{00000000-0005-0000-0000-00005B5F0000}"/>
    <cellStyle name="Note 2 7 2 4 19" xfId="25238" xr:uid="{00000000-0005-0000-0000-00005C5F0000}"/>
    <cellStyle name="Note 2 7 2 4 2" xfId="25239" xr:uid="{00000000-0005-0000-0000-00005D5F0000}"/>
    <cellStyle name="Note 2 7 2 4 2 10" xfId="25240" xr:uid="{00000000-0005-0000-0000-00005E5F0000}"/>
    <cellStyle name="Note 2 7 2 4 2 11" xfId="25241" xr:uid="{00000000-0005-0000-0000-00005F5F0000}"/>
    <cellStyle name="Note 2 7 2 4 2 12" xfId="25242" xr:uid="{00000000-0005-0000-0000-0000605F0000}"/>
    <cellStyle name="Note 2 7 2 4 2 13" xfId="25243" xr:uid="{00000000-0005-0000-0000-0000615F0000}"/>
    <cellStyle name="Note 2 7 2 4 2 14" xfId="25244" xr:uid="{00000000-0005-0000-0000-0000625F0000}"/>
    <cellStyle name="Note 2 7 2 4 2 15" xfId="25245" xr:uid="{00000000-0005-0000-0000-0000635F0000}"/>
    <cellStyle name="Note 2 7 2 4 2 2" xfId="25246" xr:uid="{00000000-0005-0000-0000-0000645F0000}"/>
    <cellStyle name="Note 2 7 2 4 2 3" xfId="25247" xr:uid="{00000000-0005-0000-0000-0000655F0000}"/>
    <cellStyle name="Note 2 7 2 4 2 4" xfId="25248" xr:uid="{00000000-0005-0000-0000-0000665F0000}"/>
    <cellStyle name="Note 2 7 2 4 2 5" xfId="25249" xr:uid="{00000000-0005-0000-0000-0000675F0000}"/>
    <cellStyle name="Note 2 7 2 4 2 6" xfId="25250" xr:uid="{00000000-0005-0000-0000-0000685F0000}"/>
    <cellStyle name="Note 2 7 2 4 2 7" xfId="25251" xr:uid="{00000000-0005-0000-0000-0000695F0000}"/>
    <cellStyle name="Note 2 7 2 4 2 8" xfId="25252" xr:uid="{00000000-0005-0000-0000-00006A5F0000}"/>
    <cellStyle name="Note 2 7 2 4 2 9" xfId="25253" xr:uid="{00000000-0005-0000-0000-00006B5F0000}"/>
    <cellStyle name="Note 2 7 2 4 20" xfId="25254" xr:uid="{00000000-0005-0000-0000-00006C5F0000}"/>
    <cellStyle name="Note 2 7 2 4 3" xfId="25255" xr:uid="{00000000-0005-0000-0000-00006D5F0000}"/>
    <cellStyle name="Note 2 7 2 4 3 10" xfId="25256" xr:uid="{00000000-0005-0000-0000-00006E5F0000}"/>
    <cellStyle name="Note 2 7 2 4 3 11" xfId="25257" xr:uid="{00000000-0005-0000-0000-00006F5F0000}"/>
    <cellStyle name="Note 2 7 2 4 3 12" xfId="25258" xr:uid="{00000000-0005-0000-0000-0000705F0000}"/>
    <cellStyle name="Note 2 7 2 4 3 13" xfId="25259" xr:uid="{00000000-0005-0000-0000-0000715F0000}"/>
    <cellStyle name="Note 2 7 2 4 3 14" xfId="25260" xr:uid="{00000000-0005-0000-0000-0000725F0000}"/>
    <cellStyle name="Note 2 7 2 4 3 15" xfId="25261" xr:uid="{00000000-0005-0000-0000-0000735F0000}"/>
    <cellStyle name="Note 2 7 2 4 3 2" xfId="25262" xr:uid="{00000000-0005-0000-0000-0000745F0000}"/>
    <cellStyle name="Note 2 7 2 4 3 3" xfId="25263" xr:uid="{00000000-0005-0000-0000-0000755F0000}"/>
    <cellStyle name="Note 2 7 2 4 3 4" xfId="25264" xr:uid="{00000000-0005-0000-0000-0000765F0000}"/>
    <cellStyle name="Note 2 7 2 4 3 5" xfId="25265" xr:uid="{00000000-0005-0000-0000-0000775F0000}"/>
    <cellStyle name="Note 2 7 2 4 3 6" xfId="25266" xr:uid="{00000000-0005-0000-0000-0000785F0000}"/>
    <cellStyle name="Note 2 7 2 4 3 7" xfId="25267" xr:uid="{00000000-0005-0000-0000-0000795F0000}"/>
    <cellStyle name="Note 2 7 2 4 3 8" xfId="25268" xr:uid="{00000000-0005-0000-0000-00007A5F0000}"/>
    <cellStyle name="Note 2 7 2 4 3 9" xfId="25269" xr:uid="{00000000-0005-0000-0000-00007B5F0000}"/>
    <cellStyle name="Note 2 7 2 4 4" xfId="25270" xr:uid="{00000000-0005-0000-0000-00007C5F0000}"/>
    <cellStyle name="Note 2 7 2 4 4 10" xfId="25271" xr:uid="{00000000-0005-0000-0000-00007D5F0000}"/>
    <cellStyle name="Note 2 7 2 4 4 11" xfId="25272" xr:uid="{00000000-0005-0000-0000-00007E5F0000}"/>
    <cellStyle name="Note 2 7 2 4 4 12" xfId="25273" xr:uid="{00000000-0005-0000-0000-00007F5F0000}"/>
    <cellStyle name="Note 2 7 2 4 4 13" xfId="25274" xr:uid="{00000000-0005-0000-0000-0000805F0000}"/>
    <cellStyle name="Note 2 7 2 4 4 14" xfId="25275" xr:uid="{00000000-0005-0000-0000-0000815F0000}"/>
    <cellStyle name="Note 2 7 2 4 4 15" xfId="25276" xr:uid="{00000000-0005-0000-0000-0000825F0000}"/>
    <cellStyle name="Note 2 7 2 4 4 2" xfId="25277" xr:uid="{00000000-0005-0000-0000-0000835F0000}"/>
    <cellStyle name="Note 2 7 2 4 4 3" xfId="25278" xr:uid="{00000000-0005-0000-0000-0000845F0000}"/>
    <cellStyle name="Note 2 7 2 4 4 4" xfId="25279" xr:uid="{00000000-0005-0000-0000-0000855F0000}"/>
    <cellStyle name="Note 2 7 2 4 4 5" xfId="25280" xr:uid="{00000000-0005-0000-0000-0000865F0000}"/>
    <cellStyle name="Note 2 7 2 4 4 6" xfId="25281" xr:uid="{00000000-0005-0000-0000-0000875F0000}"/>
    <cellStyle name="Note 2 7 2 4 4 7" xfId="25282" xr:uid="{00000000-0005-0000-0000-0000885F0000}"/>
    <cellStyle name="Note 2 7 2 4 4 8" xfId="25283" xr:uid="{00000000-0005-0000-0000-0000895F0000}"/>
    <cellStyle name="Note 2 7 2 4 4 9" xfId="25284" xr:uid="{00000000-0005-0000-0000-00008A5F0000}"/>
    <cellStyle name="Note 2 7 2 4 5" xfId="25285" xr:uid="{00000000-0005-0000-0000-00008B5F0000}"/>
    <cellStyle name="Note 2 7 2 4 5 10" xfId="25286" xr:uid="{00000000-0005-0000-0000-00008C5F0000}"/>
    <cellStyle name="Note 2 7 2 4 5 11" xfId="25287" xr:uid="{00000000-0005-0000-0000-00008D5F0000}"/>
    <cellStyle name="Note 2 7 2 4 5 12" xfId="25288" xr:uid="{00000000-0005-0000-0000-00008E5F0000}"/>
    <cellStyle name="Note 2 7 2 4 5 13" xfId="25289" xr:uid="{00000000-0005-0000-0000-00008F5F0000}"/>
    <cellStyle name="Note 2 7 2 4 5 14" xfId="25290" xr:uid="{00000000-0005-0000-0000-0000905F0000}"/>
    <cellStyle name="Note 2 7 2 4 5 15" xfId="25291" xr:uid="{00000000-0005-0000-0000-0000915F0000}"/>
    <cellStyle name="Note 2 7 2 4 5 2" xfId="25292" xr:uid="{00000000-0005-0000-0000-0000925F0000}"/>
    <cellStyle name="Note 2 7 2 4 5 3" xfId="25293" xr:uid="{00000000-0005-0000-0000-0000935F0000}"/>
    <cellStyle name="Note 2 7 2 4 5 4" xfId="25294" xr:uid="{00000000-0005-0000-0000-0000945F0000}"/>
    <cellStyle name="Note 2 7 2 4 5 5" xfId="25295" xr:uid="{00000000-0005-0000-0000-0000955F0000}"/>
    <cellStyle name="Note 2 7 2 4 5 6" xfId="25296" xr:uid="{00000000-0005-0000-0000-0000965F0000}"/>
    <cellStyle name="Note 2 7 2 4 5 7" xfId="25297" xr:uid="{00000000-0005-0000-0000-0000975F0000}"/>
    <cellStyle name="Note 2 7 2 4 5 8" xfId="25298" xr:uid="{00000000-0005-0000-0000-0000985F0000}"/>
    <cellStyle name="Note 2 7 2 4 5 9" xfId="25299" xr:uid="{00000000-0005-0000-0000-0000995F0000}"/>
    <cellStyle name="Note 2 7 2 4 6" xfId="25300" xr:uid="{00000000-0005-0000-0000-00009A5F0000}"/>
    <cellStyle name="Note 2 7 2 4 7" xfId="25301" xr:uid="{00000000-0005-0000-0000-00009B5F0000}"/>
    <cellStyle name="Note 2 7 2 4 8" xfId="25302" xr:uid="{00000000-0005-0000-0000-00009C5F0000}"/>
    <cellStyle name="Note 2 7 2 4 9" xfId="25303" xr:uid="{00000000-0005-0000-0000-00009D5F0000}"/>
    <cellStyle name="Note 2 7 2 5" xfId="25304" xr:uid="{00000000-0005-0000-0000-00009E5F0000}"/>
    <cellStyle name="Note 2 7 2 5 10" xfId="25305" xr:uid="{00000000-0005-0000-0000-00009F5F0000}"/>
    <cellStyle name="Note 2 7 2 5 11" xfId="25306" xr:uid="{00000000-0005-0000-0000-0000A05F0000}"/>
    <cellStyle name="Note 2 7 2 5 12" xfId="25307" xr:uid="{00000000-0005-0000-0000-0000A15F0000}"/>
    <cellStyle name="Note 2 7 2 5 13" xfId="25308" xr:uid="{00000000-0005-0000-0000-0000A25F0000}"/>
    <cellStyle name="Note 2 7 2 5 14" xfId="25309" xr:uid="{00000000-0005-0000-0000-0000A35F0000}"/>
    <cellStyle name="Note 2 7 2 5 15" xfId="25310" xr:uid="{00000000-0005-0000-0000-0000A45F0000}"/>
    <cellStyle name="Note 2 7 2 5 2" xfId="25311" xr:uid="{00000000-0005-0000-0000-0000A55F0000}"/>
    <cellStyle name="Note 2 7 2 5 3" xfId="25312" xr:uid="{00000000-0005-0000-0000-0000A65F0000}"/>
    <cellStyle name="Note 2 7 2 5 4" xfId="25313" xr:uid="{00000000-0005-0000-0000-0000A75F0000}"/>
    <cellStyle name="Note 2 7 2 5 5" xfId="25314" xr:uid="{00000000-0005-0000-0000-0000A85F0000}"/>
    <cellStyle name="Note 2 7 2 5 6" xfId="25315" xr:uid="{00000000-0005-0000-0000-0000A95F0000}"/>
    <cellStyle name="Note 2 7 2 5 7" xfId="25316" xr:uid="{00000000-0005-0000-0000-0000AA5F0000}"/>
    <cellStyle name="Note 2 7 2 5 8" xfId="25317" xr:uid="{00000000-0005-0000-0000-0000AB5F0000}"/>
    <cellStyle name="Note 2 7 2 5 9" xfId="25318" xr:uid="{00000000-0005-0000-0000-0000AC5F0000}"/>
    <cellStyle name="Note 2 7 2 6" xfId="25319" xr:uid="{00000000-0005-0000-0000-0000AD5F0000}"/>
    <cellStyle name="Note 2 7 2 6 10" xfId="25320" xr:uid="{00000000-0005-0000-0000-0000AE5F0000}"/>
    <cellStyle name="Note 2 7 2 6 11" xfId="25321" xr:uid="{00000000-0005-0000-0000-0000AF5F0000}"/>
    <cellStyle name="Note 2 7 2 6 12" xfId="25322" xr:uid="{00000000-0005-0000-0000-0000B05F0000}"/>
    <cellStyle name="Note 2 7 2 6 13" xfId="25323" xr:uid="{00000000-0005-0000-0000-0000B15F0000}"/>
    <cellStyle name="Note 2 7 2 6 14" xfId="25324" xr:uid="{00000000-0005-0000-0000-0000B25F0000}"/>
    <cellStyle name="Note 2 7 2 6 15" xfId="25325" xr:uid="{00000000-0005-0000-0000-0000B35F0000}"/>
    <cellStyle name="Note 2 7 2 6 2" xfId="25326" xr:uid="{00000000-0005-0000-0000-0000B45F0000}"/>
    <cellStyle name="Note 2 7 2 6 3" xfId="25327" xr:uid="{00000000-0005-0000-0000-0000B55F0000}"/>
    <cellStyle name="Note 2 7 2 6 4" xfId="25328" xr:uid="{00000000-0005-0000-0000-0000B65F0000}"/>
    <cellStyle name="Note 2 7 2 6 5" xfId="25329" xr:uid="{00000000-0005-0000-0000-0000B75F0000}"/>
    <cellStyle name="Note 2 7 2 6 6" xfId="25330" xr:uid="{00000000-0005-0000-0000-0000B85F0000}"/>
    <cellStyle name="Note 2 7 2 6 7" xfId="25331" xr:uid="{00000000-0005-0000-0000-0000B95F0000}"/>
    <cellStyle name="Note 2 7 2 6 8" xfId="25332" xr:uid="{00000000-0005-0000-0000-0000BA5F0000}"/>
    <cellStyle name="Note 2 7 2 6 9" xfId="25333" xr:uid="{00000000-0005-0000-0000-0000BB5F0000}"/>
    <cellStyle name="Note 2 7 2 7" xfId="25334" xr:uid="{00000000-0005-0000-0000-0000BC5F0000}"/>
    <cellStyle name="Note 2 7 2 7 10" xfId="25335" xr:uid="{00000000-0005-0000-0000-0000BD5F0000}"/>
    <cellStyle name="Note 2 7 2 7 11" xfId="25336" xr:uid="{00000000-0005-0000-0000-0000BE5F0000}"/>
    <cellStyle name="Note 2 7 2 7 12" xfId="25337" xr:uid="{00000000-0005-0000-0000-0000BF5F0000}"/>
    <cellStyle name="Note 2 7 2 7 13" xfId="25338" xr:uid="{00000000-0005-0000-0000-0000C05F0000}"/>
    <cellStyle name="Note 2 7 2 7 14" xfId="25339" xr:uid="{00000000-0005-0000-0000-0000C15F0000}"/>
    <cellStyle name="Note 2 7 2 7 15" xfId="25340" xr:uid="{00000000-0005-0000-0000-0000C25F0000}"/>
    <cellStyle name="Note 2 7 2 7 2" xfId="25341" xr:uid="{00000000-0005-0000-0000-0000C35F0000}"/>
    <cellStyle name="Note 2 7 2 7 3" xfId="25342" xr:uid="{00000000-0005-0000-0000-0000C45F0000}"/>
    <cellStyle name="Note 2 7 2 7 4" xfId="25343" xr:uid="{00000000-0005-0000-0000-0000C55F0000}"/>
    <cellStyle name="Note 2 7 2 7 5" xfId="25344" xr:uid="{00000000-0005-0000-0000-0000C65F0000}"/>
    <cellStyle name="Note 2 7 2 7 6" xfId="25345" xr:uid="{00000000-0005-0000-0000-0000C75F0000}"/>
    <cellStyle name="Note 2 7 2 7 7" xfId="25346" xr:uid="{00000000-0005-0000-0000-0000C85F0000}"/>
    <cellStyle name="Note 2 7 2 7 8" xfId="25347" xr:uid="{00000000-0005-0000-0000-0000C95F0000}"/>
    <cellStyle name="Note 2 7 2 7 9" xfId="25348" xr:uid="{00000000-0005-0000-0000-0000CA5F0000}"/>
    <cellStyle name="Note 2 7 2 8" xfId="25349" xr:uid="{00000000-0005-0000-0000-0000CB5F0000}"/>
    <cellStyle name="Note 2 7 2 8 10" xfId="25350" xr:uid="{00000000-0005-0000-0000-0000CC5F0000}"/>
    <cellStyle name="Note 2 7 2 8 11" xfId="25351" xr:uid="{00000000-0005-0000-0000-0000CD5F0000}"/>
    <cellStyle name="Note 2 7 2 8 12" xfId="25352" xr:uid="{00000000-0005-0000-0000-0000CE5F0000}"/>
    <cellStyle name="Note 2 7 2 8 13" xfId="25353" xr:uid="{00000000-0005-0000-0000-0000CF5F0000}"/>
    <cellStyle name="Note 2 7 2 8 14" xfId="25354" xr:uid="{00000000-0005-0000-0000-0000D05F0000}"/>
    <cellStyle name="Note 2 7 2 8 15" xfId="25355" xr:uid="{00000000-0005-0000-0000-0000D15F0000}"/>
    <cellStyle name="Note 2 7 2 8 2" xfId="25356" xr:uid="{00000000-0005-0000-0000-0000D25F0000}"/>
    <cellStyle name="Note 2 7 2 8 3" xfId="25357" xr:uid="{00000000-0005-0000-0000-0000D35F0000}"/>
    <cellStyle name="Note 2 7 2 8 4" xfId="25358" xr:uid="{00000000-0005-0000-0000-0000D45F0000}"/>
    <cellStyle name="Note 2 7 2 8 5" xfId="25359" xr:uid="{00000000-0005-0000-0000-0000D55F0000}"/>
    <cellStyle name="Note 2 7 2 8 6" xfId="25360" xr:uid="{00000000-0005-0000-0000-0000D65F0000}"/>
    <cellStyle name="Note 2 7 2 8 7" xfId="25361" xr:uid="{00000000-0005-0000-0000-0000D75F0000}"/>
    <cellStyle name="Note 2 7 2 8 8" xfId="25362" xr:uid="{00000000-0005-0000-0000-0000D85F0000}"/>
    <cellStyle name="Note 2 7 2 8 9" xfId="25363" xr:uid="{00000000-0005-0000-0000-0000D95F0000}"/>
    <cellStyle name="Note 2 7 2 9" xfId="25364" xr:uid="{00000000-0005-0000-0000-0000DA5F0000}"/>
    <cellStyle name="Note 2 7 20" xfId="25365" xr:uid="{00000000-0005-0000-0000-0000DB5F0000}"/>
    <cellStyle name="Note 2 7 21" xfId="25366" xr:uid="{00000000-0005-0000-0000-0000DC5F0000}"/>
    <cellStyle name="Note 2 7 22" xfId="25367" xr:uid="{00000000-0005-0000-0000-0000DD5F0000}"/>
    <cellStyle name="Note 2 7 23" xfId="25368" xr:uid="{00000000-0005-0000-0000-0000DE5F0000}"/>
    <cellStyle name="Note 2 7 24" xfId="25369" xr:uid="{00000000-0005-0000-0000-0000DF5F0000}"/>
    <cellStyle name="Note 2 7 3" xfId="25370" xr:uid="{00000000-0005-0000-0000-0000E05F0000}"/>
    <cellStyle name="Note 2 7 3 10" xfId="25371" xr:uid="{00000000-0005-0000-0000-0000E15F0000}"/>
    <cellStyle name="Note 2 7 3 11" xfId="25372" xr:uid="{00000000-0005-0000-0000-0000E25F0000}"/>
    <cellStyle name="Note 2 7 3 12" xfId="25373" xr:uid="{00000000-0005-0000-0000-0000E35F0000}"/>
    <cellStyle name="Note 2 7 3 13" xfId="25374" xr:uid="{00000000-0005-0000-0000-0000E45F0000}"/>
    <cellStyle name="Note 2 7 3 14" xfId="25375" xr:uid="{00000000-0005-0000-0000-0000E55F0000}"/>
    <cellStyle name="Note 2 7 3 15" xfId="25376" xr:uid="{00000000-0005-0000-0000-0000E65F0000}"/>
    <cellStyle name="Note 2 7 3 16" xfId="25377" xr:uid="{00000000-0005-0000-0000-0000E75F0000}"/>
    <cellStyle name="Note 2 7 3 17" xfId="25378" xr:uid="{00000000-0005-0000-0000-0000E85F0000}"/>
    <cellStyle name="Note 2 7 3 18" xfId="25379" xr:uid="{00000000-0005-0000-0000-0000E95F0000}"/>
    <cellStyle name="Note 2 7 3 19" xfId="25380" xr:uid="{00000000-0005-0000-0000-0000EA5F0000}"/>
    <cellStyle name="Note 2 7 3 2" xfId="25381" xr:uid="{00000000-0005-0000-0000-0000EB5F0000}"/>
    <cellStyle name="Note 2 7 3 2 10" xfId="25382" xr:uid="{00000000-0005-0000-0000-0000EC5F0000}"/>
    <cellStyle name="Note 2 7 3 2 11" xfId="25383" xr:uid="{00000000-0005-0000-0000-0000ED5F0000}"/>
    <cellStyle name="Note 2 7 3 2 12" xfId="25384" xr:uid="{00000000-0005-0000-0000-0000EE5F0000}"/>
    <cellStyle name="Note 2 7 3 2 13" xfId="25385" xr:uid="{00000000-0005-0000-0000-0000EF5F0000}"/>
    <cellStyle name="Note 2 7 3 2 14" xfId="25386" xr:uid="{00000000-0005-0000-0000-0000F05F0000}"/>
    <cellStyle name="Note 2 7 3 2 15" xfId="25387" xr:uid="{00000000-0005-0000-0000-0000F15F0000}"/>
    <cellStyle name="Note 2 7 3 2 2" xfId="25388" xr:uid="{00000000-0005-0000-0000-0000F25F0000}"/>
    <cellStyle name="Note 2 7 3 2 3" xfId="25389" xr:uid="{00000000-0005-0000-0000-0000F35F0000}"/>
    <cellStyle name="Note 2 7 3 2 4" xfId="25390" xr:uid="{00000000-0005-0000-0000-0000F45F0000}"/>
    <cellStyle name="Note 2 7 3 2 5" xfId="25391" xr:uid="{00000000-0005-0000-0000-0000F55F0000}"/>
    <cellStyle name="Note 2 7 3 2 6" xfId="25392" xr:uid="{00000000-0005-0000-0000-0000F65F0000}"/>
    <cellStyle name="Note 2 7 3 2 7" xfId="25393" xr:uid="{00000000-0005-0000-0000-0000F75F0000}"/>
    <cellStyle name="Note 2 7 3 2 8" xfId="25394" xr:uid="{00000000-0005-0000-0000-0000F85F0000}"/>
    <cellStyle name="Note 2 7 3 2 9" xfId="25395" xr:uid="{00000000-0005-0000-0000-0000F95F0000}"/>
    <cellStyle name="Note 2 7 3 20" xfId="25396" xr:uid="{00000000-0005-0000-0000-0000FA5F0000}"/>
    <cellStyle name="Note 2 7 3 3" xfId="25397" xr:uid="{00000000-0005-0000-0000-0000FB5F0000}"/>
    <cellStyle name="Note 2 7 3 3 10" xfId="25398" xr:uid="{00000000-0005-0000-0000-0000FC5F0000}"/>
    <cellStyle name="Note 2 7 3 3 11" xfId="25399" xr:uid="{00000000-0005-0000-0000-0000FD5F0000}"/>
    <cellStyle name="Note 2 7 3 3 12" xfId="25400" xr:uid="{00000000-0005-0000-0000-0000FE5F0000}"/>
    <cellStyle name="Note 2 7 3 3 13" xfId="25401" xr:uid="{00000000-0005-0000-0000-0000FF5F0000}"/>
    <cellStyle name="Note 2 7 3 3 14" xfId="25402" xr:uid="{00000000-0005-0000-0000-000000600000}"/>
    <cellStyle name="Note 2 7 3 3 15" xfId="25403" xr:uid="{00000000-0005-0000-0000-000001600000}"/>
    <cellStyle name="Note 2 7 3 3 2" xfId="25404" xr:uid="{00000000-0005-0000-0000-000002600000}"/>
    <cellStyle name="Note 2 7 3 3 3" xfId="25405" xr:uid="{00000000-0005-0000-0000-000003600000}"/>
    <cellStyle name="Note 2 7 3 3 4" xfId="25406" xr:uid="{00000000-0005-0000-0000-000004600000}"/>
    <cellStyle name="Note 2 7 3 3 5" xfId="25407" xr:uid="{00000000-0005-0000-0000-000005600000}"/>
    <cellStyle name="Note 2 7 3 3 6" xfId="25408" xr:uid="{00000000-0005-0000-0000-000006600000}"/>
    <cellStyle name="Note 2 7 3 3 7" xfId="25409" xr:uid="{00000000-0005-0000-0000-000007600000}"/>
    <cellStyle name="Note 2 7 3 3 8" xfId="25410" xr:uid="{00000000-0005-0000-0000-000008600000}"/>
    <cellStyle name="Note 2 7 3 3 9" xfId="25411" xr:uid="{00000000-0005-0000-0000-000009600000}"/>
    <cellStyle name="Note 2 7 3 4" xfId="25412" xr:uid="{00000000-0005-0000-0000-00000A600000}"/>
    <cellStyle name="Note 2 7 3 4 10" xfId="25413" xr:uid="{00000000-0005-0000-0000-00000B600000}"/>
    <cellStyle name="Note 2 7 3 4 11" xfId="25414" xr:uid="{00000000-0005-0000-0000-00000C600000}"/>
    <cellStyle name="Note 2 7 3 4 12" xfId="25415" xr:uid="{00000000-0005-0000-0000-00000D600000}"/>
    <cellStyle name="Note 2 7 3 4 13" xfId="25416" xr:uid="{00000000-0005-0000-0000-00000E600000}"/>
    <cellStyle name="Note 2 7 3 4 14" xfId="25417" xr:uid="{00000000-0005-0000-0000-00000F600000}"/>
    <cellStyle name="Note 2 7 3 4 15" xfId="25418" xr:uid="{00000000-0005-0000-0000-000010600000}"/>
    <cellStyle name="Note 2 7 3 4 2" xfId="25419" xr:uid="{00000000-0005-0000-0000-000011600000}"/>
    <cellStyle name="Note 2 7 3 4 3" xfId="25420" xr:uid="{00000000-0005-0000-0000-000012600000}"/>
    <cellStyle name="Note 2 7 3 4 4" xfId="25421" xr:uid="{00000000-0005-0000-0000-000013600000}"/>
    <cellStyle name="Note 2 7 3 4 5" xfId="25422" xr:uid="{00000000-0005-0000-0000-000014600000}"/>
    <cellStyle name="Note 2 7 3 4 6" xfId="25423" xr:uid="{00000000-0005-0000-0000-000015600000}"/>
    <cellStyle name="Note 2 7 3 4 7" xfId="25424" xr:uid="{00000000-0005-0000-0000-000016600000}"/>
    <cellStyle name="Note 2 7 3 4 8" xfId="25425" xr:uid="{00000000-0005-0000-0000-000017600000}"/>
    <cellStyle name="Note 2 7 3 4 9" xfId="25426" xr:uid="{00000000-0005-0000-0000-000018600000}"/>
    <cellStyle name="Note 2 7 3 5" xfId="25427" xr:uid="{00000000-0005-0000-0000-000019600000}"/>
    <cellStyle name="Note 2 7 3 5 10" xfId="25428" xr:uid="{00000000-0005-0000-0000-00001A600000}"/>
    <cellStyle name="Note 2 7 3 5 11" xfId="25429" xr:uid="{00000000-0005-0000-0000-00001B600000}"/>
    <cellStyle name="Note 2 7 3 5 12" xfId="25430" xr:uid="{00000000-0005-0000-0000-00001C600000}"/>
    <cellStyle name="Note 2 7 3 5 13" xfId="25431" xr:uid="{00000000-0005-0000-0000-00001D600000}"/>
    <cellStyle name="Note 2 7 3 5 14" xfId="25432" xr:uid="{00000000-0005-0000-0000-00001E600000}"/>
    <cellStyle name="Note 2 7 3 5 15" xfId="25433" xr:uid="{00000000-0005-0000-0000-00001F600000}"/>
    <cellStyle name="Note 2 7 3 5 2" xfId="25434" xr:uid="{00000000-0005-0000-0000-000020600000}"/>
    <cellStyle name="Note 2 7 3 5 3" xfId="25435" xr:uid="{00000000-0005-0000-0000-000021600000}"/>
    <cellStyle name="Note 2 7 3 5 4" xfId="25436" xr:uid="{00000000-0005-0000-0000-000022600000}"/>
    <cellStyle name="Note 2 7 3 5 5" xfId="25437" xr:uid="{00000000-0005-0000-0000-000023600000}"/>
    <cellStyle name="Note 2 7 3 5 6" xfId="25438" xr:uid="{00000000-0005-0000-0000-000024600000}"/>
    <cellStyle name="Note 2 7 3 5 7" xfId="25439" xr:uid="{00000000-0005-0000-0000-000025600000}"/>
    <cellStyle name="Note 2 7 3 5 8" xfId="25440" xr:uid="{00000000-0005-0000-0000-000026600000}"/>
    <cellStyle name="Note 2 7 3 5 9" xfId="25441" xr:uid="{00000000-0005-0000-0000-000027600000}"/>
    <cellStyle name="Note 2 7 3 6" xfId="25442" xr:uid="{00000000-0005-0000-0000-000028600000}"/>
    <cellStyle name="Note 2 7 3 7" xfId="25443" xr:uid="{00000000-0005-0000-0000-000029600000}"/>
    <cellStyle name="Note 2 7 3 8" xfId="25444" xr:uid="{00000000-0005-0000-0000-00002A600000}"/>
    <cellStyle name="Note 2 7 3 9" xfId="25445" xr:uid="{00000000-0005-0000-0000-00002B600000}"/>
    <cellStyle name="Note 2 7 4" xfId="25446" xr:uid="{00000000-0005-0000-0000-00002C600000}"/>
    <cellStyle name="Note 2 7 4 10" xfId="25447" xr:uid="{00000000-0005-0000-0000-00002D600000}"/>
    <cellStyle name="Note 2 7 4 11" xfId="25448" xr:uid="{00000000-0005-0000-0000-00002E600000}"/>
    <cellStyle name="Note 2 7 4 12" xfId="25449" xr:uid="{00000000-0005-0000-0000-00002F600000}"/>
    <cellStyle name="Note 2 7 4 13" xfId="25450" xr:uid="{00000000-0005-0000-0000-000030600000}"/>
    <cellStyle name="Note 2 7 4 14" xfId="25451" xr:uid="{00000000-0005-0000-0000-000031600000}"/>
    <cellStyle name="Note 2 7 4 15" xfId="25452" xr:uid="{00000000-0005-0000-0000-000032600000}"/>
    <cellStyle name="Note 2 7 4 16" xfId="25453" xr:uid="{00000000-0005-0000-0000-000033600000}"/>
    <cellStyle name="Note 2 7 4 17" xfId="25454" xr:uid="{00000000-0005-0000-0000-000034600000}"/>
    <cellStyle name="Note 2 7 4 18" xfId="25455" xr:uid="{00000000-0005-0000-0000-000035600000}"/>
    <cellStyle name="Note 2 7 4 19" xfId="25456" xr:uid="{00000000-0005-0000-0000-000036600000}"/>
    <cellStyle name="Note 2 7 4 2" xfId="25457" xr:uid="{00000000-0005-0000-0000-000037600000}"/>
    <cellStyle name="Note 2 7 4 2 10" xfId="25458" xr:uid="{00000000-0005-0000-0000-000038600000}"/>
    <cellStyle name="Note 2 7 4 2 11" xfId="25459" xr:uid="{00000000-0005-0000-0000-000039600000}"/>
    <cellStyle name="Note 2 7 4 2 12" xfId="25460" xr:uid="{00000000-0005-0000-0000-00003A600000}"/>
    <cellStyle name="Note 2 7 4 2 13" xfId="25461" xr:uid="{00000000-0005-0000-0000-00003B600000}"/>
    <cellStyle name="Note 2 7 4 2 14" xfId="25462" xr:uid="{00000000-0005-0000-0000-00003C600000}"/>
    <cellStyle name="Note 2 7 4 2 15" xfId="25463" xr:uid="{00000000-0005-0000-0000-00003D600000}"/>
    <cellStyle name="Note 2 7 4 2 2" xfId="25464" xr:uid="{00000000-0005-0000-0000-00003E600000}"/>
    <cellStyle name="Note 2 7 4 2 3" xfId="25465" xr:uid="{00000000-0005-0000-0000-00003F600000}"/>
    <cellStyle name="Note 2 7 4 2 4" xfId="25466" xr:uid="{00000000-0005-0000-0000-000040600000}"/>
    <cellStyle name="Note 2 7 4 2 5" xfId="25467" xr:uid="{00000000-0005-0000-0000-000041600000}"/>
    <cellStyle name="Note 2 7 4 2 6" xfId="25468" xr:uid="{00000000-0005-0000-0000-000042600000}"/>
    <cellStyle name="Note 2 7 4 2 7" xfId="25469" xr:uid="{00000000-0005-0000-0000-000043600000}"/>
    <cellStyle name="Note 2 7 4 2 8" xfId="25470" xr:uid="{00000000-0005-0000-0000-000044600000}"/>
    <cellStyle name="Note 2 7 4 2 9" xfId="25471" xr:uid="{00000000-0005-0000-0000-000045600000}"/>
    <cellStyle name="Note 2 7 4 20" xfId="25472" xr:uid="{00000000-0005-0000-0000-000046600000}"/>
    <cellStyle name="Note 2 7 4 3" xfId="25473" xr:uid="{00000000-0005-0000-0000-000047600000}"/>
    <cellStyle name="Note 2 7 4 3 10" xfId="25474" xr:uid="{00000000-0005-0000-0000-000048600000}"/>
    <cellStyle name="Note 2 7 4 3 11" xfId="25475" xr:uid="{00000000-0005-0000-0000-000049600000}"/>
    <cellStyle name="Note 2 7 4 3 12" xfId="25476" xr:uid="{00000000-0005-0000-0000-00004A600000}"/>
    <cellStyle name="Note 2 7 4 3 13" xfId="25477" xr:uid="{00000000-0005-0000-0000-00004B600000}"/>
    <cellStyle name="Note 2 7 4 3 14" xfId="25478" xr:uid="{00000000-0005-0000-0000-00004C600000}"/>
    <cellStyle name="Note 2 7 4 3 15" xfId="25479" xr:uid="{00000000-0005-0000-0000-00004D600000}"/>
    <cellStyle name="Note 2 7 4 3 2" xfId="25480" xr:uid="{00000000-0005-0000-0000-00004E600000}"/>
    <cellStyle name="Note 2 7 4 3 3" xfId="25481" xr:uid="{00000000-0005-0000-0000-00004F600000}"/>
    <cellStyle name="Note 2 7 4 3 4" xfId="25482" xr:uid="{00000000-0005-0000-0000-000050600000}"/>
    <cellStyle name="Note 2 7 4 3 5" xfId="25483" xr:uid="{00000000-0005-0000-0000-000051600000}"/>
    <cellStyle name="Note 2 7 4 3 6" xfId="25484" xr:uid="{00000000-0005-0000-0000-000052600000}"/>
    <cellStyle name="Note 2 7 4 3 7" xfId="25485" xr:uid="{00000000-0005-0000-0000-000053600000}"/>
    <cellStyle name="Note 2 7 4 3 8" xfId="25486" xr:uid="{00000000-0005-0000-0000-000054600000}"/>
    <cellStyle name="Note 2 7 4 3 9" xfId="25487" xr:uid="{00000000-0005-0000-0000-000055600000}"/>
    <cellStyle name="Note 2 7 4 4" xfId="25488" xr:uid="{00000000-0005-0000-0000-000056600000}"/>
    <cellStyle name="Note 2 7 4 4 10" xfId="25489" xr:uid="{00000000-0005-0000-0000-000057600000}"/>
    <cellStyle name="Note 2 7 4 4 11" xfId="25490" xr:uid="{00000000-0005-0000-0000-000058600000}"/>
    <cellStyle name="Note 2 7 4 4 12" xfId="25491" xr:uid="{00000000-0005-0000-0000-000059600000}"/>
    <cellStyle name="Note 2 7 4 4 13" xfId="25492" xr:uid="{00000000-0005-0000-0000-00005A600000}"/>
    <cellStyle name="Note 2 7 4 4 14" xfId="25493" xr:uid="{00000000-0005-0000-0000-00005B600000}"/>
    <cellStyle name="Note 2 7 4 4 15" xfId="25494" xr:uid="{00000000-0005-0000-0000-00005C600000}"/>
    <cellStyle name="Note 2 7 4 4 2" xfId="25495" xr:uid="{00000000-0005-0000-0000-00005D600000}"/>
    <cellStyle name="Note 2 7 4 4 3" xfId="25496" xr:uid="{00000000-0005-0000-0000-00005E600000}"/>
    <cellStyle name="Note 2 7 4 4 4" xfId="25497" xr:uid="{00000000-0005-0000-0000-00005F600000}"/>
    <cellStyle name="Note 2 7 4 4 5" xfId="25498" xr:uid="{00000000-0005-0000-0000-000060600000}"/>
    <cellStyle name="Note 2 7 4 4 6" xfId="25499" xr:uid="{00000000-0005-0000-0000-000061600000}"/>
    <cellStyle name="Note 2 7 4 4 7" xfId="25500" xr:uid="{00000000-0005-0000-0000-000062600000}"/>
    <cellStyle name="Note 2 7 4 4 8" xfId="25501" xr:uid="{00000000-0005-0000-0000-000063600000}"/>
    <cellStyle name="Note 2 7 4 4 9" xfId="25502" xr:uid="{00000000-0005-0000-0000-000064600000}"/>
    <cellStyle name="Note 2 7 4 5" xfId="25503" xr:uid="{00000000-0005-0000-0000-000065600000}"/>
    <cellStyle name="Note 2 7 4 5 10" xfId="25504" xr:uid="{00000000-0005-0000-0000-000066600000}"/>
    <cellStyle name="Note 2 7 4 5 11" xfId="25505" xr:uid="{00000000-0005-0000-0000-000067600000}"/>
    <cellStyle name="Note 2 7 4 5 12" xfId="25506" xr:uid="{00000000-0005-0000-0000-000068600000}"/>
    <cellStyle name="Note 2 7 4 5 13" xfId="25507" xr:uid="{00000000-0005-0000-0000-000069600000}"/>
    <cellStyle name="Note 2 7 4 5 14" xfId="25508" xr:uid="{00000000-0005-0000-0000-00006A600000}"/>
    <cellStyle name="Note 2 7 4 5 15" xfId="25509" xr:uid="{00000000-0005-0000-0000-00006B600000}"/>
    <cellStyle name="Note 2 7 4 5 2" xfId="25510" xr:uid="{00000000-0005-0000-0000-00006C600000}"/>
    <cellStyle name="Note 2 7 4 5 3" xfId="25511" xr:uid="{00000000-0005-0000-0000-00006D600000}"/>
    <cellStyle name="Note 2 7 4 5 4" xfId="25512" xr:uid="{00000000-0005-0000-0000-00006E600000}"/>
    <cellStyle name="Note 2 7 4 5 5" xfId="25513" xr:uid="{00000000-0005-0000-0000-00006F600000}"/>
    <cellStyle name="Note 2 7 4 5 6" xfId="25514" xr:uid="{00000000-0005-0000-0000-000070600000}"/>
    <cellStyle name="Note 2 7 4 5 7" xfId="25515" xr:uid="{00000000-0005-0000-0000-000071600000}"/>
    <cellStyle name="Note 2 7 4 5 8" xfId="25516" xr:uid="{00000000-0005-0000-0000-000072600000}"/>
    <cellStyle name="Note 2 7 4 5 9" xfId="25517" xr:uid="{00000000-0005-0000-0000-000073600000}"/>
    <cellStyle name="Note 2 7 4 6" xfId="25518" xr:uid="{00000000-0005-0000-0000-000074600000}"/>
    <cellStyle name="Note 2 7 4 7" xfId="25519" xr:uid="{00000000-0005-0000-0000-000075600000}"/>
    <cellStyle name="Note 2 7 4 8" xfId="25520" xr:uid="{00000000-0005-0000-0000-000076600000}"/>
    <cellStyle name="Note 2 7 4 9" xfId="25521" xr:uid="{00000000-0005-0000-0000-000077600000}"/>
    <cellStyle name="Note 2 7 5" xfId="25522" xr:uid="{00000000-0005-0000-0000-000078600000}"/>
    <cellStyle name="Note 2 7 5 10" xfId="25523" xr:uid="{00000000-0005-0000-0000-000079600000}"/>
    <cellStyle name="Note 2 7 5 11" xfId="25524" xr:uid="{00000000-0005-0000-0000-00007A600000}"/>
    <cellStyle name="Note 2 7 5 12" xfId="25525" xr:uid="{00000000-0005-0000-0000-00007B600000}"/>
    <cellStyle name="Note 2 7 5 13" xfId="25526" xr:uid="{00000000-0005-0000-0000-00007C600000}"/>
    <cellStyle name="Note 2 7 5 14" xfId="25527" xr:uid="{00000000-0005-0000-0000-00007D600000}"/>
    <cellStyle name="Note 2 7 5 15" xfId="25528" xr:uid="{00000000-0005-0000-0000-00007E600000}"/>
    <cellStyle name="Note 2 7 5 16" xfId="25529" xr:uid="{00000000-0005-0000-0000-00007F600000}"/>
    <cellStyle name="Note 2 7 5 17" xfId="25530" xr:uid="{00000000-0005-0000-0000-000080600000}"/>
    <cellStyle name="Note 2 7 5 18" xfId="25531" xr:uid="{00000000-0005-0000-0000-000081600000}"/>
    <cellStyle name="Note 2 7 5 19" xfId="25532" xr:uid="{00000000-0005-0000-0000-000082600000}"/>
    <cellStyle name="Note 2 7 5 2" xfId="25533" xr:uid="{00000000-0005-0000-0000-000083600000}"/>
    <cellStyle name="Note 2 7 5 2 10" xfId="25534" xr:uid="{00000000-0005-0000-0000-000084600000}"/>
    <cellStyle name="Note 2 7 5 2 11" xfId="25535" xr:uid="{00000000-0005-0000-0000-000085600000}"/>
    <cellStyle name="Note 2 7 5 2 12" xfId="25536" xr:uid="{00000000-0005-0000-0000-000086600000}"/>
    <cellStyle name="Note 2 7 5 2 13" xfId="25537" xr:uid="{00000000-0005-0000-0000-000087600000}"/>
    <cellStyle name="Note 2 7 5 2 14" xfId="25538" xr:uid="{00000000-0005-0000-0000-000088600000}"/>
    <cellStyle name="Note 2 7 5 2 15" xfId="25539" xr:uid="{00000000-0005-0000-0000-000089600000}"/>
    <cellStyle name="Note 2 7 5 2 2" xfId="25540" xr:uid="{00000000-0005-0000-0000-00008A600000}"/>
    <cellStyle name="Note 2 7 5 2 3" xfId="25541" xr:uid="{00000000-0005-0000-0000-00008B600000}"/>
    <cellStyle name="Note 2 7 5 2 4" xfId="25542" xr:uid="{00000000-0005-0000-0000-00008C600000}"/>
    <cellStyle name="Note 2 7 5 2 5" xfId="25543" xr:uid="{00000000-0005-0000-0000-00008D600000}"/>
    <cellStyle name="Note 2 7 5 2 6" xfId="25544" xr:uid="{00000000-0005-0000-0000-00008E600000}"/>
    <cellStyle name="Note 2 7 5 2 7" xfId="25545" xr:uid="{00000000-0005-0000-0000-00008F600000}"/>
    <cellStyle name="Note 2 7 5 2 8" xfId="25546" xr:uid="{00000000-0005-0000-0000-000090600000}"/>
    <cellStyle name="Note 2 7 5 2 9" xfId="25547" xr:uid="{00000000-0005-0000-0000-000091600000}"/>
    <cellStyle name="Note 2 7 5 20" xfId="25548" xr:uid="{00000000-0005-0000-0000-000092600000}"/>
    <cellStyle name="Note 2 7 5 3" xfId="25549" xr:uid="{00000000-0005-0000-0000-000093600000}"/>
    <cellStyle name="Note 2 7 5 3 10" xfId="25550" xr:uid="{00000000-0005-0000-0000-000094600000}"/>
    <cellStyle name="Note 2 7 5 3 11" xfId="25551" xr:uid="{00000000-0005-0000-0000-000095600000}"/>
    <cellStyle name="Note 2 7 5 3 12" xfId="25552" xr:uid="{00000000-0005-0000-0000-000096600000}"/>
    <cellStyle name="Note 2 7 5 3 13" xfId="25553" xr:uid="{00000000-0005-0000-0000-000097600000}"/>
    <cellStyle name="Note 2 7 5 3 14" xfId="25554" xr:uid="{00000000-0005-0000-0000-000098600000}"/>
    <cellStyle name="Note 2 7 5 3 15" xfId="25555" xr:uid="{00000000-0005-0000-0000-000099600000}"/>
    <cellStyle name="Note 2 7 5 3 2" xfId="25556" xr:uid="{00000000-0005-0000-0000-00009A600000}"/>
    <cellStyle name="Note 2 7 5 3 3" xfId="25557" xr:uid="{00000000-0005-0000-0000-00009B600000}"/>
    <cellStyle name="Note 2 7 5 3 4" xfId="25558" xr:uid="{00000000-0005-0000-0000-00009C600000}"/>
    <cellStyle name="Note 2 7 5 3 5" xfId="25559" xr:uid="{00000000-0005-0000-0000-00009D600000}"/>
    <cellStyle name="Note 2 7 5 3 6" xfId="25560" xr:uid="{00000000-0005-0000-0000-00009E600000}"/>
    <cellStyle name="Note 2 7 5 3 7" xfId="25561" xr:uid="{00000000-0005-0000-0000-00009F600000}"/>
    <cellStyle name="Note 2 7 5 3 8" xfId="25562" xr:uid="{00000000-0005-0000-0000-0000A0600000}"/>
    <cellStyle name="Note 2 7 5 3 9" xfId="25563" xr:uid="{00000000-0005-0000-0000-0000A1600000}"/>
    <cellStyle name="Note 2 7 5 4" xfId="25564" xr:uid="{00000000-0005-0000-0000-0000A2600000}"/>
    <cellStyle name="Note 2 7 5 4 10" xfId="25565" xr:uid="{00000000-0005-0000-0000-0000A3600000}"/>
    <cellStyle name="Note 2 7 5 4 11" xfId="25566" xr:uid="{00000000-0005-0000-0000-0000A4600000}"/>
    <cellStyle name="Note 2 7 5 4 12" xfId="25567" xr:uid="{00000000-0005-0000-0000-0000A5600000}"/>
    <cellStyle name="Note 2 7 5 4 13" xfId="25568" xr:uid="{00000000-0005-0000-0000-0000A6600000}"/>
    <cellStyle name="Note 2 7 5 4 14" xfId="25569" xr:uid="{00000000-0005-0000-0000-0000A7600000}"/>
    <cellStyle name="Note 2 7 5 4 15" xfId="25570" xr:uid="{00000000-0005-0000-0000-0000A8600000}"/>
    <cellStyle name="Note 2 7 5 4 2" xfId="25571" xr:uid="{00000000-0005-0000-0000-0000A9600000}"/>
    <cellStyle name="Note 2 7 5 4 3" xfId="25572" xr:uid="{00000000-0005-0000-0000-0000AA600000}"/>
    <cellStyle name="Note 2 7 5 4 4" xfId="25573" xr:uid="{00000000-0005-0000-0000-0000AB600000}"/>
    <cellStyle name="Note 2 7 5 4 5" xfId="25574" xr:uid="{00000000-0005-0000-0000-0000AC600000}"/>
    <cellStyle name="Note 2 7 5 4 6" xfId="25575" xr:uid="{00000000-0005-0000-0000-0000AD600000}"/>
    <cellStyle name="Note 2 7 5 4 7" xfId="25576" xr:uid="{00000000-0005-0000-0000-0000AE600000}"/>
    <cellStyle name="Note 2 7 5 4 8" xfId="25577" xr:uid="{00000000-0005-0000-0000-0000AF600000}"/>
    <cellStyle name="Note 2 7 5 4 9" xfId="25578" xr:uid="{00000000-0005-0000-0000-0000B0600000}"/>
    <cellStyle name="Note 2 7 5 5" xfId="25579" xr:uid="{00000000-0005-0000-0000-0000B1600000}"/>
    <cellStyle name="Note 2 7 5 5 10" xfId="25580" xr:uid="{00000000-0005-0000-0000-0000B2600000}"/>
    <cellStyle name="Note 2 7 5 5 11" xfId="25581" xr:uid="{00000000-0005-0000-0000-0000B3600000}"/>
    <cellStyle name="Note 2 7 5 5 12" xfId="25582" xr:uid="{00000000-0005-0000-0000-0000B4600000}"/>
    <cellStyle name="Note 2 7 5 5 13" xfId="25583" xr:uid="{00000000-0005-0000-0000-0000B5600000}"/>
    <cellStyle name="Note 2 7 5 5 14" xfId="25584" xr:uid="{00000000-0005-0000-0000-0000B6600000}"/>
    <cellStyle name="Note 2 7 5 5 15" xfId="25585" xr:uid="{00000000-0005-0000-0000-0000B7600000}"/>
    <cellStyle name="Note 2 7 5 5 2" xfId="25586" xr:uid="{00000000-0005-0000-0000-0000B8600000}"/>
    <cellStyle name="Note 2 7 5 5 3" xfId="25587" xr:uid="{00000000-0005-0000-0000-0000B9600000}"/>
    <cellStyle name="Note 2 7 5 5 4" xfId="25588" xr:uid="{00000000-0005-0000-0000-0000BA600000}"/>
    <cellStyle name="Note 2 7 5 5 5" xfId="25589" xr:uid="{00000000-0005-0000-0000-0000BB600000}"/>
    <cellStyle name="Note 2 7 5 5 6" xfId="25590" xr:uid="{00000000-0005-0000-0000-0000BC600000}"/>
    <cellStyle name="Note 2 7 5 5 7" xfId="25591" xr:uid="{00000000-0005-0000-0000-0000BD600000}"/>
    <cellStyle name="Note 2 7 5 5 8" xfId="25592" xr:uid="{00000000-0005-0000-0000-0000BE600000}"/>
    <cellStyle name="Note 2 7 5 5 9" xfId="25593" xr:uid="{00000000-0005-0000-0000-0000BF600000}"/>
    <cellStyle name="Note 2 7 5 6" xfId="25594" xr:uid="{00000000-0005-0000-0000-0000C0600000}"/>
    <cellStyle name="Note 2 7 5 7" xfId="25595" xr:uid="{00000000-0005-0000-0000-0000C1600000}"/>
    <cellStyle name="Note 2 7 5 8" xfId="25596" xr:uid="{00000000-0005-0000-0000-0000C2600000}"/>
    <cellStyle name="Note 2 7 5 9" xfId="25597" xr:uid="{00000000-0005-0000-0000-0000C3600000}"/>
    <cellStyle name="Note 2 7 6" xfId="25598" xr:uid="{00000000-0005-0000-0000-0000C4600000}"/>
    <cellStyle name="Note 2 7 6 10" xfId="25599" xr:uid="{00000000-0005-0000-0000-0000C5600000}"/>
    <cellStyle name="Note 2 7 6 11" xfId="25600" xr:uid="{00000000-0005-0000-0000-0000C6600000}"/>
    <cellStyle name="Note 2 7 6 12" xfId="25601" xr:uid="{00000000-0005-0000-0000-0000C7600000}"/>
    <cellStyle name="Note 2 7 6 13" xfId="25602" xr:uid="{00000000-0005-0000-0000-0000C8600000}"/>
    <cellStyle name="Note 2 7 6 14" xfId="25603" xr:uid="{00000000-0005-0000-0000-0000C9600000}"/>
    <cellStyle name="Note 2 7 6 15" xfId="25604" xr:uid="{00000000-0005-0000-0000-0000CA600000}"/>
    <cellStyle name="Note 2 7 6 2" xfId="25605" xr:uid="{00000000-0005-0000-0000-0000CB600000}"/>
    <cellStyle name="Note 2 7 6 3" xfId="25606" xr:uid="{00000000-0005-0000-0000-0000CC600000}"/>
    <cellStyle name="Note 2 7 6 4" xfId="25607" xr:uid="{00000000-0005-0000-0000-0000CD600000}"/>
    <cellStyle name="Note 2 7 6 5" xfId="25608" xr:uid="{00000000-0005-0000-0000-0000CE600000}"/>
    <cellStyle name="Note 2 7 6 6" xfId="25609" xr:uid="{00000000-0005-0000-0000-0000CF600000}"/>
    <cellStyle name="Note 2 7 6 7" xfId="25610" xr:uid="{00000000-0005-0000-0000-0000D0600000}"/>
    <cellStyle name="Note 2 7 6 8" xfId="25611" xr:uid="{00000000-0005-0000-0000-0000D1600000}"/>
    <cellStyle name="Note 2 7 6 9" xfId="25612" xr:uid="{00000000-0005-0000-0000-0000D2600000}"/>
    <cellStyle name="Note 2 7 7" xfId="25613" xr:uid="{00000000-0005-0000-0000-0000D3600000}"/>
    <cellStyle name="Note 2 7 7 10" xfId="25614" xr:uid="{00000000-0005-0000-0000-0000D4600000}"/>
    <cellStyle name="Note 2 7 7 11" xfId="25615" xr:uid="{00000000-0005-0000-0000-0000D5600000}"/>
    <cellStyle name="Note 2 7 7 12" xfId="25616" xr:uid="{00000000-0005-0000-0000-0000D6600000}"/>
    <cellStyle name="Note 2 7 7 13" xfId="25617" xr:uid="{00000000-0005-0000-0000-0000D7600000}"/>
    <cellStyle name="Note 2 7 7 14" xfId="25618" xr:uid="{00000000-0005-0000-0000-0000D8600000}"/>
    <cellStyle name="Note 2 7 7 15" xfId="25619" xr:uid="{00000000-0005-0000-0000-0000D9600000}"/>
    <cellStyle name="Note 2 7 7 2" xfId="25620" xr:uid="{00000000-0005-0000-0000-0000DA600000}"/>
    <cellStyle name="Note 2 7 7 3" xfId="25621" xr:uid="{00000000-0005-0000-0000-0000DB600000}"/>
    <cellStyle name="Note 2 7 7 4" xfId="25622" xr:uid="{00000000-0005-0000-0000-0000DC600000}"/>
    <cellStyle name="Note 2 7 7 5" xfId="25623" xr:uid="{00000000-0005-0000-0000-0000DD600000}"/>
    <cellStyle name="Note 2 7 7 6" xfId="25624" xr:uid="{00000000-0005-0000-0000-0000DE600000}"/>
    <cellStyle name="Note 2 7 7 7" xfId="25625" xr:uid="{00000000-0005-0000-0000-0000DF600000}"/>
    <cellStyle name="Note 2 7 7 8" xfId="25626" xr:uid="{00000000-0005-0000-0000-0000E0600000}"/>
    <cellStyle name="Note 2 7 7 9" xfId="25627" xr:uid="{00000000-0005-0000-0000-0000E1600000}"/>
    <cellStyle name="Note 2 7 8" xfId="25628" xr:uid="{00000000-0005-0000-0000-0000E2600000}"/>
    <cellStyle name="Note 2 7 8 10" xfId="25629" xr:uid="{00000000-0005-0000-0000-0000E3600000}"/>
    <cellStyle name="Note 2 7 8 11" xfId="25630" xr:uid="{00000000-0005-0000-0000-0000E4600000}"/>
    <cellStyle name="Note 2 7 8 12" xfId="25631" xr:uid="{00000000-0005-0000-0000-0000E5600000}"/>
    <cellStyle name="Note 2 7 8 13" xfId="25632" xr:uid="{00000000-0005-0000-0000-0000E6600000}"/>
    <cellStyle name="Note 2 7 8 14" xfId="25633" xr:uid="{00000000-0005-0000-0000-0000E7600000}"/>
    <cellStyle name="Note 2 7 8 15" xfId="25634" xr:uid="{00000000-0005-0000-0000-0000E8600000}"/>
    <cellStyle name="Note 2 7 8 2" xfId="25635" xr:uid="{00000000-0005-0000-0000-0000E9600000}"/>
    <cellStyle name="Note 2 7 8 3" xfId="25636" xr:uid="{00000000-0005-0000-0000-0000EA600000}"/>
    <cellStyle name="Note 2 7 8 4" xfId="25637" xr:uid="{00000000-0005-0000-0000-0000EB600000}"/>
    <cellStyle name="Note 2 7 8 5" xfId="25638" xr:uid="{00000000-0005-0000-0000-0000EC600000}"/>
    <cellStyle name="Note 2 7 8 6" xfId="25639" xr:uid="{00000000-0005-0000-0000-0000ED600000}"/>
    <cellStyle name="Note 2 7 8 7" xfId="25640" xr:uid="{00000000-0005-0000-0000-0000EE600000}"/>
    <cellStyle name="Note 2 7 8 8" xfId="25641" xr:uid="{00000000-0005-0000-0000-0000EF600000}"/>
    <cellStyle name="Note 2 7 8 9" xfId="25642" xr:uid="{00000000-0005-0000-0000-0000F0600000}"/>
    <cellStyle name="Note 2 7 9" xfId="25643" xr:uid="{00000000-0005-0000-0000-0000F1600000}"/>
    <cellStyle name="Note 2 7 9 10" xfId="25644" xr:uid="{00000000-0005-0000-0000-0000F2600000}"/>
    <cellStyle name="Note 2 7 9 11" xfId="25645" xr:uid="{00000000-0005-0000-0000-0000F3600000}"/>
    <cellStyle name="Note 2 7 9 12" xfId="25646" xr:uid="{00000000-0005-0000-0000-0000F4600000}"/>
    <cellStyle name="Note 2 7 9 13" xfId="25647" xr:uid="{00000000-0005-0000-0000-0000F5600000}"/>
    <cellStyle name="Note 2 7 9 14" xfId="25648" xr:uid="{00000000-0005-0000-0000-0000F6600000}"/>
    <cellStyle name="Note 2 7 9 15" xfId="25649" xr:uid="{00000000-0005-0000-0000-0000F7600000}"/>
    <cellStyle name="Note 2 7 9 2" xfId="25650" xr:uid="{00000000-0005-0000-0000-0000F8600000}"/>
    <cellStyle name="Note 2 7 9 3" xfId="25651" xr:uid="{00000000-0005-0000-0000-0000F9600000}"/>
    <cellStyle name="Note 2 7 9 4" xfId="25652" xr:uid="{00000000-0005-0000-0000-0000FA600000}"/>
    <cellStyle name="Note 2 7 9 5" xfId="25653" xr:uid="{00000000-0005-0000-0000-0000FB600000}"/>
    <cellStyle name="Note 2 7 9 6" xfId="25654" xr:uid="{00000000-0005-0000-0000-0000FC600000}"/>
    <cellStyle name="Note 2 7 9 7" xfId="25655" xr:uid="{00000000-0005-0000-0000-0000FD600000}"/>
    <cellStyle name="Note 2 7 9 8" xfId="25656" xr:uid="{00000000-0005-0000-0000-0000FE600000}"/>
    <cellStyle name="Note 2 7 9 9" xfId="25657" xr:uid="{00000000-0005-0000-0000-0000FF600000}"/>
    <cellStyle name="Note 2 8" xfId="25658" xr:uid="{00000000-0005-0000-0000-000000610000}"/>
    <cellStyle name="Note 2 8 10" xfId="25659" xr:uid="{00000000-0005-0000-0000-000001610000}"/>
    <cellStyle name="Note 2 8 11" xfId="25660" xr:uid="{00000000-0005-0000-0000-000002610000}"/>
    <cellStyle name="Note 2 8 12" xfId="25661" xr:uid="{00000000-0005-0000-0000-000003610000}"/>
    <cellStyle name="Note 2 8 13" xfId="25662" xr:uid="{00000000-0005-0000-0000-000004610000}"/>
    <cellStyle name="Note 2 8 14" xfId="25663" xr:uid="{00000000-0005-0000-0000-000005610000}"/>
    <cellStyle name="Note 2 8 15" xfId="25664" xr:uid="{00000000-0005-0000-0000-000006610000}"/>
    <cellStyle name="Note 2 8 16" xfId="25665" xr:uid="{00000000-0005-0000-0000-000007610000}"/>
    <cellStyle name="Note 2 8 17" xfId="25666" xr:uid="{00000000-0005-0000-0000-000008610000}"/>
    <cellStyle name="Note 2 8 18" xfId="25667" xr:uid="{00000000-0005-0000-0000-000009610000}"/>
    <cellStyle name="Note 2 8 19" xfId="25668" xr:uid="{00000000-0005-0000-0000-00000A610000}"/>
    <cellStyle name="Note 2 8 2" xfId="25669" xr:uid="{00000000-0005-0000-0000-00000B610000}"/>
    <cellStyle name="Note 2 8 2 10" xfId="25670" xr:uid="{00000000-0005-0000-0000-00000C610000}"/>
    <cellStyle name="Note 2 8 2 11" xfId="25671" xr:uid="{00000000-0005-0000-0000-00000D610000}"/>
    <cellStyle name="Note 2 8 2 12" xfId="25672" xr:uid="{00000000-0005-0000-0000-00000E610000}"/>
    <cellStyle name="Note 2 8 2 13" xfId="25673" xr:uid="{00000000-0005-0000-0000-00000F610000}"/>
    <cellStyle name="Note 2 8 2 14" xfId="25674" xr:uid="{00000000-0005-0000-0000-000010610000}"/>
    <cellStyle name="Note 2 8 2 15" xfId="25675" xr:uid="{00000000-0005-0000-0000-000011610000}"/>
    <cellStyle name="Note 2 8 2 16" xfId="25676" xr:uid="{00000000-0005-0000-0000-000012610000}"/>
    <cellStyle name="Note 2 8 2 17" xfId="25677" xr:uid="{00000000-0005-0000-0000-000013610000}"/>
    <cellStyle name="Note 2 8 2 18" xfId="25678" xr:uid="{00000000-0005-0000-0000-000014610000}"/>
    <cellStyle name="Note 2 8 2 19" xfId="25679" xr:uid="{00000000-0005-0000-0000-000015610000}"/>
    <cellStyle name="Note 2 8 2 2" xfId="25680" xr:uid="{00000000-0005-0000-0000-000016610000}"/>
    <cellStyle name="Note 2 8 2 2 10" xfId="25681" xr:uid="{00000000-0005-0000-0000-000017610000}"/>
    <cellStyle name="Note 2 8 2 2 11" xfId="25682" xr:uid="{00000000-0005-0000-0000-000018610000}"/>
    <cellStyle name="Note 2 8 2 2 12" xfId="25683" xr:uid="{00000000-0005-0000-0000-000019610000}"/>
    <cellStyle name="Note 2 8 2 2 13" xfId="25684" xr:uid="{00000000-0005-0000-0000-00001A610000}"/>
    <cellStyle name="Note 2 8 2 2 14" xfId="25685" xr:uid="{00000000-0005-0000-0000-00001B610000}"/>
    <cellStyle name="Note 2 8 2 2 15" xfId="25686" xr:uid="{00000000-0005-0000-0000-00001C610000}"/>
    <cellStyle name="Note 2 8 2 2 16" xfId="25687" xr:uid="{00000000-0005-0000-0000-00001D610000}"/>
    <cellStyle name="Note 2 8 2 2 17" xfId="25688" xr:uid="{00000000-0005-0000-0000-00001E610000}"/>
    <cellStyle name="Note 2 8 2 2 18" xfId="25689" xr:uid="{00000000-0005-0000-0000-00001F610000}"/>
    <cellStyle name="Note 2 8 2 2 19" xfId="25690" xr:uid="{00000000-0005-0000-0000-000020610000}"/>
    <cellStyle name="Note 2 8 2 2 2" xfId="25691" xr:uid="{00000000-0005-0000-0000-000021610000}"/>
    <cellStyle name="Note 2 8 2 2 2 10" xfId="25692" xr:uid="{00000000-0005-0000-0000-000022610000}"/>
    <cellStyle name="Note 2 8 2 2 2 11" xfId="25693" xr:uid="{00000000-0005-0000-0000-000023610000}"/>
    <cellStyle name="Note 2 8 2 2 2 12" xfId="25694" xr:uid="{00000000-0005-0000-0000-000024610000}"/>
    <cellStyle name="Note 2 8 2 2 2 13" xfId="25695" xr:uid="{00000000-0005-0000-0000-000025610000}"/>
    <cellStyle name="Note 2 8 2 2 2 14" xfId="25696" xr:uid="{00000000-0005-0000-0000-000026610000}"/>
    <cellStyle name="Note 2 8 2 2 2 15" xfId="25697" xr:uid="{00000000-0005-0000-0000-000027610000}"/>
    <cellStyle name="Note 2 8 2 2 2 2" xfId="25698" xr:uid="{00000000-0005-0000-0000-000028610000}"/>
    <cellStyle name="Note 2 8 2 2 2 3" xfId="25699" xr:uid="{00000000-0005-0000-0000-000029610000}"/>
    <cellStyle name="Note 2 8 2 2 2 4" xfId="25700" xr:uid="{00000000-0005-0000-0000-00002A610000}"/>
    <cellStyle name="Note 2 8 2 2 2 5" xfId="25701" xr:uid="{00000000-0005-0000-0000-00002B610000}"/>
    <cellStyle name="Note 2 8 2 2 2 6" xfId="25702" xr:uid="{00000000-0005-0000-0000-00002C610000}"/>
    <cellStyle name="Note 2 8 2 2 2 7" xfId="25703" xr:uid="{00000000-0005-0000-0000-00002D610000}"/>
    <cellStyle name="Note 2 8 2 2 2 8" xfId="25704" xr:uid="{00000000-0005-0000-0000-00002E610000}"/>
    <cellStyle name="Note 2 8 2 2 2 9" xfId="25705" xr:uid="{00000000-0005-0000-0000-00002F610000}"/>
    <cellStyle name="Note 2 8 2 2 20" xfId="25706" xr:uid="{00000000-0005-0000-0000-000030610000}"/>
    <cellStyle name="Note 2 8 2 2 3" xfId="25707" xr:uid="{00000000-0005-0000-0000-000031610000}"/>
    <cellStyle name="Note 2 8 2 2 3 10" xfId="25708" xr:uid="{00000000-0005-0000-0000-000032610000}"/>
    <cellStyle name="Note 2 8 2 2 3 11" xfId="25709" xr:uid="{00000000-0005-0000-0000-000033610000}"/>
    <cellStyle name="Note 2 8 2 2 3 12" xfId="25710" xr:uid="{00000000-0005-0000-0000-000034610000}"/>
    <cellStyle name="Note 2 8 2 2 3 13" xfId="25711" xr:uid="{00000000-0005-0000-0000-000035610000}"/>
    <cellStyle name="Note 2 8 2 2 3 14" xfId="25712" xr:uid="{00000000-0005-0000-0000-000036610000}"/>
    <cellStyle name="Note 2 8 2 2 3 15" xfId="25713" xr:uid="{00000000-0005-0000-0000-000037610000}"/>
    <cellStyle name="Note 2 8 2 2 3 2" xfId="25714" xr:uid="{00000000-0005-0000-0000-000038610000}"/>
    <cellStyle name="Note 2 8 2 2 3 3" xfId="25715" xr:uid="{00000000-0005-0000-0000-000039610000}"/>
    <cellStyle name="Note 2 8 2 2 3 4" xfId="25716" xr:uid="{00000000-0005-0000-0000-00003A610000}"/>
    <cellStyle name="Note 2 8 2 2 3 5" xfId="25717" xr:uid="{00000000-0005-0000-0000-00003B610000}"/>
    <cellStyle name="Note 2 8 2 2 3 6" xfId="25718" xr:uid="{00000000-0005-0000-0000-00003C610000}"/>
    <cellStyle name="Note 2 8 2 2 3 7" xfId="25719" xr:uid="{00000000-0005-0000-0000-00003D610000}"/>
    <cellStyle name="Note 2 8 2 2 3 8" xfId="25720" xr:uid="{00000000-0005-0000-0000-00003E610000}"/>
    <cellStyle name="Note 2 8 2 2 3 9" xfId="25721" xr:uid="{00000000-0005-0000-0000-00003F610000}"/>
    <cellStyle name="Note 2 8 2 2 4" xfId="25722" xr:uid="{00000000-0005-0000-0000-000040610000}"/>
    <cellStyle name="Note 2 8 2 2 4 10" xfId="25723" xr:uid="{00000000-0005-0000-0000-000041610000}"/>
    <cellStyle name="Note 2 8 2 2 4 11" xfId="25724" xr:uid="{00000000-0005-0000-0000-000042610000}"/>
    <cellStyle name="Note 2 8 2 2 4 12" xfId="25725" xr:uid="{00000000-0005-0000-0000-000043610000}"/>
    <cellStyle name="Note 2 8 2 2 4 13" xfId="25726" xr:uid="{00000000-0005-0000-0000-000044610000}"/>
    <cellStyle name="Note 2 8 2 2 4 14" xfId="25727" xr:uid="{00000000-0005-0000-0000-000045610000}"/>
    <cellStyle name="Note 2 8 2 2 4 15" xfId="25728" xr:uid="{00000000-0005-0000-0000-000046610000}"/>
    <cellStyle name="Note 2 8 2 2 4 2" xfId="25729" xr:uid="{00000000-0005-0000-0000-000047610000}"/>
    <cellStyle name="Note 2 8 2 2 4 3" xfId="25730" xr:uid="{00000000-0005-0000-0000-000048610000}"/>
    <cellStyle name="Note 2 8 2 2 4 4" xfId="25731" xr:uid="{00000000-0005-0000-0000-000049610000}"/>
    <cellStyle name="Note 2 8 2 2 4 5" xfId="25732" xr:uid="{00000000-0005-0000-0000-00004A610000}"/>
    <cellStyle name="Note 2 8 2 2 4 6" xfId="25733" xr:uid="{00000000-0005-0000-0000-00004B610000}"/>
    <cellStyle name="Note 2 8 2 2 4 7" xfId="25734" xr:uid="{00000000-0005-0000-0000-00004C610000}"/>
    <cellStyle name="Note 2 8 2 2 4 8" xfId="25735" xr:uid="{00000000-0005-0000-0000-00004D610000}"/>
    <cellStyle name="Note 2 8 2 2 4 9" xfId="25736" xr:uid="{00000000-0005-0000-0000-00004E610000}"/>
    <cellStyle name="Note 2 8 2 2 5" xfId="25737" xr:uid="{00000000-0005-0000-0000-00004F610000}"/>
    <cellStyle name="Note 2 8 2 2 5 10" xfId="25738" xr:uid="{00000000-0005-0000-0000-000050610000}"/>
    <cellStyle name="Note 2 8 2 2 5 11" xfId="25739" xr:uid="{00000000-0005-0000-0000-000051610000}"/>
    <cellStyle name="Note 2 8 2 2 5 12" xfId="25740" xr:uid="{00000000-0005-0000-0000-000052610000}"/>
    <cellStyle name="Note 2 8 2 2 5 13" xfId="25741" xr:uid="{00000000-0005-0000-0000-000053610000}"/>
    <cellStyle name="Note 2 8 2 2 5 14" xfId="25742" xr:uid="{00000000-0005-0000-0000-000054610000}"/>
    <cellStyle name="Note 2 8 2 2 5 15" xfId="25743" xr:uid="{00000000-0005-0000-0000-000055610000}"/>
    <cellStyle name="Note 2 8 2 2 5 2" xfId="25744" xr:uid="{00000000-0005-0000-0000-000056610000}"/>
    <cellStyle name="Note 2 8 2 2 5 3" xfId="25745" xr:uid="{00000000-0005-0000-0000-000057610000}"/>
    <cellStyle name="Note 2 8 2 2 5 4" xfId="25746" xr:uid="{00000000-0005-0000-0000-000058610000}"/>
    <cellStyle name="Note 2 8 2 2 5 5" xfId="25747" xr:uid="{00000000-0005-0000-0000-000059610000}"/>
    <cellStyle name="Note 2 8 2 2 5 6" xfId="25748" xr:uid="{00000000-0005-0000-0000-00005A610000}"/>
    <cellStyle name="Note 2 8 2 2 5 7" xfId="25749" xr:uid="{00000000-0005-0000-0000-00005B610000}"/>
    <cellStyle name="Note 2 8 2 2 5 8" xfId="25750" xr:uid="{00000000-0005-0000-0000-00005C610000}"/>
    <cellStyle name="Note 2 8 2 2 5 9" xfId="25751" xr:uid="{00000000-0005-0000-0000-00005D610000}"/>
    <cellStyle name="Note 2 8 2 2 6" xfId="25752" xr:uid="{00000000-0005-0000-0000-00005E610000}"/>
    <cellStyle name="Note 2 8 2 2 7" xfId="25753" xr:uid="{00000000-0005-0000-0000-00005F610000}"/>
    <cellStyle name="Note 2 8 2 2 8" xfId="25754" xr:uid="{00000000-0005-0000-0000-000060610000}"/>
    <cellStyle name="Note 2 8 2 2 9" xfId="25755" xr:uid="{00000000-0005-0000-0000-000061610000}"/>
    <cellStyle name="Note 2 8 2 20" xfId="25756" xr:uid="{00000000-0005-0000-0000-000062610000}"/>
    <cellStyle name="Note 2 8 2 21" xfId="25757" xr:uid="{00000000-0005-0000-0000-000063610000}"/>
    <cellStyle name="Note 2 8 2 22" xfId="25758" xr:uid="{00000000-0005-0000-0000-000064610000}"/>
    <cellStyle name="Note 2 8 2 23" xfId="25759" xr:uid="{00000000-0005-0000-0000-000065610000}"/>
    <cellStyle name="Note 2 8 2 3" xfId="25760" xr:uid="{00000000-0005-0000-0000-000066610000}"/>
    <cellStyle name="Note 2 8 2 3 10" xfId="25761" xr:uid="{00000000-0005-0000-0000-000067610000}"/>
    <cellStyle name="Note 2 8 2 3 11" xfId="25762" xr:uid="{00000000-0005-0000-0000-000068610000}"/>
    <cellStyle name="Note 2 8 2 3 12" xfId="25763" xr:uid="{00000000-0005-0000-0000-000069610000}"/>
    <cellStyle name="Note 2 8 2 3 13" xfId="25764" xr:uid="{00000000-0005-0000-0000-00006A610000}"/>
    <cellStyle name="Note 2 8 2 3 14" xfId="25765" xr:uid="{00000000-0005-0000-0000-00006B610000}"/>
    <cellStyle name="Note 2 8 2 3 15" xfId="25766" xr:uid="{00000000-0005-0000-0000-00006C610000}"/>
    <cellStyle name="Note 2 8 2 3 16" xfId="25767" xr:uid="{00000000-0005-0000-0000-00006D610000}"/>
    <cellStyle name="Note 2 8 2 3 17" xfId="25768" xr:uid="{00000000-0005-0000-0000-00006E610000}"/>
    <cellStyle name="Note 2 8 2 3 18" xfId="25769" xr:uid="{00000000-0005-0000-0000-00006F610000}"/>
    <cellStyle name="Note 2 8 2 3 19" xfId="25770" xr:uid="{00000000-0005-0000-0000-000070610000}"/>
    <cellStyle name="Note 2 8 2 3 2" xfId="25771" xr:uid="{00000000-0005-0000-0000-000071610000}"/>
    <cellStyle name="Note 2 8 2 3 2 10" xfId="25772" xr:uid="{00000000-0005-0000-0000-000072610000}"/>
    <cellStyle name="Note 2 8 2 3 2 11" xfId="25773" xr:uid="{00000000-0005-0000-0000-000073610000}"/>
    <cellStyle name="Note 2 8 2 3 2 12" xfId="25774" xr:uid="{00000000-0005-0000-0000-000074610000}"/>
    <cellStyle name="Note 2 8 2 3 2 13" xfId="25775" xr:uid="{00000000-0005-0000-0000-000075610000}"/>
    <cellStyle name="Note 2 8 2 3 2 14" xfId="25776" xr:uid="{00000000-0005-0000-0000-000076610000}"/>
    <cellStyle name="Note 2 8 2 3 2 15" xfId="25777" xr:uid="{00000000-0005-0000-0000-000077610000}"/>
    <cellStyle name="Note 2 8 2 3 2 2" xfId="25778" xr:uid="{00000000-0005-0000-0000-000078610000}"/>
    <cellStyle name="Note 2 8 2 3 2 3" xfId="25779" xr:uid="{00000000-0005-0000-0000-000079610000}"/>
    <cellStyle name="Note 2 8 2 3 2 4" xfId="25780" xr:uid="{00000000-0005-0000-0000-00007A610000}"/>
    <cellStyle name="Note 2 8 2 3 2 5" xfId="25781" xr:uid="{00000000-0005-0000-0000-00007B610000}"/>
    <cellStyle name="Note 2 8 2 3 2 6" xfId="25782" xr:uid="{00000000-0005-0000-0000-00007C610000}"/>
    <cellStyle name="Note 2 8 2 3 2 7" xfId="25783" xr:uid="{00000000-0005-0000-0000-00007D610000}"/>
    <cellStyle name="Note 2 8 2 3 2 8" xfId="25784" xr:uid="{00000000-0005-0000-0000-00007E610000}"/>
    <cellStyle name="Note 2 8 2 3 2 9" xfId="25785" xr:uid="{00000000-0005-0000-0000-00007F610000}"/>
    <cellStyle name="Note 2 8 2 3 20" xfId="25786" xr:uid="{00000000-0005-0000-0000-000080610000}"/>
    <cellStyle name="Note 2 8 2 3 3" xfId="25787" xr:uid="{00000000-0005-0000-0000-000081610000}"/>
    <cellStyle name="Note 2 8 2 3 3 10" xfId="25788" xr:uid="{00000000-0005-0000-0000-000082610000}"/>
    <cellStyle name="Note 2 8 2 3 3 11" xfId="25789" xr:uid="{00000000-0005-0000-0000-000083610000}"/>
    <cellStyle name="Note 2 8 2 3 3 12" xfId="25790" xr:uid="{00000000-0005-0000-0000-000084610000}"/>
    <cellStyle name="Note 2 8 2 3 3 13" xfId="25791" xr:uid="{00000000-0005-0000-0000-000085610000}"/>
    <cellStyle name="Note 2 8 2 3 3 14" xfId="25792" xr:uid="{00000000-0005-0000-0000-000086610000}"/>
    <cellStyle name="Note 2 8 2 3 3 15" xfId="25793" xr:uid="{00000000-0005-0000-0000-000087610000}"/>
    <cellStyle name="Note 2 8 2 3 3 2" xfId="25794" xr:uid="{00000000-0005-0000-0000-000088610000}"/>
    <cellStyle name="Note 2 8 2 3 3 3" xfId="25795" xr:uid="{00000000-0005-0000-0000-000089610000}"/>
    <cellStyle name="Note 2 8 2 3 3 4" xfId="25796" xr:uid="{00000000-0005-0000-0000-00008A610000}"/>
    <cellStyle name="Note 2 8 2 3 3 5" xfId="25797" xr:uid="{00000000-0005-0000-0000-00008B610000}"/>
    <cellStyle name="Note 2 8 2 3 3 6" xfId="25798" xr:uid="{00000000-0005-0000-0000-00008C610000}"/>
    <cellStyle name="Note 2 8 2 3 3 7" xfId="25799" xr:uid="{00000000-0005-0000-0000-00008D610000}"/>
    <cellStyle name="Note 2 8 2 3 3 8" xfId="25800" xr:uid="{00000000-0005-0000-0000-00008E610000}"/>
    <cellStyle name="Note 2 8 2 3 3 9" xfId="25801" xr:uid="{00000000-0005-0000-0000-00008F610000}"/>
    <cellStyle name="Note 2 8 2 3 4" xfId="25802" xr:uid="{00000000-0005-0000-0000-000090610000}"/>
    <cellStyle name="Note 2 8 2 3 4 10" xfId="25803" xr:uid="{00000000-0005-0000-0000-000091610000}"/>
    <cellStyle name="Note 2 8 2 3 4 11" xfId="25804" xr:uid="{00000000-0005-0000-0000-000092610000}"/>
    <cellStyle name="Note 2 8 2 3 4 12" xfId="25805" xr:uid="{00000000-0005-0000-0000-000093610000}"/>
    <cellStyle name="Note 2 8 2 3 4 13" xfId="25806" xr:uid="{00000000-0005-0000-0000-000094610000}"/>
    <cellStyle name="Note 2 8 2 3 4 14" xfId="25807" xr:uid="{00000000-0005-0000-0000-000095610000}"/>
    <cellStyle name="Note 2 8 2 3 4 15" xfId="25808" xr:uid="{00000000-0005-0000-0000-000096610000}"/>
    <cellStyle name="Note 2 8 2 3 4 2" xfId="25809" xr:uid="{00000000-0005-0000-0000-000097610000}"/>
    <cellStyle name="Note 2 8 2 3 4 3" xfId="25810" xr:uid="{00000000-0005-0000-0000-000098610000}"/>
    <cellStyle name="Note 2 8 2 3 4 4" xfId="25811" xr:uid="{00000000-0005-0000-0000-000099610000}"/>
    <cellStyle name="Note 2 8 2 3 4 5" xfId="25812" xr:uid="{00000000-0005-0000-0000-00009A610000}"/>
    <cellStyle name="Note 2 8 2 3 4 6" xfId="25813" xr:uid="{00000000-0005-0000-0000-00009B610000}"/>
    <cellStyle name="Note 2 8 2 3 4 7" xfId="25814" xr:uid="{00000000-0005-0000-0000-00009C610000}"/>
    <cellStyle name="Note 2 8 2 3 4 8" xfId="25815" xr:uid="{00000000-0005-0000-0000-00009D610000}"/>
    <cellStyle name="Note 2 8 2 3 4 9" xfId="25816" xr:uid="{00000000-0005-0000-0000-00009E610000}"/>
    <cellStyle name="Note 2 8 2 3 5" xfId="25817" xr:uid="{00000000-0005-0000-0000-00009F610000}"/>
    <cellStyle name="Note 2 8 2 3 5 10" xfId="25818" xr:uid="{00000000-0005-0000-0000-0000A0610000}"/>
    <cellStyle name="Note 2 8 2 3 5 11" xfId="25819" xr:uid="{00000000-0005-0000-0000-0000A1610000}"/>
    <cellStyle name="Note 2 8 2 3 5 12" xfId="25820" xr:uid="{00000000-0005-0000-0000-0000A2610000}"/>
    <cellStyle name="Note 2 8 2 3 5 13" xfId="25821" xr:uid="{00000000-0005-0000-0000-0000A3610000}"/>
    <cellStyle name="Note 2 8 2 3 5 14" xfId="25822" xr:uid="{00000000-0005-0000-0000-0000A4610000}"/>
    <cellStyle name="Note 2 8 2 3 5 15" xfId="25823" xr:uid="{00000000-0005-0000-0000-0000A5610000}"/>
    <cellStyle name="Note 2 8 2 3 5 2" xfId="25824" xr:uid="{00000000-0005-0000-0000-0000A6610000}"/>
    <cellStyle name="Note 2 8 2 3 5 3" xfId="25825" xr:uid="{00000000-0005-0000-0000-0000A7610000}"/>
    <cellStyle name="Note 2 8 2 3 5 4" xfId="25826" xr:uid="{00000000-0005-0000-0000-0000A8610000}"/>
    <cellStyle name="Note 2 8 2 3 5 5" xfId="25827" xr:uid="{00000000-0005-0000-0000-0000A9610000}"/>
    <cellStyle name="Note 2 8 2 3 5 6" xfId="25828" xr:uid="{00000000-0005-0000-0000-0000AA610000}"/>
    <cellStyle name="Note 2 8 2 3 5 7" xfId="25829" xr:uid="{00000000-0005-0000-0000-0000AB610000}"/>
    <cellStyle name="Note 2 8 2 3 5 8" xfId="25830" xr:uid="{00000000-0005-0000-0000-0000AC610000}"/>
    <cellStyle name="Note 2 8 2 3 5 9" xfId="25831" xr:uid="{00000000-0005-0000-0000-0000AD610000}"/>
    <cellStyle name="Note 2 8 2 3 6" xfId="25832" xr:uid="{00000000-0005-0000-0000-0000AE610000}"/>
    <cellStyle name="Note 2 8 2 3 7" xfId="25833" xr:uid="{00000000-0005-0000-0000-0000AF610000}"/>
    <cellStyle name="Note 2 8 2 3 8" xfId="25834" xr:uid="{00000000-0005-0000-0000-0000B0610000}"/>
    <cellStyle name="Note 2 8 2 3 9" xfId="25835" xr:uid="{00000000-0005-0000-0000-0000B1610000}"/>
    <cellStyle name="Note 2 8 2 4" xfId="25836" xr:uid="{00000000-0005-0000-0000-0000B2610000}"/>
    <cellStyle name="Note 2 8 2 4 10" xfId="25837" xr:uid="{00000000-0005-0000-0000-0000B3610000}"/>
    <cellStyle name="Note 2 8 2 4 11" xfId="25838" xr:uid="{00000000-0005-0000-0000-0000B4610000}"/>
    <cellStyle name="Note 2 8 2 4 12" xfId="25839" xr:uid="{00000000-0005-0000-0000-0000B5610000}"/>
    <cellStyle name="Note 2 8 2 4 13" xfId="25840" xr:uid="{00000000-0005-0000-0000-0000B6610000}"/>
    <cellStyle name="Note 2 8 2 4 14" xfId="25841" xr:uid="{00000000-0005-0000-0000-0000B7610000}"/>
    <cellStyle name="Note 2 8 2 4 15" xfId="25842" xr:uid="{00000000-0005-0000-0000-0000B8610000}"/>
    <cellStyle name="Note 2 8 2 4 16" xfId="25843" xr:uid="{00000000-0005-0000-0000-0000B9610000}"/>
    <cellStyle name="Note 2 8 2 4 17" xfId="25844" xr:uid="{00000000-0005-0000-0000-0000BA610000}"/>
    <cellStyle name="Note 2 8 2 4 18" xfId="25845" xr:uid="{00000000-0005-0000-0000-0000BB610000}"/>
    <cellStyle name="Note 2 8 2 4 19" xfId="25846" xr:uid="{00000000-0005-0000-0000-0000BC610000}"/>
    <cellStyle name="Note 2 8 2 4 2" xfId="25847" xr:uid="{00000000-0005-0000-0000-0000BD610000}"/>
    <cellStyle name="Note 2 8 2 4 2 10" xfId="25848" xr:uid="{00000000-0005-0000-0000-0000BE610000}"/>
    <cellStyle name="Note 2 8 2 4 2 11" xfId="25849" xr:uid="{00000000-0005-0000-0000-0000BF610000}"/>
    <cellStyle name="Note 2 8 2 4 2 12" xfId="25850" xr:uid="{00000000-0005-0000-0000-0000C0610000}"/>
    <cellStyle name="Note 2 8 2 4 2 13" xfId="25851" xr:uid="{00000000-0005-0000-0000-0000C1610000}"/>
    <cellStyle name="Note 2 8 2 4 2 14" xfId="25852" xr:uid="{00000000-0005-0000-0000-0000C2610000}"/>
    <cellStyle name="Note 2 8 2 4 2 15" xfId="25853" xr:uid="{00000000-0005-0000-0000-0000C3610000}"/>
    <cellStyle name="Note 2 8 2 4 2 2" xfId="25854" xr:uid="{00000000-0005-0000-0000-0000C4610000}"/>
    <cellStyle name="Note 2 8 2 4 2 3" xfId="25855" xr:uid="{00000000-0005-0000-0000-0000C5610000}"/>
    <cellStyle name="Note 2 8 2 4 2 4" xfId="25856" xr:uid="{00000000-0005-0000-0000-0000C6610000}"/>
    <cellStyle name="Note 2 8 2 4 2 5" xfId="25857" xr:uid="{00000000-0005-0000-0000-0000C7610000}"/>
    <cellStyle name="Note 2 8 2 4 2 6" xfId="25858" xr:uid="{00000000-0005-0000-0000-0000C8610000}"/>
    <cellStyle name="Note 2 8 2 4 2 7" xfId="25859" xr:uid="{00000000-0005-0000-0000-0000C9610000}"/>
    <cellStyle name="Note 2 8 2 4 2 8" xfId="25860" xr:uid="{00000000-0005-0000-0000-0000CA610000}"/>
    <cellStyle name="Note 2 8 2 4 2 9" xfId="25861" xr:uid="{00000000-0005-0000-0000-0000CB610000}"/>
    <cellStyle name="Note 2 8 2 4 20" xfId="25862" xr:uid="{00000000-0005-0000-0000-0000CC610000}"/>
    <cellStyle name="Note 2 8 2 4 3" xfId="25863" xr:uid="{00000000-0005-0000-0000-0000CD610000}"/>
    <cellStyle name="Note 2 8 2 4 3 10" xfId="25864" xr:uid="{00000000-0005-0000-0000-0000CE610000}"/>
    <cellStyle name="Note 2 8 2 4 3 11" xfId="25865" xr:uid="{00000000-0005-0000-0000-0000CF610000}"/>
    <cellStyle name="Note 2 8 2 4 3 12" xfId="25866" xr:uid="{00000000-0005-0000-0000-0000D0610000}"/>
    <cellStyle name="Note 2 8 2 4 3 13" xfId="25867" xr:uid="{00000000-0005-0000-0000-0000D1610000}"/>
    <cellStyle name="Note 2 8 2 4 3 14" xfId="25868" xr:uid="{00000000-0005-0000-0000-0000D2610000}"/>
    <cellStyle name="Note 2 8 2 4 3 15" xfId="25869" xr:uid="{00000000-0005-0000-0000-0000D3610000}"/>
    <cellStyle name="Note 2 8 2 4 3 2" xfId="25870" xr:uid="{00000000-0005-0000-0000-0000D4610000}"/>
    <cellStyle name="Note 2 8 2 4 3 3" xfId="25871" xr:uid="{00000000-0005-0000-0000-0000D5610000}"/>
    <cellStyle name="Note 2 8 2 4 3 4" xfId="25872" xr:uid="{00000000-0005-0000-0000-0000D6610000}"/>
    <cellStyle name="Note 2 8 2 4 3 5" xfId="25873" xr:uid="{00000000-0005-0000-0000-0000D7610000}"/>
    <cellStyle name="Note 2 8 2 4 3 6" xfId="25874" xr:uid="{00000000-0005-0000-0000-0000D8610000}"/>
    <cellStyle name="Note 2 8 2 4 3 7" xfId="25875" xr:uid="{00000000-0005-0000-0000-0000D9610000}"/>
    <cellStyle name="Note 2 8 2 4 3 8" xfId="25876" xr:uid="{00000000-0005-0000-0000-0000DA610000}"/>
    <cellStyle name="Note 2 8 2 4 3 9" xfId="25877" xr:uid="{00000000-0005-0000-0000-0000DB610000}"/>
    <cellStyle name="Note 2 8 2 4 4" xfId="25878" xr:uid="{00000000-0005-0000-0000-0000DC610000}"/>
    <cellStyle name="Note 2 8 2 4 4 10" xfId="25879" xr:uid="{00000000-0005-0000-0000-0000DD610000}"/>
    <cellStyle name="Note 2 8 2 4 4 11" xfId="25880" xr:uid="{00000000-0005-0000-0000-0000DE610000}"/>
    <cellStyle name="Note 2 8 2 4 4 12" xfId="25881" xr:uid="{00000000-0005-0000-0000-0000DF610000}"/>
    <cellStyle name="Note 2 8 2 4 4 13" xfId="25882" xr:uid="{00000000-0005-0000-0000-0000E0610000}"/>
    <cellStyle name="Note 2 8 2 4 4 14" xfId="25883" xr:uid="{00000000-0005-0000-0000-0000E1610000}"/>
    <cellStyle name="Note 2 8 2 4 4 15" xfId="25884" xr:uid="{00000000-0005-0000-0000-0000E2610000}"/>
    <cellStyle name="Note 2 8 2 4 4 2" xfId="25885" xr:uid="{00000000-0005-0000-0000-0000E3610000}"/>
    <cellStyle name="Note 2 8 2 4 4 3" xfId="25886" xr:uid="{00000000-0005-0000-0000-0000E4610000}"/>
    <cellStyle name="Note 2 8 2 4 4 4" xfId="25887" xr:uid="{00000000-0005-0000-0000-0000E5610000}"/>
    <cellStyle name="Note 2 8 2 4 4 5" xfId="25888" xr:uid="{00000000-0005-0000-0000-0000E6610000}"/>
    <cellStyle name="Note 2 8 2 4 4 6" xfId="25889" xr:uid="{00000000-0005-0000-0000-0000E7610000}"/>
    <cellStyle name="Note 2 8 2 4 4 7" xfId="25890" xr:uid="{00000000-0005-0000-0000-0000E8610000}"/>
    <cellStyle name="Note 2 8 2 4 4 8" xfId="25891" xr:uid="{00000000-0005-0000-0000-0000E9610000}"/>
    <cellStyle name="Note 2 8 2 4 4 9" xfId="25892" xr:uid="{00000000-0005-0000-0000-0000EA610000}"/>
    <cellStyle name="Note 2 8 2 4 5" xfId="25893" xr:uid="{00000000-0005-0000-0000-0000EB610000}"/>
    <cellStyle name="Note 2 8 2 4 5 10" xfId="25894" xr:uid="{00000000-0005-0000-0000-0000EC610000}"/>
    <cellStyle name="Note 2 8 2 4 5 11" xfId="25895" xr:uid="{00000000-0005-0000-0000-0000ED610000}"/>
    <cellStyle name="Note 2 8 2 4 5 12" xfId="25896" xr:uid="{00000000-0005-0000-0000-0000EE610000}"/>
    <cellStyle name="Note 2 8 2 4 5 13" xfId="25897" xr:uid="{00000000-0005-0000-0000-0000EF610000}"/>
    <cellStyle name="Note 2 8 2 4 5 14" xfId="25898" xr:uid="{00000000-0005-0000-0000-0000F0610000}"/>
    <cellStyle name="Note 2 8 2 4 5 15" xfId="25899" xr:uid="{00000000-0005-0000-0000-0000F1610000}"/>
    <cellStyle name="Note 2 8 2 4 5 2" xfId="25900" xr:uid="{00000000-0005-0000-0000-0000F2610000}"/>
    <cellStyle name="Note 2 8 2 4 5 3" xfId="25901" xr:uid="{00000000-0005-0000-0000-0000F3610000}"/>
    <cellStyle name="Note 2 8 2 4 5 4" xfId="25902" xr:uid="{00000000-0005-0000-0000-0000F4610000}"/>
    <cellStyle name="Note 2 8 2 4 5 5" xfId="25903" xr:uid="{00000000-0005-0000-0000-0000F5610000}"/>
    <cellStyle name="Note 2 8 2 4 5 6" xfId="25904" xr:uid="{00000000-0005-0000-0000-0000F6610000}"/>
    <cellStyle name="Note 2 8 2 4 5 7" xfId="25905" xr:uid="{00000000-0005-0000-0000-0000F7610000}"/>
    <cellStyle name="Note 2 8 2 4 5 8" xfId="25906" xr:uid="{00000000-0005-0000-0000-0000F8610000}"/>
    <cellStyle name="Note 2 8 2 4 5 9" xfId="25907" xr:uid="{00000000-0005-0000-0000-0000F9610000}"/>
    <cellStyle name="Note 2 8 2 4 6" xfId="25908" xr:uid="{00000000-0005-0000-0000-0000FA610000}"/>
    <cellStyle name="Note 2 8 2 4 7" xfId="25909" xr:uid="{00000000-0005-0000-0000-0000FB610000}"/>
    <cellStyle name="Note 2 8 2 4 8" xfId="25910" xr:uid="{00000000-0005-0000-0000-0000FC610000}"/>
    <cellStyle name="Note 2 8 2 4 9" xfId="25911" xr:uid="{00000000-0005-0000-0000-0000FD610000}"/>
    <cellStyle name="Note 2 8 2 5" xfId="25912" xr:uid="{00000000-0005-0000-0000-0000FE610000}"/>
    <cellStyle name="Note 2 8 2 5 10" xfId="25913" xr:uid="{00000000-0005-0000-0000-0000FF610000}"/>
    <cellStyle name="Note 2 8 2 5 11" xfId="25914" xr:uid="{00000000-0005-0000-0000-000000620000}"/>
    <cellStyle name="Note 2 8 2 5 12" xfId="25915" xr:uid="{00000000-0005-0000-0000-000001620000}"/>
    <cellStyle name="Note 2 8 2 5 13" xfId="25916" xr:uid="{00000000-0005-0000-0000-000002620000}"/>
    <cellStyle name="Note 2 8 2 5 14" xfId="25917" xr:uid="{00000000-0005-0000-0000-000003620000}"/>
    <cellStyle name="Note 2 8 2 5 15" xfId="25918" xr:uid="{00000000-0005-0000-0000-000004620000}"/>
    <cellStyle name="Note 2 8 2 5 2" xfId="25919" xr:uid="{00000000-0005-0000-0000-000005620000}"/>
    <cellStyle name="Note 2 8 2 5 3" xfId="25920" xr:uid="{00000000-0005-0000-0000-000006620000}"/>
    <cellStyle name="Note 2 8 2 5 4" xfId="25921" xr:uid="{00000000-0005-0000-0000-000007620000}"/>
    <cellStyle name="Note 2 8 2 5 5" xfId="25922" xr:uid="{00000000-0005-0000-0000-000008620000}"/>
    <cellStyle name="Note 2 8 2 5 6" xfId="25923" xr:uid="{00000000-0005-0000-0000-000009620000}"/>
    <cellStyle name="Note 2 8 2 5 7" xfId="25924" xr:uid="{00000000-0005-0000-0000-00000A620000}"/>
    <cellStyle name="Note 2 8 2 5 8" xfId="25925" xr:uid="{00000000-0005-0000-0000-00000B620000}"/>
    <cellStyle name="Note 2 8 2 5 9" xfId="25926" xr:uid="{00000000-0005-0000-0000-00000C620000}"/>
    <cellStyle name="Note 2 8 2 6" xfId="25927" xr:uid="{00000000-0005-0000-0000-00000D620000}"/>
    <cellStyle name="Note 2 8 2 6 10" xfId="25928" xr:uid="{00000000-0005-0000-0000-00000E620000}"/>
    <cellStyle name="Note 2 8 2 6 11" xfId="25929" xr:uid="{00000000-0005-0000-0000-00000F620000}"/>
    <cellStyle name="Note 2 8 2 6 12" xfId="25930" xr:uid="{00000000-0005-0000-0000-000010620000}"/>
    <cellStyle name="Note 2 8 2 6 13" xfId="25931" xr:uid="{00000000-0005-0000-0000-000011620000}"/>
    <cellStyle name="Note 2 8 2 6 14" xfId="25932" xr:uid="{00000000-0005-0000-0000-000012620000}"/>
    <cellStyle name="Note 2 8 2 6 15" xfId="25933" xr:uid="{00000000-0005-0000-0000-000013620000}"/>
    <cellStyle name="Note 2 8 2 6 2" xfId="25934" xr:uid="{00000000-0005-0000-0000-000014620000}"/>
    <cellStyle name="Note 2 8 2 6 3" xfId="25935" xr:uid="{00000000-0005-0000-0000-000015620000}"/>
    <cellStyle name="Note 2 8 2 6 4" xfId="25936" xr:uid="{00000000-0005-0000-0000-000016620000}"/>
    <cellStyle name="Note 2 8 2 6 5" xfId="25937" xr:uid="{00000000-0005-0000-0000-000017620000}"/>
    <cellStyle name="Note 2 8 2 6 6" xfId="25938" xr:uid="{00000000-0005-0000-0000-000018620000}"/>
    <cellStyle name="Note 2 8 2 6 7" xfId="25939" xr:uid="{00000000-0005-0000-0000-000019620000}"/>
    <cellStyle name="Note 2 8 2 6 8" xfId="25940" xr:uid="{00000000-0005-0000-0000-00001A620000}"/>
    <cellStyle name="Note 2 8 2 6 9" xfId="25941" xr:uid="{00000000-0005-0000-0000-00001B620000}"/>
    <cellStyle name="Note 2 8 2 7" xfId="25942" xr:uid="{00000000-0005-0000-0000-00001C620000}"/>
    <cellStyle name="Note 2 8 2 7 10" xfId="25943" xr:uid="{00000000-0005-0000-0000-00001D620000}"/>
    <cellStyle name="Note 2 8 2 7 11" xfId="25944" xr:uid="{00000000-0005-0000-0000-00001E620000}"/>
    <cellStyle name="Note 2 8 2 7 12" xfId="25945" xr:uid="{00000000-0005-0000-0000-00001F620000}"/>
    <cellStyle name="Note 2 8 2 7 13" xfId="25946" xr:uid="{00000000-0005-0000-0000-000020620000}"/>
    <cellStyle name="Note 2 8 2 7 14" xfId="25947" xr:uid="{00000000-0005-0000-0000-000021620000}"/>
    <cellStyle name="Note 2 8 2 7 15" xfId="25948" xr:uid="{00000000-0005-0000-0000-000022620000}"/>
    <cellStyle name="Note 2 8 2 7 2" xfId="25949" xr:uid="{00000000-0005-0000-0000-000023620000}"/>
    <cellStyle name="Note 2 8 2 7 3" xfId="25950" xr:uid="{00000000-0005-0000-0000-000024620000}"/>
    <cellStyle name="Note 2 8 2 7 4" xfId="25951" xr:uid="{00000000-0005-0000-0000-000025620000}"/>
    <cellStyle name="Note 2 8 2 7 5" xfId="25952" xr:uid="{00000000-0005-0000-0000-000026620000}"/>
    <cellStyle name="Note 2 8 2 7 6" xfId="25953" xr:uid="{00000000-0005-0000-0000-000027620000}"/>
    <cellStyle name="Note 2 8 2 7 7" xfId="25954" xr:uid="{00000000-0005-0000-0000-000028620000}"/>
    <cellStyle name="Note 2 8 2 7 8" xfId="25955" xr:uid="{00000000-0005-0000-0000-000029620000}"/>
    <cellStyle name="Note 2 8 2 7 9" xfId="25956" xr:uid="{00000000-0005-0000-0000-00002A620000}"/>
    <cellStyle name="Note 2 8 2 8" xfId="25957" xr:uid="{00000000-0005-0000-0000-00002B620000}"/>
    <cellStyle name="Note 2 8 2 8 10" xfId="25958" xr:uid="{00000000-0005-0000-0000-00002C620000}"/>
    <cellStyle name="Note 2 8 2 8 11" xfId="25959" xr:uid="{00000000-0005-0000-0000-00002D620000}"/>
    <cellStyle name="Note 2 8 2 8 12" xfId="25960" xr:uid="{00000000-0005-0000-0000-00002E620000}"/>
    <cellStyle name="Note 2 8 2 8 13" xfId="25961" xr:uid="{00000000-0005-0000-0000-00002F620000}"/>
    <cellStyle name="Note 2 8 2 8 14" xfId="25962" xr:uid="{00000000-0005-0000-0000-000030620000}"/>
    <cellStyle name="Note 2 8 2 8 15" xfId="25963" xr:uid="{00000000-0005-0000-0000-000031620000}"/>
    <cellStyle name="Note 2 8 2 8 2" xfId="25964" xr:uid="{00000000-0005-0000-0000-000032620000}"/>
    <cellStyle name="Note 2 8 2 8 3" xfId="25965" xr:uid="{00000000-0005-0000-0000-000033620000}"/>
    <cellStyle name="Note 2 8 2 8 4" xfId="25966" xr:uid="{00000000-0005-0000-0000-000034620000}"/>
    <cellStyle name="Note 2 8 2 8 5" xfId="25967" xr:uid="{00000000-0005-0000-0000-000035620000}"/>
    <cellStyle name="Note 2 8 2 8 6" xfId="25968" xr:uid="{00000000-0005-0000-0000-000036620000}"/>
    <cellStyle name="Note 2 8 2 8 7" xfId="25969" xr:uid="{00000000-0005-0000-0000-000037620000}"/>
    <cellStyle name="Note 2 8 2 8 8" xfId="25970" xr:uid="{00000000-0005-0000-0000-000038620000}"/>
    <cellStyle name="Note 2 8 2 8 9" xfId="25971" xr:uid="{00000000-0005-0000-0000-000039620000}"/>
    <cellStyle name="Note 2 8 2 9" xfId="25972" xr:uid="{00000000-0005-0000-0000-00003A620000}"/>
    <cellStyle name="Note 2 8 20" xfId="25973" xr:uid="{00000000-0005-0000-0000-00003B620000}"/>
    <cellStyle name="Note 2 8 21" xfId="25974" xr:uid="{00000000-0005-0000-0000-00003C620000}"/>
    <cellStyle name="Note 2 8 22" xfId="25975" xr:uid="{00000000-0005-0000-0000-00003D620000}"/>
    <cellStyle name="Note 2 8 23" xfId="25976" xr:uid="{00000000-0005-0000-0000-00003E620000}"/>
    <cellStyle name="Note 2 8 24" xfId="25977" xr:uid="{00000000-0005-0000-0000-00003F620000}"/>
    <cellStyle name="Note 2 8 3" xfId="25978" xr:uid="{00000000-0005-0000-0000-000040620000}"/>
    <cellStyle name="Note 2 8 3 10" xfId="25979" xr:uid="{00000000-0005-0000-0000-000041620000}"/>
    <cellStyle name="Note 2 8 3 11" xfId="25980" xr:uid="{00000000-0005-0000-0000-000042620000}"/>
    <cellStyle name="Note 2 8 3 12" xfId="25981" xr:uid="{00000000-0005-0000-0000-000043620000}"/>
    <cellStyle name="Note 2 8 3 13" xfId="25982" xr:uid="{00000000-0005-0000-0000-000044620000}"/>
    <cellStyle name="Note 2 8 3 14" xfId="25983" xr:uid="{00000000-0005-0000-0000-000045620000}"/>
    <cellStyle name="Note 2 8 3 15" xfId="25984" xr:uid="{00000000-0005-0000-0000-000046620000}"/>
    <cellStyle name="Note 2 8 3 16" xfId="25985" xr:uid="{00000000-0005-0000-0000-000047620000}"/>
    <cellStyle name="Note 2 8 3 17" xfId="25986" xr:uid="{00000000-0005-0000-0000-000048620000}"/>
    <cellStyle name="Note 2 8 3 18" xfId="25987" xr:uid="{00000000-0005-0000-0000-000049620000}"/>
    <cellStyle name="Note 2 8 3 19" xfId="25988" xr:uid="{00000000-0005-0000-0000-00004A620000}"/>
    <cellStyle name="Note 2 8 3 2" xfId="25989" xr:uid="{00000000-0005-0000-0000-00004B620000}"/>
    <cellStyle name="Note 2 8 3 2 10" xfId="25990" xr:uid="{00000000-0005-0000-0000-00004C620000}"/>
    <cellStyle name="Note 2 8 3 2 11" xfId="25991" xr:uid="{00000000-0005-0000-0000-00004D620000}"/>
    <cellStyle name="Note 2 8 3 2 12" xfId="25992" xr:uid="{00000000-0005-0000-0000-00004E620000}"/>
    <cellStyle name="Note 2 8 3 2 13" xfId="25993" xr:uid="{00000000-0005-0000-0000-00004F620000}"/>
    <cellStyle name="Note 2 8 3 2 14" xfId="25994" xr:uid="{00000000-0005-0000-0000-000050620000}"/>
    <cellStyle name="Note 2 8 3 2 15" xfId="25995" xr:uid="{00000000-0005-0000-0000-000051620000}"/>
    <cellStyle name="Note 2 8 3 2 2" xfId="25996" xr:uid="{00000000-0005-0000-0000-000052620000}"/>
    <cellStyle name="Note 2 8 3 2 3" xfId="25997" xr:uid="{00000000-0005-0000-0000-000053620000}"/>
    <cellStyle name="Note 2 8 3 2 4" xfId="25998" xr:uid="{00000000-0005-0000-0000-000054620000}"/>
    <cellStyle name="Note 2 8 3 2 5" xfId="25999" xr:uid="{00000000-0005-0000-0000-000055620000}"/>
    <cellStyle name="Note 2 8 3 2 6" xfId="26000" xr:uid="{00000000-0005-0000-0000-000056620000}"/>
    <cellStyle name="Note 2 8 3 2 7" xfId="26001" xr:uid="{00000000-0005-0000-0000-000057620000}"/>
    <cellStyle name="Note 2 8 3 2 8" xfId="26002" xr:uid="{00000000-0005-0000-0000-000058620000}"/>
    <cellStyle name="Note 2 8 3 2 9" xfId="26003" xr:uid="{00000000-0005-0000-0000-000059620000}"/>
    <cellStyle name="Note 2 8 3 20" xfId="26004" xr:uid="{00000000-0005-0000-0000-00005A620000}"/>
    <cellStyle name="Note 2 8 3 3" xfId="26005" xr:uid="{00000000-0005-0000-0000-00005B620000}"/>
    <cellStyle name="Note 2 8 3 3 10" xfId="26006" xr:uid="{00000000-0005-0000-0000-00005C620000}"/>
    <cellStyle name="Note 2 8 3 3 11" xfId="26007" xr:uid="{00000000-0005-0000-0000-00005D620000}"/>
    <cellStyle name="Note 2 8 3 3 12" xfId="26008" xr:uid="{00000000-0005-0000-0000-00005E620000}"/>
    <cellStyle name="Note 2 8 3 3 13" xfId="26009" xr:uid="{00000000-0005-0000-0000-00005F620000}"/>
    <cellStyle name="Note 2 8 3 3 14" xfId="26010" xr:uid="{00000000-0005-0000-0000-000060620000}"/>
    <cellStyle name="Note 2 8 3 3 15" xfId="26011" xr:uid="{00000000-0005-0000-0000-000061620000}"/>
    <cellStyle name="Note 2 8 3 3 2" xfId="26012" xr:uid="{00000000-0005-0000-0000-000062620000}"/>
    <cellStyle name="Note 2 8 3 3 3" xfId="26013" xr:uid="{00000000-0005-0000-0000-000063620000}"/>
    <cellStyle name="Note 2 8 3 3 4" xfId="26014" xr:uid="{00000000-0005-0000-0000-000064620000}"/>
    <cellStyle name="Note 2 8 3 3 5" xfId="26015" xr:uid="{00000000-0005-0000-0000-000065620000}"/>
    <cellStyle name="Note 2 8 3 3 6" xfId="26016" xr:uid="{00000000-0005-0000-0000-000066620000}"/>
    <cellStyle name="Note 2 8 3 3 7" xfId="26017" xr:uid="{00000000-0005-0000-0000-000067620000}"/>
    <cellStyle name="Note 2 8 3 3 8" xfId="26018" xr:uid="{00000000-0005-0000-0000-000068620000}"/>
    <cellStyle name="Note 2 8 3 3 9" xfId="26019" xr:uid="{00000000-0005-0000-0000-000069620000}"/>
    <cellStyle name="Note 2 8 3 4" xfId="26020" xr:uid="{00000000-0005-0000-0000-00006A620000}"/>
    <cellStyle name="Note 2 8 3 4 10" xfId="26021" xr:uid="{00000000-0005-0000-0000-00006B620000}"/>
    <cellStyle name="Note 2 8 3 4 11" xfId="26022" xr:uid="{00000000-0005-0000-0000-00006C620000}"/>
    <cellStyle name="Note 2 8 3 4 12" xfId="26023" xr:uid="{00000000-0005-0000-0000-00006D620000}"/>
    <cellStyle name="Note 2 8 3 4 13" xfId="26024" xr:uid="{00000000-0005-0000-0000-00006E620000}"/>
    <cellStyle name="Note 2 8 3 4 14" xfId="26025" xr:uid="{00000000-0005-0000-0000-00006F620000}"/>
    <cellStyle name="Note 2 8 3 4 15" xfId="26026" xr:uid="{00000000-0005-0000-0000-000070620000}"/>
    <cellStyle name="Note 2 8 3 4 2" xfId="26027" xr:uid="{00000000-0005-0000-0000-000071620000}"/>
    <cellStyle name="Note 2 8 3 4 3" xfId="26028" xr:uid="{00000000-0005-0000-0000-000072620000}"/>
    <cellStyle name="Note 2 8 3 4 4" xfId="26029" xr:uid="{00000000-0005-0000-0000-000073620000}"/>
    <cellStyle name="Note 2 8 3 4 5" xfId="26030" xr:uid="{00000000-0005-0000-0000-000074620000}"/>
    <cellStyle name="Note 2 8 3 4 6" xfId="26031" xr:uid="{00000000-0005-0000-0000-000075620000}"/>
    <cellStyle name="Note 2 8 3 4 7" xfId="26032" xr:uid="{00000000-0005-0000-0000-000076620000}"/>
    <cellStyle name="Note 2 8 3 4 8" xfId="26033" xr:uid="{00000000-0005-0000-0000-000077620000}"/>
    <cellStyle name="Note 2 8 3 4 9" xfId="26034" xr:uid="{00000000-0005-0000-0000-000078620000}"/>
    <cellStyle name="Note 2 8 3 5" xfId="26035" xr:uid="{00000000-0005-0000-0000-000079620000}"/>
    <cellStyle name="Note 2 8 3 5 10" xfId="26036" xr:uid="{00000000-0005-0000-0000-00007A620000}"/>
    <cellStyle name="Note 2 8 3 5 11" xfId="26037" xr:uid="{00000000-0005-0000-0000-00007B620000}"/>
    <cellStyle name="Note 2 8 3 5 12" xfId="26038" xr:uid="{00000000-0005-0000-0000-00007C620000}"/>
    <cellStyle name="Note 2 8 3 5 13" xfId="26039" xr:uid="{00000000-0005-0000-0000-00007D620000}"/>
    <cellStyle name="Note 2 8 3 5 14" xfId="26040" xr:uid="{00000000-0005-0000-0000-00007E620000}"/>
    <cellStyle name="Note 2 8 3 5 15" xfId="26041" xr:uid="{00000000-0005-0000-0000-00007F620000}"/>
    <cellStyle name="Note 2 8 3 5 2" xfId="26042" xr:uid="{00000000-0005-0000-0000-000080620000}"/>
    <cellStyle name="Note 2 8 3 5 3" xfId="26043" xr:uid="{00000000-0005-0000-0000-000081620000}"/>
    <cellStyle name="Note 2 8 3 5 4" xfId="26044" xr:uid="{00000000-0005-0000-0000-000082620000}"/>
    <cellStyle name="Note 2 8 3 5 5" xfId="26045" xr:uid="{00000000-0005-0000-0000-000083620000}"/>
    <cellStyle name="Note 2 8 3 5 6" xfId="26046" xr:uid="{00000000-0005-0000-0000-000084620000}"/>
    <cellStyle name="Note 2 8 3 5 7" xfId="26047" xr:uid="{00000000-0005-0000-0000-000085620000}"/>
    <cellStyle name="Note 2 8 3 5 8" xfId="26048" xr:uid="{00000000-0005-0000-0000-000086620000}"/>
    <cellStyle name="Note 2 8 3 5 9" xfId="26049" xr:uid="{00000000-0005-0000-0000-000087620000}"/>
    <cellStyle name="Note 2 8 3 6" xfId="26050" xr:uid="{00000000-0005-0000-0000-000088620000}"/>
    <cellStyle name="Note 2 8 3 7" xfId="26051" xr:uid="{00000000-0005-0000-0000-000089620000}"/>
    <cellStyle name="Note 2 8 3 8" xfId="26052" xr:uid="{00000000-0005-0000-0000-00008A620000}"/>
    <cellStyle name="Note 2 8 3 9" xfId="26053" xr:uid="{00000000-0005-0000-0000-00008B620000}"/>
    <cellStyle name="Note 2 8 4" xfId="26054" xr:uid="{00000000-0005-0000-0000-00008C620000}"/>
    <cellStyle name="Note 2 8 4 10" xfId="26055" xr:uid="{00000000-0005-0000-0000-00008D620000}"/>
    <cellStyle name="Note 2 8 4 11" xfId="26056" xr:uid="{00000000-0005-0000-0000-00008E620000}"/>
    <cellStyle name="Note 2 8 4 12" xfId="26057" xr:uid="{00000000-0005-0000-0000-00008F620000}"/>
    <cellStyle name="Note 2 8 4 13" xfId="26058" xr:uid="{00000000-0005-0000-0000-000090620000}"/>
    <cellStyle name="Note 2 8 4 14" xfId="26059" xr:uid="{00000000-0005-0000-0000-000091620000}"/>
    <cellStyle name="Note 2 8 4 15" xfId="26060" xr:uid="{00000000-0005-0000-0000-000092620000}"/>
    <cellStyle name="Note 2 8 4 16" xfId="26061" xr:uid="{00000000-0005-0000-0000-000093620000}"/>
    <cellStyle name="Note 2 8 4 17" xfId="26062" xr:uid="{00000000-0005-0000-0000-000094620000}"/>
    <cellStyle name="Note 2 8 4 18" xfId="26063" xr:uid="{00000000-0005-0000-0000-000095620000}"/>
    <cellStyle name="Note 2 8 4 19" xfId="26064" xr:uid="{00000000-0005-0000-0000-000096620000}"/>
    <cellStyle name="Note 2 8 4 2" xfId="26065" xr:uid="{00000000-0005-0000-0000-000097620000}"/>
    <cellStyle name="Note 2 8 4 2 10" xfId="26066" xr:uid="{00000000-0005-0000-0000-000098620000}"/>
    <cellStyle name="Note 2 8 4 2 11" xfId="26067" xr:uid="{00000000-0005-0000-0000-000099620000}"/>
    <cellStyle name="Note 2 8 4 2 12" xfId="26068" xr:uid="{00000000-0005-0000-0000-00009A620000}"/>
    <cellStyle name="Note 2 8 4 2 13" xfId="26069" xr:uid="{00000000-0005-0000-0000-00009B620000}"/>
    <cellStyle name="Note 2 8 4 2 14" xfId="26070" xr:uid="{00000000-0005-0000-0000-00009C620000}"/>
    <cellStyle name="Note 2 8 4 2 15" xfId="26071" xr:uid="{00000000-0005-0000-0000-00009D620000}"/>
    <cellStyle name="Note 2 8 4 2 2" xfId="26072" xr:uid="{00000000-0005-0000-0000-00009E620000}"/>
    <cellStyle name="Note 2 8 4 2 3" xfId="26073" xr:uid="{00000000-0005-0000-0000-00009F620000}"/>
    <cellStyle name="Note 2 8 4 2 4" xfId="26074" xr:uid="{00000000-0005-0000-0000-0000A0620000}"/>
    <cellStyle name="Note 2 8 4 2 5" xfId="26075" xr:uid="{00000000-0005-0000-0000-0000A1620000}"/>
    <cellStyle name="Note 2 8 4 2 6" xfId="26076" xr:uid="{00000000-0005-0000-0000-0000A2620000}"/>
    <cellStyle name="Note 2 8 4 2 7" xfId="26077" xr:uid="{00000000-0005-0000-0000-0000A3620000}"/>
    <cellStyle name="Note 2 8 4 2 8" xfId="26078" xr:uid="{00000000-0005-0000-0000-0000A4620000}"/>
    <cellStyle name="Note 2 8 4 2 9" xfId="26079" xr:uid="{00000000-0005-0000-0000-0000A5620000}"/>
    <cellStyle name="Note 2 8 4 20" xfId="26080" xr:uid="{00000000-0005-0000-0000-0000A6620000}"/>
    <cellStyle name="Note 2 8 4 3" xfId="26081" xr:uid="{00000000-0005-0000-0000-0000A7620000}"/>
    <cellStyle name="Note 2 8 4 3 10" xfId="26082" xr:uid="{00000000-0005-0000-0000-0000A8620000}"/>
    <cellStyle name="Note 2 8 4 3 11" xfId="26083" xr:uid="{00000000-0005-0000-0000-0000A9620000}"/>
    <cellStyle name="Note 2 8 4 3 12" xfId="26084" xr:uid="{00000000-0005-0000-0000-0000AA620000}"/>
    <cellStyle name="Note 2 8 4 3 13" xfId="26085" xr:uid="{00000000-0005-0000-0000-0000AB620000}"/>
    <cellStyle name="Note 2 8 4 3 14" xfId="26086" xr:uid="{00000000-0005-0000-0000-0000AC620000}"/>
    <cellStyle name="Note 2 8 4 3 15" xfId="26087" xr:uid="{00000000-0005-0000-0000-0000AD620000}"/>
    <cellStyle name="Note 2 8 4 3 2" xfId="26088" xr:uid="{00000000-0005-0000-0000-0000AE620000}"/>
    <cellStyle name="Note 2 8 4 3 3" xfId="26089" xr:uid="{00000000-0005-0000-0000-0000AF620000}"/>
    <cellStyle name="Note 2 8 4 3 4" xfId="26090" xr:uid="{00000000-0005-0000-0000-0000B0620000}"/>
    <cellStyle name="Note 2 8 4 3 5" xfId="26091" xr:uid="{00000000-0005-0000-0000-0000B1620000}"/>
    <cellStyle name="Note 2 8 4 3 6" xfId="26092" xr:uid="{00000000-0005-0000-0000-0000B2620000}"/>
    <cellStyle name="Note 2 8 4 3 7" xfId="26093" xr:uid="{00000000-0005-0000-0000-0000B3620000}"/>
    <cellStyle name="Note 2 8 4 3 8" xfId="26094" xr:uid="{00000000-0005-0000-0000-0000B4620000}"/>
    <cellStyle name="Note 2 8 4 3 9" xfId="26095" xr:uid="{00000000-0005-0000-0000-0000B5620000}"/>
    <cellStyle name="Note 2 8 4 4" xfId="26096" xr:uid="{00000000-0005-0000-0000-0000B6620000}"/>
    <cellStyle name="Note 2 8 4 4 10" xfId="26097" xr:uid="{00000000-0005-0000-0000-0000B7620000}"/>
    <cellStyle name="Note 2 8 4 4 11" xfId="26098" xr:uid="{00000000-0005-0000-0000-0000B8620000}"/>
    <cellStyle name="Note 2 8 4 4 12" xfId="26099" xr:uid="{00000000-0005-0000-0000-0000B9620000}"/>
    <cellStyle name="Note 2 8 4 4 13" xfId="26100" xr:uid="{00000000-0005-0000-0000-0000BA620000}"/>
    <cellStyle name="Note 2 8 4 4 14" xfId="26101" xr:uid="{00000000-0005-0000-0000-0000BB620000}"/>
    <cellStyle name="Note 2 8 4 4 15" xfId="26102" xr:uid="{00000000-0005-0000-0000-0000BC620000}"/>
    <cellStyle name="Note 2 8 4 4 2" xfId="26103" xr:uid="{00000000-0005-0000-0000-0000BD620000}"/>
    <cellStyle name="Note 2 8 4 4 3" xfId="26104" xr:uid="{00000000-0005-0000-0000-0000BE620000}"/>
    <cellStyle name="Note 2 8 4 4 4" xfId="26105" xr:uid="{00000000-0005-0000-0000-0000BF620000}"/>
    <cellStyle name="Note 2 8 4 4 5" xfId="26106" xr:uid="{00000000-0005-0000-0000-0000C0620000}"/>
    <cellStyle name="Note 2 8 4 4 6" xfId="26107" xr:uid="{00000000-0005-0000-0000-0000C1620000}"/>
    <cellStyle name="Note 2 8 4 4 7" xfId="26108" xr:uid="{00000000-0005-0000-0000-0000C2620000}"/>
    <cellStyle name="Note 2 8 4 4 8" xfId="26109" xr:uid="{00000000-0005-0000-0000-0000C3620000}"/>
    <cellStyle name="Note 2 8 4 4 9" xfId="26110" xr:uid="{00000000-0005-0000-0000-0000C4620000}"/>
    <cellStyle name="Note 2 8 4 5" xfId="26111" xr:uid="{00000000-0005-0000-0000-0000C5620000}"/>
    <cellStyle name="Note 2 8 4 5 10" xfId="26112" xr:uid="{00000000-0005-0000-0000-0000C6620000}"/>
    <cellStyle name="Note 2 8 4 5 11" xfId="26113" xr:uid="{00000000-0005-0000-0000-0000C7620000}"/>
    <cellStyle name="Note 2 8 4 5 12" xfId="26114" xr:uid="{00000000-0005-0000-0000-0000C8620000}"/>
    <cellStyle name="Note 2 8 4 5 13" xfId="26115" xr:uid="{00000000-0005-0000-0000-0000C9620000}"/>
    <cellStyle name="Note 2 8 4 5 14" xfId="26116" xr:uid="{00000000-0005-0000-0000-0000CA620000}"/>
    <cellStyle name="Note 2 8 4 5 15" xfId="26117" xr:uid="{00000000-0005-0000-0000-0000CB620000}"/>
    <cellStyle name="Note 2 8 4 5 2" xfId="26118" xr:uid="{00000000-0005-0000-0000-0000CC620000}"/>
    <cellStyle name="Note 2 8 4 5 3" xfId="26119" xr:uid="{00000000-0005-0000-0000-0000CD620000}"/>
    <cellStyle name="Note 2 8 4 5 4" xfId="26120" xr:uid="{00000000-0005-0000-0000-0000CE620000}"/>
    <cellStyle name="Note 2 8 4 5 5" xfId="26121" xr:uid="{00000000-0005-0000-0000-0000CF620000}"/>
    <cellStyle name="Note 2 8 4 5 6" xfId="26122" xr:uid="{00000000-0005-0000-0000-0000D0620000}"/>
    <cellStyle name="Note 2 8 4 5 7" xfId="26123" xr:uid="{00000000-0005-0000-0000-0000D1620000}"/>
    <cellStyle name="Note 2 8 4 5 8" xfId="26124" xr:uid="{00000000-0005-0000-0000-0000D2620000}"/>
    <cellStyle name="Note 2 8 4 5 9" xfId="26125" xr:uid="{00000000-0005-0000-0000-0000D3620000}"/>
    <cellStyle name="Note 2 8 4 6" xfId="26126" xr:uid="{00000000-0005-0000-0000-0000D4620000}"/>
    <cellStyle name="Note 2 8 4 7" xfId="26127" xr:uid="{00000000-0005-0000-0000-0000D5620000}"/>
    <cellStyle name="Note 2 8 4 8" xfId="26128" xr:uid="{00000000-0005-0000-0000-0000D6620000}"/>
    <cellStyle name="Note 2 8 4 9" xfId="26129" xr:uid="{00000000-0005-0000-0000-0000D7620000}"/>
    <cellStyle name="Note 2 8 5" xfId="26130" xr:uid="{00000000-0005-0000-0000-0000D8620000}"/>
    <cellStyle name="Note 2 8 5 10" xfId="26131" xr:uid="{00000000-0005-0000-0000-0000D9620000}"/>
    <cellStyle name="Note 2 8 5 11" xfId="26132" xr:uid="{00000000-0005-0000-0000-0000DA620000}"/>
    <cellStyle name="Note 2 8 5 12" xfId="26133" xr:uid="{00000000-0005-0000-0000-0000DB620000}"/>
    <cellStyle name="Note 2 8 5 13" xfId="26134" xr:uid="{00000000-0005-0000-0000-0000DC620000}"/>
    <cellStyle name="Note 2 8 5 14" xfId="26135" xr:uid="{00000000-0005-0000-0000-0000DD620000}"/>
    <cellStyle name="Note 2 8 5 15" xfId="26136" xr:uid="{00000000-0005-0000-0000-0000DE620000}"/>
    <cellStyle name="Note 2 8 5 16" xfId="26137" xr:uid="{00000000-0005-0000-0000-0000DF620000}"/>
    <cellStyle name="Note 2 8 5 17" xfId="26138" xr:uid="{00000000-0005-0000-0000-0000E0620000}"/>
    <cellStyle name="Note 2 8 5 18" xfId="26139" xr:uid="{00000000-0005-0000-0000-0000E1620000}"/>
    <cellStyle name="Note 2 8 5 19" xfId="26140" xr:uid="{00000000-0005-0000-0000-0000E2620000}"/>
    <cellStyle name="Note 2 8 5 2" xfId="26141" xr:uid="{00000000-0005-0000-0000-0000E3620000}"/>
    <cellStyle name="Note 2 8 5 2 10" xfId="26142" xr:uid="{00000000-0005-0000-0000-0000E4620000}"/>
    <cellStyle name="Note 2 8 5 2 11" xfId="26143" xr:uid="{00000000-0005-0000-0000-0000E5620000}"/>
    <cellStyle name="Note 2 8 5 2 12" xfId="26144" xr:uid="{00000000-0005-0000-0000-0000E6620000}"/>
    <cellStyle name="Note 2 8 5 2 13" xfId="26145" xr:uid="{00000000-0005-0000-0000-0000E7620000}"/>
    <cellStyle name="Note 2 8 5 2 14" xfId="26146" xr:uid="{00000000-0005-0000-0000-0000E8620000}"/>
    <cellStyle name="Note 2 8 5 2 15" xfId="26147" xr:uid="{00000000-0005-0000-0000-0000E9620000}"/>
    <cellStyle name="Note 2 8 5 2 2" xfId="26148" xr:uid="{00000000-0005-0000-0000-0000EA620000}"/>
    <cellStyle name="Note 2 8 5 2 3" xfId="26149" xr:uid="{00000000-0005-0000-0000-0000EB620000}"/>
    <cellStyle name="Note 2 8 5 2 4" xfId="26150" xr:uid="{00000000-0005-0000-0000-0000EC620000}"/>
    <cellStyle name="Note 2 8 5 2 5" xfId="26151" xr:uid="{00000000-0005-0000-0000-0000ED620000}"/>
    <cellStyle name="Note 2 8 5 2 6" xfId="26152" xr:uid="{00000000-0005-0000-0000-0000EE620000}"/>
    <cellStyle name="Note 2 8 5 2 7" xfId="26153" xr:uid="{00000000-0005-0000-0000-0000EF620000}"/>
    <cellStyle name="Note 2 8 5 2 8" xfId="26154" xr:uid="{00000000-0005-0000-0000-0000F0620000}"/>
    <cellStyle name="Note 2 8 5 2 9" xfId="26155" xr:uid="{00000000-0005-0000-0000-0000F1620000}"/>
    <cellStyle name="Note 2 8 5 20" xfId="26156" xr:uid="{00000000-0005-0000-0000-0000F2620000}"/>
    <cellStyle name="Note 2 8 5 3" xfId="26157" xr:uid="{00000000-0005-0000-0000-0000F3620000}"/>
    <cellStyle name="Note 2 8 5 3 10" xfId="26158" xr:uid="{00000000-0005-0000-0000-0000F4620000}"/>
    <cellStyle name="Note 2 8 5 3 11" xfId="26159" xr:uid="{00000000-0005-0000-0000-0000F5620000}"/>
    <cellStyle name="Note 2 8 5 3 12" xfId="26160" xr:uid="{00000000-0005-0000-0000-0000F6620000}"/>
    <cellStyle name="Note 2 8 5 3 13" xfId="26161" xr:uid="{00000000-0005-0000-0000-0000F7620000}"/>
    <cellStyle name="Note 2 8 5 3 14" xfId="26162" xr:uid="{00000000-0005-0000-0000-0000F8620000}"/>
    <cellStyle name="Note 2 8 5 3 15" xfId="26163" xr:uid="{00000000-0005-0000-0000-0000F9620000}"/>
    <cellStyle name="Note 2 8 5 3 2" xfId="26164" xr:uid="{00000000-0005-0000-0000-0000FA620000}"/>
    <cellStyle name="Note 2 8 5 3 3" xfId="26165" xr:uid="{00000000-0005-0000-0000-0000FB620000}"/>
    <cellStyle name="Note 2 8 5 3 4" xfId="26166" xr:uid="{00000000-0005-0000-0000-0000FC620000}"/>
    <cellStyle name="Note 2 8 5 3 5" xfId="26167" xr:uid="{00000000-0005-0000-0000-0000FD620000}"/>
    <cellStyle name="Note 2 8 5 3 6" xfId="26168" xr:uid="{00000000-0005-0000-0000-0000FE620000}"/>
    <cellStyle name="Note 2 8 5 3 7" xfId="26169" xr:uid="{00000000-0005-0000-0000-0000FF620000}"/>
    <cellStyle name="Note 2 8 5 3 8" xfId="26170" xr:uid="{00000000-0005-0000-0000-000000630000}"/>
    <cellStyle name="Note 2 8 5 3 9" xfId="26171" xr:uid="{00000000-0005-0000-0000-000001630000}"/>
    <cellStyle name="Note 2 8 5 4" xfId="26172" xr:uid="{00000000-0005-0000-0000-000002630000}"/>
    <cellStyle name="Note 2 8 5 4 10" xfId="26173" xr:uid="{00000000-0005-0000-0000-000003630000}"/>
    <cellStyle name="Note 2 8 5 4 11" xfId="26174" xr:uid="{00000000-0005-0000-0000-000004630000}"/>
    <cellStyle name="Note 2 8 5 4 12" xfId="26175" xr:uid="{00000000-0005-0000-0000-000005630000}"/>
    <cellStyle name="Note 2 8 5 4 13" xfId="26176" xr:uid="{00000000-0005-0000-0000-000006630000}"/>
    <cellStyle name="Note 2 8 5 4 14" xfId="26177" xr:uid="{00000000-0005-0000-0000-000007630000}"/>
    <cellStyle name="Note 2 8 5 4 15" xfId="26178" xr:uid="{00000000-0005-0000-0000-000008630000}"/>
    <cellStyle name="Note 2 8 5 4 2" xfId="26179" xr:uid="{00000000-0005-0000-0000-000009630000}"/>
    <cellStyle name="Note 2 8 5 4 3" xfId="26180" xr:uid="{00000000-0005-0000-0000-00000A630000}"/>
    <cellStyle name="Note 2 8 5 4 4" xfId="26181" xr:uid="{00000000-0005-0000-0000-00000B630000}"/>
    <cellStyle name="Note 2 8 5 4 5" xfId="26182" xr:uid="{00000000-0005-0000-0000-00000C630000}"/>
    <cellStyle name="Note 2 8 5 4 6" xfId="26183" xr:uid="{00000000-0005-0000-0000-00000D630000}"/>
    <cellStyle name="Note 2 8 5 4 7" xfId="26184" xr:uid="{00000000-0005-0000-0000-00000E630000}"/>
    <cellStyle name="Note 2 8 5 4 8" xfId="26185" xr:uid="{00000000-0005-0000-0000-00000F630000}"/>
    <cellStyle name="Note 2 8 5 4 9" xfId="26186" xr:uid="{00000000-0005-0000-0000-000010630000}"/>
    <cellStyle name="Note 2 8 5 5" xfId="26187" xr:uid="{00000000-0005-0000-0000-000011630000}"/>
    <cellStyle name="Note 2 8 5 5 10" xfId="26188" xr:uid="{00000000-0005-0000-0000-000012630000}"/>
    <cellStyle name="Note 2 8 5 5 11" xfId="26189" xr:uid="{00000000-0005-0000-0000-000013630000}"/>
    <cellStyle name="Note 2 8 5 5 12" xfId="26190" xr:uid="{00000000-0005-0000-0000-000014630000}"/>
    <cellStyle name="Note 2 8 5 5 13" xfId="26191" xr:uid="{00000000-0005-0000-0000-000015630000}"/>
    <cellStyle name="Note 2 8 5 5 14" xfId="26192" xr:uid="{00000000-0005-0000-0000-000016630000}"/>
    <cellStyle name="Note 2 8 5 5 15" xfId="26193" xr:uid="{00000000-0005-0000-0000-000017630000}"/>
    <cellStyle name="Note 2 8 5 5 2" xfId="26194" xr:uid="{00000000-0005-0000-0000-000018630000}"/>
    <cellStyle name="Note 2 8 5 5 3" xfId="26195" xr:uid="{00000000-0005-0000-0000-000019630000}"/>
    <cellStyle name="Note 2 8 5 5 4" xfId="26196" xr:uid="{00000000-0005-0000-0000-00001A630000}"/>
    <cellStyle name="Note 2 8 5 5 5" xfId="26197" xr:uid="{00000000-0005-0000-0000-00001B630000}"/>
    <cellStyle name="Note 2 8 5 5 6" xfId="26198" xr:uid="{00000000-0005-0000-0000-00001C630000}"/>
    <cellStyle name="Note 2 8 5 5 7" xfId="26199" xr:uid="{00000000-0005-0000-0000-00001D630000}"/>
    <cellStyle name="Note 2 8 5 5 8" xfId="26200" xr:uid="{00000000-0005-0000-0000-00001E630000}"/>
    <cellStyle name="Note 2 8 5 5 9" xfId="26201" xr:uid="{00000000-0005-0000-0000-00001F630000}"/>
    <cellStyle name="Note 2 8 5 6" xfId="26202" xr:uid="{00000000-0005-0000-0000-000020630000}"/>
    <cellStyle name="Note 2 8 5 7" xfId="26203" xr:uid="{00000000-0005-0000-0000-000021630000}"/>
    <cellStyle name="Note 2 8 5 8" xfId="26204" xr:uid="{00000000-0005-0000-0000-000022630000}"/>
    <cellStyle name="Note 2 8 5 9" xfId="26205" xr:uid="{00000000-0005-0000-0000-000023630000}"/>
    <cellStyle name="Note 2 8 6" xfId="26206" xr:uid="{00000000-0005-0000-0000-000024630000}"/>
    <cellStyle name="Note 2 8 6 10" xfId="26207" xr:uid="{00000000-0005-0000-0000-000025630000}"/>
    <cellStyle name="Note 2 8 6 11" xfId="26208" xr:uid="{00000000-0005-0000-0000-000026630000}"/>
    <cellStyle name="Note 2 8 6 12" xfId="26209" xr:uid="{00000000-0005-0000-0000-000027630000}"/>
    <cellStyle name="Note 2 8 6 13" xfId="26210" xr:uid="{00000000-0005-0000-0000-000028630000}"/>
    <cellStyle name="Note 2 8 6 14" xfId="26211" xr:uid="{00000000-0005-0000-0000-000029630000}"/>
    <cellStyle name="Note 2 8 6 15" xfId="26212" xr:uid="{00000000-0005-0000-0000-00002A630000}"/>
    <cellStyle name="Note 2 8 6 2" xfId="26213" xr:uid="{00000000-0005-0000-0000-00002B630000}"/>
    <cellStyle name="Note 2 8 6 3" xfId="26214" xr:uid="{00000000-0005-0000-0000-00002C630000}"/>
    <cellStyle name="Note 2 8 6 4" xfId="26215" xr:uid="{00000000-0005-0000-0000-00002D630000}"/>
    <cellStyle name="Note 2 8 6 5" xfId="26216" xr:uid="{00000000-0005-0000-0000-00002E630000}"/>
    <cellStyle name="Note 2 8 6 6" xfId="26217" xr:uid="{00000000-0005-0000-0000-00002F630000}"/>
    <cellStyle name="Note 2 8 6 7" xfId="26218" xr:uid="{00000000-0005-0000-0000-000030630000}"/>
    <cellStyle name="Note 2 8 6 8" xfId="26219" xr:uid="{00000000-0005-0000-0000-000031630000}"/>
    <cellStyle name="Note 2 8 6 9" xfId="26220" xr:uid="{00000000-0005-0000-0000-000032630000}"/>
    <cellStyle name="Note 2 8 7" xfId="26221" xr:uid="{00000000-0005-0000-0000-000033630000}"/>
    <cellStyle name="Note 2 8 7 10" xfId="26222" xr:uid="{00000000-0005-0000-0000-000034630000}"/>
    <cellStyle name="Note 2 8 7 11" xfId="26223" xr:uid="{00000000-0005-0000-0000-000035630000}"/>
    <cellStyle name="Note 2 8 7 12" xfId="26224" xr:uid="{00000000-0005-0000-0000-000036630000}"/>
    <cellStyle name="Note 2 8 7 13" xfId="26225" xr:uid="{00000000-0005-0000-0000-000037630000}"/>
    <cellStyle name="Note 2 8 7 14" xfId="26226" xr:uid="{00000000-0005-0000-0000-000038630000}"/>
    <cellStyle name="Note 2 8 7 15" xfId="26227" xr:uid="{00000000-0005-0000-0000-000039630000}"/>
    <cellStyle name="Note 2 8 7 2" xfId="26228" xr:uid="{00000000-0005-0000-0000-00003A630000}"/>
    <cellStyle name="Note 2 8 7 3" xfId="26229" xr:uid="{00000000-0005-0000-0000-00003B630000}"/>
    <cellStyle name="Note 2 8 7 4" xfId="26230" xr:uid="{00000000-0005-0000-0000-00003C630000}"/>
    <cellStyle name="Note 2 8 7 5" xfId="26231" xr:uid="{00000000-0005-0000-0000-00003D630000}"/>
    <cellStyle name="Note 2 8 7 6" xfId="26232" xr:uid="{00000000-0005-0000-0000-00003E630000}"/>
    <cellStyle name="Note 2 8 7 7" xfId="26233" xr:uid="{00000000-0005-0000-0000-00003F630000}"/>
    <cellStyle name="Note 2 8 7 8" xfId="26234" xr:uid="{00000000-0005-0000-0000-000040630000}"/>
    <cellStyle name="Note 2 8 7 9" xfId="26235" xr:uid="{00000000-0005-0000-0000-000041630000}"/>
    <cellStyle name="Note 2 8 8" xfId="26236" xr:uid="{00000000-0005-0000-0000-000042630000}"/>
    <cellStyle name="Note 2 8 8 10" xfId="26237" xr:uid="{00000000-0005-0000-0000-000043630000}"/>
    <cellStyle name="Note 2 8 8 11" xfId="26238" xr:uid="{00000000-0005-0000-0000-000044630000}"/>
    <cellStyle name="Note 2 8 8 12" xfId="26239" xr:uid="{00000000-0005-0000-0000-000045630000}"/>
    <cellStyle name="Note 2 8 8 13" xfId="26240" xr:uid="{00000000-0005-0000-0000-000046630000}"/>
    <cellStyle name="Note 2 8 8 14" xfId="26241" xr:uid="{00000000-0005-0000-0000-000047630000}"/>
    <cellStyle name="Note 2 8 8 15" xfId="26242" xr:uid="{00000000-0005-0000-0000-000048630000}"/>
    <cellStyle name="Note 2 8 8 2" xfId="26243" xr:uid="{00000000-0005-0000-0000-000049630000}"/>
    <cellStyle name="Note 2 8 8 3" xfId="26244" xr:uid="{00000000-0005-0000-0000-00004A630000}"/>
    <cellStyle name="Note 2 8 8 4" xfId="26245" xr:uid="{00000000-0005-0000-0000-00004B630000}"/>
    <cellStyle name="Note 2 8 8 5" xfId="26246" xr:uid="{00000000-0005-0000-0000-00004C630000}"/>
    <cellStyle name="Note 2 8 8 6" xfId="26247" xr:uid="{00000000-0005-0000-0000-00004D630000}"/>
    <cellStyle name="Note 2 8 8 7" xfId="26248" xr:uid="{00000000-0005-0000-0000-00004E630000}"/>
    <cellStyle name="Note 2 8 8 8" xfId="26249" xr:uid="{00000000-0005-0000-0000-00004F630000}"/>
    <cellStyle name="Note 2 8 8 9" xfId="26250" xr:uid="{00000000-0005-0000-0000-000050630000}"/>
    <cellStyle name="Note 2 8 9" xfId="26251" xr:uid="{00000000-0005-0000-0000-000051630000}"/>
    <cellStyle name="Note 2 8 9 10" xfId="26252" xr:uid="{00000000-0005-0000-0000-000052630000}"/>
    <cellStyle name="Note 2 8 9 11" xfId="26253" xr:uid="{00000000-0005-0000-0000-000053630000}"/>
    <cellStyle name="Note 2 8 9 12" xfId="26254" xr:uid="{00000000-0005-0000-0000-000054630000}"/>
    <cellStyle name="Note 2 8 9 13" xfId="26255" xr:uid="{00000000-0005-0000-0000-000055630000}"/>
    <cellStyle name="Note 2 8 9 14" xfId="26256" xr:uid="{00000000-0005-0000-0000-000056630000}"/>
    <cellStyle name="Note 2 8 9 15" xfId="26257" xr:uid="{00000000-0005-0000-0000-000057630000}"/>
    <cellStyle name="Note 2 8 9 2" xfId="26258" xr:uid="{00000000-0005-0000-0000-000058630000}"/>
    <cellStyle name="Note 2 8 9 3" xfId="26259" xr:uid="{00000000-0005-0000-0000-000059630000}"/>
    <cellStyle name="Note 2 8 9 4" xfId="26260" xr:uid="{00000000-0005-0000-0000-00005A630000}"/>
    <cellStyle name="Note 2 8 9 5" xfId="26261" xr:uid="{00000000-0005-0000-0000-00005B630000}"/>
    <cellStyle name="Note 2 8 9 6" xfId="26262" xr:uid="{00000000-0005-0000-0000-00005C630000}"/>
    <cellStyle name="Note 2 8 9 7" xfId="26263" xr:uid="{00000000-0005-0000-0000-00005D630000}"/>
    <cellStyle name="Note 2 8 9 8" xfId="26264" xr:uid="{00000000-0005-0000-0000-00005E630000}"/>
    <cellStyle name="Note 2 8 9 9" xfId="26265" xr:uid="{00000000-0005-0000-0000-00005F630000}"/>
    <cellStyle name="Note 2 9" xfId="26266" xr:uid="{00000000-0005-0000-0000-000060630000}"/>
    <cellStyle name="Note 2 9 10" xfId="26267" xr:uid="{00000000-0005-0000-0000-000061630000}"/>
    <cellStyle name="Note 2 9 11" xfId="26268" xr:uid="{00000000-0005-0000-0000-000062630000}"/>
    <cellStyle name="Note 2 9 12" xfId="26269" xr:uid="{00000000-0005-0000-0000-000063630000}"/>
    <cellStyle name="Note 2 9 13" xfId="26270" xr:uid="{00000000-0005-0000-0000-000064630000}"/>
    <cellStyle name="Note 2 9 14" xfId="26271" xr:uid="{00000000-0005-0000-0000-000065630000}"/>
    <cellStyle name="Note 2 9 15" xfId="26272" xr:uid="{00000000-0005-0000-0000-000066630000}"/>
    <cellStyle name="Note 2 9 16" xfId="26273" xr:uid="{00000000-0005-0000-0000-000067630000}"/>
    <cellStyle name="Note 2 9 17" xfId="26274" xr:uid="{00000000-0005-0000-0000-000068630000}"/>
    <cellStyle name="Note 2 9 18" xfId="26275" xr:uid="{00000000-0005-0000-0000-000069630000}"/>
    <cellStyle name="Note 2 9 19" xfId="26276" xr:uid="{00000000-0005-0000-0000-00006A630000}"/>
    <cellStyle name="Note 2 9 2" xfId="26277" xr:uid="{00000000-0005-0000-0000-00006B630000}"/>
    <cellStyle name="Note 2 9 2 10" xfId="26278" xr:uid="{00000000-0005-0000-0000-00006C630000}"/>
    <cellStyle name="Note 2 9 2 11" xfId="26279" xr:uid="{00000000-0005-0000-0000-00006D630000}"/>
    <cellStyle name="Note 2 9 2 12" xfId="26280" xr:uid="{00000000-0005-0000-0000-00006E630000}"/>
    <cellStyle name="Note 2 9 2 13" xfId="26281" xr:uid="{00000000-0005-0000-0000-00006F630000}"/>
    <cellStyle name="Note 2 9 2 14" xfId="26282" xr:uid="{00000000-0005-0000-0000-000070630000}"/>
    <cellStyle name="Note 2 9 2 15" xfId="26283" xr:uid="{00000000-0005-0000-0000-000071630000}"/>
    <cellStyle name="Note 2 9 2 16" xfId="26284" xr:uid="{00000000-0005-0000-0000-000072630000}"/>
    <cellStyle name="Note 2 9 2 17" xfId="26285" xr:uid="{00000000-0005-0000-0000-000073630000}"/>
    <cellStyle name="Note 2 9 2 18" xfId="26286" xr:uid="{00000000-0005-0000-0000-000074630000}"/>
    <cellStyle name="Note 2 9 2 19" xfId="26287" xr:uid="{00000000-0005-0000-0000-000075630000}"/>
    <cellStyle name="Note 2 9 2 2" xfId="26288" xr:uid="{00000000-0005-0000-0000-000076630000}"/>
    <cellStyle name="Note 2 9 2 2 10" xfId="26289" xr:uid="{00000000-0005-0000-0000-000077630000}"/>
    <cellStyle name="Note 2 9 2 2 11" xfId="26290" xr:uid="{00000000-0005-0000-0000-000078630000}"/>
    <cellStyle name="Note 2 9 2 2 12" xfId="26291" xr:uid="{00000000-0005-0000-0000-000079630000}"/>
    <cellStyle name="Note 2 9 2 2 13" xfId="26292" xr:uid="{00000000-0005-0000-0000-00007A630000}"/>
    <cellStyle name="Note 2 9 2 2 14" xfId="26293" xr:uid="{00000000-0005-0000-0000-00007B630000}"/>
    <cellStyle name="Note 2 9 2 2 15" xfId="26294" xr:uid="{00000000-0005-0000-0000-00007C630000}"/>
    <cellStyle name="Note 2 9 2 2 16" xfId="26295" xr:uid="{00000000-0005-0000-0000-00007D630000}"/>
    <cellStyle name="Note 2 9 2 2 17" xfId="26296" xr:uid="{00000000-0005-0000-0000-00007E630000}"/>
    <cellStyle name="Note 2 9 2 2 18" xfId="26297" xr:uid="{00000000-0005-0000-0000-00007F630000}"/>
    <cellStyle name="Note 2 9 2 2 19" xfId="26298" xr:uid="{00000000-0005-0000-0000-000080630000}"/>
    <cellStyle name="Note 2 9 2 2 2" xfId="26299" xr:uid="{00000000-0005-0000-0000-000081630000}"/>
    <cellStyle name="Note 2 9 2 2 2 10" xfId="26300" xr:uid="{00000000-0005-0000-0000-000082630000}"/>
    <cellStyle name="Note 2 9 2 2 2 11" xfId="26301" xr:uid="{00000000-0005-0000-0000-000083630000}"/>
    <cellStyle name="Note 2 9 2 2 2 12" xfId="26302" xr:uid="{00000000-0005-0000-0000-000084630000}"/>
    <cellStyle name="Note 2 9 2 2 2 13" xfId="26303" xr:uid="{00000000-0005-0000-0000-000085630000}"/>
    <cellStyle name="Note 2 9 2 2 2 14" xfId="26304" xr:uid="{00000000-0005-0000-0000-000086630000}"/>
    <cellStyle name="Note 2 9 2 2 2 15" xfId="26305" xr:uid="{00000000-0005-0000-0000-000087630000}"/>
    <cellStyle name="Note 2 9 2 2 2 2" xfId="26306" xr:uid="{00000000-0005-0000-0000-000088630000}"/>
    <cellStyle name="Note 2 9 2 2 2 3" xfId="26307" xr:uid="{00000000-0005-0000-0000-000089630000}"/>
    <cellStyle name="Note 2 9 2 2 2 4" xfId="26308" xr:uid="{00000000-0005-0000-0000-00008A630000}"/>
    <cellStyle name="Note 2 9 2 2 2 5" xfId="26309" xr:uid="{00000000-0005-0000-0000-00008B630000}"/>
    <cellStyle name="Note 2 9 2 2 2 6" xfId="26310" xr:uid="{00000000-0005-0000-0000-00008C630000}"/>
    <cellStyle name="Note 2 9 2 2 2 7" xfId="26311" xr:uid="{00000000-0005-0000-0000-00008D630000}"/>
    <cellStyle name="Note 2 9 2 2 2 8" xfId="26312" xr:uid="{00000000-0005-0000-0000-00008E630000}"/>
    <cellStyle name="Note 2 9 2 2 2 9" xfId="26313" xr:uid="{00000000-0005-0000-0000-00008F630000}"/>
    <cellStyle name="Note 2 9 2 2 20" xfId="26314" xr:uid="{00000000-0005-0000-0000-000090630000}"/>
    <cellStyle name="Note 2 9 2 2 3" xfId="26315" xr:uid="{00000000-0005-0000-0000-000091630000}"/>
    <cellStyle name="Note 2 9 2 2 3 10" xfId="26316" xr:uid="{00000000-0005-0000-0000-000092630000}"/>
    <cellStyle name="Note 2 9 2 2 3 11" xfId="26317" xr:uid="{00000000-0005-0000-0000-000093630000}"/>
    <cellStyle name="Note 2 9 2 2 3 12" xfId="26318" xr:uid="{00000000-0005-0000-0000-000094630000}"/>
    <cellStyle name="Note 2 9 2 2 3 13" xfId="26319" xr:uid="{00000000-0005-0000-0000-000095630000}"/>
    <cellStyle name="Note 2 9 2 2 3 14" xfId="26320" xr:uid="{00000000-0005-0000-0000-000096630000}"/>
    <cellStyle name="Note 2 9 2 2 3 15" xfId="26321" xr:uid="{00000000-0005-0000-0000-000097630000}"/>
    <cellStyle name="Note 2 9 2 2 3 2" xfId="26322" xr:uid="{00000000-0005-0000-0000-000098630000}"/>
    <cellStyle name="Note 2 9 2 2 3 3" xfId="26323" xr:uid="{00000000-0005-0000-0000-000099630000}"/>
    <cellStyle name="Note 2 9 2 2 3 4" xfId="26324" xr:uid="{00000000-0005-0000-0000-00009A630000}"/>
    <cellStyle name="Note 2 9 2 2 3 5" xfId="26325" xr:uid="{00000000-0005-0000-0000-00009B630000}"/>
    <cellStyle name="Note 2 9 2 2 3 6" xfId="26326" xr:uid="{00000000-0005-0000-0000-00009C630000}"/>
    <cellStyle name="Note 2 9 2 2 3 7" xfId="26327" xr:uid="{00000000-0005-0000-0000-00009D630000}"/>
    <cellStyle name="Note 2 9 2 2 3 8" xfId="26328" xr:uid="{00000000-0005-0000-0000-00009E630000}"/>
    <cellStyle name="Note 2 9 2 2 3 9" xfId="26329" xr:uid="{00000000-0005-0000-0000-00009F630000}"/>
    <cellStyle name="Note 2 9 2 2 4" xfId="26330" xr:uid="{00000000-0005-0000-0000-0000A0630000}"/>
    <cellStyle name="Note 2 9 2 2 4 10" xfId="26331" xr:uid="{00000000-0005-0000-0000-0000A1630000}"/>
    <cellStyle name="Note 2 9 2 2 4 11" xfId="26332" xr:uid="{00000000-0005-0000-0000-0000A2630000}"/>
    <cellStyle name="Note 2 9 2 2 4 12" xfId="26333" xr:uid="{00000000-0005-0000-0000-0000A3630000}"/>
    <cellStyle name="Note 2 9 2 2 4 13" xfId="26334" xr:uid="{00000000-0005-0000-0000-0000A4630000}"/>
    <cellStyle name="Note 2 9 2 2 4 14" xfId="26335" xr:uid="{00000000-0005-0000-0000-0000A5630000}"/>
    <cellStyle name="Note 2 9 2 2 4 15" xfId="26336" xr:uid="{00000000-0005-0000-0000-0000A6630000}"/>
    <cellStyle name="Note 2 9 2 2 4 2" xfId="26337" xr:uid="{00000000-0005-0000-0000-0000A7630000}"/>
    <cellStyle name="Note 2 9 2 2 4 3" xfId="26338" xr:uid="{00000000-0005-0000-0000-0000A8630000}"/>
    <cellStyle name="Note 2 9 2 2 4 4" xfId="26339" xr:uid="{00000000-0005-0000-0000-0000A9630000}"/>
    <cellStyle name="Note 2 9 2 2 4 5" xfId="26340" xr:uid="{00000000-0005-0000-0000-0000AA630000}"/>
    <cellStyle name="Note 2 9 2 2 4 6" xfId="26341" xr:uid="{00000000-0005-0000-0000-0000AB630000}"/>
    <cellStyle name="Note 2 9 2 2 4 7" xfId="26342" xr:uid="{00000000-0005-0000-0000-0000AC630000}"/>
    <cellStyle name="Note 2 9 2 2 4 8" xfId="26343" xr:uid="{00000000-0005-0000-0000-0000AD630000}"/>
    <cellStyle name="Note 2 9 2 2 4 9" xfId="26344" xr:uid="{00000000-0005-0000-0000-0000AE630000}"/>
    <cellStyle name="Note 2 9 2 2 5" xfId="26345" xr:uid="{00000000-0005-0000-0000-0000AF630000}"/>
    <cellStyle name="Note 2 9 2 2 5 10" xfId="26346" xr:uid="{00000000-0005-0000-0000-0000B0630000}"/>
    <cellStyle name="Note 2 9 2 2 5 11" xfId="26347" xr:uid="{00000000-0005-0000-0000-0000B1630000}"/>
    <cellStyle name="Note 2 9 2 2 5 12" xfId="26348" xr:uid="{00000000-0005-0000-0000-0000B2630000}"/>
    <cellStyle name="Note 2 9 2 2 5 13" xfId="26349" xr:uid="{00000000-0005-0000-0000-0000B3630000}"/>
    <cellStyle name="Note 2 9 2 2 5 14" xfId="26350" xr:uid="{00000000-0005-0000-0000-0000B4630000}"/>
    <cellStyle name="Note 2 9 2 2 5 15" xfId="26351" xr:uid="{00000000-0005-0000-0000-0000B5630000}"/>
    <cellStyle name="Note 2 9 2 2 5 2" xfId="26352" xr:uid="{00000000-0005-0000-0000-0000B6630000}"/>
    <cellStyle name="Note 2 9 2 2 5 3" xfId="26353" xr:uid="{00000000-0005-0000-0000-0000B7630000}"/>
    <cellStyle name="Note 2 9 2 2 5 4" xfId="26354" xr:uid="{00000000-0005-0000-0000-0000B8630000}"/>
    <cellStyle name="Note 2 9 2 2 5 5" xfId="26355" xr:uid="{00000000-0005-0000-0000-0000B9630000}"/>
    <cellStyle name="Note 2 9 2 2 5 6" xfId="26356" xr:uid="{00000000-0005-0000-0000-0000BA630000}"/>
    <cellStyle name="Note 2 9 2 2 5 7" xfId="26357" xr:uid="{00000000-0005-0000-0000-0000BB630000}"/>
    <cellStyle name="Note 2 9 2 2 5 8" xfId="26358" xr:uid="{00000000-0005-0000-0000-0000BC630000}"/>
    <cellStyle name="Note 2 9 2 2 5 9" xfId="26359" xr:uid="{00000000-0005-0000-0000-0000BD630000}"/>
    <cellStyle name="Note 2 9 2 2 6" xfId="26360" xr:uid="{00000000-0005-0000-0000-0000BE630000}"/>
    <cellStyle name="Note 2 9 2 2 7" xfId="26361" xr:uid="{00000000-0005-0000-0000-0000BF630000}"/>
    <cellStyle name="Note 2 9 2 2 8" xfId="26362" xr:uid="{00000000-0005-0000-0000-0000C0630000}"/>
    <cellStyle name="Note 2 9 2 2 9" xfId="26363" xr:uid="{00000000-0005-0000-0000-0000C1630000}"/>
    <cellStyle name="Note 2 9 2 20" xfId="26364" xr:uid="{00000000-0005-0000-0000-0000C2630000}"/>
    <cellStyle name="Note 2 9 2 21" xfId="26365" xr:uid="{00000000-0005-0000-0000-0000C3630000}"/>
    <cellStyle name="Note 2 9 2 22" xfId="26366" xr:uid="{00000000-0005-0000-0000-0000C4630000}"/>
    <cellStyle name="Note 2 9 2 23" xfId="26367" xr:uid="{00000000-0005-0000-0000-0000C5630000}"/>
    <cellStyle name="Note 2 9 2 3" xfId="26368" xr:uid="{00000000-0005-0000-0000-0000C6630000}"/>
    <cellStyle name="Note 2 9 2 3 10" xfId="26369" xr:uid="{00000000-0005-0000-0000-0000C7630000}"/>
    <cellStyle name="Note 2 9 2 3 11" xfId="26370" xr:uid="{00000000-0005-0000-0000-0000C8630000}"/>
    <cellStyle name="Note 2 9 2 3 12" xfId="26371" xr:uid="{00000000-0005-0000-0000-0000C9630000}"/>
    <cellStyle name="Note 2 9 2 3 13" xfId="26372" xr:uid="{00000000-0005-0000-0000-0000CA630000}"/>
    <cellStyle name="Note 2 9 2 3 14" xfId="26373" xr:uid="{00000000-0005-0000-0000-0000CB630000}"/>
    <cellStyle name="Note 2 9 2 3 15" xfId="26374" xr:uid="{00000000-0005-0000-0000-0000CC630000}"/>
    <cellStyle name="Note 2 9 2 3 16" xfId="26375" xr:uid="{00000000-0005-0000-0000-0000CD630000}"/>
    <cellStyle name="Note 2 9 2 3 17" xfId="26376" xr:uid="{00000000-0005-0000-0000-0000CE630000}"/>
    <cellStyle name="Note 2 9 2 3 18" xfId="26377" xr:uid="{00000000-0005-0000-0000-0000CF630000}"/>
    <cellStyle name="Note 2 9 2 3 19" xfId="26378" xr:uid="{00000000-0005-0000-0000-0000D0630000}"/>
    <cellStyle name="Note 2 9 2 3 2" xfId="26379" xr:uid="{00000000-0005-0000-0000-0000D1630000}"/>
    <cellStyle name="Note 2 9 2 3 2 10" xfId="26380" xr:uid="{00000000-0005-0000-0000-0000D2630000}"/>
    <cellStyle name="Note 2 9 2 3 2 11" xfId="26381" xr:uid="{00000000-0005-0000-0000-0000D3630000}"/>
    <cellStyle name="Note 2 9 2 3 2 12" xfId="26382" xr:uid="{00000000-0005-0000-0000-0000D4630000}"/>
    <cellStyle name="Note 2 9 2 3 2 13" xfId="26383" xr:uid="{00000000-0005-0000-0000-0000D5630000}"/>
    <cellStyle name="Note 2 9 2 3 2 14" xfId="26384" xr:uid="{00000000-0005-0000-0000-0000D6630000}"/>
    <cellStyle name="Note 2 9 2 3 2 15" xfId="26385" xr:uid="{00000000-0005-0000-0000-0000D7630000}"/>
    <cellStyle name="Note 2 9 2 3 2 2" xfId="26386" xr:uid="{00000000-0005-0000-0000-0000D8630000}"/>
    <cellStyle name="Note 2 9 2 3 2 3" xfId="26387" xr:uid="{00000000-0005-0000-0000-0000D9630000}"/>
    <cellStyle name="Note 2 9 2 3 2 4" xfId="26388" xr:uid="{00000000-0005-0000-0000-0000DA630000}"/>
    <cellStyle name="Note 2 9 2 3 2 5" xfId="26389" xr:uid="{00000000-0005-0000-0000-0000DB630000}"/>
    <cellStyle name="Note 2 9 2 3 2 6" xfId="26390" xr:uid="{00000000-0005-0000-0000-0000DC630000}"/>
    <cellStyle name="Note 2 9 2 3 2 7" xfId="26391" xr:uid="{00000000-0005-0000-0000-0000DD630000}"/>
    <cellStyle name="Note 2 9 2 3 2 8" xfId="26392" xr:uid="{00000000-0005-0000-0000-0000DE630000}"/>
    <cellStyle name="Note 2 9 2 3 2 9" xfId="26393" xr:uid="{00000000-0005-0000-0000-0000DF630000}"/>
    <cellStyle name="Note 2 9 2 3 20" xfId="26394" xr:uid="{00000000-0005-0000-0000-0000E0630000}"/>
    <cellStyle name="Note 2 9 2 3 3" xfId="26395" xr:uid="{00000000-0005-0000-0000-0000E1630000}"/>
    <cellStyle name="Note 2 9 2 3 3 10" xfId="26396" xr:uid="{00000000-0005-0000-0000-0000E2630000}"/>
    <cellStyle name="Note 2 9 2 3 3 11" xfId="26397" xr:uid="{00000000-0005-0000-0000-0000E3630000}"/>
    <cellStyle name="Note 2 9 2 3 3 12" xfId="26398" xr:uid="{00000000-0005-0000-0000-0000E4630000}"/>
    <cellStyle name="Note 2 9 2 3 3 13" xfId="26399" xr:uid="{00000000-0005-0000-0000-0000E5630000}"/>
    <cellStyle name="Note 2 9 2 3 3 14" xfId="26400" xr:uid="{00000000-0005-0000-0000-0000E6630000}"/>
    <cellStyle name="Note 2 9 2 3 3 15" xfId="26401" xr:uid="{00000000-0005-0000-0000-0000E7630000}"/>
    <cellStyle name="Note 2 9 2 3 3 2" xfId="26402" xr:uid="{00000000-0005-0000-0000-0000E8630000}"/>
    <cellStyle name="Note 2 9 2 3 3 3" xfId="26403" xr:uid="{00000000-0005-0000-0000-0000E9630000}"/>
    <cellStyle name="Note 2 9 2 3 3 4" xfId="26404" xr:uid="{00000000-0005-0000-0000-0000EA630000}"/>
    <cellStyle name="Note 2 9 2 3 3 5" xfId="26405" xr:uid="{00000000-0005-0000-0000-0000EB630000}"/>
    <cellStyle name="Note 2 9 2 3 3 6" xfId="26406" xr:uid="{00000000-0005-0000-0000-0000EC630000}"/>
    <cellStyle name="Note 2 9 2 3 3 7" xfId="26407" xr:uid="{00000000-0005-0000-0000-0000ED630000}"/>
    <cellStyle name="Note 2 9 2 3 3 8" xfId="26408" xr:uid="{00000000-0005-0000-0000-0000EE630000}"/>
    <cellStyle name="Note 2 9 2 3 3 9" xfId="26409" xr:uid="{00000000-0005-0000-0000-0000EF630000}"/>
    <cellStyle name="Note 2 9 2 3 4" xfId="26410" xr:uid="{00000000-0005-0000-0000-0000F0630000}"/>
    <cellStyle name="Note 2 9 2 3 4 10" xfId="26411" xr:uid="{00000000-0005-0000-0000-0000F1630000}"/>
    <cellStyle name="Note 2 9 2 3 4 11" xfId="26412" xr:uid="{00000000-0005-0000-0000-0000F2630000}"/>
    <cellStyle name="Note 2 9 2 3 4 12" xfId="26413" xr:uid="{00000000-0005-0000-0000-0000F3630000}"/>
    <cellStyle name="Note 2 9 2 3 4 13" xfId="26414" xr:uid="{00000000-0005-0000-0000-0000F4630000}"/>
    <cellStyle name="Note 2 9 2 3 4 14" xfId="26415" xr:uid="{00000000-0005-0000-0000-0000F5630000}"/>
    <cellStyle name="Note 2 9 2 3 4 15" xfId="26416" xr:uid="{00000000-0005-0000-0000-0000F6630000}"/>
    <cellStyle name="Note 2 9 2 3 4 2" xfId="26417" xr:uid="{00000000-0005-0000-0000-0000F7630000}"/>
    <cellStyle name="Note 2 9 2 3 4 3" xfId="26418" xr:uid="{00000000-0005-0000-0000-0000F8630000}"/>
    <cellStyle name="Note 2 9 2 3 4 4" xfId="26419" xr:uid="{00000000-0005-0000-0000-0000F9630000}"/>
    <cellStyle name="Note 2 9 2 3 4 5" xfId="26420" xr:uid="{00000000-0005-0000-0000-0000FA630000}"/>
    <cellStyle name="Note 2 9 2 3 4 6" xfId="26421" xr:uid="{00000000-0005-0000-0000-0000FB630000}"/>
    <cellStyle name="Note 2 9 2 3 4 7" xfId="26422" xr:uid="{00000000-0005-0000-0000-0000FC630000}"/>
    <cellStyle name="Note 2 9 2 3 4 8" xfId="26423" xr:uid="{00000000-0005-0000-0000-0000FD630000}"/>
    <cellStyle name="Note 2 9 2 3 4 9" xfId="26424" xr:uid="{00000000-0005-0000-0000-0000FE630000}"/>
    <cellStyle name="Note 2 9 2 3 5" xfId="26425" xr:uid="{00000000-0005-0000-0000-0000FF630000}"/>
    <cellStyle name="Note 2 9 2 3 5 10" xfId="26426" xr:uid="{00000000-0005-0000-0000-000000640000}"/>
    <cellStyle name="Note 2 9 2 3 5 11" xfId="26427" xr:uid="{00000000-0005-0000-0000-000001640000}"/>
    <cellStyle name="Note 2 9 2 3 5 12" xfId="26428" xr:uid="{00000000-0005-0000-0000-000002640000}"/>
    <cellStyle name="Note 2 9 2 3 5 13" xfId="26429" xr:uid="{00000000-0005-0000-0000-000003640000}"/>
    <cellStyle name="Note 2 9 2 3 5 14" xfId="26430" xr:uid="{00000000-0005-0000-0000-000004640000}"/>
    <cellStyle name="Note 2 9 2 3 5 15" xfId="26431" xr:uid="{00000000-0005-0000-0000-000005640000}"/>
    <cellStyle name="Note 2 9 2 3 5 2" xfId="26432" xr:uid="{00000000-0005-0000-0000-000006640000}"/>
    <cellStyle name="Note 2 9 2 3 5 3" xfId="26433" xr:uid="{00000000-0005-0000-0000-000007640000}"/>
    <cellStyle name="Note 2 9 2 3 5 4" xfId="26434" xr:uid="{00000000-0005-0000-0000-000008640000}"/>
    <cellStyle name="Note 2 9 2 3 5 5" xfId="26435" xr:uid="{00000000-0005-0000-0000-000009640000}"/>
    <cellStyle name="Note 2 9 2 3 5 6" xfId="26436" xr:uid="{00000000-0005-0000-0000-00000A640000}"/>
    <cellStyle name="Note 2 9 2 3 5 7" xfId="26437" xr:uid="{00000000-0005-0000-0000-00000B640000}"/>
    <cellStyle name="Note 2 9 2 3 5 8" xfId="26438" xr:uid="{00000000-0005-0000-0000-00000C640000}"/>
    <cellStyle name="Note 2 9 2 3 5 9" xfId="26439" xr:uid="{00000000-0005-0000-0000-00000D640000}"/>
    <cellStyle name="Note 2 9 2 3 6" xfId="26440" xr:uid="{00000000-0005-0000-0000-00000E640000}"/>
    <cellStyle name="Note 2 9 2 3 7" xfId="26441" xr:uid="{00000000-0005-0000-0000-00000F640000}"/>
    <cellStyle name="Note 2 9 2 3 8" xfId="26442" xr:uid="{00000000-0005-0000-0000-000010640000}"/>
    <cellStyle name="Note 2 9 2 3 9" xfId="26443" xr:uid="{00000000-0005-0000-0000-000011640000}"/>
    <cellStyle name="Note 2 9 2 4" xfId="26444" xr:uid="{00000000-0005-0000-0000-000012640000}"/>
    <cellStyle name="Note 2 9 2 4 10" xfId="26445" xr:uid="{00000000-0005-0000-0000-000013640000}"/>
    <cellStyle name="Note 2 9 2 4 11" xfId="26446" xr:uid="{00000000-0005-0000-0000-000014640000}"/>
    <cellStyle name="Note 2 9 2 4 12" xfId="26447" xr:uid="{00000000-0005-0000-0000-000015640000}"/>
    <cellStyle name="Note 2 9 2 4 13" xfId="26448" xr:uid="{00000000-0005-0000-0000-000016640000}"/>
    <cellStyle name="Note 2 9 2 4 14" xfId="26449" xr:uid="{00000000-0005-0000-0000-000017640000}"/>
    <cellStyle name="Note 2 9 2 4 15" xfId="26450" xr:uid="{00000000-0005-0000-0000-000018640000}"/>
    <cellStyle name="Note 2 9 2 4 16" xfId="26451" xr:uid="{00000000-0005-0000-0000-000019640000}"/>
    <cellStyle name="Note 2 9 2 4 17" xfId="26452" xr:uid="{00000000-0005-0000-0000-00001A640000}"/>
    <cellStyle name="Note 2 9 2 4 18" xfId="26453" xr:uid="{00000000-0005-0000-0000-00001B640000}"/>
    <cellStyle name="Note 2 9 2 4 19" xfId="26454" xr:uid="{00000000-0005-0000-0000-00001C640000}"/>
    <cellStyle name="Note 2 9 2 4 2" xfId="26455" xr:uid="{00000000-0005-0000-0000-00001D640000}"/>
    <cellStyle name="Note 2 9 2 4 2 10" xfId="26456" xr:uid="{00000000-0005-0000-0000-00001E640000}"/>
    <cellStyle name="Note 2 9 2 4 2 11" xfId="26457" xr:uid="{00000000-0005-0000-0000-00001F640000}"/>
    <cellStyle name="Note 2 9 2 4 2 12" xfId="26458" xr:uid="{00000000-0005-0000-0000-000020640000}"/>
    <cellStyle name="Note 2 9 2 4 2 13" xfId="26459" xr:uid="{00000000-0005-0000-0000-000021640000}"/>
    <cellStyle name="Note 2 9 2 4 2 14" xfId="26460" xr:uid="{00000000-0005-0000-0000-000022640000}"/>
    <cellStyle name="Note 2 9 2 4 2 15" xfId="26461" xr:uid="{00000000-0005-0000-0000-000023640000}"/>
    <cellStyle name="Note 2 9 2 4 2 2" xfId="26462" xr:uid="{00000000-0005-0000-0000-000024640000}"/>
    <cellStyle name="Note 2 9 2 4 2 3" xfId="26463" xr:uid="{00000000-0005-0000-0000-000025640000}"/>
    <cellStyle name="Note 2 9 2 4 2 4" xfId="26464" xr:uid="{00000000-0005-0000-0000-000026640000}"/>
    <cellStyle name="Note 2 9 2 4 2 5" xfId="26465" xr:uid="{00000000-0005-0000-0000-000027640000}"/>
    <cellStyle name="Note 2 9 2 4 2 6" xfId="26466" xr:uid="{00000000-0005-0000-0000-000028640000}"/>
    <cellStyle name="Note 2 9 2 4 2 7" xfId="26467" xr:uid="{00000000-0005-0000-0000-000029640000}"/>
    <cellStyle name="Note 2 9 2 4 2 8" xfId="26468" xr:uid="{00000000-0005-0000-0000-00002A640000}"/>
    <cellStyle name="Note 2 9 2 4 2 9" xfId="26469" xr:uid="{00000000-0005-0000-0000-00002B640000}"/>
    <cellStyle name="Note 2 9 2 4 20" xfId="26470" xr:uid="{00000000-0005-0000-0000-00002C640000}"/>
    <cellStyle name="Note 2 9 2 4 3" xfId="26471" xr:uid="{00000000-0005-0000-0000-00002D640000}"/>
    <cellStyle name="Note 2 9 2 4 3 10" xfId="26472" xr:uid="{00000000-0005-0000-0000-00002E640000}"/>
    <cellStyle name="Note 2 9 2 4 3 11" xfId="26473" xr:uid="{00000000-0005-0000-0000-00002F640000}"/>
    <cellStyle name="Note 2 9 2 4 3 12" xfId="26474" xr:uid="{00000000-0005-0000-0000-000030640000}"/>
    <cellStyle name="Note 2 9 2 4 3 13" xfId="26475" xr:uid="{00000000-0005-0000-0000-000031640000}"/>
    <cellStyle name="Note 2 9 2 4 3 14" xfId="26476" xr:uid="{00000000-0005-0000-0000-000032640000}"/>
    <cellStyle name="Note 2 9 2 4 3 15" xfId="26477" xr:uid="{00000000-0005-0000-0000-000033640000}"/>
    <cellStyle name="Note 2 9 2 4 3 2" xfId="26478" xr:uid="{00000000-0005-0000-0000-000034640000}"/>
    <cellStyle name="Note 2 9 2 4 3 3" xfId="26479" xr:uid="{00000000-0005-0000-0000-000035640000}"/>
    <cellStyle name="Note 2 9 2 4 3 4" xfId="26480" xr:uid="{00000000-0005-0000-0000-000036640000}"/>
    <cellStyle name="Note 2 9 2 4 3 5" xfId="26481" xr:uid="{00000000-0005-0000-0000-000037640000}"/>
    <cellStyle name="Note 2 9 2 4 3 6" xfId="26482" xr:uid="{00000000-0005-0000-0000-000038640000}"/>
    <cellStyle name="Note 2 9 2 4 3 7" xfId="26483" xr:uid="{00000000-0005-0000-0000-000039640000}"/>
    <cellStyle name="Note 2 9 2 4 3 8" xfId="26484" xr:uid="{00000000-0005-0000-0000-00003A640000}"/>
    <cellStyle name="Note 2 9 2 4 3 9" xfId="26485" xr:uid="{00000000-0005-0000-0000-00003B640000}"/>
    <cellStyle name="Note 2 9 2 4 4" xfId="26486" xr:uid="{00000000-0005-0000-0000-00003C640000}"/>
    <cellStyle name="Note 2 9 2 4 4 10" xfId="26487" xr:uid="{00000000-0005-0000-0000-00003D640000}"/>
    <cellStyle name="Note 2 9 2 4 4 11" xfId="26488" xr:uid="{00000000-0005-0000-0000-00003E640000}"/>
    <cellStyle name="Note 2 9 2 4 4 12" xfId="26489" xr:uid="{00000000-0005-0000-0000-00003F640000}"/>
    <cellStyle name="Note 2 9 2 4 4 13" xfId="26490" xr:uid="{00000000-0005-0000-0000-000040640000}"/>
    <cellStyle name="Note 2 9 2 4 4 14" xfId="26491" xr:uid="{00000000-0005-0000-0000-000041640000}"/>
    <cellStyle name="Note 2 9 2 4 4 15" xfId="26492" xr:uid="{00000000-0005-0000-0000-000042640000}"/>
    <cellStyle name="Note 2 9 2 4 4 2" xfId="26493" xr:uid="{00000000-0005-0000-0000-000043640000}"/>
    <cellStyle name="Note 2 9 2 4 4 3" xfId="26494" xr:uid="{00000000-0005-0000-0000-000044640000}"/>
    <cellStyle name="Note 2 9 2 4 4 4" xfId="26495" xr:uid="{00000000-0005-0000-0000-000045640000}"/>
    <cellStyle name="Note 2 9 2 4 4 5" xfId="26496" xr:uid="{00000000-0005-0000-0000-000046640000}"/>
    <cellStyle name="Note 2 9 2 4 4 6" xfId="26497" xr:uid="{00000000-0005-0000-0000-000047640000}"/>
    <cellStyle name="Note 2 9 2 4 4 7" xfId="26498" xr:uid="{00000000-0005-0000-0000-000048640000}"/>
    <cellStyle name="Note 2 9 2 4 4 8" xfId="26499" xr:uid="{00000000-0005-0000-0000-000049640000}"/>
    <cellStyle name="Note 2 9 2 4 4 9" xfId="26500" xr:uid="{00000000-0005-0000-0000-00004A640000}"/>
    <cellStyle name="Note 2 9 2 4 5" xfId="26501" xr:uid="{00000000-0005-0000-0000-00004B640000}"/>
    <cellStyle name="Note 2 9 2 4 5 10" xfId="26502" xr:uid="{00000000-0005-0000-0000-00004C640000}"/>
    <cellStyle name="Note 2 9 2 4 5 11" xfId="26503" xr:uid="{00000000-0005-0000-0000-00004D640000}"/>
    <cellStyle name="Note 2 9 2 4 5 12" xfId="26504" xr:uid="{00000000-0005-0000-0000-00004E640000}"/>
    <cellStyle name="Note 2 9 2 4 5 13" xfId="26505" xr:uid="{00000000-0005-0000-0000-00004F640000}"/>
    <cellStyle name="Note 2 9 2 4 5 14" xfId="26506" xr:uid="{00000000-0005-0000-0000-000050640000}"/>
    <cellStyle name="Note 2 9 2 4 5 15" xfId="26507" xr:uid="{00000000-0005-0000-0000-000051640000}"/>
    <cellStyle name="Note 2 9 2 4 5 2" xfId="26508" xr:uid="{00000000-0005-0000-0000-000052640000}"/>
    <cellStyle name="Note 2 9 2 4 5 3" xfId="26509" xr:uid="{00000000-0005-0000-0000-000053640000}"/>
    <cellStyle name="Note 2 9 2 4 5 4" xfId="26510" xr:uid="{00000000-0005-0000-0000-000054640000}"/>
    <cellStyle name="Note 2 9 2 4 5 5" xfId="26511" xr:uid="{00000000-0005-0000-0000-000055640000}"/>
    <cellStyle name="Note 2 9 2 4 5 6" xfId="26512" xr:uid="{00000000-0005-0000-0000-000056640000}"/>
    <cellStyle name="Note 2 9 2 4 5 7" xfId="26513" xr:uid="{00000000-0005-0000-0000-000057640000}"/>
    <cellStyle name="Note 2 9 2 4 5 8" xfId="26514" xr:uid="{00000000-0005-0000-0000-000058640000}"/>
    <cellStyle name="Note 2 9 2 4 5 9" xfId="26515" xr:uid="{00000000-0005-0000-0000-000059640000}"/>
    <cellStyle name="Note 2 9 2 4 6" xfId="26516" xr:uid="{00000000-0005-0000-0000-00005A640000}"/>
    <cellStyle name="Note 2 9 2 4 7" xfId="26517" xr:uid="{00000000-0005-0000-0000-00005B640000}"/>
    <cellStyle name="Note 2 9 2 4 8" xfId="26518" xr:uid="{00000000-0005-0000-0000-00005C640000}"/>
    <cellStyle name="Note 2 9 2 4 9" xfId="26519" xr:uid="{00000000-0005-0000-0000-00005D640000}"/>
    <cellStyle name="Note 2 9 2 5" xfId="26520" xr:uid="{00000000-0005-0000-0000-00005E640000}"/>
    <cellStyle name="Note 2 9 2 5 10" xfId="26521" xr:uid="{00000000-0005-0000-0000-00005F640000}"/>
    <cellStyle name="Note 2 9 2 5 11" xfId="26522" xr:uid="{00000000-0005-0000-0000-000060640000}"/>
    <cellStyle name="Note 2 9 2 5 12" xfId="26523" xr:uid="{00000000-0005-0000-0000-000061640000}"/>
    <cellStyle name="Note 2 9 2 5 13" xfId="26524" xr:uid="{00000000-0005-0000-0000-000062640000}"/>
    <cellStyle name="Note 2 9 2 5 14" xfId="26525" xr:uid="{00000000-0005-0000-0000-000063640000}"/>
    <cellStyle name="Note 2 9 2 5 15" xfId="26526" xr:uid="{00000000-0005-0000-0000-000064640000}"/>
    <cellStyle name="Note 2 9 2 5 2" xfId="26527" xr:uid="{00000000-0005-0000-0000-000065640000}"/>
    <cellStyle name="Note 2 9 2 5 3" xfId="26528" xr:uid="{00000000-0005-0000-0000-000066640000}"/>
    <cellStyle name="Note 2 9 2 5 4" xfId="26529" xr:uid="{00000000-0005-0000-0000-000067640000}"/>
    <cellStyle name="Note 2 9 2 5 5" xfId="26530" xr:uid="{00000000-0005-0000-0000-000068640000}"/>
    <cellStyle name="Note 2 9 2 5 6" xfId="26531" xr:uid="{00000000-0005-0000-0000-000069640000}"/>
    <cellStyle name="Note 2 9 2 5 7" xfId="26532" xr:uid="{00000000-0005-0000-0000-00006A640000}"/>
    <cellStyle name="Note 2 9 2 5 8" xfId="26533" xr:uid="{00000000-0005-0000-0000-00006B640000}"/>
    <cellStyle name="Note 2 9 2 5 9" xfId="26534" xr:uid="{00000000-0005-0000-0000-00006C640000}"/>
    <cellStyle name="Note 2 9 2 6" xfId="26535" xr:uid="{00000000-0005-0000-0000-00006D640000}"/>
    <cellStyle name="Note 2 9 2 6 10" xfId="26536" xr:uid="{00000000-0005-0000-0000-00006E640000}"/>
    <cellStyle name="Note 2 9 2 6 11" xfId="26537" xr:uid="{00000000-0005-0000-0000-00006F640000}"/>
    <cellStyle name="Note 2 9 2 6 12" xfId="26538" xr:uid="{00000000-0005-0000-0000-000070640000}"/>
    <cellStyle name="Note 2 9 2 6 13" xfId="26539" xr:uid="{00000000-0005-0000-0000-000071640000}"/>
    <cellStyle name="Note 2 9 2 6 14" xfId="26540" xr:uid="{00000000-0005-0000-0000-000072640000}"/>
    <cellStyle name="Note 2 9 2 6 15" xfId="26541" xr:uid="{00000000-0005-0000-0000-000073640000}"/>
    <cellStyle name="Note 2 9 2 6 2" xfId="26542" xr:uid="{00000000-0005-0000-0000-000074640000}"/>
    <cellStyle name="Note 2 9 2 6 3" xfId="26543" xr:uid="{00000000-0005-0000-0000-000075640000}"/>
    <cellStyle name="Note 2 9 2 6 4" xfId="26544" xr:uid="{00000000-0005-0000-0000-000076640000}"/>
    <cellStyle name="Note 2 9 2 6 5" xfId="26545" xr:uid="{00000000-0005-0000-0000-000077640000}"/>
    <cellStyle name="Note 2 9 2 6 6" xfId="26546" xr:uid="{00000000-0005-0000-0000-000078640000}"/>
    <cellStyle name="Note 2 9 2 6 7" xfId="26547" xr:uid="{00000000-0005-0000-0000-000079640000}"/>
    <cellStyle name="Note 2 9 2 6 8" xfId="26548" xr:uid="{00000000-0005-0000-0000-00007A640000}"/>
    <cellStyle name="Note 2 9 2 6 9" xfId="26549" xr:uid="{00000000-0005-0000-0000-00007B640000}"/>
    <cellStyle name="Note 2 9 2 7" xfId="26550" xr:uid="{00000000-0005-0000-0000-00007C640000}"/>
    <cellStyle name="Note 2 9 2 7 10" xfId="26551" xr:uid="{00000000-0005-0000-0000-00007D640000}"/>
    <cellStyle name="Note 2 9 2 7 11" xfId="26552" xr:uid="{00000000-0005-0000-0000-00007E640000}"/>
    <cellStyle name="Note 2 9 2 7 12" xfId="26553" xr:uid="{00000000-0005-0000-0000-00007F640000}"/>
    <cellStyle name="Note 2 9 2 7 13" xfId="26554" xr:uid="{00000000-0005-0000-0000-000080640000}"/>
    <cellStyle name="Note 2 9 2 7 14" xfId="26555" xr:uid="{00000000-0005-0000-0000-000081640000}"/>
    <cellStyle name="Note 2 9 2 7 15" xfId="26556" xr:uid="{00000000-0005-0000-0000-000082640000}"/>
    <cellStyle name="Note 2 9 2 7 2" xfId="26557" xr:uid="{00000000-0005-0000-0000-000083640000}"/>
    <cellStyle name="Note 2 9 2 7 3" xfId="26558" xr:uid="{00000000-0005-0000-0000-000084640000}"/>
    <cellStyle name="Note 2 9 2 7 4" xfId="26559" xr:uid="{00000000-0005-0000-0000-000085640000}"/>
    <cellStyle name="Note 2 9 2 7 5" xfId="26560" xr:uid="{00000000-0005-0000-0000-000086640000}"/>
    <cellStyle name="Note 2 9 2 7 6" xfId="26561" xr:uid="{00000000-0005-0000-0000-000087640000}"/>
    <cellStyle name="Note 2 9 2 7 7" xfId="26562" xr:uid="{00000000-0005-0000-0000-000088640000}"/>
    <cellStyle name="Note 2 9 2 7 8" xfId="26563" xr:uid="{00000000-0005-0000-0000-000089640000}"/>
    <cellStyle name="Note 2 9 2 7 9" xfId="26564" xr:uid="{00000000-0005-0000-0000-00008A640000}"/>
    <cellStyle name="Note 2 9 2 8" xfId="26565" xr:uid="{00000000-0005-0000-0000-00008B640000}"/>
    <cellStyle name="Note 2 9 2 8 10" xfId="26566" xr:uid="{00000000-0005-0000-0000-00008C640000}"/>
    <cellStyle name="Note 2 9 2 8 11" xfId="26567" xr:uid="{00000000-0005-0000-0000-00008D640000}"/>
    <cellStyle name="Note 2 9 2 8 12" xfId="26568" xr:uid="{00000000-0005-0000-0000-00008E640000}"/>
    <cellStyle name="Note 2 9 2 8 13" xfId="26569" xr:uid="{00000000-0005-0000-0000-00008F640000}"/>
    <cellStyle name="Note 2 9 2 8 14" xfId="26570" xr:uid="{00000000-0005-0000-0000-000090640000}"/>
    <cellStyle name="Note 2 9 2 8 15" xfId="26571" xr:uid="{00000000-0005-0000-0000-000091640000}"/>
    <cellStyle name="Note 2 9 2 8 2" xfId="26572" xr:uid="{00000000-0005-0000-0000-000092640000}"/>
    <cellStyle name="Note 2 9 2 8 3" xfId="26573" xr:uid="{00000000-0005-0000-0000-000093640000}"/>
    <cellStyle name="Note 2 9 2 8 4" xfId="26574" xr:uid="{00000000-0005-0000-0000-000094640000}"/>
    <cellStyle name="Note 2 9 2 8 5" xfId="26575" xr:uid="{00000000-0005-0000-0000-000095640000}"/>
    <cellStyle name="Note 2 9 2 8 6" xfId="26576" xr:uid="{00000000-0005-0000-0000-000096640000}"/>
    <cellStyle name="Note 2 9 2 8 7" xfId="26577" xr:uid="{00000000-0005-0000-0000-000097640000}"/>
    <cellStyle name="Note 2 9 2 8 8" xfId="26578" xr:uid="{00000000-0005-0000-0000-000098640000}"/>
    <cellStyle name="Note 2 9 2 8 9" xfId="26579" xr:uid="{00000000-0005-0000-0000-000099640000}"/>
    <cellStyle name="Note 2 9 2 9" xfId="26580" xr:uid="{00000000-0005-0000-0000-00009A640000}"/>
    <cellStyle name="Note 2 9 20" xfId="26581" xr:uid="{00000000-0005-0000-0000-00009B640000}"/>
    <cellStyle name="Note 2 9 21" xfId="26582" xr:uid="{00000000-0005-0000-0000-00009C640000}"/>
    <cellStyle name="Note 2 9 22" xfId="26583" xr:uid="{00000000-0005-0000-0000-00009D640000}"/>
    <cellStyle name="Note 2 9 23" xfId="26584" xr:uid="{00000000-0005-0000-0000-00009E640000}"/>
    <cellStyle name="Note 2 9 24" xfId="26585" xr:uid="{00000000-0005-0000-0000-00009F640000}"/>
    <cellStyle name="Note 2 9 3" xfId="26586" xr:uid="{00000000-0005-0000-0000-0000A0640000}"/>
    <cellStyle name="Note 2 9 3 10" xfId="26587" xr:uid="{00000000-0005-0000-0000-0000A1640000}"/>
    <cellStyle name="Note 2 9 3 11" xfId="26588" xr:uid="{00000000-0005-0000-0000-0000A2640000}"/>
    <cellStyle name="Note 2 9 3 12" xfId="26589" xr:uid="{00000000-0005-0000-0000-0000A3640000}"/>
    <cellStyle name="Note 2 9 3 13" xfId="26590" xr:uid="{00000000-0005-0000-0000-0000A4640000}"/>
    <cellStyle name="Note 2 9 3 14" xfId="26591" xr:uid="{00000000-0005-0000-0000-0000A5640000}"/>
    <cellStyle name="Note 2 9 3 15" xfId="26592" xr:uid="{00000000-0005-0000-0000-0000A6640000}"/>
    <cellStyle name="Note 2 9 3 16" xfId="26593" xr:uid="{00000000-0005-0000-0000-0000A7640000}"/>
    <cellStyle name="Note 2 9 3 17" xfId="26594" xr:uid="{00000000-0005-0000-0000-0000A8640000}"/>
    <cellStyle name="Note 2 9 3 18" xfId="26595" xr:uid="{00000000-0005-0000-0000-0000A9640000}"/>
    <cellStyle name="Note 2 9 3 19" xfId="26596" xr:uid="{00000000-0005-0000-0000-0000AA640000}"/>
    <cellStyle name="Note 2 9 3 2" xfId="26597" xr:uid="{00000000-0005-0000-0000-0000AB640000}"/>
    <cellStyle name="Note 2 9 3 2 10" xfId="26598" xr:uid="{00000000-0005-0000-0000-0000AC640000}"/>
    <cellStyle name="Note 2 9 3 2 11" xfId="26599" xr:uid="{00000000-0005-0000-0000-0000AD640000}"/>
    <cellStyle name="Note 2 9 3 2 12" xfId="26600" xr:uid="{00000000-0005-0000-0000-0000AE640000}"/>
    <cellStyle name="Note 2 9 3 2 13" xfId="26601" xr:uid="{00000000-0005-0000-0000-0000AF640000}"/>
    <cellStyle name="Note 2 9 3 2 14" xfId="26602" xr:uid="{00000000-0005-0000-0000-0000B0640000}"/>
    <cellStyle name="Note 2 9 3 2 15" xfId="26603" xr:uid="{00000000-0005-0000-0000-0000B1640000}"/>
    <cellStyle name="Note 2 9 3 2 2" xfId="26604" xr:uid="{00000000-0005-0000-0000-0000B2640000}"/>
    <cellStyle name="Note 2 9 3 2 3" xfId="26605" xr:uid="{00000000-0005-0000-0000-0000B3640000}"/>
    <cellStyle name="Note 2 9 3 2 4" xfId="26606" xr:uid="{00000000-0005-0000-0000-0000B4640000}"/>
    <cellStyle name="Note 2 9 3 2 5" xfId="26607" xr:uid="{00000000-0005-0000-0000-0000B5640000}"/>
    <cellStyle name="Note 2 9 3 2 6" xfId="26608" xr:uid="{00000000-0005-0000-0000-0000B6640000}"/>
    <cellStyle name="Note 2 9 3 2 7" xfId="26609" xr:uid="{00000000-0005-0000-0000-0000B7640000}"/>
    <cellStyle name="Note 2 9 3 2 8" xfId="26610" xr:uid="{00000000-0005-0000-0000-0000B8640000}"/>
    <cellStyle name="Note 2 9 3 2 9" xfId="26611" xr:uid="{00000000-0005-0000-0000-0000B9640000}"/>
    <cellStyle name="Note 2 9 3 20" xfId="26612" xr:uid="{00000000-0005-0000-0000-0000BA640000}"/>
    <cellStyle name="Note 2 9 3 3" xfId="26613" xr:uid="{00000000-0005-0000-0000-0000BB640000}"/>
    <cellStyle name="Note 2 9 3 3 10" xfId="26614" xr:uid="{00000000-0005-0000-0000-0000BC640000}"/>
    <cellStyle name="Note 2 9 3 3 11" xfId="26615" xr:uid="{00000000-0005-0000-0000-0000BD640000}"/>
    <cellStyle name="Note 2 9 3 3 12" xfId="26616" xr:uid="{00000000-0005-0000-0000-0000BE640000}"/>
    <cellStyle name="Note 2 9 3 3 13" xfId="26617" xr:uid="{00000000-0005-0000-0000-0000BF640000}"/>
    <cellStyle name="Note 2 9 3 3 14" xfId="26618" xr:uid="{00000000-0005-0000-0000-0000C0640000}"/>
    <cellStyle name="Note 2 9 3 3 15" xfId="26619" xr:uid="{00000000-0005-0000-0000-0000C1640000}"/>
    <cellStyle name="Note 2 9 3 3 2" xfId="26620" xr:uid="{00000000-0005-0000-0000-0000C2640000}"/>
    <cellStyle name="Note 2 9 3 3 3" xfId="26621" xr:uid="{00000000-0005-0000-0000-0000C3640000}"/>
    <cellStyle name="Note 2 9 3 3 4" xfId="26622" xr:uid="{00000000-0005-0000-0000-0000C4640000}"/>
    <cellStyle name="Note 2 9 3 3 5" xfId="26623" xr:uid="{00000000-0005-0000-0000-0000C5640000}"/>
    <cellStyle name="Note 2 9 3 3 6" xfId="26624" xr:uid="{00000000-0005-0000-0000-0000C6640000}"/>
    <cellStyle name="Note 2 9 3 3 7" xfId="26625" xr:uid="{00000000-0005-0000-0000-0000C7640000}"/>
    <cellStyle name="Note 2 9 3 3 8" xfId="26626" xr:uid="{00000000-0005-0000-0000-0000C8640000}"/>
    <cellStyle name="Note 2 9 3 3 9" xfId="26627" xr:uid="{00000000-0005-0000-0000-0000C9640000}"/>
    <cellStyle name="Note 2 9 3 4" xfId="26628" xr:uid="{00000000-0005-0000-0000-0000CA640000}"/>
    <cellStyle name="Note 2 9 3 4 10" xfId="26629" xr:uid="{00000000-0005-0000-0000-0000CB640000}"/>
    <cellStyle name="Note 2 9 3 4 11" xfId="26630" xr:uid="{00000000-0005-0000-0000-0000CC640000}"/>
    <cellStyle name="Note 2 9 3 4 12" xfId="26631" xr:uid="{00000000-0005-0000-0000-0000CD640000}"/>
    <cellStyle name="Note 2 9 3 4 13" xfId="26632" xr:uid="{00000000-0005-0000-0000-0000CE640000}"/>
    <cellStyle name="Note 2 9 3 4 14" xfId="26633" xr:uid="{00000000-0005-0000-0000-0000CF640000}"/>
    <cellStyle name="Note 2 9 3 4 15" xfId="26634" xr:uid="{00000000-0005-0000-0000-0000D0640000}"/>
    <cellStyle name="Note 2 9 3 4 2" xfId="26635" xr:uid="{00000000-0005-0000-0000-0000D1640000}"/>
    <cellStyle name="Note 2 9 3 4 3" xfId="26636" xr:uid="{00000000-0005-0000-0000-0000D2640000}"/>
    <cellStyle name="Note 2 9 3 4 4" xfId="26637" xr:uid="{00000000-0005-0000-0000-0000D3640000}"/>
    <cellStyle name="Note 2 9 3 4 5" xfId="26638" xr:uid="{00000000-0005-0000-0000-0000D4640000}"/>
    <cellStyle name="Note 2 9 3 4 6" xfId="26639" xr:uid="{00000000-0005-0000-0000-0000D5640000}"/>
    <cellStyle name="Note 2 9 3 4 7" xfId="26640" xr:uid="{00000000-0005-0000-0000-0000D6640000}"/>
    <cellStyle name="Note 2 9 3 4 8" xfId="26641" xr:uid="{00000000-0005-0000-0000-0000D7640000}"/>
    <cellStyle name="Note 2 9 3 4 9" xfId="26642" xr:uid="{00000000-0005-0000-0000-0000D8640000}"/>
    <cellStyle name="Note 2 9 3 5" xfId="26643" xr:uid="{00000000-0005-0000-0000-0000D9640000}"/>
    <cellStyle name="Note 2 9 3 5 10" xfId="26644" xr:uid="{00000000-0005-0000-0000-0000DA640000}"/>
    <cellStyle name="Note 2 9 3 5 11" xfId="26645" xr:uid="{00000000-0005-0000-0000-0000DB640000}"/>
    <cellStyle name="Note 2 9 3 5 12" xfId="26646" xr:uid="{00000000-0005-0000-0000-0000DC640000}"/>
    <cellStyle name="Note 2 9 3 5 13" xfId="26647" xr:uid="{00000000-0005-0000-0000-0000DD640000}"/>
    <cellStyle name="Note 2 9 3 5 14" xfId="26648" xr:uid="{00000000-0005-0000-0000-0000DE640000}"/>
    <cellStyle name="Note 2 9 3 5 15" xfId="26649" xr:uid="{00000000-0005-0000-0000-0000DF640000}"/>
    <cellStyle name="Note 2 9 3 5 2" xfId="26650" xr:uid="{00000000-0005-0000-0000-0000E0640000}"/>
    <cellStyle name="Note 2 9 3 5 3" xfId="26651" xr:uid="{00000000-0005-0000-0000-0000E1640000}"/>
    <cellStyle name="Note 2 9 3 5 4" xfId="26652" xr:uid="{00000000-0005-0000-0000-0000E2640000}"/>
    <cellStyle name="Note 2 9 3 5 5" xfId="26653" xr:uid="{00000000-0005-0000-0000-0000E3640000}"/>
    <cellStyle name="Note 2 9 3 5 6" xfId="26654" xr:uid="{00000000-0005-0000-0000-0000E4640000}"/>
    <cellStyle name="Note 2 9 3 5 7" xfId="26655" xr:uid="{00000000-0005-0000-0000-0000E5640000}"/>
    <cellStyle name="Note 2 9 3 5 8" xfId="26656" xr:uid="{00000000-0005-0000-0000-0000E6640000}"/>
    <cellStyle name="Note 2 9 3 5 9" xfId="26657" xr:uid="{00000000-0005-0000-0000-0000E7640000}"/>
    <cellStyle name="Note 2 9 3 6" xfId="26658" xr:uid="{00000000-0005-0000-0000-0000E8640000}"/>
    <cellStyle name="Note 2 9 3 7" xfId="26659" xr:uid="{00000000-0005-0000-0000-0000E9640000}"/>
    <cellStyle name="Note 2 9 3 8" xfId="26660" xr:uid="{00000000-0005-0000-0000-0000EA640000}"/>
    <cellStyle name="Note 2 9 3 9" xfId="26661" xr:uid="{00000000-0005-0000-0000-0000EB640000}"/>
    <cellStyle name="Note 2 9 4" xfId="26662" xr:uid="{00000000-0005-0000-0000-0000EC640000}"/>
    <cellStyle name="Note 2 9 4 10" xfId="26663" xr:uid="{00000000-0005-0000-0000-0000ED640000}"/>
    <cellStyle name="Note 2 9 4 11" xfId="26664" xr:uid="{00000000-0005-0000-0000-0000EE640000}"/>
    <cellStyle name="Note 2 9 4 12" xfId="26665" xr:uid="{00000000-0005-0000-0000-0000EF640000}"/>
    <cellStyle name="Note 2 9 4 13" xfId="26666" xr:uid="{00000000-0005-0000-0000-0000F0640000}"/>
    <cellStyle name="Note 2 9 4 14" xfId="26667" xr:uid="{00000000-0005-0000-0000-0000F1640000}"/>
    <cellStyle name="Note 2 9 4 15" xfId="26668" xr:uid="{00000000-0005-0000-0000-0000F2640000}"/>
    <cellStyle name="Note 2 9 4 16" xfId="26669" xr:uid="{00000000-0005-0000-0000-0000F3640000}"/>
    <cellStyle name="Note 2 9 4 17" xfId="26670" xr:uid="{00000000-0005-0000-0000-0000F4640000}"/>
    <cellStyle name="Note 2 9 4 18" xfId="26671" xr:uid="{00000000-0005-0000-0000-0000F5640000}"/>
    <cellStyle name="Note 2 9 4 19" xfId="26672" xr:uid="{00000000-0005-0000-0000-0000F6640000}"/>
    <cellStyle name="Note 2 9 4 2" xfId="26673" xr:uid="{00000000-0005-0000-0000-0000F7640000}"/>
    <cellStyle name="Note 2 9 4 2 10" xfId="26674" xr:uid="{00000000-0005-0000-0000-0000F8640000}"/>
    <cellStyle name="Note 2 9 4 2 11" xfId="26675" xr:uid="{00000000-0005-0000-0000-0000F9640000}"/>
    <cellStyle name="Note 2 9 4 2 12" xfId="26676" xr:uid="{00000000-0005-0000-0000-0000FA640000}"/>
    <cellStyle name="Note 2 9 4 2 13" xfId="26677" xr:uid="{00000000-0005-0000-0000-0000FB640000}"/>
    <cellStyle name="Note 2 9 4 2 14" xfId="26678" xr:uid="{00000000-0005-0000-0000-0000FC640000}"/>
    <cellStyle name="Note 2 9 4 2 15" xfId="26679" xr:uid="{00000000-0005-0000-0000-0000FD640000}"/>
    <cellStyle name="Note 2 9 4 2 2" xfId="26680" xr:uid="{00000000-0005-0000-0000-0000FE640000}"/>
    <cellStyle name="Note 2 9 4 2 3" xfId="26681" xr:uid="{00000000-0005-0000-0000-0000FF640000}"/>
    <cellStyle name="Note 2 9 4 2 4" xfId="26682" xr:uid="{00000000-0005-0000-0000-000000650000}"/>
    <cellStyle name="Note 2 9 4 2 5" xfId="26683" xr:uid="{00000000-0005-0000-0000-000001650000}"/>
    <cellStyle name="Note 2 9 4 2 6" xfId="26684" xr:uid="{00000000-0005-0000-0000-000002650000}"/>
    <cellStyle name="Note 2 9 4 2 7" xfId="26685" xr:uid="{00000000-0005-0000-0000-000003650000}"/>
    <cellStyle name="Note 2 9 4 2 8" xfId="26686" xr:uid="{00000000-0005-0000-0000-000004650000}"/>
    <cellStyle name="Note 2 9 4 2 9" xfId="26687" xr:uid="{00000000-0005-0000-0000-000005650000}"/>
    <cellStyle name="Note 2 9 4 20" xfId="26688" xr:uid="{00000000-0005-0000-0000-000006650000}"/>
    <cellStyle name="Note 2 9 4 3" xfId="26689" xr:uid="{00000000-0005-0000-0000-000007650000}"/>
    <cellStyle name="Note 2 9 4 3 10" xfId="26690" xr:uid="{00000000-0005-0000-0000-000008650000}"/>
    <cellStyle name="Note 2 9 4 3 11" xfId="26691" xr:uid="{00000000-0005-0000-0000-000009650000}"/>
    <cellStyle name="Note 2 9 4 3 12" xfId="26692" xr:uid="{00000000-0005-0000-0000-00000A650000}"/>
    <cellStyle name="Note 2 9 4 3 13" xfId="26693" xr:uid="{00000000-0005-0000-0000-00000B650000}"/>
    <cellStyle name="Note 2 9 4 3 14" xfId="26694" xr:uid="{00000000-0005-0000-0000-00000C650000}"/>
    <cellStyle name="Note 2 9 4 3 15" xfId="26695" xr:uid="{00000000-0005-0000-0000-00000D650000}"/>
    <cellStyle name="Note 2 9 4 3 2" xfId="26696" xr:uid="{00000000-0005-0000-0000-00000E650000}"/>
    <cellStyle name="Note 2 9 4 3 3" xfId="26697" xr:uid="{00000000-0005-0000-0000-00000F650000}"/>
    <cellStyle name="Note 2 9 4 3 4" xfId="26698" xr:uid="{00000000-0005-0000-0000-000010650000}"/>
    <cellStyle name="Note 2 9 4 3 5" xfId="26699" xr:uid="{00000000-0005-0000-0000-000011650000}"/>
    <cellStyle name="Note 2 9 4 3 6" xfId="26700" xr:uid="{00000000-0005-0000-0000-000012650000}"/>
    <cellStyle name="Note 2 9 4 3 7" xfId="26701" xr:uid="{00000000-0005-0000-0000-000013650000}"/>
    <cellStyle name="Note 2 9 4 3 8" xfId="26702" xr:uid="{00000000-0005-0000-0000-000014650000}"/>
    <cellStyle name="Note 2 9 4 3 9" xfId="26703" xr:uid="{00000000-0005-0000-0000-000015650000}"/>
    <cellStyle name="Note 2 9 4 4" xfId="26704" xr:uid="{00000000-0005-0000-0000-000016650000}"/>
    <cellStyle name="Note 2 9 4 4 10" xfId="26705" xr:uid="{00000000-0005-0000-0000-000017650000}"/>
    <cellStyle name="Note 2 9 4 4 11" xfId="26706" xr:uid="{00000000-0005-0000-0000-000018650000}"/>
    <cellStyle name="Note 2 9 4 4 12" xfId="26707" xr:uid="{00000000-0005-0000-0000-000019650000}"/>
    <cellStyle name="Note 2 9 4 4 13" xfId="26708" xr:uid="{00000000-0005-0000-0000-00001A650000}"/>
    <cellStyle name="Note 2 9 4 4 14" xfId="26709" xr:uid="{00000000-0005-0000-0000-00001B650000}"/>
    <cellStyle name="Note 2 9 4 4 15" xfId="26710" xr:uid="{00000000-0005-0000-0000-00001C650000}"/>
    <cellStyle name="Note 2 9 4 4 2" xfId="26711" xr:uid="{00000000-0005-0000-0000-00001D650000}"/>
    <cellStyle name="Note 2 9 4 4 3" xfId="26712" xr:uid="{00000000-0005-0000-0000-00001E650000}"/>
    <cellStyle name="Note 2 9 4 4 4" xfId="26713" xr:uid="{00000000-0005-0000-0000-00001F650000}"/>
    <cellStyle name="Note 2 9 4 4 5" xfId="26714" xr:uid="{00000000-0005-0000-0000-000020650000}"/>
    <cellStyle name="Note 2 9 4 4 6" xfId="26715" xr:uid="{00000000-0005-0000-0000-000021650000}"/>
    <cellStyle name="Note 2 9 4 4 7" xfId="26716" xr:uid="{00000000-0005-0000-0000-000022650000}"/>
    <cellStyle name="Note 2 9 4 4 8" xfId="26717" xr:uid="{00000000-0005-0000-0000-000023650000}"/>
    <cellStyle name="Note 2 9 4 4 9" xfId="26718" xr:uid="{00000000-0005-0000-0000-000024650000}"/>
    <cellStyle name="Note 2 9 4 5" xfId="26719" xr:uid="{00000000-0005-0000-0000-000025650000}"/>
    <cellStyle name="Note 2 9 4 5 10" xfId="26720" xr:uid="{00000000-0005-0000-0000-000026650000}"/>
    <cellStyle name="Note 2 9 4 5 11" xfId="26721" xr:uid="{00000000-0005-0000-0000-000027650000}"/>
    <cellStyle name="Note 2 9 4 5 12" xfId="26722" xr:uid="{00000000-0005-0000-0000-000028650000}"/>
    <cellStyle name="Note 2 9 4 5 13" xfId="26723" xr:uid="{00000000-0005-0000-0000-000029650000}"/>
    <cellStyle name="Note 2 9 4 5 14" xfId="26724" xr:uid="{00000000-0005-0000-0000-00002A650000}"/>
    <cellStyle name="Note 2 9 4 5 15" xfId="26725" xr:uid="{00000000-0005-0000-0000-00002B650000}"/>
    <cellStyle name="Note 2 9 4 5 2" xfId="26726" xr:uid="{00000000-0005-0000-0000-00002C650000}"/>
    <cellStyle name="Note 2 9 4 5 3" xfId="26727" xr:uid="{00000000-0005-0000-0000-00002D650000}"/>
    <cellStyle name="Note 2 9 4 5 4" xfId="26728" xr:uid="{00000000-0005-0000-0000-00002E650000}"/>
    <cellStyle name="Note 2 9 4 5 5" xfId="26729" xr:uid="{00000000-0005-0000-0000-00002F650000}"/>
    <cellStyle name="Note 2 9 4 5 6" xfId="26730" xr:uid="{00000000-0005-0000-0000-000030650000}"/>
    <cellStyle name="Note 2 9 4 5 7" xfId="26731" xr:uid="{00000000-0005-0000-0000-000031650000}"/>
    <cellStyle name="Note 2 9 4 5 8" xfId="26732" xr:uid="{00000000-0005-0000-0000-000032650000}"/>
    <cellStyle name="Note 2 9 4 5 9" xfId="26733" xr:uid="{00000000-0005-0000-0000-000033650000}"/>
    <cellStyle name="Note 2 9 4 6" xfId="26734" xr:uid="{00000000-0005-0000-0000-000034650000}"/>
    <cellStyle name="Note 2 9 4 7" xfId="26735" xr:uid="{00000000-0005-0000-0000-000035650000}"/>
    <cellStyle name="Note 2 9 4 8" xfId="26736" xr:uid="{00000000-0005-0000-0000-000036650000}"/>
    <cellStyle name="Note 2 9 4 9" xfId="26737" xr:uid="{00000000-0005-0000-0000-000037650000}"/>
    <cellStyle name="Note 2 9 5" xfId="26738" xr:uid="{00000000-0005-0000-0000-000038650000}"/>
    <cellStyle name="Note 2 9 5 10" xfId="26739" xr:uid="{00000000-0005-0000-0000-000039650000}"/>
    <cellStyle name="Note 2 9 5 11" xfId="26740" xr:uid="{00000000-0005-0000-0000-00003A650000}"/>
    <cellStyle name="Note 2 9 5 12" xfId="26741" xr:uid="{00000000-0005-0000-0000-00003B650000}"/>
    <cellStyle name="Note 2 9 5 13" xfId="26742" xr:uid="{00000000-0005-0000-0000-00003C650000}"/>
    <cellStyle name="Note 2 9 5 14" xfId="26743" xr:uid="{00000000-0005-0000-0000-00003D650000}"/>
    <cellStyle name="Note 2 9 5 15" xfId="26744" xr:uid="{00000000-0005-0000-0000-00003E650000}"/>
    <cellStyle name="Note 2 9 5 16" xfId="26745" xr:uid="{00000000-0005-0000-0000-00003F650000}"/>
    <cellStyle name="Note 2 9 5 17" xfId="26746" xr:uid="{00000000-0005-0000-0000-000040650000}"/>
    <cellStyle name="Note 2 9 5 18" xfId="26747" xr:uid="{00000000-0005-0000-0000-000041650000}"/>
    <cellStyle name="Note 2 9 5 19" xfId="26748" xr:uid="{00000000-0005-0000-0000-000042650000}"/>
    <cellStyle name="Note 2 9 5 2" xfId="26749" xr:uid="{00000000-0005-0000-0000-000043650000}"/>
    <cellStyle name="Note 2 9 5 2 10" xfId="26750" xr:uid="{00000000-0005-0000-0000-000044650000}"/>
    <cellStyle name="Note 2 9 5 2 11" xfId="26751" xr:uid="{00000000-0005-0000-0000-000045650000}"/>
    <cellStyle name="Note 2 9 5 2 12" xfId="26752" xr:uid="{00000000-0005-0000-0000-000046650000}"/>
    <cellStyle name="Note 2 9 5 2 13" xfId="26753" xr:uid="{00000000-0005-0000-0000-000047650000}"/>
    <cellStyle name="Note 2 9 5 2 14" xfId="26754" xr:uid="{00000000-0005-0000-0000-000048650000}"/>
    <cellStyle name="Note 2 9 5 2 15" xfId="26755" xr:uid="{00000000-0005-0000-0000-000049650000}"/>
    <cellStyle name="Note 2 9 5 2 2" xfId="26756" xr:uid="{00000000-0005-0000-0000-00004A650000}"/>
    <cellStyle name="Note 2 9 5 2 3" xfId="26757" xr:uid="{00000000-0005-0000-0000-00004B650000}"/>
    <cellStyle name="Note 2 9 5 2 4" xfId="26758" xr:uid="{00000000-0005-0000-0000-00004C650000}"/>
    <cellStyle name="Note 2 9 5 2 5" xfId="26759" xr:uid="{00000000-0005-0000-0000-00004D650000}"/>
    <cellStyle name="Note 2 9 5 2 6" xfId="26760" xr:uid="{00000000-0005-0000-0000-00004E650000}"/>
    <cellStyle name="Note 2 9 5 2 7" xfId="26761" xr:uid="{00000000-0005-0000-0000-00004F650000}"/>
    <cellStyle name="Note 2 9 5 2 8" xfId="26762" xr:uid="{00000000-0005-0000-0000-000050650000}"/>
    <cellStyle name="Note 2 9 5 2 9" xfId="26763" xr:uid="{00000000-0005-0000-0000-000051650000}"/>
    <cellStyle name="Note 2 9 5 20" xfId="26764" xr:uid="{00000000-0005-0000-0000-000052650000}"/>
    <cellStyle name="Note 2 9 5 3" xfId="26765" xr:uid="{00000000-0005-0000-0000-000053650000}"/>
    <cellStyle name="Note 2 9 5 3 10" xfId="26766" xr:uid="{00000000-0005-0000-0000-000054650000}"/>
    <cellStyle name="Note 2 9 5 3 11" xfId="26767" xr:uid="{00000000-0005-0000-0000-000055650000}"/>
    <cellStyle name="Note 2 9 5 3 12" xfId="26768" xr:uid="{00000000-0005-0000-0000-000056650000}"/>
    <cellStyle name="Note 2 9 5 3 13" xfId="26769" xr:uid="{00000000-0005-0000-0000-000057650000}"/>
    <cellStyle name="Note 2 9 5 3 14" xfId="26770" xr:uid="{00000000-0005-0000-0000-000058650000}"/>
    <cellStyle name="Note 2 9 5 3 15" xfId="26771" xr:uid="{00000000-0005-0000-0000-000059650000}"/>
    <cellStyle name="Note 2 9 5 3 2" xfId="26772" xr:uid="{00000000-0005-0000-0000-00005A650000}"/>
    <cellStyle name="Note 2 9 5 3 3" xfId="26773" xr:uid="{00000000-0005-0000-0000-00005B650000}"/>
    <cellStyle name="Note 2 9 5 3 4" xfId="26774" xr:uid="{00000000-0005-0000-0000-00005C650000}"/>
    <cellStyle name="Note 2 9 5 3 5" xfId="26775" xr:uid="{00000000-0005-0000-0000-00005D650000}"/>
    <cellStyle name="Note 2 9 5 3 6" xfId="26776" xr:uid="{00000000-0005-0000-0000-00005E650000}"/>
    <cellStyle name="Note 2 9 5 3 7" xfId="26777" xr:uid="{00000000-0005-0000-0000-00005F650000}"/>
    <cellStyle name="Note 2 9 5 3 8" xfId="26778" xr:uid="{00000000-0005-0000-0000-000060650000}"/>
    <cellStyle name="Note 2 9 5 3 9" xfId="26779" xr:uid="{00000000-0005-0000-0000-000061650000}"/>
    <cellStyle name="Note 2 9 5 4" xfId="26780" xr:uid="{00000000-0005-0000-0000-000062650000}"/>
    <cellStyle name="Note 2 9 5 4 10" xfId="26781" xr:uid="{00000000-0005-0000-0000-000063650000}"/>
    <cellStyle name="Note 2 9 5 4 11" xfId="26782" xr:uid="{00000000-0005-0000-0000-000064650000}"/>
    <cellStyle name="Note 2 9 5 4 12" xfId="26783" xr:uid="{00000000-0005-0000-0000-000065650000}"/>
    <cellStyle name="Note 2 9 5 4 13" xfId="26784" xr:uid="{00000000-0005-0000-0000-000066650000}"/>
    <cellStyle name="Note 2 9 5 4 14" xfId="26785" xr:uid="{00000000-0005-0000-0000-000067650000}"/>
    <cellStyle name="Note 2 9 5 4 15" xfId="26786" xr:uid="{00000000-0005-0000-0000-000068650000}"/>
    <cellStyle name="Note 2 9 5 4 2" xfId="26787" xr:uid="{00000000-0005-0000-0000-000069650000}"/>
    <cellStyle name="Note 2 9 5 4 3" xfId="26788" xr:uid="{00000000-0005-0000-0000-00006A650000}"/>
    <cellStyle name="Note 2 9 5 4 4" xfId="26789" xr:uid="{00000000-0005-0000-0000-00006B650000}"/>
    <cellStyle name="Note 2 9 5 4 5" xfId="26790" xr:uid="{00000000-0005-0000-0000-00006C650000}"/>
    <cellStyle name="Note 2 9 5 4 6" xfId="26791" xr:uid="{00000000-0005-0000-0000-00006D650000}"/>
    <cellStyle name="Note 2 9 5 4 7" xfId="26792" xr:uid="{00000000-0005-0000-0000-00006E650000}"/>
    <cellStyle name="Note 2 9 5 4 8" xfId="26793" xr:uid="{00000000-0005-0000-0000-00006F650000}"/>
    <cellStyle name="Note 2 9 5 4 9" xfId="26794" xr:uid="{00000000-0005-0000-0000-000070650000}"/>
    <cellStyle name="Note 2 9 5 5" xfId="26795" xr:uid="{00000000-0005-0000-0000-000071650000}"/>
    <cellStyle name="Note 2 9 5 5 10" xfId="26796" xr:uid="{00000000-0005-0000-0000-000072650000}"/>
    <cellStyle name="Note 2 9 5 5 11" xfId="26797" xr:uid="{00000000-0005-0000-0000-000073650000}"/>
    <cellStyle name="Note 2 9 5 5 12" xfId="26798" xr:uid="{00000000-0005-0000-0000-000074650000}"/>
    <cellStyle name="Note 2 9 5 5 13" xfId="26799" xr:uid="{00000000-0005-0000-0000-000075650000}"/>
    <cellStyle name="Note 2 9 5 5 14" xfId="26800" xr:uid="{00000000-0005-0000-0000-000076650000}"/>
    <cellStyle name="Note 2 9 5 5 15" xfId="26801" xr:uid="{00000000-0005-0000-0000-000077650000}"/>
    <cellStyle name="Note 2 9 5 5 2" xfId="26802" xr:uid="{00000000-0005-0000-0000-000078650000}"/>
    <cellStyle name="Note 2 9 5 5 3" xfId="26803" xr:uid="{00000000-0005-0000-0000-000079650000}"/>
    <cellStyle name="Note 2 9 5 5 4" xfId="26804" xr:uid="{00000000-0005-0000-0000-00007A650000}"/>
    <cellStyle name="Note 2 9 5 5 5" xfId="26805" xr:uid="{00000000-0005-0000-0000-00007B650000}"/>
    <cellStyle name="Note 2 9 5 5 6" xfId="26806" xr:uid="{00000000-0005-0000-0000-00007C650000}"/>
    <cellStyle name="Note 2 9 5 5 7" xfId="26807" xr:uid="{00000000-0005-0000-0000-00007D650000}"/>
    <cellStyle name="Note 2 9 5 5 8" xfId="26808" xr:uid="{00000000-0005-0000-0000-00007E650000}"/>
    <cellStyle name="Note 2 9 5 5 9" xfId="26809" xr:uid="{00000000-0005-0000-0000-00007F650000}"/>
    <cellStyle name="Note 2 9 5 6" xfId="26810" xr:uid="{00000000-0005-0000-0000-000080650000}"/>
    <cellStyle name="Note 2 9 5 7" xfId="26811" xr:uid="{00000000-0005-0000-0000-000081650000}"/>
    <cellStyle name="Note 2 9 5 8" xfId="26812" xr:uid="{00000000-0005-0000-0000-000082650000}"/>
    <cellStyle name="Note 2 9 5 9" xfId="26813" xr:uid="{00000000-0005-0000-0000-000083650000}"/>
    <cellStyle name="Note 2 9 6" xfId="26814" xr:uid="{00000000-0005-0000-0000-000084650000}"/>
    <cellStyle name="Note 2 9 6 10" xfId="26815" xr:uid="{00000000-0005-0000-0000-000085650000}"/>
    <cellStyle name="Note 2 9 6 11" xfId="26816" xr:uid="{00000000-0005-0000-0000-000086650000}"/>
    <cellStyle name="Note 2 9 6 12" xfId="26817" xr:uid="{00000000-0005-0000-0000-000087650000}"/>
    <cellStyle name="Note 2 9 6 13" xfId="26818" xr:uid="{00000000-0005-0000-0000-000088650000}"/>
    <cellStyle name="Note 2 9 6 14" xfId="26819" xr:uid="{00000000-0005-0000-0000-000089650000}"/>
    <cellStyle name="Note 2 9 6 15" xfId="26820" xr:uid="{00000000-0005-0000-0000-00008A650000}"/>
    <cellStyle name="Note 2 9 6 2" xfId="26821" xr:uid="{00000000-0005-0000-0000-00008B650000}"/>
    <cellStyle name="Note 2 9 6 3" xfId="26822" xr:uid="{00000000-0005-0000-0000-00008C650000}"/>
    <cellStyle name="Note 2 9 6 4" xfId="26823" xr:uid="{00000000-0005-0000-0000-00008D650000}"/>
    <cellStyle name="Note 2 9 6 5" xfId="26824" xr:uid="{00000000-0005-0000-0000-00008E650000}"/>
    <cellStyle name="Note 2 9 6 6" xfId="26825" xr:uid="{00000000-0005-0000-0000-00008F650000}"/>
    <cellStyle name="Note 2 9 6 7" xfId="26826" xr:uid="{00000000-0005-0000-0000-000090650000}"/>
    <cellStyle name="Note 2 9 6 8" xfId="26827" xr:uid="{00000000-0005-0000-0000-000091650000}"/>
    <cellStyle name="Note 2 9 6 9" xfId="26828" xr:uid="{00000000-0005-0000-0000-000092650000}"/>
    <cellStyle name="Note 2 9 7" xfId="26829" xr:uid="{00000000-0005-0000-0000-000093650000}"/>
    <cellStyle name="Note 2 9 7 10" xfId="26830" xr:uid="{00000000-0005-0000-0000-000094650000}"/>
    <cellStyle name="Note 2 9 7 11" xfId="26831" xr:uid="{00000000-0005-0000-0000-000095650000}"/>
    <cellStyle name="Note 2 9 7 12" xfId="26832" xr:uid="{00000000-0005-0000-0000-000096650000}"/>
    <cellStyle name="Note 2 9 7 13" xfId="26833" xr:uid="{00000000-0005-0000-0000-000097650000}"/>
    <cellStyle name="Note 2 9 7 14" xfId="26834" xr:uid="{00000000-0005-0000-0000-000098650000}"/>
    <cellStyle name="Note 2 9 7 15" xfId="26835" xr:uid="{00000000-0005-0000-0000-000099650000}"/>
    <cellStyle name="Note 2 9 7 2" xfId="26836" xr:uid="{00000000-0005-0000-0000-00009A650000}"/>
    <cellStyle name="Note 2 9 7 3" xfId="26837" xr:uid="{00000000-0005-0000-0000-00009B650000}"/>
    <cellStyle name="Note 2 9 7 4" xfId="26838" xr:uid="{00000000-0005-0000-0000-00009C650000}"/>
    <cellStyle name="Note 2 9 7 5" xfId="26839" xr:uid="{00000000-0005-0000-0000-00009D650000}"/>
    <cellStyle name="Note 2 9 7 6" xfId="26840" xr:uid="{00000000-0005-0000-0000-00009E650000}"/>
    <cellStyle name="Note 2 9 7 7" xfId="26841" xr:uid="{00000000-0005-0000-0000-00009F650000}"/>
    <cellStyle name="Note 2 9 7 8" xfId="26842" xr:uid="{00000000-0005-0000-0000-0000A0650000}"/>
    <cellStyle name="Note 2 9 7 9" xfId="26843" xr:uid="{00000000-0005-0000-0000-0000A1650000}"/>
    <cellStyle name="Note 2 9 8" xfId="26844" xr:uid="{00000000-0005-0000-0000-0000A2650000}"/>
    <cellStyle name="Note 2 9 8 10" xfId="26845" xr:uid="{00000000-0005-0000-0000-0000A3650000}"/>
    <cellStyle name="Note 2 9 8 11" xfId="26846" xr:uid="{00000000-0005-0000-0000-0000A4650000}"/>
    <cellStyle name="Note 2 9 8 12" xfId="26847" xr:uid="{00000000-0005-0000-0000-0000A5650000}"/>
    <cellStyle name="Note 2 9 8 13" xfId="26848" xr:uid="{00000000-0005-0000-0000-0000A6650000}"/>
    <cellStyle name="Note 2 9 8 14" xfId="26849" xr:uid="{00000000-0005-0000-0000-0000A7650000}"/>
    <cellStyle name="Note 2 9 8 15" xfId="26850" xr:uid="{00000000-0005-0000-0000-0000A8650000}"/>
    <cellStyle name="Note 2 9 8 2" xfId="26851" xr:uid="{00000000-0005-0000-0000-0000A9650000}"/>
    <cellStyle name="Note 2 9 8 3" xfId="26852" xr:uid="{00000000-0005-0000-0000-0000AA650000}"/>
    <cellStyle name="Note 2 9 8 4" xfId="26853" xr:uid="{00000000-0005-0000-0000-0000AB650000}"/>
    <cellStyle name="Note 2 9 8 5" xfId="26854" xr:uid="{00000000-0005-0000-0000-0000AC650000}"/>
    <cellStyle name="Note 2 9 8 6" xfId="26855" xr:uid="{00000000-0005-0000-0000-0000AD650000}"/>
    <cellStyle name="Note 2 9 8 7" xfId="26856" xr:uid="{00000000-0005-0000-0000-0000AE650000}"/>
    <cellStyle name="Note 2 9 8 8" xfId="26857" xr:uid="{00000000-0005-0000-0000-0000AF650000}"/>
    <cellStyle name="Note 2 9 8 9" xfId="26858" xr:uid="{00000000-0005-0000-0000-0000B0650000}"/>
    <cellStyle name="Note 2 9 9" xfId="26859" xr:uid="{00000000-0005-0000-0000-0000B1650000}"/>
    <cellStyle name="Note 2 9 9 10" xfId="26860" xr:uid="{00000000-0005-0000-0000-0000B2650000}"/>
    <cellStyle name="Note 2 9 9 11" xfId="26861" xr:uid="{00000000-0005-0000-0000-0000B3650000}"/>
    <cellStyle name="Note 2 9 9 12" xfId="26862" xr:uid="{00000000-0005-0000-0000-0000B4650000}"/>
    <cellStyle name="Note 2 9 9 13" xfId="26863" xr:uid="{00000000-0005-0000-0000-0000B5650000}"/>
    <cellStyle name="Note 2 9 9 14" xfId="26864" xr:uid="{00000000-0005-0000-0000-0000B6650000}"/>
    <cellStyle name="Note 2 9 9 15" xfId="26865" xr:uid="{00000000-0005-0000-0000-0000B7650000}"/>
    <cellStyle name="Note 2 9 9 2" xfId="26866" xr:uid="{00000000-0005-0000-0000-0000B8650000}"/>
    <cellStyle name="Note 2 9 9 3" xfId="26867" xr:uid="{00000000-0005-0000-0000-0000B9650000}"/>
    <cellStyle name="Note 2 9 9 4" xfId="26868" xr:uid="{00000000-0005-0000-0000-0000BA650000}"/>
    <cellStyle name="Note 2 9 9 5" xfId="26869" xr:uid="{00000000-0005-0000-0000-0000BB650000}"/>
    <cellStyle name="Note 2 9 9 6" xfId="26870" xr:uid="{00000000-0005-0000-0000-0000BC650000}"/>
    <cellStyle name="Note 2 9 9 7" xfId="26871" xr:uid="{00000000-0005-0000-0000-0000BD650000}"/>
    <cellStyle name="Note 2 9 9 8" xfId="26872" xr:uid="{00000000-0005-0000-0000-0000BE650000}"/>
    <cellStyle name="Note 2 9 9 9" xfId="26873" xr:uid="{00000000-0005-0000-0000-0000BF650000}"/>
    <cellStyle name="Note 3" xfId="26874" xr:uid="{00000000-0005-0000-0000-0000C0650000}"/>
    <cellStyle name="Note 3 2" xfId="26875" xr:uid="{00000000-0005-0000-0000-0000C1650000}"/>
    <cellStyle name="Note 4" xfId="26876" xr:uid="{00000000-0005-0000-0000-0000C2650000}"/>
    <cellStyle name="Note 5" xfId="26877" xr:uid="{00000000-0005-0000-0000-0000C3650000}"/>
    <cellStyle name="Nr" xfId="26878" xr:uid="{00000000-0005-0000-0000-0000C4650000}"/>
    <cellStyle name="Nr 10" xfId="26879" xr:uid="{00000000-0005-0000-0000-0000C5650000}"/>
    <cellStyle name="Nr 11" xfId="26880" xr:uid="{00000000-0005-0000-0000-0000C6650000}"/>
    <cellStyle name="Nr 12" xfId="26881" xr:uid="{00000000-0005-0000-0000-0000C7650000}"/>
    <cellStyle name="Nr 13" xfId="26882" xr:uid="{00000000-0005-0000-0000-0000C8650000}"/>
    <cellStyle name="Nr 14" xfId="26883" xr:uid="{00000000-0005-0000-0000-0000C9650000}"/>
    <cellStyle name="Nr 15" xfId="26884" xr:uid="{00000000-0005-0000-0000-0000CA650000}"/>
    <cellStyle name="Nr 16" xfId="26885" xr:uid="{00000000-0005-0000-0000-0000CB650000}"/>
    <cellStyle name="Nr 2" xfId="26886" xr:uid="{00000000-0005-0000-0000-0000CC650000}"/>
    <cellStyle name="Nr 3" xfId="26887" xr:uid="{00000000-0005-0000-0000-0000CD650000}"/>
    <cellStyle name="Nr 4" xfId="26888" xr:uid="{00000000-0005-0000-0000-0000CE650000}"/>
    <cellStyle name="Nr 5" xfId="26889" xr:uid="{00000000-0005-0000-0000-0000CF650000}"/>
    <cellStyle name="Nr 6" xfId="26890" xr:uid="{00000000-0005-0000-0000-0000D0650000}"/>
    <cellStyle name="Nr 7" xfId="26891" xr:uid="{00000000-0005-0000-0000-0000D1650000}"/>
    <cellStyle name="Nr 8" xfId="26892" xr:uid="{00000000-0005-0000-0000-0000D2650000}"/>
    <cellStyle name="Nr 9" xfId="26893" xr:uid="{00000000-0005-0000-0000-0000D3650000}"/>
    <cellStyle name="Output 2" xfId="165" xr:uid="{00000000-0005-0000-0000-00007D030000}"/>
    <cellStyle name="Output 2 10" xfId="26895" xr:uid="{00000000-0005-0000-0000-0000D5650000}"/>
    <cellStyle name="Output 2 10 10" xfId="26896" xr:uid="{00000000-0005-0000-0000-0000D6650000}"/>
    <cellStyle name="Output 2 10 11" xfId="26897" xr:uid="{00000000-0005-0000-0000-0000D7650000}"/>
    <cellStyle name="Output 2 10 12" xfId="26898" xr:uid="{00000000-0005-0000-0000-0000D8650000}"/>
    <cellStyle name="Output 2 10 13" xfId="26899" xr:uid="{00000000-0005-0000-0000-0000D9650000}"/>
    <cellStyle name="Output 2 10 14" xfId="26900" xr:uid="{00000000-0005-0000-0000-0000DA650000}"/>
    <cellStyle name="Output 2 10 15" xfId="26901" xr:uid="{00000000-0005-0000-0000-0000DB650000}"/>
    <cellStyle name="Output 2 10 16" xfId="26902" xr:uid="{00000000-0005-0000-0000-0000DC650000}"/>
    <cellStyle name="Output 2 10 17" xfId="26903" xr:uid="{00000000-0005-0000-0000-0000DD650000}"/>
    <cellStyle name="Output 2 10 2" xfId="26904" xr:uid="{00000000-0005-0000-0000-0000DE650000}"/>
    <cellStyle name="Output 2 10 2 10" xfId="26905" xr:uid="{00000000-0005-0000-0000-0000DF650000}"/>
    <cellStyle name="Output 2 10 2 11" xfId="26906" xr:uid="{00000000-0005-0000-0000-0000E0650000}"/>
    <cellStyle name="Output 2 10 2 12" xfId="26907" xr:uid="{00000000-0005-0000-0000-0000E1650000}"/>
    <cellStyle name="Output 2 10 2 13" xfId="26908" xr:uid="{00000000-0005-0000-0000-0000E2650000}"/>
    <cellStyle name="Output 2 10 2 14" xfId="26909" xr:uid="{00000000-0005-0000-0000-0000E3650000}"/>
    <cellStyle name="Output 2 10 2 15" xfId="26910" xr:uid="{00000000-0005-0000-0000-0000E4650000}"/>
    <cellStyle name="Output 2 10 2 16" xfId="26911" xr:uid="{00000000-0005-0000-0000-0000E5650000}"/>
    <cellStyle name="Output 2 10 2 2" xfId="26912" xr:uid="{00000000-0005-0000-0000-0000E6650000}"/>
    <cellStyle name="Output 2 10 2 3" xfId="26913" xr:uid="{00000000-0005-0000-0000-0000E7650000}"/>
    <cellStyle name="Output 2 10 2 4" xfId="26914" xr:uid="{00000000-0005-0000-0000-0000E8650000}"/>
    <cellStyle name="Output 2 10 2 5" xfId="26915" xr:uid="{00000000-0005-0000-0000-0000E9650000}"/>
    <cellStyle name="Output 2 10 2 6" xfId="26916" xr:uid="{00000000-0005-0000-0000-0000EA650000}"/>
    <cellStyle name="Output 2 10 2 7" xfId="26917" xr:uid="{00000000-0005-0000-0000-0000EB650000}"/>
    <cellStyle name="Output 2 10 2 8" xfId="26918" xr:uid="{00000000-0005-0000-0000-0000EC650000}"/>
    <cellStyle name="Output 2 10 2 9" xfId="26919" xr:uid="{00000000-0005-0000-0000-0000ED650000}"/>
    <cellStyle name="Output 2 10 3" xfId="26920" xr:uid="{00000000-0005-0000-0000-0000EE650000}"/>
    <cellStyle name="Output 2 10 4" xfId="26921" xr:uid="{00000000-0005-0000-0000-0000EF650000}"/>
    <cellStyle name="Output 2 10 5" xfId="26922" xr:uid="{00000000-0005-0000-0000-0000F0650000}"/>
    <cellStyle name="Output 2 10 6" xfId="26923" xr:uid="{00000000-0005-0000-0000-0000F1650000}"/>
    <cellStyle name="Output 2 10 7" xfId="26924" xr:uid="{00000000-0005-0000-0000-0000F2650000}"/>
    <cellStyle name="Output 2 10 8" xfId="26925" xr:uid="{00000000-0005-0000-0000-0000F3650000}"/>
    <cellStyle name="Output 2 10 9" xfId="26926" xr:uid="{00000000-0005-0000-0000-0000F4650000}"/>
    <cellStyle name="Output 2 11" xfId="26927" xr:uid="{00000000-0005-0000-0000-0000F5650000}"/>
    <cellStyle name="Output 2 11 10" xfId="26928" xr:uid="{00000000-0005-0000-0000-0000F6650000}"/>
    <cellStyle name="Output 2 11 11" xfId="26929" xr:uid="{00000000-0005-0000-0000-0000F7650000}"/>
    <cellStyle name="Output 2 11 12" xfId="26930" xr:uid="{00000000-0005-0000-0000-0000F8650000}"/>
    <cellStyle name="Output 2 11 13" xfId="26931" xr:uid="{00000000-0005-0000-0000-0000F9650000}"/>
    <cellStyle name="Output 2 11 14" xfId="26932" xr:uid="{00000000-0005-0000-0000-0000FA650000}"/>
    <cellStyle name="Output 2 11 15" xfId="26933" xr:uid="{00000000-0005-0000-0000-0000FB650000}"/>
    <cellStyle name="Output 2 11 16" xfId="26934" xr:uid="{00000000-0005-0000-0000-0000FC650000}"/>
    <cellStyle name="Output 2 11 2" xfId="26935" xr:uid="{00000000-0005-0000-0000-0000FD650000}"/>
    <cellStyle name="Output 2 11 3" xfId="26936" xr:uid="{00000000-0005-0000-0000-0000FE650000}"/>
    <cellStyle name="Output 2 11 4" xfId="26937" xr:uid="{00000000-0005-0000-0000-0000FF650000}"/>
    <cellStyle name="Output 2 11 5" xfId="26938" xr:uid="{00000000-0005-0000-0000-000000660000}"/>
    <cellStyle name="Output 2 11 6" xfId="26939" xr:uid="{00000000-0005-0000-0000-000001660000}"/>
    <cellStyle name="Output 2 11 7" xfId="26940" xr:uid="{00000000-0005-0000-0000-000002660000}"/>
    <cellStyle name="Output 2 11 8" xfId="26941" xr:uid="{00000000-0005-0000-0000-000003660000}"/>
    <cellStyle name="Output 2 11 9" xfId="26942" xr:uid="{00000000-0005-0000-0000-000004660000}"/>
    <cellStyle name="Output 2 12" xfId="26943" xr:uid="{00000000-0005-0000-0000-000005660000}"/>
    <cellStyle name="Output 2 12 2" xfId="26944" xr:uid="{00000000-0005-0000-0000-000006660000}"/>
    <cellStyle name="Output 2 12 2 10" xfId="26945" xr:uid="{00000000-0005-0000-0000-000007660000}"/>
    <cellStyle name="Output 2 12 2 11" xfId="26946" xr:uid="{00000000-0005-0000-0000-000008660000}"/>
    <cellStyle name="Output 2 12 2 12" xfId="26947" xr:uid="{00000000-0005-0000-0000-000009660000}"/>
    <cellStyle name="Output 2 12 2 13" xfId="26948" xr:uid="{00000000-0005-0000-0000-00000A660000}"/>
    <cellStyle name="Output 2 12 2 2" xfId="26949" xr:uid="{00000000-0005-0000-0000-00000B660000}"/>
    <cellStyle name="Output 2 12 2 3" xfId="26950" xr:uid="{00000000-0005-0000-0000-00000C660000}"/>
    <cellStyle name="Output 2 12 2 4" xfId="26951" xr:uid="{00000000-0005-0000-0000-00000D660000}"/>
    <cellStyle name="Output 2 12 2 5" xfId="26952" xr:uid="{00000000-0005-0000-0000-00000E660000}"/>
    <cellStyle name="Output 2 12 2 6" xfId="26953" xr:uid="{00000000-0005-0000-0000-00000F660000}"/>
    <cellStyle name="Output 2 12 2 7" xfId="26954" xr:uid="{00000000-0005-0000-0000-000010660000}"/>
    <cellStyle name="Output 2 12 2 8" xfId="26955" xr:uid="{00000000-0005-0000-0000-000011660000}"/>
    <cellStyle name="Output 2 12 2 9" xfId="26956" xr:uid="{00000000-0005-0000-0000-000012660000}"/>
    <cellStyle name="Output 2 12 3" xfId="26957" xr:uid="{00000000-0005-0000-0000-000013660000}"/>
    <cellStyle name="Output 2 12 3 10" xfId="26958" xr:uid="{00000000-0005-0000-0000-000014660000}"/>
    <cellStyle name="Output 2 12 3 11" xfId="26959" xr:uid="{00000000-0005-0000-0000-000015660000}"/>
    <cellStyle name="Output 2 12 3 12" xfId="26960" xr:uid="{00000000-0005-0000-0000-000016660000}"/>
    <cellStyle name="Output 2 12 3 13" xfId="26961" xr:uid="{00000000-0005-0000-0000-000017660000}"/>
    <cellStyle name="Output 2 12 3 2" xfId="26962" xr:uid="{00000000-0005-0000-0000-000018660000}"/>
    <cellStyle name="Output 2 12 3 3" xfId="26963" xr:uid="{00000000-0005-0000-0000-000019660000}"/>
    <cellStyle name="Output 2 12 3 4" xfId="26964" xr:uid="{00000000-0005-0000-0000-00001A660000}"/>
    <cellStyle name="Output 2 12 3 5" xfId="26965" xr:uid="{00000000-0005-0000-0000-00001B660000}"/>
    <cellStyle name="Output 2 12 3 6" xfId="26966" xr:uid="{00000000-0005-0000-0000-00001C660000}"/>
    <cellStyle name="Output 2 12 3 7" xfId="26967" xr:uid="{00000000-0005-0000-0000-00001D660000}"/>
    <cellStyle name="Output 2 12 3 8" xfId="26968" xr:uid="{00000000-0005-0000-0000-00001E660000}"/>
    <cellStyle name="Output 2 12 3 9" xfId="26969" xr:uid="{00000000-0005-0000-0000-00001F660000}"/>
    <cellStyle name="Output 2 13" xfId="26970" xr:uid="{00000000-0005-0000-0000-000020660000}"/>
    <cellStyle name="Output 2 13 10" xfId="26971" xr:uid="{00000000-0005-0000-0000-000021660000}"/>
    <cellStyle name="Output 2 13 11" xfId="26972" xr:uid="{00000000-0005-0000-0000-000022660000}"/>
    <cellStyle name="Output 2 13 12" xfId="26973" xr:uid="{00000000-0005-0000-0000-000023660000}"/>
    <cellStyle name="Output 2 13 13" xfId="26974" xr:uid="{00000000-0005-0000-0000-000024660000}"/>
    <cellStyle name="Output 2 13 2" xfId="26975" xr:uid="{00000000-0005-0000-0000-000025660000}"/>
    <cellStyle name="Output 2 13 3" xfId="26976" xr:uid="{00000000-0005-0000-0000-000026660000}"/>
    <cellStyle name="Output 2 13 4" xfId="26977" xr:uid="{00000000-0005-0000-0000-000027660000}"/>
    <cellStyle name="Output 2 13 5" xfId="26978" xr:uid="{00000000-0005-0000-0000-000028660000}"/>
    <cellStyle name="Output 2 13 6" xfId="26979" xr:uid="{00000000-0005-0000-0000-000029660000}"/>
    <cellStyle name="Output 2 13 7" xfId="26980" xr:uid="{00000000-0005-0000-0000-00002A660000}"/>
    <cellStyle name="Output 2 13 8" xfId="26981" xr:uid="{00000000-0005-0000-0000-00002B660000}"/>
    <cellStyle name="Output 2 13 9" xfId="26982" xr:uid="{00000000-0005-0000-0000-00002C660000}"/>
    <cellStyle name="Output 2 14" xfId="26983" xr:uid="{00000000-0005-0000-0000-00002D660000}"/>
    <cellStyle name="Output 2 14 10" xfId="26984" xr:uid="{00000000-0005-0000-0000-00002E660000}"/>
    <cellStyle name="Output 2 14 11" xfId="26985" xr:uid="{00000000-0005-0000-0000-00002F660000}"/>
    <cellStyle name="Output 2 14 12" xfId="26986" xr:uid="{00000000-0005-0000-0000-000030660000}"/>
    <cellStyle name="Output 2 14 13" xfId="26987" xr:uid="{00000000-0005-0000-0000-000031660000}"/>
    <cellStyle name="Output 2 14 2" xfId="26988" xr:uid="{00000000-0005-0000-0000-000032660000}"/>
    <cellStyle name="Output 2 14 3" xfId="26989" xr:uid="{00000000-0005-0000-0000-000033660000}"/>
    <cellStyle name="Output 2 14 4" xfId="26990" xr:uid="{00000000-0005-0000-0000-000034660000}"/>
    <cellStyle name="Output 2 14 5" xfId="26991" xr:uid="{00000000-0005-0000-0000-000035660000}"/>
    <cellStyle name="Output 2 14 6" xfId="26992" xr:uid="{00000000-0005-0000-0000-000036660000}"/>
    <cellStyle name="Output 2 14 7" xfId="26993" xr:uid="{00000000-0005-0000-0000-000037660000}"/>
    <cellStyle name="Output 2 14 8" xfId="26994" xr:uid="{00000000-0005-0000-0000-000038660000}"/>
    <cellStyle name="Output 2 14 9" xfId="26995" xr:uid="{00000000-0005-0000-0000-000039660000}"/>
    <cellStyle name="Output 2 15" xfId="26996" xr:uid="{00000000-0005-0000-0000-00003A660000}"/>
    <cellStyle name="Output 2 16" xfId="26997" xr:uid="{00000000-0005-0000-0000-00003B660000}"/>
    <cellStyle name="Output 2 17" xfId="26998" xr:uid="{00000000-0005-0000-0000-00003C660000}"/>
    <cellStyle name="Output 2 18" xfId="26999" xr:uid="{00000000-0005-0000-0000-00003D660000}"/>
    <cellStyle name="Output 2 19" xfId="27000" xr:uid="{00000000-0005-0000-0000-00003E660000}"/>
    <cellStyle name="Output 2 2" xfId="27001" xr:uid="{00000000-0005-0000-0000-00003F660000}"/>
    <cellStyle name="Output 2 2 10" xfId="27002" xr:uid="{00000000-0005-0000-0000-000040660000}"/>
    <cellStyle name="Output 2 2 11" xfId="27003" xr:uid="{00000000-0005-0000-0000-000041660000}"/>
    <cellStyle name="Output 2 2 12" xfId="27004" xr:uid="{00000000-0005-0000-0000-000042660000}"/>
    <cellStyle name="Output 2 2 13" xfId="27005" xr:uid="{00000000-0005-0000-0000-000043660000}"/>
    <cellStyle name="Output 2 2 14" xfId="27006" xr:uid="{00000000-0005-0000-0000-000044660000}"/>
    <cellStyle name="Output 2 2 15" xfId="27007" xr:uid="{00000000-0005-0000-0000-000045660000}"/>
    <cellStyle name="Output 2 2 16" xfId="27008" xr:uid="{00000000-0005-0000-0000-000046660000}"/>
    <cellStyle name="Output 2 2 17" xfId="27009" xr:uid="{00000000-0005-0000-0000-000047660000}"/>
    <cellStyle name="Output 2 2 2" xfId="27010" xr:uid="{00000000-0005-0000-0000-000048660000}"/>
    <cellStyle name="Output 2 2 2 10" xfId="27011" xr:uid="{00000000-0005-0000-0000-000049660000}"/>
    <cellStyle name="Output 2 2 2 11" xfId="27012" xr:uid="{00000000-0005-0000-0000-00004A660000}"/>
    <cellStyle name="Output 2 2 2 12" xfId="27013" xr:uid="{00000000-0005-0000-0000-00004B660000}"/>
    <cellStyle name="Output 2 2 2 13" xfId="27014" xr:uid="{00000000-0005-0000-0000-00004C660000}"/>
    <cellStyle name="Output 2 2 2 14" xfId="27015" xr:uid="{00000000-0005-0000-0000-00004D660000}"/>
    <cellStyle name="Output 2 2 2 15" xfId="27016" xr:uid="{00000000-0005-0000-0000-00004E660000}"/>
    <cellStyle name="Output 2 2 2 16" xfId="27017" xr:uid="{00000000-0005-0000-0000-00004F660000}"/>
    <cellStyle name="Output 2 2 2 2" xfId="27018" xr:uid="{00000000-0005-0000-0000-000050660000}"/>
    <cellStyle name="Output 2 2 2 3" xfId="27019" xr:uid="{00000000-0005-0000-0000-000051660000}"/>
    <cellStyle name="Output 2 2 2 4" xfId="27020" xr:uid="{00000000-0005-0000-0000-000052660000}"/>
    <cellStyle name="Output 2 2 2 5" xfId="27021" xr:uid="{00000000-0005-0000-0000-000053660000}"/>
    <cellStyle name="Output 2 2 2 6" xfId="27022" xr:uid="{00000000-0005-0000-0000-000054660000}"/>
    <cellStyle name="Output 2 2 2 7" xfId="27023" xr:uid="{00000000-0005-0000-0000-000055660000}"/>
    <cellStyle name="Output 2 2 2 8" xfId="27024" xr:uid="{00000000-0005-0000-0000-000056660000}"/>
    <cellStyle name="Output 2 2 2 9" xfId="27025" xr:uid="{00000000-0005-0000-0000-000057660000}"/>
    <cellStyle name="Output 2 2 3" xfId="27026" xr:uid="{00000000-0005-0000-0000-000058660000}"/>
    <cellStyle name="Output 2 2 4" xfId="27027" xr:uid="{00000000-0005-0000-0000-000059660000}"/>
    <cellStyle name="Output 2 2 5" xfId="27028" xr:uid="{00000000-0005-0000-0000-00005A660000}"/>
    <cellStyle name="Output 2 2 6" xfId="27029" xr:uid="{00000000-0005-0000-0000-00005B660000}"/>
    <cellStyle name="Output 2 2 7" xfId="27030" xr:uid="{00000000-0005-0000-0000-00005C660000}"/>
    <cellStyle name="Output 2 2 8" xfId="27031" xr:uid="{00000000-0005-0000-0000-00005D660000}"/>
    <cellStyle name="Output 2 2 9" xfId="27032" xr:uid="{00000000-0005-0000-0000-00005E660000}"/>
    <cellStyle name="Output 2 20" xfId="27033" xr:uid="{00000000-0005-0000-0000-00005F660000}"/>
    <cellStyle name="Output 2 21" xfId="27034" xr:uid="{00000000-0005-0000-0000-000060660000}"/>
    <cellStyle name="Output 2 22" xfId="27035" xr:uid="{00000000-0005-0000-0000-000061660000}"/>
    <cellStyle name="Output 2 23" xfId="27036" xr:uid="{00000000-0005-0000-0000-000062660000}"/>
    <cellStyle name="Output 2 24" xfId="27037" xr:uid="{00000000-0005-0000-0000-000063660000}"/>
    <cellStyle name="Output 2 25" xfId="27038" xr:uid="{00000000-0005-0000-0000-000064660000}"/>
    <cellStyle name="Output 2 26" xfId="27039" xr:uid="{00000000-0005-0000-0000-000065660000}"/>
    <cellStyle name="Output 2 27" xfId="27040" xr:uid="{00000000-0005-0000-0000-000066660000}"/>
    <cellStyle name="Output 2 28" xfId="27041" xr:uid="{00000000-0005-0000-0000-000067660000}"/>
    <cellStyle name="Output 2 29" xfId="26894" xr:uid="{00000000-0005-0000-0000-000068660000}"/>
    <cellStyle name="Output 2 3" xfId="27042" xr:uid="{00000000-0005-0000-0000-000069660000}"/>
    <cellStyle name="Output 2 3 10" xfId="27043" xr:uid="{00000000-0005-0000-0000-00006A660000}"/>
    <cellStyle name="Output 2 3 11" xfId="27044" xr:uid="{00000000-0005-0000-0000-00006B660000}"/>
    <cellStyle name="Output 2 3 12" xfId="27045" xr:uid="{00000000-0005-0000-0000-00006C660000}"/>
    <cellStyle name="Output 2 3 13" xfId="27046" xr:uid="{00000000-0005-0000-0000-00006D660000}"/>
    <cellStyle name="Output 2 3 14" xfId="27047" xr:uid="{00000000-0005-0000-0000-00006E660000}"/>
    <cellStyle name="Output 2 3 15" xfId="27048" xr:uid="{00000000-0005-0000-0000-00006F660000}"/>
    <cellStyle name="Output 2 3 16" xfId="27049" xr:uid="{00000000-0005-0000-0000-000070660000}"/>
    <cellStyle name="Output 2 3 17" xfId="27050" xr:uid="{00000000-0005-0000-0000-000071660000}"/>
    <cellStyle name="Output 2 3 2" xfId="27051" xr:uid="{00000000-0005-0000-0000-000072660000}"/>
    <cellStyle name="Output 2 3 2 10" xfId="27052" xr:uid="{00000000-0005-0000-0000-000073660000}"/>
    <cellStyle name="Output 2 3 2 11" xfId="27053" xr:uid="{00000000-0005-0000-0000-000074660000}"/>
    <cellStyle name="Output 2 3 2 12" xfId="27054" xr:uid="{00000000-0005-0000-0000-000075660000}"/>
    <cellStyle name="Output 2 3 2 13" xfId="27055" xr:uid="{00000000-0005-0000-0000-000076660000}"/>
    <cellStyle name="Output 2 3 2 14" xfId="27056" xr:uid="{00000000-0005-0000-0000-000077660000}"/>
    <cellStyle name="Output 2 3 2 15" xfId="27057" xr:uid="{00000000-0005-0000-0000-000078660000}"/>
    <cellStyle name="Output 2 3 2 16" xfId="27058" xr:uid="{00000000-0005-0000-0000-000079660000}"/>
    <cellStyle name="Output 2 3 2 2" xfId="27059" xr:uid="{00000000-0005-0000-0000-00007A660000}"/>
    <cellStyle name="Output 2 3 2 3" xfId="27060" xr:uid="{00000000-0005-0000-0000-00007B660000}"/>
    <cellStyle name="Output 2 3 2 4" xfId="27061" xr:uid="{00000000-0005-0000-0000-00007C660000}"/>
    <cellStyle name="Output 2 3 2 5" xfId="27062" xr:uid="{00000000-0005-0000-0000-00007D660000}"/>
    <cellStyle name="Output 2 3 2 6" xfId="27063" xr:uid="{00000000-0005-0000-0000-00007E660000}"/>
    <cellStyle name="Output 2 3 2 7" xfId="27064" xr:uid="{00000000-0005-0000-0000-00007F660000}"/>
    <cellStyle name="Output 2 3 2 8" xfId="27065" xr:uid="{00000000-0005-0000-0000-000080660000}"/>
    <cellStyle name="Output 2 3 2 9" xfId="27066" xr:uid="{00000000-0005-0000-0000-000081660000}"/>
    <cellStyle name="Output 2 3 3" xfId="27067" xr:uid="{00000000-0005-0000-0000-000082660000}"/>
    <cellStyle name="Output 2 3 4" xfId="27068" xr:uid="{00000000-0005-0000-0000-000083660000}"/>
    <cellStyle name="Output 2 3 5" xfId="27069" xr:uid="{00000000-0005-0000-0000-000084660000}"/>
    <cellStyle name="Output 2 3 6" xfId="27070" xr:uid="{00000000-0005-0000-0000-000085660000}"/>
    <cellStyle name="Output 2 3 7" xfId="27071" xr:uid="{00000000-0005-0000-0000-000086660000}"/>
    <cellStyle name="Output 2 3 8" xfId="27072" xr:uid="{00000000-0005-0000-0000-000087660000}"/>
    <cellStyle name="Output 2 3 9" xfId="27073" xr:uid="{00000000-0005-0000-0000-000088660000}"/>
    <cellStyle name="Output 2 4" xfId="27074" xr:uid="{00000000-0005-0000-0000-000089660000}"/>
    <cellStyle name="Output 2 4 10" xfId="27075" xr:uid="{00000000-0005-0000-0000-00008A660000}"/>
    <cellStyle name="Output 2 4 11" xfId="27076" xr:uid="{00000000-0005-0000-0000-00008B660000}"/>
    <cellStyle name="Output 2 4 12" xfId="27077" xr:uid="{00000000-0005-0000-0000-00008C660000}"/>
    <cellStyle name="Output 2 4 13" xfId="27078" xr:uid="{00000000-0005-0000-0000-00008D660000}"/>
    <cellStyle name="Output 2 4 14" xfId="27079" xr:uid="{00000000-0005-0000-0000-00008E660000}"/>
    <cellStyle name="Output 2 4 15" xfId="27080" xr:uid="{00000000-0005-0000-0000-00008F660000}"/>
    <cellStyle name="Output 2 4 16" xfId="27081" xr:uid="{00000000-0005-0000-0000-000090660000}"/>
    <cellStyle name="Output 2 4 17" xfId="27082" xr:uid="{00000000-0005-0000-0000-000091660000}"/>
    <cellStyle name="Output 2 4 2" xfId="27083" xr:uid="{00000000-0005-0000-0000-000092660000}"/>
    <cellStyle name="Output 2 4 2 10" xfId="27084" xr:uid="{00000000-0005-0000-0000-000093660000}"/>
    <cellStyle name="Output 2 4 2 11" xfId="27085" xr:uid="{00000000-0005-0000-0000-000094660000}"/>
    <cellStyle name="Output 2 4 2 12" xfId="27086" xr:uid="{00000000-0005-0000-0000-000095660000}"/>
    <cellStyle name="Output 2 4 2 13" xfId="27087" xr:uid="{00000000-0005-0000-0000-000096660000}"/>
    <cellStyle name="Output 2 4 2 14" xfId="27088" xr:uid="{00000000-0005-0000-0000-000097660000}"/>
    <cellStyle name="Output 2 4 2 15" xfId="27089" xr:uid="{00000000-0005-0000-0000-000098660000}"/>
    <cellStyle name="Output 2 4 2 16" xfId="27090" xr:uid="{00000000-0005-0000-0000-000099660000}"/>
    <cellStyle name="Output 2 4 2 2" xfId="27091" xr:uid="{00000000-0005-0000-0000-00009A660000}"/>
    <cellStyle name="Output 2 4 2 3" xfId="27092" xr:uid="{00000000-0005-0000-0000-00009B660000}"/>
    <cellStyle name="Output 2 4 2 4" xfId="27093" xr:uid="{00000000-0005-0000-0000-00009C660000}"/>
    <cellStyle name="Output 2 4 2 5" xfId="27094" xr:uid="{00000000-0005-0000-0000-00009D660000}"/>
    <cellStyle name="Output 2 4 2 6" xfId="27095" xr:uid="{00000000-0005-0000-0000-00009E660000}"/>
    <cellStyle name="Output 2 4 2 7" xfId="27096" xr:uid="{00000000-0005-0000-0000-00009F660000}"/>
    <cellStyle name="Output 2 4 2 8" xfId="27097" xr:uid="{00000000-0005-0000-0000-0000A0660000}"/>
    <cellStyle name="Output 2 4 2 9" xfId="27098" xr:uid="{00000000-0005-0000-0000-0000A1660000}"/>
    <cellStyle name="Output 2 4 3" xfId="27099" xr:uid="{00000000-0005-0000-0000-0000A2660000}"/>
    <cellStyle name="Output 2 4 4" xfId="27100" xr:uid="{00000000-0005-0000-0000-0000A3660000}"/>
    <cellStyle name="Output 2 4 5" xfId="27101" xr:uid="{00000000-0005-0000-0000-0000A4660000}"/>
    <cellStyle name="Output 2 4 6" xfId="27102" xr:uid="{00000000-0005-0000-0000-0000A5660000}"/>
    <cellStyle name="Output 2 4 7" xfId="27103" xr:uid="{00000000-0005-0000-0000-0000A6660000}"/>
    <cellStyle name="Output 2 4 8" xfId="27104" xr:uid="{00000000-0005-0000-0000-0000A7660000}"/>
    <cellStyle name="Output 2 4 9" xfId="27105" xr:uid="{00000000-0005-0000-0000-0000A8660000}"/>
    <cellStyle name="Output 2 5" xfId="27106" xr:uid="{00000000-0005-0000-0000-0000A9660000}"/>
    <cellStyle name="Output 2 5 10" xfId="27107" xr:uid="{00000000-0005-0000-0000-0000AA660000}"/>
    <cellStyle name="Output 2 5 11" xfId="27108" xr:uid="{00000000-0005-0000-0000-0000AB660000}"/>
    <cellStyle name="Output 2 5 12" xfId="27109" xr:uid="{00000000-0005-0000-0000-0000AC660000}"/>
    <cellStyle name="Output 2 5 13" xfId="27110" xr:uid="{00000000-0005-0000-0000-0000AD660000}"/>
    <cellStyle name="Output 2 5 14" xfId="27111" xr:uid="{00000000-0005-0000-0000-0000AE660000}"/>
    <cellStyle name="Output 2 5 15" xfId="27112" xr:uid="{00000000-0005-0000-0000-0000AF660000}"/>
    <cellStyle name="Output 2 5 16" xfId="27113" xr:uid="{00000000-0005-0000-0000-0000B0660000}"/>
    <cellStyle name="Output 2 5 17" xfId="27114" xr:uid="{00000000-0005-0000-0000-0000B1660000}"/>
    <cellStyle name="Output 2 5 2" xfId="27115" xr:uid="{00000000-0005-0000-0000-0000B2660000}"/>
    <cellStyle name="Output 2 5 2 10" xfId="27116" xr:uid="{00000000-0005-0000-0000-0000B3660000}"/>
    <cellStyle name="Output 2 5 2 11" xfId="27117" xr:uid="{00000000-0005-0000-0000-0000B4660000}"/>
    <cellStyle name="Output 2 5 2 12" xfId="27118" xr:uid="{00000000-0005-0000-0000-0000B5660000}"/>
    <cellStyle name="Output 2 5 2 13" xfId="27119" xr:uid="{00000000-0005-0000-0000-0000B6660000}"/>
    <cellStyle name="Output 2 5 2 14" xfId="27120" xr:uid="{00000000-0005-0000-0000-0000B7660000}"/>
    <cellStyle name="Output 2 5 2 15" xfId="27121" xr:uid="{00000000-0005-0000-0000-0000B8660000}"/>
    <cellStyle name="Output 2 5 2 16" xfId="27122" xr:uid="{00000000-0005-0000-0000-0000B9660000}"/>
    <cellStyle name="Output 2 5 2 2" xfId="27123" xr:uid="{00000000-0005-0000-0000-0000BA660000}"/>
    <cellStyle name="Output 2 5 2 3" xfId="27124" xr:uid="{00000000-0005-0000-0000-0000BB660000}"/>
    <cellStyle name="Output 2 5 2 4" xfId="27125" xr:uid="{00000000-0005-0000-0000-0000BC660000}"/>
    <cellStyle name="Output 2 5 2 5" xfId="27126" xr:uid="{00000000-0005-0000-0000-0000BD660000}"/>
    <cellStyle name="Output 2 5 2 6" xfId="27127" xr:uid="{00000000-0005-0000-0000-0000BE660000}"/>
    <cellStyle name="Output 2 5 2 7" xfId="27128" xr:uid="{00000000-0005-0000-0000-0000BF660000}"/>
    <cellStyle name="Output 2 5 2 8" xfId="27129" xr:uid="{00000000-0005-0000-0000-0000C0660000}"/>
    <cellStyle name="Output 2 5 2 9" xfId="27130" xr:uid="{00000000-0005-0000-0000-0000C1660000}"/>
    <cellStyle name="Output 2 5 3" xfId="27131" xr:uid="{00000000-0005-0000-0000-0000C2660000}"/>
    <cellStyle name="Output 2 5 4" xfId="27132" xr:uid="{00000000-0005-0000-0000-0000C3660000}"/>
    <cellStyle name="Output 2 5 5" xfId="27133" xr:uid="{00000000-0005-0000-0000-0000C4660000}"/>
    <cellStyle name="Output 2 5 6" xfId="27134" xr:uid="{00000000-0005-0000-0000-0000C5660000}"/>
    <cellStyle name="Output 2 5 7" xfId="27135" xr:uid="{00000000-0005-0000-0000-0000C6660000}"/>
    <cellStyle name="Output 2 5 8" xfId="27136" xr:uid="{00000000-0005-0000-0000-0000C7660000}"/>
    <cellStyle name="Output 2 5 9" xfId="27137" xr:uid="{00000000-0005-0000-0000-0000C8660000}"/>
    <cellStyle name="Output 2 6" xfId="27138" xr:uid="{00000000-0005-0000-0000-0000C9660000}"/>
    <cellStyle name="Output 2 6 10" xfId="27139" xr:uid="{00000000-0005-0000-0000-0000CA660000}"/>
    <cellStyle name="Output 2 6 11" xfId="27140" xr:uid="{00000000-0005-0000-0000-0000CB660000}"/>
    <cellStyle name="Output 2 6 12" xfId="27141" xr:uid="{00000000-0005-0000-0000-0000CC660000}"/>
    <cellStyle name="Output 2 6 13" xfId="27142" xr:uid="{00000000-0005-0000-0000-0000CD660000}"/>
    <cellStyle name="Output 2 6 14" xfId="27143" xr:uid="{00000000-0005-0000-0000-0000CE660000}"/>
    <cellStyle name="Output 2 6 15" xfId="27144" xr:uid="{00000000-0005-0000-0000-0000CF660000}"/>
    <cellStyle name="Output 2 6 16" xfId="27145" xr:uid="{00000000-0005-0000-0000-0000D0660000}"/>
    <cellStyle name="Output 2 6 17" xfId="27146" xr:uid="{00000000-0005-0000-0000-0000D1660000}"/>
    <cellStyle name="Output 2 6 2" xfId="27147" xr:uid="{00000000-0005-0000-0000-0000D2660000}"/>
    <cellStyle name="Output 2 6 2 10" xfId="27148" xr:uid="{00000000-0005-0000-0000-0000D3660000}"/>
    <cellStyle name="Output 2 6 2 11" xfId="27149" xr:uid="{00000000-0005-0000-0000-0000D4660000}"/>
    <cellStyle name="Output 2 6 2 12" xfId="27150" xr:uid="{00000000-0005-0000-0000-0000D5660000}"/>
    <cellStyle name="Output 2 6 2 13" xfId="27151" xr:uid="{00000000-0005-0000-0000-0000D6660000}"/>
    <cellStyle name="Output 2 6 2 14" xfId="27152" xr:uid="{00000000-0005-0000-0000-0000D7660000}"/>
    <cellStyle name="Output 2 6 2 15" xfId="27153" xr:uid="{00000000-0005-0000-0000-0000D8660000}"/>
    <cellStyle name="Output 2 6 2 16" xfId="27154" xr:uid="{00000000-0005-0000-0000-0000D9660000}"/>
    <cellStyle name="Output 2 6 2 2" xfId="27155" xr:uid="{00000000-0005-0000-0000-0000DA660000}"/>
    <cellStyle name="Output 2 6 2 3" xfId="27156" xr:uid="{00000000-0005-0000-0000-0000DB660000}"/>
    <cellStyle name="Output 2 6 2 4" xfId="27157" xr:uid="{00000000-0005-0000-0000-0000DC660000}"/>
    <cellStyle name="Output 2 6 2 5" xfId="27158" xr:uid="{00000000-0005-0000-0000-0000DD660000}"/>
    <cellStyle name="Output 2 6 2 6" xfId="27159" xr:uid="{00000000-0005-0000-0000-0000DE660000}"/>
    <cellStyle name="Output 2 6 2 7" xfId="27160" xr:uid="{00000000-0005-0000-0000-0000DF660000}"/>
    <cellStyle name="Output 2 6 2 8" xfId="27161" xr:uid="{00000000-0005-0000-0000-0000E0660000}"/>
    <cellStyle name="Output 2 6 2 9" xfId="27162" xr:uid="{00000000-0005-0000-0000-0000E1660000}"/>
    <cellStyle name="Output 2 6 3" xfId="27163" xr:uid="{00000000-0005-0000-0000-0000E2660000}"/>
    <cellStyle name="Output 2 6 4" xfId="27164" xr:uid="{00000000-0005-0000-0000-0000E3660000}"/>
    <cellStyle name="Output 2 6 5" xfId="27165" xr:uid="{00000000-0005-0000-0000-0000E4660000}"/>
    <cellStyle name="Output 2 6 6" xfId="27166" xr:uid="{00000000-0005-0000-0000-0000E5660000}"/>
    <cellStyle name="Output 2 6 7" xfId="27167" xr:uid="{00000000-0005-0000-0000-0000E6660000}"/>
    <cellStyle name="Output 2 6 8" xfId="27168" xr:uid="{00000000-0005-0000-0000-0000E7660000}"/>
    <cellStyle name="Output 2 6 9" xfId="27169" xr:uid="{00000000-0005-0000-0000-0000E8660000}"/>
    <cellStyle name="Output 2 7" xfId="27170" xr:uid="{00000000-0005-0000-0000-0000E9660000}"/>
    <cellStyle name="Output 2 7 10" xfId="27171" xr:uid="{00000000-0005-0000-0000-0000EA660000}"/>
    <cellStyle name="Output 2 7 11" xfId="27172" xr:uid="{00000000-0005-0000-0000-0000EB660000}"/>
    <cellStyle name="Output 2 7 12" xfId="27173" xr:uid="{00000000-0005-0000-0000-0000EC660000}"/>
    <cellStyle name="Output 2 7 13" xfId="27174" xr:uid="{00000000-0005-0000-0000-0000ED660000}"/>
    <cellStyle name="Output 2 7 14" xfId="27175" xr:uid="{00000000-0005-0000-0000-0000EE660000}"/>
    <cellStyle name="Output 2 7 15" xfId="27176" xr:uid="{00000000-0005-0000-0000-0000EF660000}"/>
    <cellStyle name="Output 2 7 16" xfId="27177" xr:uid="{00000000-0005-0000-0000-0000F0660000}"/>
    <cellStyle name="Output 2 7 17" xfId="27178" xr:uid="{00000000-0005-0000-0000-0000F1660000}"/>
    <cellStyle name="Output 2 7 2" xfId="27179" xr:uid="{00000000-0005-0000-0000-0000F2660000}"/>
    <cellStyle name="Output 2 7 2 10" xfId="27180" xr:uid="{00000000-0005-0000-0000-0000F3660000}"/>
    <cellStyle name="Output 2 7 2 11" xfId="27181" xr:uid="{00000000-0005-0000-0000-0000F4660000}"/>
    <cellStyle name="Output 2 7 2 12" xfId="27182" xr:uid="{00000000-0005-0000-0000-0000F5660000}"/>
    <cellStyle name="Output 2 7 2 13" xfId="27183" xr:uid="{00000000-0005-0000-0000-0000F6660000}"/>
    <cellStyle name="Output 2 7 2 14" xfId="27184" xr:uid="{00000000-0005-0000-0000-0000F7660000}"/>
    <cellStyle name="Output 2 7 2 15" xfId="27185" xr:uid="{00000000-0005-0000-0000-0000F8660000}"/>
    <cellStyle name="Output 2 7 2 16" xfId="27186" xr:uid="{00000000-0005-0000-0000-0000F9660000}"/>
    <cellStyle name="Output 2 7 2 2" xfId="27187" xr:uid="{00000000-0005-0000-0000-0000FA660000}"/>
    <cellStyle name="Output 2 7 2 3" xfId="27188" xr:uid="{00000000-0005-0000-0000-0000FB660000}"/>
    <cellStyle name="Output 2 7 2 4" xfId="27189" xr:uid="{00000000-0005-0000-0000-0000FC660000}"/>
    <cellStyle name="Output 2 7 2 5" xfId="27190" xr:uid="{00000000-0005-0000-0000-0000FD660000}"/>
    <cellStyle name="Output 2 7 2 6" xfId="27191" xr:uid="{00000000-0005-0000-0000-0000FE660000}"/>
    <cellStyle name="Output 2 7 2 7" xfId="27192" xr:uid="{00000000-0005-0000-0000-0000FF660000}"/>
    <cellStyle name="Output 2 7 2 8" xfId="27193" xr:uid="{00000000-0005-0000-0000-000000670000}"/>
    <cellStyle name="Output 2 7 2 9" xfId="27194" xr:uid="{00000000-0005-0000-0000-000001670000}"/>
    <cellStyle name="Output 2 7 3" xfId="27195" xr:uid="{00000000-0005-0000-0000-000002670000}"/>
    <cellStyle name="Output 2 7 4" xfId="27196" xr:uid="{00000000-0005-0000-0000-000003670000}"/>
    <cellStyle name="Output 2 7 5" xfId="27197" xr:uid="{00000000-0005-0000-0000-000004670000}"/>
    <cellStyle name="Output 2 7 6" xfId="27198" xr:uid="{00000000-0005-0000-0000-000005670000}"/>
    <cellStyle name="Output 2 7 7" xfId="27199" xr:uid="{00000000-0005-0000-0000-000006670000}"/>
    <cellStyle name="Output 2 7 8" xfId="27200" xr:uid="{00000000-0005-0000-0000-000007670000}"/>
    <cellStyle name="Output 2 7 9" xfId="27201" xr:uid="{00000000-0005-0000-0000-000008670000}"/>
    <cellStyle name="Output 2 8" xfId="27202" xr:uid="{00000000-0005-0000-0000-000009670000}"/>
    <cellStyle name="Output 2 8 10" xfId="27203" xr:uid="{00000000-0005-0000-0000-00000A670000}"/>
    <cellStyle name="Output 2 8 11" xfId="27204" xr:uid="{00000000-0005-0000-0000-00000B670000}"/>
    <cellStyle name="Output 2 8 12" xfId="27205" xr:uid="{00000000-0005-0000-0000-00000C670000}"/>
    <cellStyle name="Output 2 8 13" xfId="27206" xr:uid="{00000000-0005-0000-0000-00000D670000}"/>
    <cellStyle name="Output 2 8 14" xfId="27207" xr:uid="{00000000-0005-0000-0000-00000E670000}"/>
    <cellStyle name="Output 2 8 15" xfId="27208" xr:uid="{00000000-0005-0000-0000-00000F670000}"/>
    <cellStyle name="Output 2 8 16" xfId="27209" xr:uid="{00000000-0005-0000-0000-000010670000}"/>
    <cellStyle name="Output 2 8 17" xfId="27210" xr:uid="{00000000-0005-0000-0000-000011670000}"/>
    <cellStyle name="Output 2 8 2" xfId="27211" xr:uid="{00000000-0005-0000-0000-000012670000}"/>
    <cellStyle name="Output 2 8 2 10" xfId="27212" xr:uid="{00000000-0005-0000-0000-000013670000}"/>
    <cellStyle name="Output 2 8 2 11" xfId="27213" xr:uid="{00000000-0005-0000-0000-000014670000}"/>
    <cellStyle name="Output 2 8 2 12" xfId="27214" xr:uid="{00000000-0005-0000-0000-000015670000}"/>
    <cellStyle name="Output 2 8 2 13" xfId="27215" xr:uid="{00000000-0005-0000-0000-000016670000}"/>
    <cellStyle name="Output 2 8 2 14" xfId="27216" xr:uid="{00000000-0005-0000-0000-000017670000}"/>
    <cellStyle name="Output 2 8 2 15" xfId="27217" xr:uid="{00000000-0005-0000-0000-000018670000}"/>
    <cellStyle name="Output 2 8 2 16" xfId="27218" xr:uid="{00000000-0005-0000-0000-000019670000}"/>
    <cellStyle name="Output 2 8 2 2" xfId="27219" xr:uid="{00000000-0005-0000-0000-00001A670000}"/>
    <cellStyle name="Output 2 8 2 3" xfId="27220" xr:uid="{00000000-0005-0000-0000-00001B670000}"/>
    <cellStyle name="Output 2 8 2 4" xfId="27221" xr:uid="{00000000-0005-0000-0000-00001C670000}"/>
    <cellStyle name="Output 2 8 2 5" xfId="27222" xr:uid="{00000000-0005-0000-0000-00001D670000}"/>
    <cellStyle name="Output 2 8 2 6" xfId="27223" xr:uid="{00000000-0005-0000-0000-00001E670000}"/>
    <cellStyle name="Output 2 8 2 7" xfId="27224" xr:uid="{00000000-0005-0000-0000-00001F670000}"/>
    <cellStyle name="Output 2 8 2 8" xfId="27225" xr:uid="{00000000-0005-0000-0000-000020670000}"/>
    <cellStyle name="Output 2 8 2 9" xfId="27226" xr:uid="{00000000-0005-0000-0000-000021670000}"/>
    <cellStyle name="Output 2 8 3" xfId="27227" xr:uid="{00000000-0005-0000-0000-000022670000}"/>
    <cellStyle name="Output 2 8 4" xfId="27228" xr:uid="{00000000-0005-0000-0000-000023670000}"/>
    <cellStyle name="Output 2 8 5" xfId="27229" xr:uid="{00000000-0005-0000-0000-000024670000}"/>
    <cellStyle name="Output 2 8 6" xfId="27230" xr:uid="{00000000-0005-0000-0000-000025670000}"/>
    <cellStyle name="Output 2 8 7" xfId="27231" xr:uid="{00000000-0005-0000-0000-000026670000}"/>
    <cellStyle name="Output 2 8 8" xfId="27232" xr:uid="{00000000-0005-0000-0000-000027670000}"/>
    <cellStyle name="Output 2 8 9" xfId="27233" xr:uid="{00000000-0005-0000-0000-000028670000}"/>
    <cellStyle name="Output 2 9" xfId="27234" xr:uid="{00000000-0005-0000-0000-000029670000}"/>
    <cellStyle name="Output 2 9 10" xfId="27235" xr:uid="{00000000-0005-0000-0000-00002A670000}"/>
    <cellStyle name="Output 2 9 11" xfId="27236" xr:uid="{00000000-0005-0000-0000-00002B670000}"/>
    <cellStyle name="Output 2 9 12" xfId="27237" xr:uid="{00000000-0005-0000-0000-00002C670000}"/>
    <cellStyle name="Output 2 9 13" xfId="27238" xr:uid="{00000000-0005-0000-0000-00002D670000}"/>
    <cellStyle name="Output 2 9 14" xfId="27239" xr:uid="{00000000-0005-0000-0000-00002E670000}"/>
    <cellStyle name="Output 2 9 15" xfId="27240" xr:uid="{00000000-0005-0000-0000-00002F670000}"/>
    <cellStyle name="Output 2 9 16" xfId="27241" xr:uid="{00000000-0005-0000-0000-000030670000}"/>
    <cellStyle name="Output 2 9 17" xfId="27242" xr:uid="{00000000-0005-0000-0000-000031670000}"/>
    <cellStyle name="Output 2 9 2" xfId="27243" xr:uid="{00000000-0005-0000-0000-000032670000}"/>
    <cellStyle name="Output 2 9 2 10" xfId="27244" xr:uid="{00000000-0005-0000-0000-000033670000}"/>
    <cellStyle name="Output 2 9 2 11" xfId="27245" xr:uid="{00000000-0005-0000-0000-000034670000}"/>
    <cellStyle name="Output 2 9 2 12" xfId="27246" xr:uid="{00000000-0005-0000-0000-000035670000}"/>
    <cellStyle name="Output 2 9 2 13" xfId="27247" xr:uid="{00000000-0005-0000-0000-000036670000}"/>
    <cellStyle name="Output 2 9 2 14" xfId="27248" xr:uid="{00000000-0005-0000-0000-000037670000}"/>
    <cellStyle name="Output 2 9 2 15" xfId="27249" xr:uid="{00000000-0005-0000-0000-000038670000}"/>
    <cellStyle name="Output 2 9 2 16" xfId="27250" xr:uid="{00000000-0005-0000-0000-000039670000}"/>
    <cellStyle name="Output 2 9 2 2" xfId="27251" xr:uid="{00000000-0005-0000-0000-00003A670000}"/>
    <cellStyle name="Output 2 9 2 3" xfId="27252" xr:uid="{00000000-0005-0000-0000-00003B670000}"/>
    <cellStyle name="Output 2 9 2 4" xfId="27253" xr:uid="{00000000-0005-0000-0000-00003C670000}"/>
    <cellStyle name="Output 2 9 2 5" xfId="27254" xr:uid="{00000000-0005-0000-0000-00003D670000}"/>
    <cellStyle name="Output 2 9 2 6" xfId="27255" xr:uid="{00000000-0005-0000-0000-00003E670000}"/>
    <cellStyle name="Output 2 9 2 7" xfId="27256" xr:uid="{00000000-0005-0000-0000-00003F670000}"/>
    <cellStyle name="Output 2 9 2 8" xfId="27257" xr:uid="{00000000-0005-0000-0000-000040670000}"/>
    <cellStyle name="Output 2 9 2 9" xfId="27258" xr:uid="{00000000-0005-0000-0000-000041670000}"/>
    <cellStyle name="Output 2 9 3" xfId="27259" xr:uid="{00000000-0005-0000-0000-000042670000}"/>
    <cellStyle name="Output 2 9 4" xfId="27260" xr:uid="{00000000-0005-0000-0000-000043670000}"/>
    <cellStyle name="Output 2 9 5" xfId="27261" xr:uid="{00000000-0005-0000-0000-000044670000}"/>
    <cellStyle name="Output 2 9 6" xfId="27262" xr:uid="{00000000-0005-0000-0000-000045670000}"/>
    <cellStyle name="Output 2 9 7" xfId="27263" xr:uid="{00000000-0005-0000-0000-000046670000}"/>
    <cellStyle name="Output 2 9 8" xfId="27264" xr:uid="{00000000-0005-0000-0000-000047670000}"/>
    <cellStyle name="Output 2 9 9" xfId="27265" xr:uid="{00000000-0005-0000-0000-000048670000}"/>
    <cellStyle name="Output 3" xfId="27266" xr:uid="{00000000-0005-0000-0000-000049670000}"/>
    <cellStyle name="Output 3 10" xfId="27267" xr:uid="{00000000-0005-0000-0000-00004A670000}"/>
    <cellStyle name="Output 3 11" xfId="27268" xr:uid="{00000000-0005-0000-0000-00004B670000}"/>
    <cellStyle name="Output 3 12" xfId="27269" xr:uid="{00000000-0005-0000-0000-00004C670000}"/>
    <cellStyle name="Output 3 13" xfId="27270" xr:uid="{00000000-0005-0000-0000-00004D670000}"/>
    <cellStyle name="Output 3 2" xfId="27271" xr:uid="{00000000-0005-0000-0000-00004E670000}"/>
    <cellStyle name="Output 3 3" xfId="27272" xr:uid="{00000000-0005-0000-0000-00004F670000}"/>
    <cellStyle name="Output 3 4" xfId="27273" xr:uid="{00000000-0005-0000-0000-000050670000}"/>
    <cellStyle name="Output 3 5" xfId="27274" xr:uid="{00000000-0005-0000-0000-000051670000}"/>
    <cellStyle name="Output 3 6" xfId="27275" xr:uid="{00000000-0005-0000-0000-000052670000}"/>
    <cellStyle name="Output 3 7" xfId="27276" xr:uid="{00000000-0005-0000-0000-000053670000}"/>
    <cellStyle name="Output 3 8" xfId="27277" xr:uid="{00000000-0005-0000-0000-000054670000}"/>
    <cellStyle name="Output 3 9" xfId="27278" xr:uid="{00000000-0005-0000-0000-000055670000}"/>
    <cellStyle name="Output 4" xfId="27279" xr:uid="{00000000-0005-0000-0000-000056670000}"/>
    <cellStyle name="Output 4 10" xfId="27280" xr:uid="{00000000-0005-0000-0000-000057670000}"/>
    <cellStyle name="Output 4 11" xfId="27281" xr:uid="{00000000-0005-0000-0000-000058670000}"/>
    <cellStyle name="Output 4 12" xfId="27282" xr:uid="{00000000-0005-0000-0000-000059670000}"/>
    <cellStyle name="Output 4 13" xfId="27283" xr:uid="{00000000-0005-0000-0000-00005A670000}"/>
    <cellStyle name="Output 4 2" xfId="27284" xr:uid="{00000000-0005-0000-0000-00005B670000}"/>
    <cellStyle name="Output 4 3" xfId="27285" xr:uid="{00000000-0005-0000-0000-00005C670000}"/>
    <cellStyle name="Output 4 4" xfId="27286" xr:uid="{00000000-0005-0000-0000-00005D670000}"/>
    <cellStyle name="Output 4 5" xfId="27287" xr:uid="{00000000-0005-0000-0000-00005E670000}"/>
    <cellStyle name="Output 4 6" xfId="27288" xr:uid="{00000000-0005-0000-0000-00005F670000}"/>
    <cellStyle name="Output 4 7" xfId="27289" xr:uid="{00000000-0005-0000-0000-000060670000}"/>
    <cellStyle name="Output 4 8" xfId="27290" xr:uid="{00000000-0005-0000-0000-000061670000}"/>
    <cellStyle name="Output 4 9" xfId="27291" xr:uid="{00000000-0005-0000-0000-000062670000}"/>
    <cellStyle name="Output 5" xfId="27292" xr:uid="{00000000-0005-0000-0000-000063670000}"/>
    <cellStyle name="Output 5 10" xfId="27293" xr:uid="{00000000-0005-0000-0000-000064670000}"/>
    <cellStyle name="Output 5 11" xfId="27294" xr:uid="{00000000-0005-0000-0000-000065670000}"/>
    <cellStyle name="Output 5 12" xfId="27295" xr:uid="{00000000-0005-0000-0000-000066670000}"/>
    <cellStyle name="Output 5 13" xfId="27296" xr:uid="{00000000-0005-0000-0000-000067670000}"/>
    <cellStyle name="Output 5 2" xfId="27297" xr:uid="{00000000-0005-0000-0000-000068670000}"/>
    <cellStyle name="Output 5 3" xfId="27298" xr:uid="{00000000-0005-0000-0000-000069670000}"/>
    <cellStyle name="Output 5 4" xfId="27299" xr:uid="{00000000-0005-0000-0000-00006A670000}"/>
    <cellStyle name="Output 5 5" xfId="27300" xr:uid="{00000000-0005-0000-0000-00006B670000}"/>
    <cellStyle name="Output 5 6" xfId="27301" xr:uid="{00000000-0005-0000-0000-00006C670000}"/>
    <cellStyle name="Output 5 7" xfId="27302" xr:uid="{00000000-0005-0000-0000-00006D670000}"/>
    <cellStyle name="Output 5 8" xfId="27303" xr:uid="{00000000-0005-0000-0000-00006E670000}"/>
    <cellStyle name="Output 5 9" xfId="27304" xr:uid="{00000000-0005-0000-0000-00006F670000}"/>
    <cellStyle name="Percent" xfId="2" builtinId="5"/>
    <cellStyle name="Percent [2]" xfId="27305" xr:uid="{00000000-0005-0000-0000-000070670000}"/>
    <cellStyle name="Percent [2] 10" xfId="27306" xr:uid="{00000000-0005-0000-0000-000071670000}"/>
    <cellStyle name="Percent [2] 10 10" xfId="27307" xr:uid="{00000000-0005-0000-0000-000072670000}"/>
    <cellStyle name="Percent [2] 10 11" xfId="27308" xr:uid="{00000000-0005-0000-0000-000073670000}"/>
    <cellStyle name="Percent [2] 10 12" xfId="27309" xr:uid="{00000000-0005-0000-0000-000074670000}"/>
    <cellStyle name="Percent [2] 10 13" xfId="27310" xr:uid="{00000000-0005-0000-0000-000075670000}"/>
    <cellStyle name="Percent [2] 10 14" xfId="27311" xr:uid="{00000000-0005-0000-0000-000076670000}"/>
    <cellStyle name="Percent [2] 10 15" xfId="27312" xr:uid="{00000000-0005-0000-0000-000077670000}"/>
    <cellStyle name="Percent [2] 10 2" xfId="27313" xr:uid="{00000000-0005-0000-0000-000078670000}"/>
    <cellStyle name="Percent [2] 10 3" xfId="27314" xr:uid="{00000000-0005-0000-0000-000079670000}"/>
    <cellStyle name="Percent [2] 10 4" xfId="27315" xr:uid="{00000000-0005-0000-0000-00007A670000}"/>
    <cellStyle name="Percent [2] 10 5" xfId="27316" xr:uid="{00000000-0005-0000-0000-00007B670000}"/>
    <cellStyle name="Percent [2] 10 6" xfId="27317" xr:uid="{00000000-0005-0000-0000-00007C670000}"/>
    <cellStyle name="Percent [2] 10 7" xfId="27318" xr:uid="{00000000-0005-0000-0000-00007D670000}"/>
    <cellStyle name="Percent [2] 10 8" xfId="27319" xr:uid="{00000000-0005-0000-0000-00007E670000}"/>
    <cellStyle name="Percent [2] 10 9" xfId="27320" xr:uid="{00000000-0005-0000-0000-00007F670000}"/>
    <cellStyle name="Percent [2] 11" xfId="27321" xr:uid="{00000000-0005-0000-0000-000080670000}"/>
    <cellStyle name="Percent [2] 11 10" xfId="27322" xr:uid="{00000000-0005-0000-0000-000081670000}"/>
    <cellStyle name="Percent [2] 11 11" xfId="27323" xr:uid="{00000000-0005-0000-0000-000082670000}"/>
    <cellStyle name="Percent [2] 11 12" xfId="27324" xr:uid="{00000000-0005-0000-0000-000083670000}"/>
    <cellStyle name="Percent [2] 11 13" xfId="27325" xr:uid="{00000000-0005-0000-0000-000084670000}"/>
    <cellStyle name="Percent [2] 11 14" xfId="27326" xr:uid="{00000000-0005-0000-0000-000085670000}"/>
    <cellStyle name="Percent [2] 11 15" xfId="27327" xr:uid="{00000000-0005-0000-0000-000086670000}"/>
    <cellStyle name="Percent [2] 11 2" xfId="27328" xr:uid="{00000000-0005-0000-0000-000087670000}"/>
    <cellStyle name="Percent [2] 11 3" xfId="27329" xr:uid="{00000000-0005-0000-0000-000088670000}"/>
    <cellStyle name="Percent [2] 11 4" xfId="27330" xr:uid="{00000000-0005-0000-0000-000089670000}"/>
    <cellStyle name="Percent [2] 11 5" xfId="27331" xr:uid="{00000000-0005-0000-0000-00008A670000}"/>
    <cellStyle name="Percent [2] 11 6" xfId="27332" xr:uid="{00000000-0005-0000-0000-00008B670000}"/>
    <cellStyle name="Percent [2] 11 7" xfId="27333" xr:uid="{00000000-0005-0000-0000-00008C670000}"/>
    <cellStyle name="Percent [2] 11 8" xfId="27334" xr:uid="{00000000-0005-0000-0000-00008D670000}"/>
    <cellStyle name="Percent [2] 11 9" xfId="27335" xr:uid="{00000000-0005-0000-0000-00008E670000}"/>
    <cellStyle name="Percent [2] 12" xfId="27336" xr:uid="{00000000-0005-0000-0000-00008F670000}"/>
    <cellStyle name="Percent [2] 13" xfId="27337" xr:uid="{00000000-0005-0000-0000-000090670000}"/>
    <cellStyle name="Percent [2] 14" xfId="27338" xr:uid="{00000000-0005-0000-0000-000091670000}"/>
    <cellStyle name="Percent [2] 15" xfId="27339" xr:uid="{00000000-0005-0000-0000-000092670000}"/>
    <cellStyle name="Percent [2] 16" xfId="27340" xr:uid="{00000000-0005-0000-0000-000093670000}"/>
    <cellStyle name="Percent [2] 17" xfId="27341" xr:uid="{00000000-0005-0000-0000-000094670000}"/>
    <cellStyle name="Percent [2] 18" xfId="27342" xr:uid="{00000000-0005-0000-0000-000095670000}"/>
    <cellStyle name="Percent [2] 19" xfId="27343" xr:uid="{00000000-0005-0000-0000-000096670000}"/>
    <cellStyle name="Percent [2] 2" xfId="27344" xr:uid="{00000000-0005-0000-0000-000097670000}"/>
    <cellStyle name="Percent [2] 2 10" xfId="27345" xr:uid="{00000000-0005-0000-0000-000098670000}"/>
    <cellStyle name="Percent [2] 2 11" xfId="27346" xr:uid="{00000000-0005-0000-0000-000099670000}"/>
    <cellStyle name="Percent [2] 2 12" xfId="27347" xr:uid="{00000000-0005-0000-0000-00009A670000}"/>
    <cellStyle name="Percent [2] 2 13" xfId="27348" xr:uid="{00000000-0005-0000-0000-00009B670000}"/>
    <cellStyle name="Percent [2] 2 14" xfId="27349" xr:uid="{00000000-0005-0000-0000-00009C670000}"/>
    <cellStyle name="Percent [2] 2 15" xfId="27350" xr:uid="{00000000-0005-0000-0000-00009D670000}"/>
    <cellStyle name="Percent [2] 2 2" xfId="27351" xr:uid="{00000000-0005-0000-0000-00009E670000}"/>
    <cellStyle name="Percent [2] 2 3" xfId="27352" xr:uid="{00000000-0005-0000-0000-00009F670000}"/>
    <cellStyle name="Percent [2] 2 4" xfId="27353" xr:uid="{00000000-0005-0000-0000-0000A0670000}"/>
    <cellStyle name="Percent [2] 2 5" xfId="27354" xr:uid="{00000000-0005-0000-0000-0000A1670000}"/>
    <cellStyle name="Percent [2] 2 6" xfId="27355" xr:uid="{00000000-0005-0000-0000-0000A2670000}"/>
    <cellStyle name="Percent [2] 2 7" xfId="27356" xr:uid="{00000000-0005-0000-0000-0000A3670000}"/>
    <cellStyle name="Percent [2] 2 8" xfId="27357" xr:uid="{00000000-0005-0000-0000-0000A4670000}"/>
    <cellStyle name="Percent [2] 2 9" xfId="27358" xr:uid="{00000000-0005-0000-0000-0000A5670000}"/>
    <cellStyle name="Percent [2] 20" xfId="27359" xr:uid="{00000000-0005-0000-0000-0000A6670000}"/>
    <cellStyle name="Percent [2] 21" xfId="27360" xr:uid="{00000000-0005-0000-0000-0000A7670000}"/>
    <cellStyle name="Percent [2] 22" xfId="27361" xr:uid="{00000000-0005-0000-0000-0000A8670000}"/>
    <cellStyle name="Percent [2] 23" xfId="27362" xr:uid="{00000000-0005-0000-0000-0000A9670000}"/>
    <cellStyle name="Percent [2] 24" xfId="27363" xr:uid="{00000000-0005-0000-0000-0000AA670000}"/>
    <cellStyle name="Percent [2] 25" xfId="27364" xr:uid="{00000000-0005-0000-0000-0000AB670000}"/>
    <cellStyle name="Percent [2] 26" xfId="27365" xr:uid="{00000000-0005-0000-0000-0000AC670000}"/>
    <cellStyle name="Percent [2] 3" xfId="27366" xr:uid="{00000000-0005-0000-0000-0000AD670000}"/>
    <cellStyle name="Percent [2] 3 10" xfId="27367" xr:uid="{00000000-0005-0000-0000-0000AE670000}"/>
    <cellStyle name="Percent [2] 3 11" xfId="27368" xr:uid="{00000000-0005-0000-0000-0000AF670000}"/>
    <cellStyle name="Percent [2] 3 12" xfId="27369" xr:uid="{00000000-0005-0000-0000-0000B0670000}"/>
    <cellStyle name="Percent [2] 3 13" xfId="27370" xr:uid="{00000000-0005-0000-0000-0000B1670000}"/>
    <cellStyle name="Percent [2] 3 14" xfId="27371" xr:uid="{00000000-0005-0000-0000-0000B2670000}"/>
    <cellStyle name="Percent [2] 3 15" xfId="27372" xr:uid="{00000000-0005-0000-0000-0000B3670000}"/>
    <cellStyle name="Percent [2] 3 2" xfId="27373" xr:uid="{00000000-0005-0000-0000-0000B4670000}"/>
    <cellStyle name="Percent [2] 3 3" xfId="27374" xr:uid="{00000000-0005-0000-0000-0000B5670000}"/>
    <cellStyle name="Percent [2] 3 4" xfId="27375" xr:uid="{00000000-0005-0000-0000-0000B6670000}"/>
    <cellStyle name="Percent [2] 3 5" xfId="27376" xr:uid="{00000000-0005-0000-0000-0000B7670000}"/>
    <cellStyle name="Percent [2] 3 6" xfId="27377" xr:uid="{00000000-0005-0000-0000-0000B8670000}"/>
    <cellStyle name="Percent [2] 3 7" xfId="27378" xr:uid="{00000000-0005-0000-0000-0000B9670000}"/>
    <cellStyle name="Percent [2] 3 8" xfId="27379" xr:uid="{00000000-0005-0000-0000-0000BA670000}"/>
    <cellStyle name="Percent [2] 3 9" xfId="27380" xr:uid="{00000000-0005-0000-0000-0000BB670000}"/>
    <cellStyle name="Percent [2] 4" xfId="27381" xr:uid="{00000000-0005-0000-0000-0000BC670000}"/>
    <cellStyle name="Percent [2] 4 10" xfId="27382" xr:uid="{00000000-0005-0000-0000-0000BD670000}"/>
    <cellStyle name="Percent [2] 4 11" xfId="27383" xr:uid="{00000000-0005-0000-0000-0000BE670000}"/>
    <cellStyle name="Percent [2] 4 12" xfId="27384" xr:uid="{00000000-0005-0000-0000-0000BF670000}"/>
    <cellStyle name="Percent [2] 4 13" xfId="27385" xr:uid="{00000000-0005-0000-0000-0000C0670000}"/>
    <cellStyle name="Percent [2] 4 14" xfId="27386" xr:uid="{00000000-0005-0000-0000-0000C1670000}"/>
    <cellStyle name="Percent [2] 4 15" xfId="27387" xr:uid="{00000000-0005-0000-0000-0000C2670000}"/>
    <cellStyle name="Percent [2] 4 2" xfId="27388" xr:uid="{00000000-0005-0000-0000-0000C3670000}"/>
    <cellStyle name="Percent [2] 4 3" xfId="27389" xr:uid="{00000000-0005-0000-0000-0000C4670000}"/>
    <cellStyle name="Percent [2] 4 4" xfId="27390" xr:uid="{00000000-0005-0000-0000-0000C5670000}"/>
    <cellStyle name="Percent [2] 4 5" xfId="27391" xr:uid="{00000000-0005-0000-0000-0000C6670000}"/>
    <cellStyle name="Percent [2] 4 6" xfId="27392" xr:uid="{00000000-0005-0000-0000-0000C7670000}"/>
    <cellStyle name="Percent [2] 4 7" xfId="27393" xr:uid="{00000000-0005-0000-0000-0000C8670000}"/>
    <cellStyle name="Percent [2] 4 8" xfId="27394" xr:uid="{00000000-0005-0000-0000-0000C9670000}"/>
    <cellStyle name="Percent [2] 4 9" xfId="27395" xr:uid="{00000000-0005-0000-0000-0000CA670000}"/>
    <cellStyle name="Percent [2] 5" xfId="27396" xr:uid="{00000000-0005-0000-0000-0000CB670000}"/>
    <cellStyle name="Percent [2] 5 10" xfId="27397" xr:uid="{00000000-0005-0000-0000-0000CC670000}"/>
    <cellStyle name="Percent [2] 5 11" xfId="27398" xr:uid="{00000000-0005-0000-0000-0000CD670000}"/>
    <cellStyle name="Percent [2] 5 12" xfId="27399" xr:uid="{00000000-0005-0000-0000-0000CE670000}"/>
    <cellStyle name="Percent [2] 5 13" xfId="27400" xr:uid="{00000000-0005-0000-0000-0000CF670000}"/>
    <cellStyle name="Percent [2] 5 14" xfId="27401" xr:uid="{00000000-0005-0000-0000-0000D0670000}"/>
    <cellStyle name="Percent [2] 5 15" xfId="27402" xr:uid="{00000000-0005-0000-0000-0000D1670000}"/>
    <cellStyle name="Percent [2] 5 2" xfId="27403" xr:uid="{00000000-0005-0000-0000-0000D2670000}"/>
    <cellStyle name="Percent [2] 5 3" xfId="27404" xr:uid="{00000000-0005-0000-0000-0000D3670000}"/>
    <cellStyle name="Percent [2] 5 4" xfId="27405" xr:uid="{00000000-0005-0000-0000-0000D4670000}"/>
    <cellStyle name="Percent [2] 5 5" xfId="27406" xr:uid="{00000000-0005-0000-0000-0000D5670000}"/>
    <cellStyle name="Percent [2] 5 6" xfId="27407" xr:uid="{00000000-0005-0000-0000-0000D6670000}"/>
    <cellStyle name="Percent [2] 5 7" xfId="27408" xr:uid="{00000000-0005-0000-0000-0000D7670000}"/>
    <cellStyle name="Percent [2] 5 8" xfId="27409" xr:uid="{00000000-0005-0000-0000-0000D8670000}"/>
    <cellStyle name="Percent [2] 5 9" xfId="27410" xr:uid="{00000000-0005-0000-0000-0000D9670000}"/>
    <cellStyle name="Percent [2] 6" xfId="27411" xr:uid="{00000000-0005-0000-0000-0000DA670000}"/>
    <cellStyle name="Percent [2] 6 10" xfId="27412" xr:uid="{00000000-0005-0000-0000-0000DB670000}"/>
    <cellStyle name="Percent [2] 6 11" xfId="27413" xr:uid="{00000000-0005-0000-0000-0000DC670000}"/>
    <cellStyle name="Percent [2] 6 12" xfId="27414" xr:uid="{00000000-0005-0000-0000-0000DD670000}"/>
    <cellStyle name="Percent [2] 6 13" xfId="27415" xr:uid="{00000000-0005-0000-0000-0000DE670000}"/>
    <cellStyle name="Percent [2] 6 14" xfId="27416" xr:uid="{00000000-0005-0000-0000-0000DF670000}"/>
    <cellStyle name="Percent [2] 6 15" xfId="27417" xr:uid="{00000000-0005-0000-0000-0000E0670000}"/>
    <cellStyle name="Percent [2] 6 2" xfId="27418" xr:uid="{00000000-0005-0000-0000-0000E1670000}"/>
    <cellStyle name="Percent [2] 6 3" xfId="27419" xr:uid="{00000000-0005-0000-0000-0000E2670000}"/>
    <cellStyle name="Percent [2] 6 4" xfId="27420" xr:uid="{00000000-0005-0000-0000-0000E3670000}"/>
    <cellStyle name="Percent [2] 6 5" xfId="27421" xr:uid="{00000000-0005-0000-0000-0000E4670000}"/>
    <cellStyle name="Percent [2] 6 6" xfId="27422" xr:uid="{00000000-0005-0000-0000-0000E5670000}"/>
    <cellStyle name="Percent [2] 6 7" xfId="27423" xr:uid="{00000000-0005-0000-0000-0000E6670000}"/>
    <cellStyle name="Percent [2] 6 8" xfId="27424" xr:uid="{00000000-0005-0000-0000-0000E7670000}"/>
    <cellStyle name="Percent [2] 6 9" xfId="27425" xr:uid="{00000000-0005-0000-0000-0000E8670000}"/>
    <cellStyle name="Percent [2] 7" xfId="27426" xr:uid="{00000000-0005-0000-0000-0000E9670000}"/>
    <cellStyle name="Percent [2] 7 10" xfId="27427" xr:uid="{00000000-0005-0000-0000-0000EA670000}"/>
    <cellStyle name="Percent [2] 7 11" xfId="27428" xr:uid="{00000000-0005-0000-0000-0000EB670000}"/>
    <cellStyle name="Percent [2] 7 12" xfId="27429" xr:uid="{00000000-0005-0000-0000-0000EC670000}"/>
    <cellStyle name="Percent [2] 7 13" xfId="27430" xr:uid="{00000000-0005-0000-0000-0000ED670000}"/>
    <cellStyle name="Percent [2] 7 14" xfId="27431" xr:uid="{00000000-0005-0000-0000-0000EE670000}"/>
    <cellStyle name="Percent [2] 7 15" xfId="27432" xr:uid="{00000000-0005-0000-0000-0000EF670000}"/>
    <cellStyle name="Percent [2] 7 2" xfId="27433" xr:uid="{00000000-0005-0000-0000-0000F0670000}"/>
    <cellStyle name="Percent [2] 7 3" xfId="27434" xr:uid="{00000000-0005-0000-0000-0000F1670000}"/>
    <cellStyle name="Percent [2] 7 4" xfId="27435" xr:uid="{00000000-0005-0000-0000-0000F2670000}"/>
    <cellStyle name="Percent [2] 7 5" xfId="27436" xr:uid="{00000000-0005-0000-0000-0000F3670000}"/>
    <cellStyle name="Percent [2] 7 6" xfId="27437" xr:uid="{00000000-0005-0000-0000-0000F4670000}"/>
    <cellStyle name="Percent [2] 7 7" xfId="27438" xr:uid="{00000000-0005-0000-0000-0000F5670000}"/>
    <cellStyle name="Percent [2] 7 8" xfId="27439" xr:uid="{00000000-0005-0000-0000-0000F6670000}"/>
    <cellStyle name="Percent [2] 7 9" xfId="27440" xr:uid="{00000000-0005-0000-0000-0000F7670000}"/>
    <cellStyle name="Percent [2] 8" xfId="27441" xr:uid="{00000000-0005-0000-0000-0000F8670000}"/>
    <cellStyle name="Percent [2] 8 10" xfId="27442" xr:uid="{00000000-0005-0000-0000-0000F9670000}"/>
    <cellStyle name="Percent [2] 8 11" xfId="27443" xr:uid="{00000000-0005-0000-0000-0000FA670000}"/>
    <cellStyle name="Percent [2] 8 12" xfId="27444" xr:uid="{00000000-0005-0000-0000-0000FB670000}"/>
    <cellStyle name="Percent [2] 8 13" xfId="27445" xr:uid="{00000000-0005-0000-0000-0000FC670000}"/>
    <cellStyle name="Percent [2] 8 14" xfId="27446" xr:uid="{00000000-0005-0000-0000-0000FD670000}"/>
    <cellStyle name="Percent [2] 8 15" xfId="27447" xr:uid="{00000000-0005-0000-0000-0000FE670000}"/>
    <cellStyle name="Percent [2] 8 2" xfId="27448" xr:uid="{00000000-0005-0000-0000-0000FF670000}"/>
    <cellStyle name="Percent [2] 8 3" xfId="27449" xr:uid="{00000000-0005-0000-0000-000000680000}"/>
    <cellStyle name="Percent [2] 8 4" xfId="27450" xr:uid="{00000000-0005-0000-0000-000001680000}"/>
    <cellStyle name="Percent [2] 8 5" xfId="27451" xr:uid="{00000000-0005-0000-0000-000002680000}"/>
    <cellStyle name="Percent [2] 8 6" xfId="27452" xr:uid="{00000000-0005-0000-0000-000003680000}"/>
    <cellStyle name="Percent [2] 8 7" xfId="27453" xr:uid="{00000000-0005-0000-0000-000004680000}"/>
    <cellStyle name="Percent [2] 8 8" xfId="27454" xr:uid="{00000000-0005-0000-0000-000005680000}"/>
    <cellStyle name="Percent [2] 8 9" xfId="27455" xr:uid="{00000000-0005-0000-0000-000006680000}"/>
    <cellStyle name="Percent [2] 9" xfId="27456" xr:uid="{00000000-0005-0000-0000-000007680000}"/>
    <cellStyle name="Percent [2] 9 10" xfId="27457" xr:uid="{00000000-0005-0000-0000-000008680000}"/>
    <cellStyle name="Percent [2] 9 11" xfId="27458" xr:uid="{00000000-0005-0000-0000-000009680000}"/>
    <cellStyle name="Percent [2] 9 12" xfId="27459" xr:uid="{00000000-0005-0000-0000-00000A680000}"/>
    <cellStyle name="Percent [2] 9 13" xfId="27460" xr:uid="{00000000-0005-0000-0000-00000B680000}"/>
    <cellStyle name="Percent [2] 9 14" xfId="27461" xr:uid="{00000000-0005-0000-0000-00000C680000}"/>
    <cellStyle name="Percent [2] 9 15" xfId="27462" xr:uid="{00000000-0005-0000-0000-00000D680000}"/>
    <cellStyle name="Percent [2] 9 2" xfId="27463" xr:uid="{00000000-0005-0000-0000-00000E680000}"/>
    <cellStyle name="Percent [2] 9 3" xfId="27464" xr:uid="{00000000-0005-0000-0000-00000F680000}"/>
    <cellStyle name="Percent [2] 9 4" xfId="27465" xr:uid="{00000000-0005-0000-0000-000010680000}"/>
    <cellStyle name="Percent [2] 9 5" xfId="27466" xr:uid="{00000000-0005-0000-0000-000011680000}"/>
    <cellStyle name="Percent [2] 9 6" xfId="27467" xr:uid="{00000000-0005-0000-0000-000012680000}"/>
    <cellStyle name="Percent [2] 9 7" xfId="27468" xr:uid="{00000000-0005-0000-0000-000013680000}"/>
    <cellStyle name="Percent [2] 9 8" xfId="27469" xr:uid="{00000000-0005-0000-0000-000014680000}"/>
    <cellStyle name="Percent [2] 9 9" xfId="27470" xr:uid="{00000000-0005-0000-0000-000015680000}"/>
    <cellStyle name="Percent 10" xfId="954" xr:uid="{00000000-0005-0000-0000-00007F030000}"/>
    <cellStyle name="Percent 2" xfId="103" xr:uid="{00000000-0005-0000-0000-00009C000000}"/>
    <cellStyle name="Percent 2 10" xfId="27472" xr:uid="{00000000-0005-0000-0000-000017680000}"/>
    <cellStyle name="Percent 2 10 10" xfId="27473" xr:uid="{00000000-0005-0000-0000-000018680000}"/>
    <cellStyle name="Percent 2 10 11" xfId="27474" xr:uid="{00000000-0005-0000-0000-000019680000}"/>
    <cellStyle name="Percent 2 10 12" xfId="27475" xr:uid="{00000000-0005-0000-0000-00001A680000}"/>
    <cellStyle name="Percent 2 10 13" xfId="27476" xr:uid="{00000000-0005-0000-0000-00001B680000}"/>
    <cellStyle name="Percent 2 10 14" xfId="27477" xr:uid="{00000000-0005-0000-0000-00001C680000}"/>
    <cellStyle name="Percent 2 10 15" xfId="27478" xr:uid="{00000000-0005-0000-0000-00001D680000}"/>
    <cellStyle name="Percent 2 10 2" xfId="27479" xr:uid="{00000000-0005-0000-0000-00001E680000}"/>
    <cellStyle name="Percent 2 10 3" xfId="27480" xr:uid="{00000000-0005-0000-0000-00001F680000}"/>
    <cellStyle name="Percent 2 10 4" xfId="27481" xr:uid="{00000000-0005-0000-0000-000020680000}"/>
    <cellStyle name="Percent 2 10 5" xfId="27482" xr:uid="{00000000-0005-0000-0000-000021680000}"/>
    <cellStyle name="Percent 2 10 6" xfId="27483" xr:uid="{00000000-0005-0000-0000-000022680000}"/>
    <cellStyle name="Percent 2 10 7" xfId="27484" xr:uid="{00000000-0005-0000-0000-000023680000}"/>
    <cellStyle name="Percent 2 10 8" xfId="27485" xr:uid="{00000000-0005-0000-0000-000024680000}"/>
    <cellStyle name="Percent 2 10 9" xfId="27486" xr:uid="{00000000-0005-0000-0000-000025680000}"/>
    <cellStyle name="Percent 2 11" xfId="27487" xr:uid="{00000000-0005-0000-0000-000026680000}"/>
    <cellStyle name="Percent 2 11 10" xfId="27488" xr:uid="{00000000-0005-0000-0000-000027680000}"/>
    <cellStyle name="Percent 2 11 11" xfId="27489" xr:uid="{00000000-0005-0000-0000-000028680000}"/>
    <cellStyle name="Percent 2 11 12" xfId="27490" xr:uid="{00000000-0005-0000-0000-000029680000}"/>
    <cellStyle name="Percent 2 11 13" xfId="27491" xr:uid="{00000000-0005-0000-0000-00002A680000}"/>
    <cellStyle name="Percent 2 11 14" xfId="27492" xr:uid="{00000000-0005-0000-0000-00002B680000}"/>
    <cellStyle name="Percent 2 11 15" xfId="27493" xr:uid="{00000000-0005-0000-0000-00002C680000}"/>
    <cellStyle name="Percent 2 11 2" xfId="27494" xr:uid="{00000000-0005-0000-0000-00002D680000}"/>
    <cellStyle name="Percent 2 11 3" xfId="27495" xr:uid="{00000000-0005-0000-0000-00002E680000}"/>
    <cellStyle name="Percent 2 11 4" xfId="27496" xr:uid="{00000000-0005-0000-0000-00002F680000}"/>
    <cellStyle name="Percent 2 11 5" xfId="27497" xr:uid="{00000000-0005-0000-0000-000030680000}"/>
    <cellStyle name="Percent 2 11 6" xfId="27498" xr:uid="{00000000-0005-0000-0000-000031680000}"/>
    <cellStyle name="Percent 2 11 7" xfId="27499" xr:uid="{00000000-0005-0000-0000-000032680000}"/>
    <cellStyle name="Percent 2 11 8" xfId="27500" xr:uid="{00000000-0005-0000-0000-000033680000}"/>
    <cellStyle name="Percent 2 11 9" xfId="27501" xr:uid="{00000000-0005-0000-0000-000034680000}"/>
    <cellStyle name="Percent 2 12" xfId="27502" xr:uid="{00000000-0005-0000-0000-000035680000}"/>
    <cellStyle name="Percent 2 12 10" xfId="27503" xr:uid="{00000000-0005-0000-0000-000036680000}"/>
    <cellStyle name="Percent 2 12 11" xfId="27504" xr:uid="{00000000-0005-0000-0000-000037680000}"/>
    <cellStyle name="Percent 2 12 12" xfId="27505" xr:uid="{00000000-0005-0000-0000-000038680000}"/>
    <cellStyle name="Percent 2 12 13" xfId="27506" xr:uid="{00000000-0005-0000-0000-000039680000}"/>
    <cellStyle name="Percent 2 12 14" xfId="27507" xr:uid="{00000000-0005-0000-0000-00003A680000}"/>
    <cellStyle name="Percent 2 12 15" xfId="27508" xr:uid="{00000000-0005-0000-0000-00003B680000}"/>
    <cellStyle name="Percent 2 12 2" xfId="27509" xr:uid="{00000000-0005-0000-0000-00003C680000}"/>
    <cellStyle name="Percent 2 12 3" xfId="27510" xr:uid="{00000000-0005-0000-0000-00003D680000}"/>
    <cellStyle name="Percent 2 12 4" xfId="27511" xr:uid="{00000000-0005-0000-0000-00003E680000}"/>
    <cellStyle name="Percent 2 12 5" xfId="27512" xr:uid="{00000000-0005-0000-0000-00003F680000}"/>
    <cellStyle name="Percent 2 12 6" xfId="27513" xr:uid="{00000000-0005-0000-0000-000040680000}"/>
    <cellStyle name="Percent 2 12 7" xfId="27514" xr:uid="{00000000-0005-0000-0000-000041680000}"/>
    <cellStyle name="Percent 2 12 8" xfId="27515" xr:uid="{00000000-0005-0000-0000-000042680000}"/>
    <cellStyle name="Percent 2 12 9" xfId="27516" xr:uid="{00000000-0005-0000-0000-000043680000}"/>
    <cellStyle name="Percent 2 13" xfId="27517" xr:uid="{00000000-0005-0000-0000-000044680000}"/>
    <cellStyle name="Percent 2 14" xfId="27518" xr:uid="{00000000-0005-0000-0000-000045680000}"/>
    <cellStyle name="Percent 2 15" xfId="27519" xr:uid="{00000000-0005-0000-0000-000046680000}"/>
    <cellStyle name="Percent 2 16" xfId="27520" xr:uid="{00000000-0005-0000-0000-000047680000}"/>
    <cellStyle name="Percent 2 17" xfId="27521" xr:uid="{00000000-0005-0000-0000-000048680000}"/>
    <cellStyle name="Percent 2 18" xfId="27522" xr:uid="{00000000-0005-0000-0000-000049680000}"/>
    <cellStyle name="Percent 2 19" xfId="27523" xr:uid="{00000000-0005-0000-0000-00004A680000}"/>
    <cellStyle name="Percent 2 2" xfId="27524" xr:uid="{00000000-0005-0000-0000-00004B680000}"/>
    <cellStyle name="Percent 2 2 10" xfId="27525" xr:uid="{00000000-0005-0000-0000-00004C680000}"/>
    <cellStyle name="Percent 2 2 10 2" xfId="27526" xr:uid="{00000000-0005-0000-0000-00004D680000}"/>
    <cellStyle name="Percent 2 2 10 3" xfId="27527" xr:uid="{00000000-0005-0000-0000-00004E680000}"/>
    <cellStyle name="Percent 2 2 11" xfId="27528" xr:uid="{00000000-0005-0000-0000-00004F680000}"/>
    <cellStyle name="Percent 2 2 12" xfId="27529" xr:uid="{00000000-0005-0000-0000-000050680000}"/>
    <cellStyle name="Percent 2 2 13" xfId="27530" xr:uid="{00000000-0005-0000-0000-000051680000}"/>
    <cellStyle name="Percent 2 2 14" xfId="27531" xr:uid="{00000000-0005-0000-0000-000052680000}"/>
    <cellStyle name="Percent 2 2 15" xfId="27532" xr:uid="{00000000-0005-0000-0000-000053680000}"/>
    <cellStyle name="Percent 2 2 16" xfId="27533" xr:uid="{00000000-0005-0000-0000-000054680000}"/>
    <cellStyle name="Percent 2 2 17" xfId="27534" xr:uid="{00000000-0005-0000-0000-000055680000}"/>
    <cellStyle name="Percent 2 2 18" xfId="27535" xr:uid="{00000000-0005-0000-0000-000056680000}"/>
    <cellStyle name="Percent 2 2 19" xfId="27536" xr:uid="{00000000-0005-0000-0000-000057680000}"/>
    <cellStyle name="Percent 2 2 2" xfId="27537" xr:uid="{00000000-0005-0000-0000-000058680000}"/>
    <cellStyle name="Percent 2 2 2 10" xfId="27538" xr:uid="{00000000-0005-0000-0000-000059680000}"/>
    <cellStyle name="Percent 2 2 2 11" xfId="27539" xr:uid="{00000000-0005-0000-0000-00005A680000}"/>
    <cellStyle name="Percent 2 2 2 12" xfId="27540" xr:uid="{00000000-0005-0000-0000-00005B680000}"/>
    <cellStyle name="Percent 2 2 2 13" xfId="27541" xr:uid="{00000000-0005-0000-0000-00005C680000}"/>
    <cellStyle name="Percent 2 2 2 14" xfId="27542" xr:uid="{00000000-0005-0000-0000-00005D680000}"/>
    <cellStyle name="Percent 2 2 2 15" xfId="27543" xr:uid="{00000000-0005-0000-0000-00005E680000}"/>
    <cellStyle name="Percent 2 2 2 16" xfId="27544" xr:uid="{00000000-0005-0000-0000-00005F680000}"/>
    <cellStyle name="Percent 2 2 2 17" xfId="27545" xr:uid="{00000000-0005-0000-0000-000060680000}"/>
    <cellStyle name="Percent 2 2 2 18" xfId="27546" xr:uid="{00000000-0005-0000-0000-000061680000}"/>
    <cellStyle name="Percent 2 2 2 19" xfId="27547" xr:uid="{00000000-0005-0000-0000-000062680000}"/>
    <cellStyle name="Percent 2 2 2 2" xfId="27548" xr:uid="{00000000-0005-0000-0000-000063680000}"/>
    <cellStyle name="Percent 2 2 2 2 10" xfId="27549" xr:uid="{00000000-0005-0000-0000-000064680000}"/>
    <cellStyle name="Percent 2 2 2 2 11" xfId="27550" xr:uid="{00000000-0005-0000-0000-000065680000}"/>
    <cellStyle name="Percent 2 2 2 2 12" xfId="27551" xr:uid="{00000000-0005-0000-0000-000066680000}"/>
    <cellStyle name="Percent 2 2 2 2 13" xfId="27552" xr:uid="{00000000-0005-0000-0000-000067680000}"/>
    <cellStyle name="Percent 2 2 2 2 14" xfId="27553" xr:uid="{00000000-0005-0000-0000-000068680000}"/>
    <cellStyle name="Percent 2 2 2 2 15" xfId="27554" xr:uid="{00000000-0005-0000-0000-000069680000}"/>
    <cellStyle name="Percent 2 2 2 2 16" xfId="27555" xr:uid="{00000000-0005-0000-0000-00006A680000}"/>
    <cellStyle name="Percent 2 2 2 2 2" xfId="27556" xr:uid="{00000000-0005-0000-0000-00006B680000}"/>
    <cellStyle name="Percent 2 2 2 2 3" xfId="27557" xr:uid="{00000000-0005-0000-0000-00006C680000}"/>
    <cellStyle name="Percent 2 2 2 2 4" xfId="27558" xr:uid="{00000000-0005-0000-0000-00006D680000}"/>
    <cellStyle name="Percent 2 2 2 2 5" xfId="27559" xr:uid="{00000000-0005-0000-0000-00006E680000}"/>
    <cellStyle name="Percent 2 2 2 2 6" xfId="27560" xr:uid="{00000000-0005-0000-0000-00006F680000}"/>
    <cellStyle name="Percent 2 2 2 2 7" xfId="27561" xr:uid="{00000000-0005-0000-0000-000070680000}"/>
    <cellStyle name="Percent 2 2 2 2 8" xfId="27562" xr:uid="{00000000-0005-0000-0000-000071680000}"/>
    <cellStyle name="Percent 2 2 2 2 9" xfId="27563" xr:uid="{00000000-0005-0000-0000-000072680000}"/>
    <cellStyle name="Percent 2 2 2 20" xfId="27564" xr:uid="{00000000-0005-0000-0000-000073680000}"/>
    <cellStyle name="Percent 2 2 2 21" xfId="27565" xr:uid="{00000000-0005-0000-0000-000074680000}"/>
    <cellStyle name="Percent 2 2 2 22" xfId="27566" xr:uid="{00000000-0005-0000-0000-000075680000}"/>
    <cellStyle name="Percent 2 2 2 23" xfId="27567" xr:uid="{00000000-0005-0000-0000-000076680000}"/>
    <cellStyle name="Percent 2 2 2 3" xfId="27568" xr:uid="{00000000-0005-0000-0000-000077680000}"/>
    <cellStyle name="Percent 2 2 2 3 10" xfId="27569" xr:uid="{00000000-0005-0000-0000-000078680000}"/>
    <cellStyle name="Percent 2 2 2 3 11" xfId="27570" xr:uid="{00000000-0005-0000-0000-000079680000}"/>
    <cellStyle name="Percent 2 2 2 3 12" xfId="27571" xr:uid="{00000000-0005-0000-0000-00007A680000}"/>
    <cellStyle name="Percent 2 2 2 3 13" xfId="27572" xr:uid="{00000000-0005-0000-0000-00007B680000}"/>
    <cellStyle name="Percent 2 2 2 3 14" xfId="27573" xr:uid="{00000000-0005-0000-0000-00007C680000}"/>
    <cellStyle name="Percent 2 2 2 3 15" xfId="27574" xr:uid="{00000000-0005-0000-0000-00007D680000}"/>
    <cellStyle name="Percent 2 2 2 3 2" xfId="27575" xr:uid="{00000000-0005-0000-0000-00007E680000}"/>
    <cellStyle name="Percent 2 2 2 3 3" xfId="27576" xr:uid="{00000000-0005-0000-0000-00007F680000}"/>
    <cellStyle name="Percent 2 2 2 3 4" xfId="27577" xr:uid="{00000000-0005-0000-0000-000080680000}"/>
    <cellStyle name="Percent 2 2 2 3 5" xfId="27578" xr:uid="{00000000-0005-0000-0000-000081680000}"/>
    <cellStyle name="Percent 2 2 2 3 6" xfId="27579" xr:uid="{00000000-0005-0000-0000-000082680000}"/>
    <cellStyle name="Percent 2 2 2 3 7" xfId="27580" xr:uid="{00000000-0005-0000-0000-000083680000}"/>
    <cellStyle name="Percent 2 2 2 3 8" xfId="27581" xr:uid="{00000000-0005-0000-0000-000084680000}"/>
    <cellStyle name="Percent 2 2 2 3 9" xfId="27582" xr:uid="{00000000-0005-0000-0000-000085680000}"/>
    <cellStyle name="Percent 2 2 2 4" xfId="27583" xr:uid="{00000000-0005-0000-0000-000086680000}"/>
    <cellStyle name="Percent 2 2 2 4 10" xfId="27584" xr:uid="{00000000-0005-0000-0000-000087680000}"/>
    <cellStyle name="Percent 2 2 2 4 11" xfId="27585" xr:uid="{00000000-0005-0000-0000-000088680000}"/>
    <cellStyle name="Percent 2 2 2 4 12" xfId="27586" xr:uid="{00000000-0005-0000-0000-000089680000}"/>
    <cellStyle name="Percent 2 2 2 4 13" xfId="27587" xr:uid="{00000000-0005-0000-0000-00008A680000}"/>
    <cellStyle name="Percent 2 2 2 4 14" xfId="27588" xr:uid="{00000000-0005-0000-0000-00008B680000}"/>
    <cellStyle name="Percent 2 2 2 4 15" xfId="27589" xr:uid="{00000000-0005-0000-0000-00008C680000}"/>
    <cellStyle name="Percent 2 2 2 4 2" xfId="27590" xr:uid="{00000000-0005-0000-0000-00008D680000}"/>
    <cellStyle name="Percent 2 2 2 4 3" xfId="27591" xr:uid="{00000000-0005-0000-0000-00008E680000}"/>
    <cellStyle name="Percent 2 2 2 4 4" xfId="27592" xr:uid="{00000000-0005-0000-0000-00008F680000}"/>
    <cellStyle name="Percent 2 2 2 4 5" xfId="27593" xr:uid="{00000000-0005-0000-0000-000090680000}"/>
    <cellStyle name="Percent 2 2 2 4 6" xfId="27594" xr:uid="{00000000-0005-0000-0000-000091680000}"/>
    <cellStyle name="Percent 2 2 2 4 7" xfId="27595" xr:uid="{00000000-0005-0000-0000-000092680000}"/>
    <cellStyle name="Percent 2 2 2 4 8" xfId="27596" xr:uid="{00000000-0005-0000-0000-000093680000}"/>
    <cellStyle name="Percent 2 2 2 4 9" xfId="27597" xr:uid="{00000000-0005-0000-0000-000094680000}"/>
    <cellStyle name="Percent 2 2 2 5" xfId="27598" xr:uid="{00000000-0005-0000-0000-000095680000}"/>
    <cellStyle name="Percent 2 2 2 5 10" xfId="27599" xr:uid="{00000000-0005-0000-0000-000096680000}"/>
    <cellStyle name="Percent 2 2 2 5 11" xfId="27600" xr:uid="{00000000-0005-0000-0000-000097680000}"/>
    <cellStyle name="Percent 2 2 2 5 12" xfId="27601" xr:uid="{00000000-0005-0000-0000-000098680000}"/>
    <cellStyle name="Percent 2 2 2 5 13" xfId="27602" xr:uid="{00000000-0005-0000-0000-000099680000}"/>
    <cellStyle name="Percent 2 2 2 5 14" xfId="27603" xr:uid="{00000000-0005-0000-0000-00009A680000}"/>
    <cellStyle name="Percent 2 2 2 5 15" xfId="27604" xr:uid="{00000000-0005-0000-0000-00009B680000}"/>
    <cellStyle name="Percent 2 2 2 5 2" xfId="27605" xr:uid="{00000000-0005-0000-0000-00009C680000}"/>
    <cellStyle name="Percent 2 2 2 5 3" xfId="27606" xr:uid="{00000000-0005-0000-0000-00009D680000}"/>
    <cellStyle name="Percent 2 2 2 5 4" xfId="27607" xr:uid="{00000000-0005-0000-0000-00009E680000}"/>
    <cellStyle name="Percent 2 2 2 5 5" xfId="27608" xr:uid="{00000000-0005-0000-0000-00009F680000}"/>
    <cellStyle name="Percent 2 2 2 5 6" xfId="27609" xr:uid="{00000000-0005-0000-0000-0000A0680000}"/>
    <cellStyle name="Percent 2 2 2 5 7" xfId="27610" xr:uid="{00000000-0005-0000-0000-0000A1680000}"/>
    <cellStyle name="Percent 2 2 2 5 8" xfId="27611" xr:uid="{00000000-0005-0000-0000-0000A2680000}"/>
    <cellStyle name="Percent 2 2 2 5 9" xfId="27612" xr:uid="{00000000-0005-0000-0000-0000A3680000}"/>
    <cellStyle name="Percent 2 2 2 6" xfId="27613" xr:uid="{00000000-0005-0000-0000-0000A4680000}"/>
    <cellStyle name="Percent 2 2 2 6 10" xfId="27614" xr:uid="{00000000-0005-0000-0000-0000A5680000}"/>
    <cellStyle name="Percent 2 2 2 6 11" xfId="27615" xr:uid="{00000000-0005-0000-0000-0000A6680000}"/>
    <cellStyle name="Percent 2 2 2 6 12" xfId="27616" xr:uid="{00000000-0005-0000-0000-0000A7680000}"/>
    <cellStyle name="Percent 2 2 2 6 13" xfId="27617" xr:uid="{00000000-0005-0000-0000-0000A8680000}"/>
    <cellStyle name="Percent 2 2 2 6 14" xfId="27618" xr:uid="{00000000-0005-0000-0000-0000A9680000}"/>
    <cellStyle name="Percent 2 2 2 6 15" xfId="27619" xr:uid="{00000000-0005-0000-0000-0000AA680000}"/>
    <cellStyle name="Percent 2 2 2 6 2" xfId="27620" xr:uid="{00000000-0005-0000-0000-0000AB680000}"/>
    <cellStyle name="Percent 2 2 2 6 3" xfId="27621" xr:uid="{00000000-0005-0000-0000-0000AC680000}"/>
    <cellStyle name="Percent 2 2 2 6 4" xfId="27622" xr:uid="{00000000-0005-0000-0000-0000AD680000}"/>
    <cellStyle name="Percent 2 2 2 6 5" xfId="27623" xr:uid="{00000000-0005-0000-0000-0000AE680000}"/>
    <cellStyle name="Percent 2 2 2 6 6" xfId="27624" xr:uid="{00000000-0005-0000-0000-0000AF680000}"/>
    <cellStyle name="Percent 2 2 2 6 7" xfId="27625" xr:uid="{00000000-0005-0000-0000-0000B0680000}"/>
    <cellStyle name="Percent 2 2 2 6 8" xfId="27626" xr:uid="{00000000-0005-0000-0000-0000B1680000}"/>
    <cellStyle name="Percent 2 2 2 6 9" xfId="27627" xr:uid="{00000000-0005-0000-0000-0000B2680000}"/>
    <cellStyle name="Percent 2 2 2 7" xfId="27628" xr:uid="{00000000-0005-0000-0000-0000B3680000}"/>
    <cellStyle name="Percent 2 2 2 7 10" xfId="27629" xr:uid="{00000000-0005-0000-0000-0000B4680000}"/>
    <cellStyle name="Percent 2 2 2 7 11" xfId="27630" xr:uid="{00000000-0005-0000-0000-0000B5680000}"/>
    <cellStyle name="Percent 2 2 2 7 12" xfId="27631" xr:uid="{00000000-0005-0000-0000-0000B6680000}"/>
    <cellStyle name="Percent 2 2 2 7 13" xfId="27632" xr:uid="{00000000-0005-0000-0000-0000B7680000}"/>
    <cellStyle name="Percent 2 2 2 7 14" xfId="27633" xr:uid="{00000000-0005-0000-0000-0000B8680000}"/>
    <cellStyle name="Percent 2 2 2 7 15" xfId="27634" xr:uid="{00000000-0005-0000-0000-0000B9680000}"/>
    <cellStyle name="Percent 2 2 2 7 2" xfId="27635" xr:uid="{00000000-0005-0000-0000-0000BA680000}"/>
    <cellStyle name="Percent 2 2 2 7 3" xfId="27636" xr:uid="{00000000-0005-0000-0000-0000BB680000}"/>
    <cellStyle name="Percent 2 2 2 7 4" xfId="27637" xr:uid="{00000000-0005-0000-0000-0000BC680000}"/>
    <cellStyle name="Percent 2 2 2 7 5" xfId="27638" xr:uid="{00000000-0005-0000-0000-0000BD680000}"/>
    <cellStyle name="Percent 2 2 2 7 6" xfId="27639" xr:uid="{00000000-0005-0000-0000-0000BE680000}"/>
    <cellStyle name="Percent 2 2 2 7 7" xfId="27640" xr:uid="{00000000-0005-0000-0000-0000BF680000}"/>
    <cellStyle name="Percent 2 2 2 7 8" xfId="27641" xr:uid="{00000000-0005-0000-0000-0000C0680000}"/>
    <cellStyle name="Percent 2 2 2 7 9" xfId="27642" xr:uid="{00000000-0005-0000-0000-0000C1680000}"/>
    <cellStyle name="Percent 2 2 2 8" xfId="27643" xr:uid="{00000000-0005-0000-0000-0000C2680000}"/>
    <cellStyle name="Percent 2 2 2 8 10" xfId="27644" xr:uid="{00000000-0005-0000-0000-0000C3680000}"/>
    <cellStyle name="Percent 2 2 2 8 11" xfId="27645" xr:uid="{00000000-0005-0000-0000-0000C4680000}"/>
    <cellStyle name="Percent 2 2 2 8 12" xfId="27646" xr:uid="{00000000-0005-0000-0000-0000C5680000}"/>
    <cellStyle name="Percent 2 2 2 8 13" xfId="27647" xr:uid="{00000000-0005-0000-0000-0000C6680000}"/>
    <cellStyle name="Percent 2 2 2 8 14" xfId="27648" xr:uid="{00000000-0005-0000-0000-0000C7680000}"/>
    <cellStyle name="Percent 2 2 2 8 15" xfId="27649" xr:uid="{00000000-0005-0000-0000-0000C8680000}"/>
    <cellStyle name="Percent 2 2 2 8 2" xfId="27650" xr:uid="{00000000-0005-0000-0000-0000C9680000}"/>
    <cellStyle name="Percent 2 2 2 8 3" xfId="27651" xr:uid="{00000000-0005-0000-0000-0000CA680000}"/>
    <cellStyle name="Percent 2 2 2 8 4" xfId="27652" xr:uid="{00000000-0005-0000-0000-0000CB680000}"/>
    <cellStyle name="Percent 2 2 2 8 5" xfId="27653" xr:uid="{00000000-0005-0000-0000-0000CC680000}"/>
    <cellStyle name="Percent 2 2 2 8 6" xfId="27654" xr:uid="{00000000-0005-0000-0000-0000CD680000}"/>
    <cellStyle name="Percent 2 2 2 8 7" xfId="27655" xr:uid="{00000000-0005-0000-0000-0000CE680000}"/>
    <cellStyle name="Percent 2 2 2 8 8" xfId="27656" xr:uid="{00000000-0005-0000-0000-0000CF680000}"/>
    <cellStyle name="Percent 2 2 2 8 9" xfId="27657" xr:uid="{00000000-0005-0000-0000-0000D0680000}"/>
    <cellStyle name="Percent 2 2 2 9" xfId="27658" xr:uid="{00000000-0005-0000-0000-0000D1680000}"/>
    <cellStyle name="Percent 2 2 20" xfId="27659" xr:uid="{00000000-0005-0000-0000-0000D2680000}"/>
    <cellStyle name="Percent 2 2 21" xfId="27660" xr:uid="{00000000-0005-0000-0000-0000D3680000}"/>
    <cellStyle name="Percent 2 2 22" xfId="27661" xr:uid="{00000000-0005-0000-0000-0000D4680000}"/>
    <cellStyle name="Percent 2 2 23" xfId="27662" xr:uid="{00000000-0005-0000-0000-0000D5680000}"/>
    <cellStyle name="Percent 2 2 24" xfId="27663" xr:uid="{00000000-0005-0000-0000-0000D6680000}"/>
    <cellStyle name="Percent 2 2 25" xfId="27664" xr:uid="{00000000-0005-0000-0000-0000D7680000}"/>
    <cellStyle name="Percent 2 2 26" xfId="27665" xr:uid="{00000000-0005-0000-0000-0000D8680000}"/>
    <cellStyle name="Percent 2 2 3" xfId="27666" xr:uid="{00000000-0005-0000-0000-0000D9680000}"/>
    <cellStyle name="Percent 2 2 3 10" xfId="27667" xr:uid="{00000000-0005-0000-0000-0000DA680000}"/>
    <cellStyle name="Percent 2 2 3 11" xfId="27668" xr:uid="{00000000-0005-0000-0000-0000DB680000}"/>
    <cellStyle name="Percent 2 2 3 12" xfId="27669" xr:uid="{00000000-0005-0000-0000-0000DC680000}"/>
    <cellStyle name="Percent 2 2 3 13" xfId="27670" xr:uid="{00000000-0005-0000-0000-0000DD680000}"/>
    <cellStyle name="Percent 2 2 3 14" xfId="27671" xr:uid="{00000000-0005-0000-0000-0000DE680000}"/>
    <cellStyle name="Percent 2 2 3 15" xfId="27672" xr:uid="{00000000-0005-0000-0000-0000DF680000}"/>
    <cellStyle name="Percent 2 2 3 2" xfId="27673" xr:uid="{00000000-0005-0000-0000-0000E0680000}"/>
    <cellStyle name="Percent 2 2 3 3" xfId="27674" xr:uid="{00000000-0005-0000-0000-0000E1680000}"/>
    <cellStyle name="Percent 2 2 3 4" xfId="27675" xr:uid="{00000000-0005-0000-0000-0000E2680000}"/>
    <cellStyle name="Percent 2 2 3 5" xfId="27676" xr:uid="{00000000-0005-0000-0000-0000E3680000}"/>
    <cellStyle name="Percent 2 2 3 6" xfId="27677" xr:uid="{00000000-0005-0000-0000-0000E4680000}"/>
    <cellStyle name="Percent 2 2 3 7" xfId="27678" xr:uid="{00000000-0005-0000-0000-0000E5680000}"/>
    <cellStyle name="Percent 2 2 3 8" xfId="27679" xr:uid="{00000000-0005-0000-0000-0000E6680000}"/>
    <cellStyle name="Percent 2 2 3 9" xfId="27680" xr:uid="{00000000-0005-0000-0000-0000E7680000}"/>
    <cellStyle name="Percent 2 2 4" xfId="27681" xr:uid="{00000000-0005-0000-0000-0000E8680000}"/>
    <cellStyle name="Percent 2 2 4 10" xfId="27682" xr:uid="{00000000-0005-0000-0000-0000E9680000}"/>
    <cellStyle name="Percent 2 2 4 11" xfId="27683" xr:uid="{00000000-0005-0000-0000-0000EA680000}"/>
    <cellStyle name="Percent 2 2 4 12" xfId="27684" xr:uid="{00000000-0005-0000-0000-0000EB680000}"/>
    <cellStyle name="Percent 2 2 4 13" xfId="27685" xr:uid="{00000000-0005-0000-0000-0000EC680000}"/>
    <cellStyle name="Percent 2 2 4 14" xfId="27686" xr:uid="{00000000-0005-0000-0000-0000ED680000}"/>
    <cellStyle name="Percent 2 2 4 15" xfId="27687" xr:uid="{00000000-0005-0000-0000-0000EE680000}"/>
    <cellStyle name="Percent 2 2 4 2" xfId="27688" xr:uid="{00000000-0005-0000-0000-0000EF680000}"/>
    <cellStyle name="Percent 2 2 4 3" xfId="27689" xr:uid="{00000000-0005-0000-0000-0000F0680000}"/>
    <cellStyle name="Percent 2 2 4 4" xfId="27690" xr:uid="{00000000-0005-0000-0000-0000F1680000}"/>
    <cellStyle name="Percent 2 2 4 5" xfId="27691" xr:uid="{00000000-0005-0000-0000-0000F2680000}"/>
    <cellStyle name="Percent 2 2 4 6" xfId="27692" xr:uid="{00000000-0005-0000-0000-0000F3680000}"/>
    <cellStyle name="Percent 2 2 4 7" xfId="27693" xr:uid="{00000000-0005-0000-0000-0000F4680000}"/>
    <cellStyle name="Percent 2 2 4 8" xfId="27694" xr:uid="{00000000-0005-0000-0000-0000F5680000}"/>
    <cellStyle name="Percent 2 2 4 9" xfId="27695" xr:uid="{00000000-0005-0000-0000-0000F6680000}"/>
    <cellStyle name="Percent 2 2 5" xfId="27696" xr:uid="{00000000-0005-0000-0000-0000F7680000}"/>
    <cellStyle name="Percent 2 2 5 10" xfId="27697" xr:uid="{00000000-0005-0000-0000-0000F8680000}"/>
    <cellStyle name="Percent 2 2 5 11" xfId="27698" xr:uid="{00000000-0005-0000-0000-0000F9680000}"/>
    <cellStyle name="Percent 2 2 5 12" xfId="27699" xr:uid="{00000000-0005-0000-0000-0000FA680000}"/>
    <cellStyle name="Percent 2 2 5 13" xfId="27700" xr:uid="{00000000-0005-0000-0000-0000FB680000}"/>
    <cellStyle name="Percent 2 2 5 14" xfId="27701" xr:uid="{00000000-0005-0000-0000-0000FC680000}"/>
    <cellStyle name="Percent 2 2 5 15" xfId="27702" xr:uid="{00000000-0005-0000-0000-0000FD680000}"/>
    <cellStyle name="Percent 2 2 5 2" xfId="27703" xr:uid="{00000000-0005-0000-0000-0000FE680000}"/>
    <cellStyle name="Percent 2 2 5 3" xfId="27704" xr:uid="{00000000-0005-0000-0000-0000FF680000}"/>
    <cellStyle name="Percent 2 2 5 4" xfId="27705" xr:uid="{00000000-0005-0000-0000-000000690000}"/>
    <cellStyle name="Percent 2 2 5 5" xfId="27706" xr:uid="{00000000-0005-0000-0000-000001690000}"/>
    <cellStyle name="Percent 2 2 5 6" xfId="27707" xr:uid="{00000000-0005-0000-0000-000002690000}"/>
    <cellStyle name="Percent 2 2 5 7" xfId="27708" xr:uid="{00000000-0005-0000-0000-000003690000}"/>
    <cellStyle name="Percent 2 2 5 8" xfId="27709" xr:uid="{00000000-0005-0000-0000-000004690000}"/>
    <cellStyle name="Percent 2 2 5 9" xfId="27710" xr:uid="{00000000-0005-0000-0000-000005690000}"/>
    <cellStyle name="Percent 2 2 6" xfId="27711" xr:uid="{00000000-0005-0000-0000-000006690000}"/>
    <cellStyle name="Percent 2 2 6 10" xfId="27712" xr:uid="{00000000-0005-0000-0000-000007690000}"/>
    <cellStyle name="Percent 2 2 6 11" xfId="27713" xr:uid="{00000000-0005-0000-0000-000008690000}"/>
    <cellStyle name="Percent 2 2 6 12" xfId="27714" xr:uid="{00000000-0005-0000-0000-000009690000}"/>
    <cellStyle name="Percent 2 2 6 13" xfId="27715" xr:uid="{00000000-0005-0000-0000-00000A690000}"/>
    <cellStyle name="Percent 2 2 6 14" xfId="27716" xr:uid="{00000000-0005-0000-0000-00000B690000}"/>
    <cellStyle name="Percent 2 2 6 15" xfId="27717" xr:uid="{00000000-0005-0000-0000-00000C690000}"/>
    <cellStyle name="Percent 2 2 6 2" xfId="27718" xr:uid="{00000000-0005-0000-0000-00000D690000}"/>
    <cellStyle name="Percent 2 2 6 3" xfId="27719" xr:uid="{00000000-0005-0000-0000-00000E690000}"/>
    <cellStyle name="Percent 2 2 6 4" xfId="27720" xr:uid="{00000000-0005-0000-0000-00000F690000}"/>
    <cellStyle name="Percent 2 2 6 5" xfId="27721" xr:uid="{00000000-0005-0000-0000-000010690000}"/>
    <cellStyle name="Percent 2 2 6 6" xfId="27722" xr:uid="{00000000-0005-0000-0000-000011690000}"/>
    <cellStyle name="Percent 2 2 6 7" xfId="27723" xr:uid="{00000000-0005-0000-0000-000012690000}"/>
    <cellStyle name="Percent 2 2 6 8" xfId="27724" xr:uid="{00000000-0005-0000-0000-000013690000}"/>
    <cellStyle name="Percent 2 2 6 9" xfId="27725" xr:uid="{00000000-0005-0000-0000-000014690000}"/>
    <cellStyle name="Percent 2 2 7" xfId="27726" xr:uid="{00000000-0005-0000-0000-000015690000}"/>
    <cellStyle name="Percent 2 2 7 10" xfId="27727" xr:uid="{00000000-0005-0000-0000-000016690000}"/>
    <cellStyle name="Percent 2 2 7 11" xfId="27728" xr:uid="{00000000-0005-0000-0000-000017690000}"/>
    <cellStyle name="Percent 2 2 7 12" xfId="27729" xr:uid="{00000000-0005-0000-0000-000018690000}"/>
    <cellStyle name="Percent 2 2 7 13" xfId="27730" xr:uid="{00000000-0005-0000-0000-000019690000}"/>
    <cellStyle name="Percent 2 2 7 14" xfId="27731" xr:uid="{00000000-0005-0000-0000-00001A690000}"/>
    <cellStyle name="Percent 2 2 7 15" xfId="27732" xr:uid="{00000000-0005-0000-0000-00001B690000}"/>
    <cellStyle name="Percent 2 2 7 2" xfId="27733" xr:uid="{00000000-0005-0000-0000-00001C690000}"/>
    <cellStyle name="Percent 2 2 7 3" xfId="27734" xr:uid="{00000000-0005-0000-0000-00001D690000}"/>
    <cellStyle name="Percent 2 2 7 4" xfId="27735" xr:uid="{00000000-0005-0000-0000-00001E690000}"/>
    <cellStyle name="Percent 2 2 7 5" xfId="27736" xr:uid="{00000000-0005-0000-0000-00001F690000}"/>
    <cellStyle name="Percent 2 2 7 6" xfId="27737" xr:uid="{00000000-0005-0000-0000-000020690000}"/>
    <cellStyle name="Percent 2 2 7 7" xfId="27738" xr:uid="{00000000-0005-0000-0000-000021690000}"/>
    <cellStyle name="Percent 2 2 7 8" xfId="27739" xr:uid="{00000000-0005-0000-0000-000022690000}"/>
    <cellStyle name="Percent 2 2 7 9" xfId="27740" xr:uid="{00000000-0005-0000-0000-000023690000}"/>
    <cellStyle name="Percent 2 2 8" xfId="27741" xr:uid="{00000000-0005-0000-0000-000024690000}"/>
    <cellStyle name="Percent 2 2 8 10" xfId="27742" xr:uid="{00000000-0005-0000-0000-000025690000}"/>
    <cellStyle name="Percent 2 2 8 11" xfId="27743" xr:uid="{00000000-0005-0000-0000-000026690000}"/>
    <cellStyle name="Percent 2 2 8 12" xfId="27744" xr:uid="{00000000-0005-0000-0000-000027690000}"/>
    <cellStyle name="Percent 2 2 8 13" xfId="27745" xr:uid="{00000000-0005-0000-0000-000028690000}"/>
    <cellStyle name="Percent 2 2 8 14" xfId="27746" xr:uid="{00000000-0005-0000-0000-000029690000}"/>
    <cellStyle name="Percent 2 2 8 15" xfId="27747" xr:uid="{00000000-0005-0000-0000-00002A690000}"/>
    <cellStyle name="Percent 2 2 8 2" xfId="27748" xr:uid="{00000000-0005-0000-0000-00002B690000}"/>
    <cellStyle name="Percent 2 2 8 3" xfId="27749" xr:uid="{00000000-0005-0000-0000-00002C690000}"/>
    <cellStyle name="Percent 2 2 8 4" xfId="27750" xr:uid="{00000000-0005-0000-0000-00002D690000}"/>
    <cellStyle name="Percent 2 2 8 5" xfId="27751" xr:uid="{00000000-0005-0000-0000-00002E690000}"/>
    <cellStyle name="Percent 2 2 8 6" xfId="27752" xr:uid="{00000000-0005-0000-0000-00002F690000}"/>
    <cellStyle name="Percent 2 2 8 7" xfId="27753" xr:uid="{00000000-0005-0000-0000-000030690000}"/>
    <cellStyle name="Percent 2 2 8 8" xfId="27754" xr:uid="{00000000-0005-0000-0000-000031690000}"/>
    <cellStyle name="Percent 2 2 8 9" xfId="27755" xr:uid="{00000000-0005-0000-0000-000032690000}"/>
    <cellStyle name="Percent 2 2 9" xfId="27756" xr:uid="{00000000-0005-0000-0000-000033690000}"/>
    <cellStyle name="Percent 2 2 9 10" xfId="27757" xr:uid="{00000000-0005-0000-0000-000034690000}"/>
    <cellStyle name="Percent 2 2 9 11" xfId="27758" xr:uid="{00000000-0005-0000-0000-000035690000}"/>
    <cellStyle name="Percent 2 2 9 12" xfId="27759" xr:uid="{00000000-0005-0000-0000-000036690000}"/>
    <cellStyle name="Percent 2 2 9 13" xfId="27760" xr:uid="{00000000-0005-0000-0000-000037690000}"/>
    <cellStyle name="Percent 2 2 9 14" xfId="27761" xr:uid="{00000000-0005-0000-0000-000038690000}"/>
    <cellStyle name="Percent 2 2 9 15" xfId="27762" xr:uid="{00000000-0005-0000-0000-000039690000}"/>
    <cellStyle name="Percent 2 2 9 2" xfId="27763" xr:uid="{00000000-0005-0000-0000-00003A690000}"/>
    <cellStyle name="Percent 2 2 9 3" xfId="27764" xr:uid="{00000000-0005-0000-0000-00003B690000}"/>
    <cellStyle name="Percent 2 2 9 4" xfId="27765" xr:uid="{00000000-0005-0000-0000-00003C690000}"/>
    <cellStyle name="Percent 2 2 9 5" xfId="27766" xr:uid="{00000000-0005-0000-0000-00003D690000}"/>
    <cellStyle name="Percent 2 2 9 6" xfId="27767" xr:uid="{00000000-0005-0000-0000-00003E690000}"/>
    <cellStyle name="Percent 2 2 9 7" xfId="27768" xr:uid="{00000000-0005-0000-0000-00003F690000}"/>
    <cellStyle name="Percent 2 2 9 8" xfId="27769" xr:uid="{00000000-0005-0000-0000-000040690000}"/>
    <cellStyle name="Percent 2 2 9 9" xfId="27770" xr:uid="{00000000-0005-0000-0000-000041690000}"/>
    <cellStyle name="Percent 2 20" xfId="27771" xr:uid="{00000000-0005-0000-0000-000042690000}"/>
    <cellStyle name="Percent 2 21" xfId="27772" xr:uid="{00000000-0005-0000-0000-000043690000}"/>
    <cellStyle name="Percent 2 22" xfId="27773" xr:uid="{00000000-0005-0000-0000-000044690000}"/>
    <cellStyle name="Percent 2 23" xfId="27774" xr:uid="{00000000-0005-0000-0000-000045690000}"/>
    <cellStyle name="Percent 2 24" xfId="27775" xr:uid="{00000000-0005-0000-0000-000046690000}"/>
    <cellStyle name="Percent 2 25" xfId="27776" xr:uid="{00000000-0005-0000-0000-000047690000}"/>
    <cellStyle name="Percent 2 26" xfId="27777" xr:uid="{00000000-0005-0000-0000-000048690000}"/>
    <cellStyle name="Percent 2 27" xfId="27778" xr:uid="{00000000-0005-0000-0000-000049690000}"/>
    <cellStyle name="Percent 2 28" xfId="27471" xr:uid="{00000000-0005-0000-0000-000016680000}"/>
    <cellStyle name="Percent 2 3" xfId="27779" xr:uid="{00000000-0005-0000-0000-00004A690000}"/>
    <cellStyle name="Percent 2 3 10" xfId="27780" xr:uid="{00000000-0005-0000-0000-00004B690000}"/>
    <cellStyle name="Percent 2 3 11" xfId="27781" xr:uid="{00000000-0005-0000-0000-00004C690000}"/>
    <cellStyle name="Percent 2 3 12" xfId="27782" xr:uid="{00000000-0005-0000-0000-00004D690000}"/>
    <cellStyle name="Percent 2 3 13" xfId="27783" xr:uid="{00000000-0005-0000-0000-00004E690000}"/>
    <cellStyle name="Percent 2 3 14" xfId="27784" xr:uid="{00000000-0005-0000-0000-00004F690000}"/>
    <cellStyle name="Percent 2 3 15" xfId="27785" xr:uid="{00000000-0005-0000-0000-000050690000}"/>
    <cellStyle name="Percent 2 3 16" xfId="27786" xr:uid="{00000000-0005-0000-0000-000051690000}"/>
    <cellStyle name="Percent 2 3 17" xfId="27787" xr:uid="{00000000-0005-0000-0000-000052690000}"/>
    <cellStyle name="Percent 2 3 18" xfId="27788" xr:uid="{00000000-0005-0000-0000-000053690000}"/>
    <cellStyle name="Percent 2 3 19" xfId="27789" xr:uid="{00000000-0005-0000-0000-000054690000}"/>
    <cellStyle name="Percent 2 3 2" xfId="27790" xr:uid="{00000000-0005-0000-0000-000055690000}"/>
    <cellStyle name="Percent 2 3 2 10" xfId="27791" xr:uid="{00000000-0005-0000-0000-000056690000}"/>
    <cellStyle name="Percent 2 3 2 11" xfId="27792" xr:uid="{00000000-0005-0000-0000-000057690000}"/>
    <cellStyle name="Percent 2 3 2 12" xfId="27793" xr:uid="{00000000-0005-0000-0000-000058690000}"/>
    <cellStyle name="Percent 2 3 2 13" xfId="27794" xr:uid="{00000000-0005-0000-0000-000059690000}"/>
    <cellStyle name="Percent 2 3 2 14" xfId="27795" xr:uid="{00000000-0005-0000-0000-00005A690000}"/>
    <cellStyle name="Percent 2 3 2 15" xfId="27796" xr:uid="{00000000-0005-0000-0000-00005B690000}"/>
    <cellStyle name="Percent 2 3 2 16" xfId="27797" xr:uid="{00000000-0005-0000-0000-00005C690000}"/>
    <cellStyle name="Percent 2 3 2 2" xfId="27798" xr:uid="{00000000-0005-0000-0000-00005D690000}"/>
    <cellStyle name="Percent 2 3 2 3" xfId="27799" xr:uid="{00000000-0005-0000-0000-00005E690000}"/>
    <cellStyle name="Percent 2 3 2 4" xfId="27800" xr:uid="{00000000-0005-0000-0000-00005F690000}"/>
    <cellStyle name="Percent 2 3 2 5" xfId="27801" xr:uid="{00000000-0005-0000-0000-000060690000}"/>
    <cellStyle name="Percent 2 3 2 6" xfId="27802" xr:uid="{00000000-0005-0000-0000-000061690000}"/>
    <cellStyle name="Percent 2 3 2 7" xfId="27803" xr:uid="{00000000-0005-0000-0000-000062690000}"/>
    <cellStyle name="Percent 2 3 2 8" xfId="27804" xr:uid="{00000000-0005-0000-0000-000063690000}"/>
    <cellStyle name="Percent 2 3 2 9" xfId="27805" xr:uid="{00000000-0005-0000-0000-000064690000}"/>
    <cellStyle name="Percent 2 3 20" xfId="27806" xr:uid="{00000000-0005-0000-0000-000065690000}"/>
    <cellStyle name="Percent 2 3 21" xfId="27807" xr:uid="{00000000-0005-0000-0000-000066690000}"/>
    <cellStyle name="Percent 2 3 22" xfId="27808" xr:uid="{00000000-0005-0000-0000-000067690000}"/>
    <cellStyle name="Percent 2 3 23" xfId="27809" xr:uid="{00000000-0005-0000-0000-000068690000}"/>
    <cellStyle name="Percent 2 3 3" xfId="27810" xr:uid="{00000000-0005-0000-0000-000069690000}"/>
    <cellStyle name="Percent 2 3 3 10" xfId="27811" xr:uid="{00000000-0005-0000-0000-00006A690000}"/>
    <cellStyle name="Percent 2 3 3 11" xfId="27812" xr:uid="{00000000-0005-0000-0000-00006B690000}"/>
    <cellStyle name="Percent 2 3 3 12" xfId="27813" xr:uid="{00000000-0005-0000-0000-00006C690000}"/>
    <cellStyle name="Percent 2 3 3 13" xfId="27814" xr:uid="{00000000-0005-0000-0000-00006D690000}"/>
    <cellStyle name="Percent 2 3 3 14" xfId="27815" xr:uid="{00000000-0005-0000-0000-00006E690000}"/>
    <cellStyle name="Percent 2 3 3 15" xfId="27816" xr:uid="{00000000-0005-0000-0000-00006F690000}"/>
    <cellStyle name="Percent 2 3 3 2" xfId="27817" xr:uid="{00000000-0005-0000-0000-000070690000}"/>
    <cellStyle name="Percent 2 3 3 3" xfId="27818" xr:uid="{00000000-0005-0000-0000-000071690000}"/>
    <cellStyle name="Percent 2 3 3 4" xfId="27819" xr:uid="{00000000-0005-0000-0000-000072690000}"/>
    <cellStyle name="Percent 2 3 3 5" xfId="27820" xr:uid="{00000000-0005-0000-0000-000073690000}"/>
    <cellStyle name="Percent 2 3 3 6" xfId="27821" xr:uid="{00000000-0005-0000-0000-000074690000}"/>
    <cellStyle name="Percent 2 3 3 7" xfId="27822" xr:uid="{00000000-0005-0000-0000-000075690000}"/>
    <cellStyle name="Percent 2 3 3 8" xfId="27823" xr:uid="{00000000-0005-0000-0000-000076690000}"/>
    <cellStyle name="Percent 2 3 3 9" xfId="27824" xr:uid="{00000000-0005-0000-0000-000077690000}"/>
    <cellStyle name="Percent 2 3 4" xfId="27825" xr:uid="{00000000-0005-0000-0000-000078690000}"/>
    <cellStyle name="Percent 2 3 4 10" xfId="27826" xr:uid="{00000000-0005-0000-0000-000079690000}"/>
    <cellStyle name="Percent 2 3 4 11" xfId="27827" xr:uid="{00000000-0005-0000-0000-00007A690000}"/>
    <cellStyle name="Percent 2 3 4 12" xfId="27828" xr:uid="{00000000-0005-0000-0000-00007B690000}"/>
    <cellStyle name="Percent 2 3 4 13" xfId="27829" xr:uid="{00000000-0005-0000-0000-00007C690000}"/>
    <cellStyle name="Percent 2 3 4 14" xfId="27830" xr:uid="{00000000-0005-0000-0000-00007D690000}"/>
    <cellStyle name="Percent 2 3 4 15" xfId="27831" xr:uid="{00000000-0005-0000-0000-00007E690000}"/>
    <cellStyle name="Percent 2 3 4 2" xfId="27832" xr:uid="{00000000-0005-0000-0000-00007F690000}"/>
    <cellStyle name="Percent 2 3 4 3" xfId="27833" xr:uid="{00000000-0005-0000-0000-000080690000}"/>
    <cellStyle name="Percent 2 3 4 4" xfId="27834" xr:uid="{00000000-0005-0000-0000-000081690000}"/>
    <cellStyle name="Percent 2 3 4 5" xfId="27835" xr:uid="{00000000-0005-0000-0000-000082690000}"/>
    <cellStyle name="Percent 2 3 4 6" xfId="27836" xr:uid="{00000000-0005-0000-0000-000083690000}"/>
    <cellStyle name="Percent 2 3 4 7" xfId="27837" xr:uid="{00000000-0005-0000-0000-000084690000}"/>
    <cellStyle name="Percent 2 3 4 8" xfId="27838" xr:uid="{00000000-0005-0000-0000-000085690000}"/>
    <cellStyle name="Percent 2 3 4 9" xfId="27839" xr:uid="{00000000-0005-0000-0000-000086690000}"/>
    <cellStyle name="Percent 2 3 5" xfId="27840" xr:uid="{00000000-0005-0000-0000-000087690000}"/>
    <cellStyle name="Percent 2 3 5 10" xfId="27841" xr:uid="{00000000-0005-0000-0000-000088690000}"/>
    <cellStyle name="Percent 2 3 5 11" xfId="27842" xr:uid="{00000000-0005-0000-0000-000089690000}"/>
    <cellStyle name="Percent 2 3 5 12" xfId="27843" xr:uid="{00000000-0005-0000-0000-00008A690000}"/>
    <cellStyle name="Percent 2 3 5 13" xfId="27844" xr:uid="{00000000-0005-0000-0000-00008B690000}"/>
    <cellStyle name="Percent 2 3 5 14" xfId="27845" xr:uid="{00000000-0005-0000-0000-00008C690000}"/>
    <cellStyle name="Percent 2 3 5 15" xfId="27846" xr:uid="{00000000-0005-0000-0000-00008D690000}"/>
    <cellStyle name="Percent 2 3 5 2" xfId="27847" xr:uid="{00000000-0005-0000-0000-00008E690000}"/>
    <cellStyle name="Percent 2 3 5 3" xfId="27848" xr:uid="{00000000-0005-0000-0000-00008F690000}"/>
    <cellStyle name="Percent 2 3 5 4" xfId="27849" xr:uid="{00000000-0005-0000-0000-000090690000}"/>
    <cellStyle name="Percent 2 3 5 5" xfId="27850" xr:uid="{00000000-0005-0000-0000-000091690000}"/>
    <cellStyle name="Percent 2 3 5 6" xfId="27851" xr:uid="{00000000-0005-0000-0000-000092690000}"/>
    <cellStyle name="Percent 2 3 5 7" xfId="27852" xr:uid="{00000000-0005-0000-0000-000093690000}"/>
    <cellStyle name="Percent 2 3 5 8" xfId="27853" xr:uid="{00000000-0005-0000-0000-000094690000}"/>
    <cellStyle name="Percent 2 3 5 9" xfId="27854" xr:uid="{00000000-0005-0000-0000-000095690000}"/>
    <cellStyle name="Percent 2 3 6" xfId="27855" xr:uid="{00000000-0005-0000-0000-000096690000}"/>
    <cellStyle name="Percent 2 3 6 10" xfId="27856" xr:uid="{00000000-0005-0000-0000-000097690000}"/>
    <cellStyle name="Percent 2 3 6 11" xfId="27857" xr:uid="{00000000-0005-0000-0000-000098690000}"/>
    <cellStyle name="Percent 2 3 6 12" xfId="27858" xr:uid="{00000000-0005-0000-0000-000099690000}"/>
    <cellStyle name="Percent 2 3 6 13" xfId="27859" xr:uid="{00000000-0005-0000-0000-00009A690000}"/>
    <cellStyle name="Percent 2 3 6 14" xfId="27860" xr:uid="{00000000-0005-0000-0000-00009B690000}"/>
    <cellStyle name="Percent 2 3 6 15" xfId="27861" xr:uid="{00000000-0005-0000-0000-00009C690000}"/>
    <cellStyle name="Percent 2 3 6 2" xfId="27862" xr:uid="{00000000-0005-0000-0000-00009D690000}"/>
    <cellStyle name="Percent 2 3 6 3" xfId="27863" xr:uid="{00000000-0005-0000-0000-00009E690000}"/>
    <cellStyle name="Percent 2 3 6 4" xfId="27864" xr:uid="{00000000-0005-0000-0000-00009F690000}"/>
    <cellStyle name="Percent 2 3 6 5" xfId="27865" xr:uid="{00000000-0005-0000-0000-0000A0690000}"/>
    <cellStyle name="Percent 2 3 6 6" xfId="27866" xr:uid="{00000000-0005-0000-0000-0000A1690000}"/>
    <cellStyle name="Percent 2 3 6 7" xfId="27867" xr:uid="{00000000-0005-0000-0000-0000A2690000}"/>
    <cellStyle name="Percent 2 3 6 8" xfId="27868" xr:uid="{00000000-0005-0000-0000-0000A3690000}"/>
    <cellStyle name="Percent 2 3 6 9" xfId="27869" xr:uid="{00000000-0005-0000-0000-0000A4690000}"/>
    <cellStyle name="Percent 2 3 7" xfId="27870" xr:uid="{00000000-0005-0000-0000-0000A5690000}"/>
    <cellStyle name="Percent 2 3 7 10" xfId="27871" xr:uid="{00000000-0005-0000-0000-0000A6690000}"/>
    <cellStyle name="Percent 2 3 7 11" xfId="27872" xr:uid="{00000000-0005-0000-0000-0000A7690000}"/>
    <cellStyle name="Percent 2 3 7 12" xfId="27873" xr:uid="{00000000-0005-0000-0000-0000A8690000}"/>
    <cellStyle name="Percent 2 3 7 13" xfId="27874" xr:uid="{00000000-0005-0000-0000-0000A9690000}"/>
    <cellStyle name="Percent 2 3 7 14" xfId="27875" xr:uid="{00000000-0005-0000-0000-0000AA690000}"/>
    <cellStyle name="Percent 2 3 7 15" xfId="27876" xr:uid="{00000000-0005-0000-0000-0000AB690000}"/>
    <cellStyle name="Percent 2 3 7 2" xfId="27877" xr:uid="{00000000-0005-0000-0000-0000AC690000}"/>
    <cellStyle name="Percent 2 3 7 3" xfId="27878" xr:uid="{00000000-0005-0000-0000-0000AD690000}"/>
    <cellStyle name="Percent 2 3 7 4" xfId="27879" xr:uid="{00000000-0005-0000-0000-0000AE690000}"/>
    <cellStyle name="Percent 2 3 7 5" xfId="27880" xr:uid="{00000000-0005-0000-0000-0000AF690000}"/>
    <cellStyle name="Percent 2 3 7 6" xfId="27881" xr:uid="{00000000-0005-0000-0000-0000B0690000}"/>
    <cellStyle name="Percent 2 3 7 7" xfId="27882" xr:uid="{00000000-0005-0000-0000-0000B1690000}"/>
    <cellStyle name="Percent 2 3 7 8" xfId="27883" xr:uid="{00000000-0005-0000-0000-0000B2690000}"/>
    <cellStyle name="Percent 2 3 7 9" xfId="27884" xr:uid="{00000000-0005-0000-0000-0000B3690000}"/>
    <cellStyle name="Percent 2 3 8" xfId="27885" xr:uid="{00000000-0005-0000-0000-0000B4690000}"/>
    <cellStyle name="Percent 2 3 8 10" xfId="27886" xr:uid="{00000000-0005-0000-0000-0000B5690000}"/>
    <cellStyle name="Percent 2 3 8 11" xfId="27887" xr:uid="{00000000-0005-0000-0000-0000B6690000}"/>
    <cellStyle name="Percent 2 3 8 12" xfId="27888" xr:uid="{00000000-0005-0000-0000-0000B7690000}"/>
    <cellStyle name="Percent 2 3 8 13" xfId="27889" xr:uid="{00000000-0005-0000-0000-0000B8690000}"/>
    <cellStyle name="Percent 2 3 8 14" xfId="27890" xr:uid="{00000000-0005-0000-0000-0000B9690000}"/>
    <cellStyle name="Percent 2 3 8 15" xfId="27891" xr:uid="{00000000-0005-0000-0000-0000BA690000}"/>
    <cellStyle name="Percent 2 3 8 2" xfId="27892" xr:uid="{00000000-0005-0000-0000-0000BB690000}"/>
    <cellStyle name="Percent 2 3 8 3" xfId="27893" xr:uid="{00000000-0005-0000-0000-0000BC690000}"/>
    <cellStyle name="Percent 2 3 8 4" xfId="27894" xr:uid="{00000000-0005-0000-0000-0000BD690000}"/>
    <cellStyle name="Percent 2 3 8 5" xfId="27895" xr:uid="{00000000-0005-0000-0000-0000BE690000}"/>
    <cellStyle name="Percent 2 3 8 6" xfId="27896" xr:uid="{00000000-0005-0000-0000-0000BF690000}"/>
    <cellStyle name="Percent 2 3 8 7" xfId="27897" xr:uid="{00000000-0005-0000-0000-0000C0690000}"/>
    <cellStyle name="Percent 2 3 8 8" xfId="27898" xr:uid="{00000000-0005-0000-0000-0000C1690000}"/>
    <cellStyle name="Percent 2 3 8 9" xfId="27899" xr:uid="{00000000-0005-0000-0000-0000C2690000}"/>
    <cellStyle name="Percent 2 3 9" xfId="27900" xr:uid="{00000000-0005-0000-0000-0000C3690000}"/>
    <cellStyle name="Percent 2 4" xfId="27901" xr:uid="{00000000-0005-0000-0000-0000C4690000}"/>
    <cellStyle name="Percent 2 4 10" xfId="27902" xr:uid="{00000000-0005-0000-0000-0000C5690000}"/>
    <cellStyle name="Percent 2 4 11" xfId="27903" xr:uid="{00000000-0005-0000-0000-0000C6690000}"/>
    <cellStyle name="Percent 2 4 12" xfId="27904" xr:uid="{00000000-0005-0000-0000-0000C7690000}"/>
    <cellStyle name="Percent 2 4 13" xfId="27905" xr:uid="{00000000-0005-0000-0000-0000C8690000}"/>
    <cellStyle name="Percent 2 4 14" xfId="27906" xr:uid="{00000000-0005-0000-0000-0000C9690000}"/>
    <cellStyle name="Percent 2 4 15" xfId="27907" xr:uid="{00000000-0005-0000-0000-0000CA690000}"/>
    <cellStyle name="Percent 2 4 16" xfId="27908" xr:uid="{00000000-0005-0000-0000-0000CB690000}"/>
    <cellStyle name="Percent 2 4 17" xfId="27909" xr:uid="{00000000-0005-0000-0000-0000CC690000}"/>
    <cellStyle name="Percent 2 4 18" xfId="27910" xr:uid="{00000000-0005-0000-0000-0000CD690000}"/>
    <cellStyle name="Percent 2 4 19" xfId="27911" xr:uid="{00000000-0005-0000-0000-0000CE690000}"/>
    <cellStyle name="Percent 2 4 2" xfId="27912" xr:uid="{00000000-0005-0000-0000-0000CF690000}"/>
    <cellStyle name="Percent 2 4 2 10" xfId="27913" xr:uid="{00000000-0005-0000-0000-0000D0690000}"/>
    <cellStyle name="Percent 2 4 2 11" xfId="27914" xr:uid="{00000000-0005-0000-0000-0000D1690000}"/>
    <cellStyle name="Percent 2 4 2 12" xfId="27915" xr:uid="{00000000-0005-0000-0000-0000D2690000}"/>
    <cellStyle name="Percent 2 4 2 13" xfId="27916" xr:uid="{00000000-0005-0000-0000-0000D3690000}"/>
    <cellStyle name="Percent 2 4 2 14" xfId="27917" xr:uid="{00000000-0005-0000-0000-0000D4690000}"/>
    <cellStyle name="Percent 2 4 2 15" xfId="27918" xr:uid="{00000000-0005-0000-0000-0000D5690000}"/>
    <cellStyle name="Percent 2 4 2 2" xfId="27919" xr:uid="{00000000-0005-0000-0000-0000D6690000}"/>
    <cellStyle name="Percent 2 4 2 3" xfId="27920" xr:uid="{00000000-0005-0000-0000-0000D7690000}"/>
    <cellStyle name="Percent 2 4 2 4" xfId="27921" xr:uid="{00000000-0005-0000-0000-0000D8690000}"/>
    <cellStyle name="Percent 2 4 2 5" xfId="27922" xr:uid="{00000000-0005-0000-0000-0000D9690000}"/>
    <cellStyle name="Percent 2 4 2 6" xfId="27923" xr:uid="{00000000-0005-0000-0000-0000DA690000}"/>
    <cellStyle name="Percent 2 4 2 7" xfId="27924" xr:uid="{00000000-0005-0000-0000-0000DB690000}"/>
    <cellStyle name="Percent 2 4 2 8" xfId="27925" xr:uid="{00000000-0005-0000-0000-0000DC690000}"/>
    <cellStyle name="Percent 2 4 2 9" xfId="27926" xr:uid="{00000000-0005-0000-0000-0000DD690000}"/>
    <cellStyle name="Percent 2 4 20" xfId="27927" xr:uid="{00000000-0005-0000-0000-0000DE690000}"/>
    <cellStyle name="Percent 2 4 3" xfId="27928" xr:uid="{00000000-0005-0000-0000-0000DF690000}"/>
    <cellStyle name="Percent 2 4 3 10" xfId="27929" xr:uid="{00000000-0005-0000-0000-0000E0690000}"/>
    <cellStyle name="Percent 2 4 3 11" xfId="27930" xr:uid="{00000000-0005-0000-0000-0000E1690000}"/>
    <cellStyle name="Percent 2 4 3 12" xfId="27931" xr:uid="{00000000-0005-0000-0000-0000E2690000}"/>
    <cellStyle name="Percent 2 4 3 13" xfId="27932" xr:uid="{00000000-0005-0000-0000-0000E3690000}"/>
    <cellStyle name="Percent 2 4 3 14" xfId="27933" xr:uid="{00000000-0005-0000-0000-0000E4690000}"/>
    <cellStyle name="Percent 2 4 3 15" xfId="27934" xr:uid="{00000000-0005-0000-0000-0000E5690000}"/>
    <cellStyle name="Percent 2 4 3 2" xfId="27935" xr:uid="{00000000-0005-0000-0000-0000E6690000}"/>
    <cellStyle name="Percent 2 4 3 3" xfId="27936" xr:uid="{00000000-0005-0000-0000-0000E7690000}"/>
    <cellStyle name="Percent 2 4 3 4" xfId="27937" xr:uid="{00000000-0005-0000-0000-0000E8690000}"/>
    <cellStyle name="Percent 2 4 3 5" xfId="27938" xr:uid="{00000000-0005-0000-0000-0000E9690000}"/>
    <cellStyle name="Percent 2 4 3 6" xfId="27939" xr:uid="{00000000-0005-0000-0000-0000EA690000}"/>
    <cellStyle name="Percent 2 4 3 7" xfId="27940" xr:uid="{00000000-0005-0000-0000-0000EB690000}"/>
    <cellStyle name="Percent 2 4 3 8" xfId="27941" xr:uid="{00000000-0005-0000-0000-0000EC690000}"/>
    <cellStyle name="Percent 2 4 3 9" xfId="27942" xr:uid="{00000000-0005-0000-0000-0000ED690000}"/>
    <cellStyle name="Percent 2 4 4" xfId="27943" xr:uid="{00000000-0005-0000-0000-0000EE690000}"/>
    <cellStyle name="Percent 2 4 4 10" xfId="27944" xr:uid="{00000000-0005-0000-0000-0000EF690000}"/>
    <cellStyle name="Percent 2 4 4 11" xfId="27945" xr:uid="{00000000-0005-0000-0000-0000F0690000}"/>
    <cellStyle name="Percent 2 4 4 12" xfId="27946" xr:uid="{00000000-0005-0000-0000-0000F1690000}"/>
    <cellStyle name="Percent 2 4 4 13" xfId="27947" xr:uid="{00000000-0005-0000-0000-0000F2690000}"/>
    <cellStyle name="Percent 2 4 4 14" xfId="27948" xr:uid="{00000000-0005-0000-0000-0000F3690000}"/>
    <cellStyle name="Percent 2 4 4 15" xfId="27949" xr:uid="{00000000-0005-0000-0000-0000F4690000}"/>
    <cellStyle name="Percent 2 4 4 2" xfId="27950" xr:uid="{00000000-0005-0000-0000-0000F5690000}"/>
    <cellStyle name="Percent 2 4 4 3" xfId="27951" xr:uid="{00000000-0005-0000-0000-0000F6690000}"/>
    <cellStyle name="Percent 2 4 4 4" xfId="27952" xr:uid="{00000000-0005-0000-0000-0000F7690000}"/>
    <cellStyle name="Percent 2 4 4 5" xfId="27953" xr:uid="{00000000-0005-0000-0000-0000F8690000}"/>
    <cellStyle name="Percent 2 4 4 6" xfId="27954" xr:uid="{00000000-0005-0000-0000-0000F9690000}"/>
    <cellStyle name="Percent 2 4 4 7" xfId="27955" xr:uid="{00000000-0005-0000-0000-0000FA690000}"/>
    <cellStyle name="Percent 2 4 4 8" xfId="27956" xr:uid="{00000000-0005-0000-0000-0000FB690000}"/>
    <cellStyle name="Percent 2 4 4 9" xfId="27957" xr:uid="{00000000-0005-0000-0000-0000FC690000}"/>
    <cellStyle name="Percent 2 4 5" xfId="27958" xr:uid="{00000000-0005-0000-0000-0000FD690000}"/>
    <cellStyle name="Percent 2 4 5 10" xfId="27959" xr:uid="{00000000-0005-0000-0000-0000FE690000}"/>
    <cellStyle name="Percent 2 4 5 11" xfId="27960" xr:uid="{00000000-0005-0000-0000-0000FF690000}"/>
    <cellStyle name="Percent 2 4 5 12" xfId="27961" xr:uid="{00000000-0005-0000-0000-0000006A0000}"/>
    <cellStyle name="Percent 2 4 5 13" xfId="27962" xr:uid="{00000000-0005-0000-0000-0000016A0000}"/>
    <cellStyle name="Percent 2 4 5 14" xfId="27963" xr:uid="{00000000-0005-0000-0000-0000026A0000}"/>
    <cellStyle name="Percent 2 4 5 15" xfId="27964" xr:uid="{00000000-0005-0000-0000-0000036A0000}"/>
    <cellStyle name="Percent 2 4 5 2" xfId="27965" xr:uid="{00000000-0005-0000-0000-0000046A0000}"/>
    <cellStyle name="Percent 2 4 5 3" xfId="27966" xr:uid="{00000000-0005-0000-0000-0000056A0000}"/>
    <cellStyle name="Percent 2 4 5 4" xfId="27967" xr:uid="{00000000-0005-0000-0000-0000066A0000}"/>
    <cellStyle name="Percent 2 4 5 5" xfId="27968" xr:uid="{00000000-0005-0000-0000-0000076A0000}"/>
    <cellStyle name="Percent 2 4 5 6" xfId="27969" xr:uid="{00000000-0005-0000-0000-0000086A0000}"/>
    <cellStyle name="Percent 2 4 5 7" xfId="27970" xr:uid="{00000000-0005-0000-0000-0000096A0000}"/>
    <cellStyle name="Percent 2 4 5 8" xfId="27971" xr:uid="{00000000-0005-0000-0000-00000A6A0000}"/>
    <cellStyle name="Percent 2 4 5 9" xfId="27972" xr:uid="{00000000-0005-0000-0000-00000B6A0000}"/>
    <cellStyle name="Percent 2 4 6" xfId="27973" xr:uid="{00000000-0005-0000-0000-00000C6A0000}"/>
    <cellStyle name="Percent 2 4 7" xfId="27974" xr:uid="{00000000-0005-0000-0000-00000D6A0000}"/>
    <cellStyle name="Percent 2 4 8" xfId="27975" xr:uid="{00000000-0005-0000-0000-00000E6A0000}"/>
    <cellStyle name="Percent 2 4 9" xfId="27976" xr:uid="{00000000-0005-0000-0000-00000F6A0000}"/>
    <cellStyle name="Percent 2 5" xfId="27977" xr:uid="{00000000-0005-0000-0000-0000106A0000}"/>
    <cellStyle name="Percent 2 5 10" xfId="27978" xr:uid="{00000000-0005-0000-0000-0000116A0000}"/>
    <cellStyle name="Percent 2 5 11" xfId="27979" xr:uid="{00000000-0005-0000-0000-0000126A0000}"/>
    <cellStyle name="Percent 2 5 12" xfId="27980" xr:uid="{00000000-0005-0000-0000-0000136A0000}"/>
    <cellStyle name="Percent 2 5 13" xfId="27981" xr:uid="{00000000-0005-0000-0000-0000146A0000}"/>
    <cellStyle name="Percent 2 5 14" xfId="27982" xr:uid="{00000000-0005-0000-0000-0000156A0000}"/>
    <cellStyle name="Percent 2 5 15" xfId="27983" xr:uid="{00000000-0005-0000-0000-0000166A0000}"/>
    <cellStyle name="Percent 2 5 16" xfId="27984" xr:uid="{00000000-0005-0000-0000-0000176A0000}"/>
    <cellStyle name="Percent 2 5 17" xfId="27985" xr:uid="{00000000-0005-0000-0000-0000186A0000}"/>
    <cellStyle name="Percent 2 5 18" xfId="27986" xr:uid="{00000000-0005-0000-0000-0000196A0000}"/>
    <cellStyle name="Percent 2 5 19" xfId="27987" xr:uid="{00000000-0005-0000-0000-00001A6A0000}"/>
    <cellStyle name="Percent 2 5 2" xfId="27988" xr:uid="{00000000-0005-0000-0000-00001B6A0000}"/>
    <cellStyle name="Percent 2 5 2 10" xfId="27989" xr:uid="{00000000-0005-0000-0000-00001C6A0000}"/>
    <cellStyle name="Percent 2 5 2 11" xfId="27990" xr:uid="{00000000-0005-0000-0000-00001D6A0000}"/>
    <cellStyle name="Percent 2 5 2 12" xfId="27991" xr:uid="{00000000-0005-0000-0000-00001E6A0000}"/>
    <cellStyle name="Percent 2 5 2 13" xfId="27992" xr:uid="{00000000-0005-0000-0000-00001F6A0000}"/>
    <cellStyle name="Percent 2 5 2 14" xfId="27993" xr:uid="{00000000-0005-0000-0000-0000206A0000}"/>
    <cellStyle name="Percent 2 5 2 15" xfId="27994" xr:uid="{00000000-0005-0000-0000-0000216A0000}"/>
    <cellStyle name="Percent 2 5 2 2" xfId="27995" xr:uid="{00000000-0005-0000-0000-0000226A0000}"/>
    <cellStyle name="Percent 2 5 2 3" xfId="27996" xr:uid="{00000000-0005-0000-0000-0000236A0000}"/>
    <cellStyle name="Percent 2 5 2 4" xfId="27997" xr:uid="{00000000-0005-0000-0000-0000246A0000}"/>
    <cellStyle name="Percent 2 5 2 5" xfId="27998" xr:uid="{00000000-0005-0000-0000-0000256A0000}"/>
    <cellStyle name="Percent 2 5 2 6" xfId="27999" xr:uid="{00000000-0005-0000-0000-0000266A0000}"/>
    <cellStyle name="Percent 2 5 2 7" xfId="28000" xr:uid="{00000000-0005-0000-0000-0000276A0000}"/>
    <cellStyle name="Percent 2 5 2 8" xfId="28001" xr:uid="{00000000-0005-0000-0000-0000286A0000}"/>
    <cellStyle name="Percent 2 5 2 9" xfId="28002" xr:uid="{00000000-0005-0000-0000-0000296A0000}"/>
    <cellStyle name="Percent 2 5 20" xfId="28003" xr:uid="{00000000-0005-0000-0000-00002A6A0000}"/>
    <cellStyle name="Percent 2 5 3" xfId="28004" xr:uid="{00000000-0005-0000-0000-00002B6A0000}"/>
    <cellStyle name="Percent 2 5 3 10" xfId="28005" xr:uid="{00000000-0005-0000-0000-00002C6A0000}"/>
    <cellStyle name="Percent 2 5 3 11" xfId="28006" xr:uid="{00000000-0005-0000-0000-00002D6A0000}"/>
    <cellStyle name="Percent 2 5 3 12" xfId="28007" xr:uid="{00000000-0005-0000-0000-00002E6A0000}"/>
    <cellStyle name="Percent 2 5 3 13" xfId="28008" xr:uid="{00000000-0005-0000-0000-00002F6A0000}"/>
    <cellStyle name="Percent 2 5 3 14" xfId="28009" xr:uid="{00000000-0005-0000-0000-0000306A0000}"/>
    <cellStyle name="Percent 2 5 3 15" xfId="28010" xr:uid="{00000000-0005-0000-0000-0000316A0000}"/>
    <cellStyle name="Percent 2 5 3 2" xfId="28011" xr:uid="{00000000-0005-0000-0000-0000326A0000}"/>
    <cellStyle name="Percent 2 5 3 3" xfId="28012" xr:uid="{00000000-0005-0000-0000-0000336A0000}"/>
    <cellStyle name="Percent 2 5 3 4" xfId="28013" xr:uid="{00000000-0005-0000-0000-0000346A0000}"/>
    <cellStyle name="Percent 2 5 3 5" xfId="28014" xr:uid="{00000000-0005-0000-0000-0000356A0000}"/>
    <cellStyle name="Percent 2 5 3 6" xfId="28015" xr:uid="{00000000-0005-0000-0000-0000366A0000}"/>
    <cellStyle name="Percent 2 5 3 7" xfId="28016" xr:uid="{00000000-0005-0000-0000-0000376A0000}"/>
    <cellStyle name="Percent 2 5 3 8" xfId="28017" xr:uid="{00000000-0005-0000-0000-0000386A0000}"/>
    <cellStyle name="Percent 2 5 3 9" xfId="28018" xr:uid="{00000000-0005-0000-0000-0000396A0000}"/>
    <cellStyle name="Percent 2 5 4" xfId="28019" xr:uid="{00000000-0005-0000-0000-00003A6A0000}"/>
    <cellStyle name="Percent 2 5 4 10" xfId="28020" xr:uid="{00000000-0005-0000-0000-00003B6A0000}"/>
    <cellStyle name="Percent 2 5 4 11" xfId="28021" xr:uid="{00000000-0005-0000-0000-00003C6A0000}"/>
    <cellStyle name="Percent 2 5 4 12" xfId="28022" xr:uid="{00000000-0005-0000-0000-00003D6A0000}"/>
    <cellStyle name="Percent 2 5 4 13" xfId="28023" xr:uid="{00000000-0005-0000-0000-00003E6A0000}"/>
    <cellStyle name="Percent 2 5 4 14" xfId="28024" xr:uid="{00000000-0005-0000-0000-00003F6A0000}"/>
    <cellStyle name="Percent 2 5 4 15" xfId="28025" xr:uid="{00000000-0005-0000-0000-0000406A0000}"/>
    <cellStyle name="Percent 2 5 4 2" xfId="28026" xr:uid="{00000000-0005-0000-0000-0000416A0000}"/>
    <cellStyle name="Percent 2 5 4 3" xfId="28027" xr:uid="{00000000-0005-0000-0000-0000426A0000}"/>
    <cellStyle name="Percent 2 5 4 4" xfId="28028" xr:uid="{00000000-0005-0000-0000-0000436A0000}"/>
    <cellStyle name="Percent 2 5 4 5" xfId="28029" xr:uid="{00000000-0005-0000-0000-0000446A0000}"/>
    <cellStyle name="Percent 2 5 4 6" xfId="28030" xr:uid="{00000000-0005-0000-0000-0000456A0000}"/>
    <cellStyle name="Percent 2 5 4 7" xfId="28031" xr:uid="{00000000-0005-0000-0000-0000466A0000}"/>
    <cellStyle name="Percent 2 5 4 8" xfId="28032" xr:uid="{00000000-0005-0000-0000-0000476A0000}"/>
    <cellStyle name="Percent 2 5 4 9" xfId="28033" xr:uid="{00000000-0005-0000-0000-0000486A0000}"/>
    <cellStyle name="Percent 2 5 5" xfId="28034" xr:uid="{00000000-0005-0000-0000-0000496A0000}"/>
    <cellStyle name="Percent 2 5 5 10" xfId="28035" xr:uid="{00000000-0005-0000-0000-00004A6A0000}"/>
    <cellStyle name="Percent 2 5 5 11" xfId="28036" xr:uid="{00000000-0005-0000-0000-00004B6A0000}"/>
    <cellStyle name="Percent 2 5 5 12" xfId="28037" xr:uid="{00000000-0005-0000-0000-00004C6A0000}"/>
    <cellStyle name="Percent 2 5 5 13" xfId="28038" xr:uid="{00000000-0005-0000-0000-00004D6A0000}"/>
    <cellStyle name="Percent 2 5 5 14" xfId="28039" xr:uid="{00000000-0005-0000-0000-00004E6A0000}"/>
    <cellStyle name="Percent 2 5 5 15" xfId="28040" xr:uid="{00000000-0005-0000-0000-00004F6A0000}"/>
    <cellStyle name="Percent 2 5 5 2" xfId="28041" xr:uid="{00000000-0005-0000-0000-0000506A0000}"/>
    <cellStyle name="Percent 2 5 5 3" xfId="28042" xr:uid="{00000000-0005-0000-0000-0000516A0000}"/>
    <cellStyle name="Percent 2 5 5 4" xfId="28043" xr:uid="{00000000-0005-0000-0000-0000526A0000}"/>
    <cellStyle name="Percent 2 5 5 5" xfId="28044" xr:uid="{00000000-0005-0000-0000-0000536A0000}"/>
    <cellStyle name="Percent 2 5 5 6" xfId="28045" xr:uid="{00000000-0005-0000-0000-0000546A0000}"/>
    <cellStyle name="Percent 2 5 5 7" xfId="28046" xr:uid="{00000000-0005-0000-0000-0000556A0000}"/>
    <cellStyle name="Percent 2 5 5 8" xfId="28047" xr:uid="{00000000-0005-0000-0000-0000566A0000}"/>
    <cellStyle name="Percent 2 5 5 9" xfId="28048" xr:uid="{00000000-0005-0000-0000-0000576A0000}"/>
    <cellStyle name="Percent 2 5 6" xfId="28049" xr:uid="{00000000-0005-0000-0000-0000586A0000}"/>
    <cellStyle name="Percent 2 5 7" xfId="28050" xr:uid="{00000000-0005-0000-0000-0000596A0000}"/>
    <cellStyle name="Percent 2 5 8" xfId="28051" xr:uid="{00000000-0005-0000-0000-00005A6A0000}"/>
    <cellStyle name="Percent 2 5 9" xfId="28052" xr:uid="{00000000-0005-0000-0000-00005B6A0000}"/>
    <cellStyle name="Percent 2 6" xfId="28053" xr:uid="{00000000-0005-0000-0000-00005C6A0000}"/>
    <cellStyle name="Percent 2 6 10" xfId="28054" xr:uid="{00000000-0005-0000-0000-00005D6A0000}"/>
    <cellStyle name="Percent 2 6 11" xfId="28055" xr:uid="{00000000-0005-0000-0000-00005E6A0000}"/>
    <cellStyle name="Percent 2 6 12" xfId="28056" xr:uid="{00000000-0005-0000-0000-00005F6A0000}"/>
    <cellStyle name="Percent 2 6 13" xfId="28057" xr:uid="{00000000-0005-0000-0000-0000606A0000}"/>
    <cellStyle name="Percent 2 6 14" xfId="28058" xr:uid="{00000000-0005-0000-0000-0000616A0000}"/>
    <cellStyle name="Percent 2 6 15" xfId="28059" xr:uid="{00000000-0005-0000-0000-0000626A0000}"/>
    <cellStyle name="Percent 2 6 2" xfId="28060" xr:uid="{00000000-0005-0000-0000-0000636A0000}"/>
    <cellStyle name="Percent 2 6 3" xfId="28061" xr:uid="{00000000-0005-0000-0000-0000646A0000}"/>
    <cellStyle name="Percent 2 6 4" xfId="28062" xr:uid="{00000000-0005-0000-0000-0000656A0000}"/>
    <cellStyle name="Percent 2 6 5" xfId="28063" xr:uid="{00000000-0005-0000-0000-0000666A0000}"/>
    <cellStyle name="Percent 2 6 6" xfId="28064" xr:uid="{00000000-0005-0000-0000-0000676A0000}"/>
    <cellStyle name="Percent 2 6 7" xfId="28065" xr:uid="{00000000-0005-0000-0000-0000686A0000}"/>
    <cellStyle name="Percent 2 6 8" xfId="28066" xr:uid="{00000000-0005-0000-0000-0000696A0000}"/>
    <cellStyle name="Percent 2 6 9" xfId="28067" xr:uid="{00000000-0005-0000-0000-00006A6A0000}"/>
    <cellStyle name="Percent 2 7" xfId="28068" xr:uid="{00000000-0005-0000-0000-00006B6A0000}"/>
    <cellStyle name="Percent 2 7 10" xfId="28069" xr:uid="{00000000-0005-0000-0000-00006C6A0000}"/>
    <cellStyle name="Percent 2 7 11" xfId="28070" xr:uid="{00000000-0005-0000-0000-00006D6A0000}"/>
    <cellStyle name="Percent 2 7 12" xfId="28071" xr:uid="{00000000-0005-0000-0000-00006E6A0000}"/>
    <cellStyle name="Percent 2 7 13" xfId="28072" xr:uid="{00000000-0005-0000-0000-00006F6A0000}"/>
    <cellStyle name="Percent 2 7 14" xfId="28073" xr:uid="{00000000-0005-0000-0000-0000706A0000}"/>
    <cellStyle name="Percent 2 7 15" xfId="28074" xr:uid="{00000000-0005-0000-0000-0000716A0000}"/>
    <cellStyle name="Percent 2 7 2" xfId="28075" xr:uid="{00000000-0005-0000-0000-0000726A0000}"/>
    <cellStyle name="Percent 2 7 3" xfId="28076" xr:uid="{00000000-0005-0000-0000-0000736A0000}"/>
    <cellStyle name="Percent 2 7 4" xfId="28077" xr:uid="{00000000-0005-0000-0000-0000746A0000}"/>
    <cellStyle name="Percent 2 7 5" xfId="28078" xr:uid="{00000000-0005-0000-0000-0000756A0000}"/>
    <cellStyle name="Percent 2 7 6" xfId="28079" xr:uid="{00000000-0005-0000-0000-0000766A0000}"/>
    <cellStyle name="Percent 2 7 7" xfId="28080" xr:uid="{00000000-0005-0000-0000-0000776A0000}"/>
    <cellStyle name="Percent 2 7 8" xfId="28081" xr:uid="{00000000-0005-0000-0000-0000786A0000}"/>
    <cellStyle name="Percent 2 7 9" xfId="28082" xr:uid="{00000000-0005-0000-0000-0000796A0000}"/>
    <cellStyle name="Percent 2 8" xfId="28083" xr:uid="{00000000-0005-0000-0000-00007A6A0000}"/>
    <cellStyle name="Percent 2 8 10" xfId="28084" xr:uid="{00000000-0005-0000-0000-00007B6A0000}"/>
    <cellStyle name="Percent 2 8 11" xfId="28085" xr:uid="{00000000-0005-0000-0000-00007C6A0000}"/>
    <cellStyle name="Percent 2 8 12" xfId="28086" xr:uid="{00000000-0005-0000-0000-00007D6A0000}"/>
    <cellStyle name="Percent 2 8 13" xfId="28087" xr:uid="{00000000-0005-0000-0000-00007E6A0000}"/>
    <cellStyle name="Percent 2 8 14" xfId="28088" xr:uid="{00000000-0005-0000-0000-00007F6A0000}"/>
    <cellStyle name="Percent 2 8 15" xfId="28089" xr:uid="{00000000-0005-0000-0000-0000806A0000}"/>
    <cellStyle name="Percent 2 8 2" xfId="28090" xr:uid="{00000000-0005-0000-0000-0000816A0000}"/>
    <cellStyle name="Percent 2 8 3" xfId="28091" xr:uid="{00000000-0005-0000-0000-0000826A0000}"/>
    <cellStyle name="Percent 2 8 4" xfId="28092" xr:uid="{00000000-0005-0000-0000-0000836A0000}"/>
    <cellStyle name="Percent 2 8 5" xfId="28093" xr:uid="{00000000-0005-0000-0000-0000846A0000}"/>
    <cellStyle name="Percent 2 8 6" xfId="28094" xr:uid="{00000000-0005-0000-0000-0000856A0000}"/>
    <cellStyle name="Percent 2 8 7" xfId="28095" xr:uid="{00000000-0005-0000-0000-0000866A0000}"/>
    <cellStyle name="Percent 2 8 8" xfId="28096" xr:uid="{00000000-0005-0000-0000-0000876A0000}"/>
    <cellStyle name="Percent 2 8 9" xfId="28097" xr:uid="{00000000-0005-0000-0000-0000886A0000}"/>
    <cellStyle name="Percent 2 9" xfId="28098" xr:uid="{00000000-0005-0000-0000-0000896A0000}"/>
    <cellStyle name="Percent 2 9 10" xfId="28099" xr:uid="{00000000-0005-0000-0000-00008A6A0000}"/>
    <cellStyle name="Percent 2 9 11" xfId="28100" xr:uid="{00000000-0005-0000-0000-00008B6A0000}"/>
    <cellStyle name="Percent 2 9 12" xfId="28101" xr:uid="{00000000-0005-0000-0000-00008C6A0000}"/>
    <cellStyle name="Percent 2 9 13" xfId="28102" xr:uid="{00000000-0005-0000-0000-00008D6A0000}"/>
    <cellStyle name="Percent 2 9 14" xfId="28103" xr:uid="{00000000-0005-0000-0000-00008E6A0000}"/>
    <cellStyle name="Percent 2 9 15" xfId="28104" xr:uid="{00000000-0005-0000-0000-00008F6A0000}"/>
    <cellStyle name="Percent 2 9 2" xfId="28105" xr:uid="{00000000-0005-0000-0000-0000906A0000}"/>
    <cellStyle name="Percent 2 9 3" xfId="28106" xr:uid="{00000000-0005-0000-0000-0000916A0000}"/>
    <cellStyle name="Percent 2 9 4" xfId="28107" xr:uid="{00000000-0005-0000-0000-0000926A0000}"/>
    <cellStyle name="Percent 2 9 5" xfId="28108" xr:uid="{00000000-0005-0000-0000-0000936A0000}"/>
    <cellStyle name="Percent 2 9 6" xfId="28109" xr:uid="{00000000-0005-0000-0000-0000946A0000}"/>
    <cellStyle name="Percent 2 9 7" xfId="28110" xr:uid="{00000000-0005-0000-0000-0000956A0000}"/>
    <cellStyle name="Percent 2 9 8" xfId="28111" xr:uid="{00000000-0005-0000-0000-0000966A0000}"/>
    <cellStyle name="Percent 2 9 9" xfId="28112" xr:uid="{00000000-0005-0000-0000-0000976A0000}"/>
    <cellStyle name="Percent 24" xfId="976" xr:uid="{300FDD50-A404-4A0A-A8E9-69C6DD25906F}"/>
    <cellStyle name="Percent 3" xfId="28113" xr:uid="{00000000-0005-0000-0000-0000986A0000}"/>
    <cellStyle name="Percent 3 10" xfId="28114" xr:uid="{00000000-0005-0000-0000-0000996A0000}"/>
    <cellStyle name="Percent 3 11" xfId="28115" xr:uid="{00000000-0005-0000-0000-00009A6A0000}"/>
    <cellStyle name="Percent 3 12" xfId="28116" xr:uid="{00000000-0005-0000-0000-00009B6A0000}"/>
    <cellStyle name="Percent 3 13" xfId="28117" xr:uid="{00000000-0005-0000-0000-00009C6A0000}"/>
    <cellStyle name="Percent 3 14" xfId="28118" xr:uid="{00000000-0005-0000-0000-00009D6A0000}"/>
    <cellStyle name="Percent 3 15" xfId="28119" xr:uid="{00000000-0005-0000-0000-00009E6A0000}"/>
    <cellStyle name="Percent 3 16" xfId="28120" xr:uid="{00000000-0005-0000-0000-00009F6A0000}"/>
    <cellStyle name="Percent 3 17" xfId="28121" xr:uid="{00000000-0005-0000-0000-0000A06A0000}"/>
    <cellStyle name="Percent 3 18" xfId="28122" xr:uid="{00000000-0005-0000-0000-0000A16A0000}"/>
    <cellStyle name="Percent 3 19" xfId="28123" xr:uid="{00000000-0005-0000-0000-0000A26A0000}"/>
    <cellStyle name="Percent 3 2" xfId="28124" xr:uid="{00000000-0005-0000-0000-0000A36A0000}"/>
    <cellStyle name="Percent 3 2 10" xfId="28125" xr:uid="{00000000-0005-0000-0000-0000A46A0000}"/>
    <cellStyle name="Percent 3 2 11" xfId="28126" xr:uid="{00000000-0005-0000-0000-0000A56A0000}"/>
    <cellStyle name="Percent 3 2 12" xfId="28127" xr:uid="{00000000-0005-0000-0000-0000A66A0000}"/>
    <cellStyle name="Percent 3 2 13" xfId="28128" xr:uid="{00000000-0005-0000-0000-0000A76A0000}"/>
    <cellStyle name="Percent 3 2 14" xfId="28129" xr:uid="{00000000-0005-0000-0000-0000A86A0000}"/>
    <cellStyle name="Percent 3 2 15" xfId="28130" xr:uid="{00000000-0005-0000-0000-0000A96A0000}"/>
    <cellStyle name="Percent 3 2 16" xfId="28131" xr:uid="{00000000-0005-0000-0000-0000AA6A0000}"/>
    <cellStyle name="Percent 3 2 17" xfId="28132" xr:uid="{00000000-0005-0000-0000-0000AB6A0000}"/>
    <cellStyle name="Percent 3 2 18" xfId="28133" xr:uid="{00000000-0005-0000-0000-0000AC6A0000}"/>
    <cellStyle name="Percent 3 2 19" xfId="28134" xr:uid="{00000000-0005-0000-0000-0000AD6A0000}"/>
    <cellStyle name="Percent 3 2 2" xfId="28135" xr:uid="{00000000-0005-0000-0000-0000AE6A0000}"/>
    <cellStyle name="Percent 3 2 2 10" xfId="28136" xr:uid="{00000000-0005-0000-0000-0000AF6A0000}"/>
    <cellStyle name="Percent 3 2 2 11" xfId="28137" xr:uid="{00000000-0005-0000-0000-0000B06A0000}"/>
    <cellStyle name="Percent 3 2 2 12" xfId="28138" xr:uid="{00000000-0005-0000-0000-0000B16A0000}"/>
    <cellStyle name="Percent 3 2 2 13" xfId="28139" xr:uid="{00000000-0005-0000-0000-0000B26A0000}"/>
    <cellStyle name="Percent 3 2 2 14" xfId="28140" xr:uid="{00000000-0005-0000-0000-0000B36A0000}"/>
    <cellStyle name="Percent 3 2 2 15" xfId="28141" xr:uid="{00000000-0005-0000-0000-0000B46A0000}"/>
    <cellStyle name="Percent 3 2 2 2" xfId="28142" xr:uid="{00000000-0005-0000-0000-0000B56A0000}"/>
    <cellStyle name="Percent 3 2 2 3" xfId="28143" xr:uid="{00000000-0005-0000-0000-0000B66A0000}"/>
    <cellStyle name="Percent 3 2 2 4" xfId="28144" xr:uid="{00000000-0005-0000-0000-0000B76A0000}"/>
    <cellStyle name="Percent 3 2 2 5" xfId="28145" xr:uid="{00000000-0005-0000-0000-0000B86A0000}"/>
    <cellStyle name="Percent 3 2 2 6" xfId="28146" xr:uid="{00000000-0005-0000-0000-0000B96A0000}"/>
    <cellStyle name="Percent 3 2 2 7" xfId="28147" xr:uid="{00000000-0005-0000-0000-0000BA6A0000}"/>
    <cellStyle name="Percent 3 2 2 8" xfId="28148" xr:uid="{00000000-0005-0000-0000-0000BB6A0000}"/>
    <cellStyle name="Percent 3 2 2 9" xfId="28149" xr:uid="{00000000-0005-0000-0000-0000BC6A0000}"/>
    <cellStyle name="Percent 3 2 20" xfId="28150" xr:uid="{00000000-0005-0000-0000-0000BD6A0000}"/>
    <cellStyle name="Percent 3 2 3" xfId="28151" xr:uid="{00000000-0005-0000-0000-0000BE6A0000}"/>
    <cellStyle name="Percent 3 2 3 10" xfId="28152" xr:uid="{00000000-0005-0000-0000-0000BF6A0000}"/>
    <cellStyle name="Percent 3 2 3 11" xfId="28153" xr:uid="{00000000-0005-0000-0000-0000C06A0000}"/>
    <cellStyle name="Percent 3 2 3 12" xfId="28154" xr:uid="{00000000-0005-0000-0000-0000C16A0000}"/>
    <cellStyle name="Percent 3 2 3 13" xfId="28155" xr:uid="{00000000-0005-0000-0000-0000C26A0000}"/>
    <cellStyle name="Percent 3 2 3 14" xfId="28156" xr:uid="{00000000-0005-0000-0000-0000C36A0000}"/>
    <cellStyle name="Percent 3 2 3 15" xfId="28157" xr:uid="{00000000-0005-0000-0000-0000C46A0000}"/>
    <cellStyle name="Percent 3 2 3 2" xfId="28158" xr:uid="{00000000-0005-0000-0000-0000C56A0000}"/>
    <cellStyle name="Percent 3 2 3 3" xfId="28159" xr:uid="{00000000-0005-0000-0000-0000C66A0000}"/>
    <cellStyle name="Percent 3 2 3 4" xfId="28160" xr:uid="{00000000-0005-0000-0000-0000C76A0000}"/>
    <cellStyle name="Percent 3 2 3 5" xfId="28161" xr:uid="{00000000-0005-0000-0000-0000C86A0000}"/>
    <cellStyle name="Percent 3 2 3 6" xfId="28162" xr:uid="{00000000-0005-0000-0000-0000C96A0000}"/>
    <cellStyle name="Percent 3 2 3 7" xfId="28163" xr:uid="{00000000-0005-0000-0000-0000CA6A0000}"/>
    <cellStyle name="Percent 3 2 3 8" xfId="28164" xr:uid="{00000000-0005-0000-0000-0000CB6A0000}"/>
    <cellStyle name="Percent 3 2 3 9" xfId="28165" xr:uid="{00000000-0005-0000-0000-0000CC6A0000}"/>
    <cellStyle name="Percent 3 2 4" xfId="28166" xr:uid="{00000000-0005-0000-0000-0000CD6A0000}"/>
    <cellStyle name="Percent 3 2 4 10" xfId="28167" xr:uid="{00000000-0005-0000-0000-0000CE6A0000}"/>
    <cellStyle name="Percent 3 2 4 11" xfId="28168" xr:uid="{00000000-0005-0000-0000-0000CF6A0000}"/>
    <cellStyle name="Percent 3 2 4 12" xfId="28169" xr:uid="{00000000-0005-0000-0000-0000D06A0000}"/>
    <cellStyle name="Percent 3 2 4 13" xfId="28170" xr:uid="{00000000-0005-0000-0000-0000D16A0000}"/>
    <cellStyle name="Percent 3 2 4 14" xfId="28171" xr:uid="{00000000-0005-0000-0000-0000D26A0000}"/>
    <cellStyle name="Percent 3 2 4 15" xfId="28172" xr:uid="{00000000-0005-0000-0000-0000D36A0000}"/>
    <cellStyle name="Percent 3 2 4 2" xfId="28173" xr:uid="{00000000-0005-0000-0000-0000D46A0000}"/>
    <cellStyle name="Percent 3 2 4 3" xfId="28174" xr:uid="{00000000-0005-0000-0000-0000D56A0000}"/>
    <cellStyle name="Percent 3 2 4 4" xfId="28175" xr:uid="{00000000-0005-0000-0000-0000D66A0000}"/>
    <cellStyle name="Percent 3 2 4 5" xfId="28176" xr:uid="{00000000-0005-0000-0000-0000D76A0000}"/>
    <cellStyle name="Percent 3 2 4 6" xfId="28177" xr:uid="{00000000-0005-0000-0000-0000D86A0000}"/>
    <cellStyle name="Percent 3 2 4 7" xfId="28178" xr:uid="{00000000-0005-0000-0000-0000D96A0000}"/>
    <cellStyle name="Percent 3 2 4 8" xfId="28179" xr:uid="{00000000-0005-0000-0000-0000DA6A0000}"/>
    <cellStyle name="Percent 3 2 4 9" xfId="28180" xr:uid="{00000000-0005-0000-0000-0000DB6A0000}"/>
    <cellStyle name="Percent 3 2 5" xfId="28181" xr:uid="{00000000-0005-0000-0000-0000DC6A0000}"/>
    <cellStyle name="Percent 3 2 5 10" xfId="28182" xr:uid="{00000000-0005-0000-0000-0000DD6A0000}"/>
    <cellStyle name="Percent 3 2 5 11" xfId="28183" xr:uid="{00000000-0005-0000-0000-0000DE6A0000}"/>
    <cellStyle name="Percent 3 2 5 12" xfId="28184" xr:uid="{00000000-0005-0000-0000-0000DF6A0000}"/>
    <cellStyle name="Percent 3 2 5 13" xfId="28185" xr:uid="{00000000-0005-0000-0000-0000E06A0000}"/>
    <cellStyle name="Percent 3 2 5 14" xfId="28186" xr:uid="{00000000-0005-0000-0000-0000E16A0000}"/>
    <cellStyle name="Percent 3 2 5 15" xfId="28187" xr:uid="{00000000-0005-0000-0000-0000E26A0000}"/>
    <cellStyle name="Percent 3 2 5 2" xfId="28188" xr:uid="{00000000-0005-0000-0000-0000E36A0000}"/>
    <cellStyle name="Percent 3 2 5 3" xfId="28189" xr:uid="{00000000-0005-0000-0000-0000E46A0000}"/>
    <cellStyle name="Percent 3 2 5 4" xfId="28190" xr:uid="{00000000-0005-0000-0000-0000E56A0000}"/>
    <cellStyle name="Percent 3 2 5 5" xfId="28191" xr:uid="{00000000-0005-0000-0000-0000E66A0000}"/>
    <cellStyle name="Percent 3 2 5 6" xfId="28192" xr:uid="{00000000-0005-0000-0000-0000E76A0000}"/>
    <cellStyle name="Percent 3 2 5 7" xfId="28193" xr:uid="{00000000-0005-0000-0000-0000E86A0000}"/>
    <cellStyle name="Percent 3 2 5 8" xfId="28194" xr:uid="{00000000-0005-0000-0000-0000E96A0000}"/>
    <cellStyle name="Percent 3 2 5 9" xfId="28195" xr:uid="{00000000-0005-0000-0000-0000EA6A0000}"/>
    <cellStyle name="Percent 3 2 6" xfId="28196" xr:uid="{00000000-0005-0000-0000-0000EB6A0000}"/>
    <cellStyle name="Percent 3 2 7" xfId="28197" xr:uid="{00000000-0005-0000-0000-0000EC6A0000}"/>
    <cellStyle name="Percent 3 2 8" xfId="28198" xr:uid="{00000000-0005-0000-0000-0000ED6A0000}"/>
    <cellStyle name="Percent 3 2 9" xfId="28199" xr:uid="{00000000-0005-0000-0000-0000EE6A0000}"/>
    <cellStyle name="Percent 3 20" xfId="28200" xr:uid="{00000000-0005-0000-0000-0000EF6A0000}"/>
    <cellStyle name="Percent 3 21" xfId="28201" xr:uid="{00000000-0005-0000-0000-0000F06A0000}"/>
    <cellStyle name="Percent 3 22" xfId="28202" xr:uid="{00000000-0005-0000-0000-0000F16A0000}"/>
    <cellStyle name="Percent 3 23" xfId="28203" xr:uid="{00000000-0005-0000-0000-0000F26A0000}"/>
    <cellStyle name="Percent 3 3" xfId="28204" xr:uid="{00000000-0005-0000-0000-0000F36A0000}"/>
    <cellStyle name="Percent 3 3 10" xfId="28205" xr:uid="{00000000-0005-0000-0000-0000F46A0000}"/>
    <cellStyle name="Percent 3 3 11" xfId="28206" xr:uid="{00000000-0005-0000-0000-0000F56A0000}"/>
    <cellStyle name="Percent 3 3 12" xfId="28207" xr:uid="{00000000-0005-0000-0000-0000F66A0000}"/>
    <cellStyle name="Percent 3 3 13" xfId="28208" xr:uid="{00000000-0005-0000-0000-0000F76A0000}"/>
    <cellStyle name="Percent 3 3 14" xfId="28209" xr:uid="{00000000-0005-0000-0000-0000F86A0000}"/>
    <cellStyle name="Percent 3 3 15" xfId="28210" xr:uid="{00000000-0005-0000-0000-0000F96A0000}"/>
    <cellStyle name="Percent 3 3 16" xfId="28211" xr:uid="{00000000-0005-0000-0000-0000FA6A0000}"/>
    <cellStyle name="Percent 3 3 17" xfId="28212" xr:uid="{00000000-0005-0000-0000-0000FB6A0000}"/>
    <cellStyle name="Percent 3 3 18" xfId="28213" xr:uid="{00000000-0005-0000-0000-0000FC6A0000}"/>
    <cellStyle name="Percent 3 3 19" xfId="28214" xr:uid="{00000000-0005-0000-0000-0000FD6A0000}"/>
    <cellStyle name="Percent 3 3 2" xfId="28215" xr:uid="{00000000-0005-0000-0000-0000FE6A0000}"/>
    <cellStyle name="Percent 3 3 2 10" xfId="28216" xr:uid="{00000000-0005-0000-0000-0000FF6A0000}"/>
    <cellStyle name="Percent 3 3 2 11" xfId="28217" xr:uid="{00000000-0005-0000-0000-0000006B0000}"/>
    <cellStyle name="Percent 3 3 2 12" xfId="28218" xr:uid="{00000000-0005-0000-0000-0000016B0000}"/>
    <cellStyle name="Percent 3 3 2 13" xfId="28219" xr:uid="{00000000-0005-0000-0000-0000026B0000}"/>
    <cellStyle name="Percent 3 3 2 14" xfId="28220" xr:uid="{00000000-0005-0000-0000-0000036B0000}"/>
    <cellStyle name="Percent 3 3 2 15" xfId="28221" xr:uid="{00000000-0005-0000-0000-0000046B0000}"/>
    <cellStyle name="Percent 3 3 2 2" xfId="28222" xr:uid="{00000000-0005-0000-0000-0000056B0000}"/>
    <cellStyle name="Percent 3 3 2 3" xfId="28223" xr:uid="{00000000-0005-0000-0000-0000066B0000}"/>
    <cellStyle name="Percent 3 3 2 4" xfId="28224" xr:uid="{00000000-0005-0000-0000-0000076B0000}"/>
    <cellStyle name="Percent 3 3 2 5" xfId="28225" xr:uid="{00000000-0005-0000-0000-0000086B0000}"/>
    <cellStyle name="Percent 3 3 2 6" xfId="28226" xr:uid="{00000000-0005-0000-0000-0000096B0000}"/>
    <cellStyle name="Percent 3 3 2 7" xfId="28227" xr:uid="{00000000-0005-0000-0000-00000A6B0000}"/>
    <cellStyle name="Percent 3 3 2 8" xfId="28228" xr:uid="{00000000-0005-0000-0000-00000B6B0000}"/>
    <cellStyle name="Percent 3 3 2 9" xfId="28229" xr:uid="{00000000-0005-0000-0000-00000C6B0000}"/>
    <cellStyle name="Percent 3 3 20" xfId="28230" xr:uid="{00000000-0005-0000-0000-00000D6B0000}"/>
    <cellStyle name="Percent 3 3 3" xfId="28231" xr:uid="{00000000-0005-0000-0000-00000E6B0000}"/>
    <cellStyle name="Percent 3 3 3 10" xfId="28232" xr:uid="{00000000-0005-0000-0000-00000F6B0000}"/>
    <cellStyle name="Percent 3 3 3 11" xfId="28233" xr:uid="{00000000-0005-0000-0000-0000106B0000}"/>
    <cellStyle name="Percent 3 3 3 12" xfId="28234" xr:uid="{00000000-0005-0000-0000-0000116B0000}"/>
    <cellStyle name="Percent 3 3 3 13" xfId="28235" xr:uid="{00000000-0005-0000-0000-0000126B0000}"/>
    <cellStyle name="Percent 3 3 3 14" xfId="28236" xr:uid="{00000000-0005-0000-0000-0000136B0000}"/>
    <cellStyle name="Percent 3 3 3 15" xfId="28237" xr:uid="{00000000-0005-0000-0000-0000146B0000}"/>
    <cellStyle name="Percent 3 3 3 2" xfId="28238" xr:uid="{00000000-0005-0000-0000-0000156B0000}"/>
    <cellStyle name="Percent 3 3 3 3" xfId="28239" xr:uid="{00000000-0005-0000-0000-0000166B0000}"/>
    <cellStyle name="Percent 3 3 3 4" xfId="28240" xr:uid="{00000000-0005-0000-0000-0000176B0000}"/>
    <cellStyle name="Percent 3 3 3 5" xfId="28241" xr:uid="{00000000-0005-0000-0000-0000186B0000}"/>
    <cellStyle name="Percent 3 3 3 6" xfId="28242" xr:uid="{00000000-0005-0000-0000-0000196B0000}"/>
    <cellStyle name="Percent 3 3 3 7" xfId="28243" xr:uid="{00000000-0005-0000-0000-00001A6B0000}"/>
    <cellStyle name="Percent 3 3 3 8" xfId="28244" xr:uid="{00000000-0005-0000-0000-00001B6B0000}"/>
    <cellStyle name="Percent 3 3 3 9" xfId="28245" xr:uid="{00000000-0005-0000-0000-00001C6B0000}"/>
    <cellStyle name="Percent 3 3 4" xfId="28246" xr:uid="{00000000-0005-0000-0000-00001D6B0000}"/>
    <cellStyle name="Percent 3 3 4 10" xfId="28247" xr:uid="{00000000-0005-0000-0000-00001E6B0000}"/>
    <cellStyle name="Percent 3 3 4 11" xfId="28248" xr:uid="{00000000-0005-0000-0000-00001F6B0000}"/>
    <cellStyle name="Percent 3 3 4 12" xfId="28249" xr:uid="{00000000-0005-0000-0000-0000206B0000}"/>
    <cellStyle name="Percent 3 3 4 13" xfId="28250" xr:uid="{00000000-0005-0000-0000-0000216B0000}"/>
    <cellStyle name="Percent 3 3 4 14" xfId="28251" xr:uid="{00000000-0005-0000-0000-0000226B0000}"/>
    <cellStyle name="Percent 3 3 4 15" xfId="28252" xr:uid="{00000000-0005-0000-0000-0000236B0000}"/>
    <cellStyle name="Percent 3 3 4 2" xfId="28253" xr:uid="{00000000-0005-0000-0000-0000246B0000}"/>
    <cellStyle name="Percent 3 3 4 3" xfId="28254" xr:uid="{00000000-0005-0000-0000-0000256B0000}"/>
    <cellStyle name="Percent 3 3 4 4" xfId="28255" xr:uid="{00000000-0005-0000-0000-0000266B0000}"/>
    <cellStyle name="Percent 3 3 4 5" xfId="28256" xr:uid="{00000000-0005-0000-0000-0000276B0000}"/>
    <cellStyle name="Percent 3 3 4 6" xfId="28257" xr:uid="{00000000-0005-0000-0000-0000286B0000}"/>
    <cellStyle name="Percent 3 3 4 7" xfId="28258" xr:uid="{00000000-0005-0000-0000-0000296B0000}"/>
    <cellStyle name="Percent 3 3 4 8" xfId="28259" xr:uid="{00000000-0005-0000-0000-00002A6B0000}"/>
    <cellStyle name="Percent 3 3 4 9" xfId="28260" xr:uid="{00000000-0005-0000-0000-00002B6B0000}"/>
    <cellStyle name="Percent 3 3 5" xfId="28261" xr:uid="{00000000-0005-0000-0000-00002C6B0000}"/>
    <cellStyle name="Percent 3 3 5 10" xfId="28262" xr:uid="{00000000-0005-0000-0000-00002D6B0000}"/>
    <cellStyle name="Percent 3 3 5 11" xfId="28263" xr:uid="{00000000-0005-0000-0000-00002E6B0000}"/>
    <cellStyle name="Percent 3 3 5 12" xfId="28264" xr:uid="{00000000-0005-0000-0000-00002F6B0000}"/>
    <cellStyle name="Percent 3 3 5 13" xfId="28265" xr:uid="{00000000-0005-0000-0000-0000306B0000}"/>
    <cellStyle name="Percent 3 3 5 14" xfId="28266" xr:uid="{00000000-0005-0000-0000-0000316B0000}"/>
    <cellStyle name="Percent 3 3 5 15" xfId="28267" xr:uid="{00000000-0005-0000-0000-0000326B0000}"/>
    <cellStyle name="Percent 3 3 5 2" xfId="28268" xr:uid="{00000000-0005-0000-0000-0000336B0000}"/>
    <cellStyle name="Percent 3 3 5 3" xfId="28269" xr:uid="{00000000-0005-0000-0000-0000346B0000}"/>
    <cellStyle name="Percent 3 3 5 4" xfId="28270" xr:uid="{00000000-0005-0000-0000-0000356B0000}"/>
    <cellStyle name="Percent 3 3 5 5" xfId="28271" xr:uid="{00000000-0005-0000-0000-0000366B0000}"/>
    <cellStyle name="Percent 3 3 5 6" xfId="28272" xr:uid="{00000000-0005-0000-0000-0000376B0000}"/>
    <cellStyle name="Percent 3 3 5 7" xfId="28273" xr:uid="{00000000-0005-0000-0000-0000386B0000}"/>
    <cellStyle name="Percent 3 3 5 8" xfId="28274" xr:uid="{00000000-0005-0000-0000-0000396B0000}"/>
    <cellStyle name="Percent 3 3 5 9" xfId="28275" xr:uid="{00000000-0005-0000-0000-00003A6B0000}"/>
    <cellStyle name="Percent 3 3 6" xfId="28276" xr:uid="{00000000-0005-0000-0000-00003B6B0000}"/>
    <cellStyle name="Percent 3 3 7" xfId="28277" xr:uid="{00000000-0005-0000-0000-00003C6B0000}"/>
    <cellStyle name="Percent 3 3 8" xfId="28278" xr:uid="{00000000-0005-0000-0000-00003D6B0000}"/>
    <cellStyle name="Percent 3 3 9" xfId="28279" xr:uid="{00000000-0005-0000-0000-00003E6B0000}"/>
    <cellStyle name="Percent 3 4" xfId="28280" xr:uid="{00000000-0005-0000-0000-00003F6B0000}"/>
    <cellStyle name="Percent 3 4 10" xfId="28281" xr:uid="{00000000-0005-0000-0000-0000406B0000}"/>
    <cellStyle name="Percent 3 4 11" xfId="28282" xr:uid="{00000000-0005-0000-0000-0000416B0000}"/>
    <cellStyle name="Percent 3 4 12" xfId="28283" xr:uid="{00000000-0005-0000-0000-0000426B0000}"/>
    <cellStyle name="Percent 3 4 13" xfId="28284" xr:uid="{00000000-0005-0000-0000-0000436B0000}"/>
    <cellStyle name="Percent 3 4 14" xfId="28285" xr:uid="{00000000-0005-0000-0000-0000446B0000}"/>
    <cellStyle name="Percent 3 4 15" xfId="28286" xr:uid="{00000000-0005-0000-0000-0000456B0000}"/>
    <cellStyle name="Percent 3 4 16" xfId="28287" xr:uid="{00000000-0005-0000-0000-0000466B0000}"/>
    <cellStyle name="Percent 3 4 17" xfId="28288" xr:uid="{00000000-0005-0000-0000-0000476B0000}"/>
    <cellStyle name="Percent 3 4 18" xfId="28289" xr:uid="{00000000-0005-0000-0000-0000486B0000}"/>
    <cellStyle name="Percent 3 4 19" xfId="28290" xr:uid="{00000000-0005-0000-0000-0000496B0000}"/>
    <cellStyle name="Percent 3 4 2" xfId="28291" xr:uid="{00000000-0005-0000-0000-00004A6B0000}"/>
    <cellStyle name="Percent 3 4 2 10" xfId="28292" xr:uid="{00000000-0005-0000-0000-00004B6B0000}"/>
    <cellStyle name="Percent 3 4 2 11" xfId="28293" xr:uid="{00000000-0005-0000-0000-00004C6B0000}"/>
    <cellStyle name="Percent 3 4 2 12" xfId="28294" xr:uid="{00000000-0005-0000-0000-00004D6B0000}"/>
    <cellStyle name="Percent 3 4 2 13" xfId="28295" xr:uid="{00000000-0005-0000-0000-00004E6B0000}"/>
    <cellStyle name="Percent 3 4 2 14" xfId="28296" xr:uid="{00000000-0005-0000-0000-00004F6B0000}"/>
    <cellStyle name="Percent 3 4 2 15" xfId="28297" xr:uid="{00000000-0005-0000-0000-0000506B0000}"/>
    <cellStyle name="Percent 3 4 2 2" xfId="28298" xr:uid="{00000000-0005-0000-0000-0000516B0000}"/>
    <cellStyle name="Percent 3 4 2 3" xfId="28299" xr:uid="{00000000-0005-0000-0000-0000526B0000}"/>
    <cellStyle name="Percent 3 4 2 4" xfId="28300" xr:uid="{00000000-0005-0000-0000-0000536B0000}"/>
    <cellStyle name="Percent 3 4 2 5" xfId="28301" xr:uid="{00000000-0005-0000-0000-0000546B0000}"/>
    <cellStyle name="Percent 3 4 2 6" xfId="28302" xr:uid="{00000000-0005-0000-0000-0000556B0000}"/>
    <cellStyle name="Percent 3 4 2 7" xfId="28303" xr:uid="{00000000-0005-0000-0000-0000566B0000}"/>
    <cellStyle name="Percent 3 4 2 8" xfId="28304" xr:uid="{00000000-0005-0000-0000-0000576B0000}"/>
    <cellStyle name="Percent 3 4 2 9" xfId="28305" xr:uid="{00000000-0005-0000-0000-0000586B0000}"/>
    <cellStyle name="Percent 3 4 20" xfId="28306" xr:uid="{00000000-0005-0000-0000-0000596B0000}"/>
    <cellStyle name="Percent 3 4 3" xfId="28307" xr:uid="{00000000-0005-0000-0000-00005A6B0000}"/>
    <cellStyle name="Percent 3 4 3 10" xfId="28308" xr:uid="{00000000-0005-0000-0000-00005B6B0000}"/>
    <cellStyle name="Percent 3 4 3 11" xfId="28309" xr:uid="{00000000-0005-0000-0000-00005C6B0000}"/>
    <cellStyle name="Percent 3 4 3 12" xfId="28310" xr:uid="{00000000-0005-0000-0000-00005D6B0000}"/>
    <cellStyle name="Percent 3 4 3 13" xfId="28311" xr:uid="{00000000-0005-0000-0000-00005E6B0000}"/>
    <cellStyle name="Percent 3 4 3 14" xfId="28312" xr:uid="{00000000-0005-0000-0000-00005F6B0000}"/>
    <cellStyle name="Percent 3 4 3 15" xfId="28313" xr:uid="{00000000-0005-0000-0000-0000606B0000}"/>
    <cellStyle name="Percent 3 4 3 2" xfId="28314" xr:uid="{00000000-0005-0000-0000-0000616B0000}"/>
    <cellStyle name="Percent 3 4 3 3" xfId="28315" xr:uid="{00000000-0005-0000-0000-0000626B0000}"/>
    <cellStyle name="Percent 3 4 3 4" xfId="28316" xr:uid="{00000000-0005-0000-0000-0000636B0000}"/>
    <cellStyle name="Percent 3 4 3 5" xfId="28317" xr:uid="{00000000-0005-0000-0000-0000646B0000}"/>
    <cellStyle name="Percent 3 4 3 6" xfId="28318" xr:uid="{00000000-0005-0000-0000-0000656B0000}"/>
    <cellStyle name="Percent 3 4 3 7" xfId="28319" xr:uid="{00000000-0005-0000-0000-0000666B0000}"/>
    <cellStyle name="Percent 3 4 3 8" xfId="28320" xr:uid="{00000000-0005-0000-0000-0000676B0000}"/>
    <cellStyle name="Percent 3 4 3 9" xfId="28321" xr:uid="{00000000-0005-0000-0000-0000686B0000}"/>
    <cellStyle name="Percent 3 4 4" xfId="28322" xr:uid="{00000000-0005-0000-0000-0000696B0000}"/>
    <cellStyle name="Percent 3 4 4 10" xfId="28323" xr:uid="{00000000-0005-0000-0000-00006A6B0000}"/>
    <cellStyle name="Percent 3 4 4 11" xfId="28324" xr:uid="{00000000-0005-0000-0000-00006B6B0000}"/>
    <cellStyle name="Percent 3 4 4 12" xfId="28325" xr:uid="{00000000-0005-0000-0000-00006C6B0000}"/>
    <cellStyle name="Percent 3 4 4 13" xfId="28326" xr:uid="{00000000-0005-0000-0000-00006D6B0000}"/>
    <cellStyle name="Percent 3 4 4 14" xfId="28327" xr:uid="{00000000-0005-0000-0000-00006E6B0000}"/>
    <cellStyle name="Percent 3 4 4 15" xfId="28328" xr:uid="{00000000-0005-0000-0000-00006F6B0000}"/>
    <cellStyle name="Percent 3 4 4 2" xfId="28329" xr:uid="{00000000-0005-0000-0000-0000706B0000}"/>
    <cellStyle name="Percent 3 4 4 3" xfId="28330" xr:uid="{00000000-0005-0000-0000-0000716B0000}"/>
    <cellStyle name="Percent 3 4 4 4" xfId="28331" xr:uid="{00000000-0005-0000-0000-0000726B0000}"/>
    <cellStyle name="Percent 3 4 4 5" xfId="28332" xr:uid="{00000000-0005-0000-0000-0000736B0000}"/>
    <cellStyle name="Percent 3 4 4 6" xfId="28333" xr:uid="{00000000-0005-0000-0000-0000746B0000}"/>
    <cellStyle name="Percent 3 4 4 7" xfId="28334" xr:uid="{00000000-0005-0000-0000-0000756B0000}"/>
    <cellStyle name="Percent 3 4 4 8" xfId="28335" xr:uid="{00000000-0005-0000-0000-0000766B0000}"/>
    <cellStyle name="Percent 3 4 4 9" xfId="28336" xr:uid="{00000000-0005-0000-0000-0000776B0000}"/>
    <cellStyle name="Percent 3 4 5" xfId="28337" xr:uid="{00000000-0005-0000-0000-0000786B0000}"/>
    <cellStyle name="Percent 3 4 5 10" xfId="28338" xr:uid="{00000000-0005-0000-0000-0000796B0000}"/>
    <cellStyle name="Percent 3 4 5 11" xfId="28339" xr:uid="{00000000-0005-0000-0000-00007A6B0000}"/>
    <cellStyle name="Percent 3 4 5 12" xfId="28340" xr:uid="{00000000-0005-0000-0000-00007B6B0000}"/>
    <cellStyle name="Percent 3 4 5 13" xfId="28341" xr:uid="{00000000-0005-0000-0000-00007C6B0000}"/>
    <cellStyle name="Percent 3 4 5 14" xfId="28342" xr:uid="{00000000-0005-0000-0000-00007D6B0000}"/>
    <cellStyle name="Percent 3 4 5 15" xfId="28343" xr:uid="{00000000-0005-0000-0000-00007E6B0000}"/>
    <cellStyle name="Percent 3 4 5 2" xfId="28344" xr:uid="{00000000-0005-0000-0000-00007F6B0000}"/>
    <cellStyle name="Percent 3 4 5 3" xfId="28345" xr:uid="{00000000-0005-0000-0000-0000806B0000}"/>
    <cellStyle name="Percent 3 4 5 4" xfId="28346" xr:uid="{00000000-0005-0000-0000-0000816B0000}"/>
    <cellStyle name="Percent 3 4 5 5" xfId="28347" xr:uid="{00000000-0005-0000-0000-0000826B0000}"/>
    <cellStyle name="Percent 3 4 5 6" xfId="28348" xr:uid="{00000000-0005-0000-0000-0000836B0000}"/>
    <cellStyle name="Percent 3 4 5 7" xfId="28349" xr:uid="{00000000-0005-0000-0000-0000846B0000}"/>
    <cellStyle name="Percent 3 4 5 8" xfId="28350" xr:uid="{00000000-0005-0000-0000-0000856B0000}"/>
    <cellStyle name="Percent 3 4 5 9" xfId="28351" xr:uid="{00000000-0005-0000-0000-0000866B0000}"/>
    <cellStyle name="Percent 3 4 6" xfId="28352" xr:uid="{00000000-0005-0000-0000-0000876B0000}"/>
    <cellStyle name="Percent 3 4 7" xfId="28353" xr:uid="{00000000-0005-0000-0000-0000886B0000}"/>
    <cellStyle name="Percent 3 4 8" xfId="28354" xr:uid="{00000000-0005-0000-0000-0000896B0000}"/>
    <cellStyle name="Percent 3 4 9" xfId="28355" xr:uid="{00000000-0005-0000-0000-00008A6B0000}"/>
    <cellStyle name="Percent 3 5" xfId="28356" xr:uid="{00000000-0005-0000-0000-00008B6B0000}"/>
    <cellStyle name="Percent 3 5 10" xfId="28357" xr:uid="{00000000-0005-0000-0000-00008C6B0000}"/>
    <cellStyle name="Percent 3 5 11" xfId="28358" xr:uid="{00000000-0005-0000-0000-00008D6B0000}"/>
    <cellStyle name="Percent 3 5 12" xfId="28359" xr:uid="{00000000-0005-0000-0000-00008E6B0000}"/>
    <cellStyle name="Percent 3 5 13" xfId="28360" xr:uid="{00000000-0005-0000-0000-00008F6B0000}"/>
    <cellStyle name="Percent 3 5 14" xfId="28361" xr:uid="{00000000-0005-0000-0000-0000906B0000}"/>
    <cellStyle name="Percent 3 5 15" xfId="28362" xr:uid="{00000000-0005-0000-0000-0000916B0000}"/>
    <cellStyle name="Percent 3 5 2" xfId="28363" xr:uid="{00000000-0005-0000-0000-0000926B0000}"/>
    <cellStyle name="Percent 3 5 3" xfId="28364" xr:uid="{00000000-0005-0000-0000-0000936B0000}"/>
    <cellStyle name="Percent 3 5 4" xfId="28365" xr:uid="{00000000-0005-0000-0000-0000946B0000}"/>
    <cellStyle name="Percent 3 5 5" xfId="28366" xr:uid="{00000000-0005-0000-0000-0000956B0000}"/>
    <cellStyle name="Percent 3 5 6" xfId="28367" xr:uid="{00000000-0005-0000-0000-0000966B0000}"/>
    <cellStyle name="Percent 3 5 7" xfId="28368" xr:uid="{00000000-0005-0000-0000-0000976B0000}"/>
    <cellStyle name="Percent 3 5 8" xfId="28369" xr:uid="{00000000-0005-0000-0000-0000986B0000}"/>
    <cellStyle name="Percent 3 5 9" xfId="28370" xr:uid="{00000000-0005-0000-0000-0000996B0000}"/>
    <cellStyle name="Percent 3 6" xfId="28371" xr:uid="{00000000-0005-0000-0000-00009A6B0000}"/>
    <cellStyle name="Percent 3 6 10" xfId="28372" xr:uid="{00000000-0005-0000-0000-00009B6B0000}"/>
    <cellStyle name="Percent 3 6 11" xfId="28373" xr:uid="{00000000-0005-0000-0000-00009C6B0000}"/>
    <cellStyle name="Percent 3 6 12" xfId="28374" xr:uid="{00000000-0005-0000-0000-00009D6B0000}"/>
    <cellStyle name="Percent 3 6 13" xfId="28375" xr:uid="{00000000-0005-0000-0000-00009E6B0000}"/>
    <cellStyle name="Percent 3 6 14" xfId="28376" xr:uid="{00000000-0005-0000-0000-00009F6B0000}"/>
    <cellStyle name="Percent 3 6 15" xfId="28377" xr:uid="{00000000-0005-0000-0000-0000A06B0000}"/>
    <cellStyle name="Percent 3 6 2" xfId="28378" xr:uid="{00000000-0005-0000-0000-0000A16B0000}"/>
    <cellStyle name="Percent 3 6 3" xfId="28379" xr:uid="{00000000-0005-0000-0000-0000A26B0000}"/>
    <cellStyle name="Percent 3 6 4" xfId="28380" xr:uid="{00000000-0005-0000-0000-0000A36B0000}"/>
    <cellStyle name="Percent 3 6 5" xfId="28381" xr:uid="{00000000-0005-0000-0000-0000A46B0000}"/>
    <cellStyle name="Percent 3 6 6" xfId="28382" xr:uid="{00000000-0005-0000-0000-0000A56B0000}"/>
    <cellStyle name="Percent 3 6 7" xfId="28383" xr:uid="{00000000-0005-0000-0000-0000A66B0000}"/>
    <cellStyle name="Percent 3 6 8" xfId="28384" xr:uid="{00000000-0005-0000-0000-0000A76B0000}"/>
    <cellStyle name="Percent 3 6 9" xfId="28385" xr:uid="{00000000-0005-0000-0000-0000A86B0000}"/>
    <cellStyle name="Percent 3 7" xfId="28386" xr:uid="{00000000-0005-0000-0000-0000A96B0000}"/>
    <cellStyle name="Percent 3 7 10" xfId="28387" xr:uid="{00000000-0005-0000-0000-0000AA6B0000}"/>
    <cellStyle name="Percent 3 7 11" xfId="28388" xr:uid="{00000000-0005-0000-0000-0000AB6B0000}"/>
    <cellStyle name="Percent 3 7 12" xfId="28389" xr:uid="{00000000-0005-0000-0000-0000AC6B0000}"/>
    <cellStyle name="Percent 3 7 13" xfId="28390" xr:uid="{00000000-0005-0000-0000-0000AD6B0000}"/>
    <cellStyle name="Percent 3 7 14" xfId="28391" xr:uid="{00000000-0005-0000-0000-0000AE6B0000}"/>
    <cellStyle name="Percent 3 7 15" xfId="28392" xr:uid="{00000000-0005-0000-0000-0000AF6B0000}"/>
    <cellStyle name="Percent 3 7 2" xfId="28393" xr:uid="{00000000-0005-0000-0000-0000B06B0000}"/>
    <cellStyle name="Percent 3 7 3" xfId="28394" xr:uid="{00000000-0005-0000-0000-0000B16B0000}"/>
    <cellStyle name="Percent 3 7 4" xfId="28395" xr:uid="{00000000-0005-0000-0000-0000B26B0000}"/>
    <cellStyle name="Percent 3 7 5" xfId="28396" xr:uid="{00000000-0005-0000-0000-0000B36B0000}"/>
    <cellStyle name="Percent 3 7 6" xfId="28397" xr:uid="{00000000-0005-0000-0000-0000B46B0000}"/>
    <cellStyle name="Percent 3 7 7" xfId="28398" xr:uid="{00000000-0005-0000-0000-0000B56B0000}"/>
    <cellStyle name="Percent 3 7 8" xfId="28399" xr:uid="{00000000-0005-0000-0000-0000B66B0000}"/>
    <cellStyle name="Percent 3 7 9" xfId="28400" xr:uid="{00000000-0005-0000-0000-0000B76B0000}"/>
    <cellStyle name="Percent 3 8" xfId="28401" xr:uid="{00000000-0005-0000-0000-0000B86B0000}"/>
    <cellStyle name="Percent 3 8 10" xfId="28402" xr:uid="{00000000-0005-0000-0000-0000B96B0000}"/>
    <cellStyle name="Percent 3 8 11" xfId="28403" xr:uid="{00000000-0005-0000-0000-0000BA6B0000}"/>
    <cellStyle name="Percent 3 8 12" xfId="28404" xr:uid="{00000000-0005-0000-0000-0000BB6B0000}"/>
    <cellStyle name="Percent 3 8 13" xfId="28405" xr:uid="{00000000-0005-0000-0000-0000BC6B0000}"/>
    <cellStyle name="Percent 3 8 14" xfId="28406" xr:uid="{00000000-0005-0000-0000-0000BD6B0000}"/>
    <cellStyle name="Percent 3 8 15" xfId="28407" xr:uid="{00000000-0005-0000-0000-0000BE6B0000}"/>
    <cellStyle name="Percent 3 8 2" xfId="28408" xr:uid="{00000000-0005-0000-0000-0000BF6B0000}"/>
    <cellStyle name="Percent 3 8 3" xfId="28409" xr:uid="{00000000-0005-0000-0000-0000C06B0000}"/>
    <cellStyle name="Percent 3 8 4" xfId="28410" xr:uid="{00000000-0005-0000-0000-0000C16B0000}"/>
    <cellStyle name="Percent 3 8 5" xfId="28411" xr:uid="{00000000-0005-0000-0000-0000C26B0000}"/>
    <cellStyle name="Percent 3 8 6" xfId="28412" xr:uid="{00000000-0005-0000-0000-0000C36B0000}"/>
    <cellStyle name="Percent 3 8 7" xfId="28413" xr:uid="{00000000-0005-0000-0000-0000C46B0000}"/>
    <cellStyle name="Percent 3 8 8" xfId="28414" xr:uid="{00000000-0005-0000-0000-0000C56B0000}"/>
    <cellStyle name="Percent 3 8 9" xfId="28415" xr:uid="{00000000-0005-0000-0000-0000C66B0000}"/>
    <cellStyle name="Percent 3 9" xfId="28416" xr:uid="{00000000-0005-0000-0000-0000C76B0000}"/>
    <cellStyle name="Percent 4" xfId="28417" xr:uid="{00000000-0005-0000-0000-0000C86B0000}"/>
    <cellStyle name="Percent 4 10" xfId="28418" xr:uid="{00000000-0005-0000-0000-0000C96B0000}"/>
    <cellStyle name="Percent 4 11" xfId="28419" xr:uid="{00000000-0005-0000-0000-0000CA6B0000}"/>
    <cellStyle name="Percent 4 12" xfId="28420" xr:uid="{00000000-0005-0000-0000-0000CB6B0000}"/>
    <cellStyle name="Percent 4 13" xfId="28421" xr:uid="{00000000-0005-0000-0000-0000CC6B0000}"/>
    <cellStyle name="Percent 4 14" xfId="28422" xr:uid="{00000000-0005-0000-0000-0000CD6B0000}"/>
    <cellStyle name="Percent 4 15" xfId="28423" xr:uid="{00000000-0005-0000-0000-0000CE6B0000}"/>
    <cellStyle name="Percent 4 16" xfId="28424" xr:uid="{00000000-0005-0000-0000-0000CF6B0000}"/>
    <cellStyle name="Percent 4 17" xfId="28425" xr:uid="{00000000-0005-0000-0000-0000D06B0000}"/>
    <cellStyle name="Percent 4 18" xfId="28426" xr:uid="{00000000-0005-0000-0000-0000D16B0000}"/>
    <cellStyle name="Percent 4 19" xfId="28427" xr:uid="{00000000-0005-0000-0000-0000D26B0000}"/>
    <cellStyle name="Percent 4 2" xfId="28428" xr:uid="{00000000-0005-0000-0000-0000D36B0000}"/>
    <cellStyle name="Percent 4 2 10" xfId="28429" xr:uid="{00000000-0005-0000-0000-0000D46B0000}"/>
    <cellStyle name="Percent 4 2 11" xfId="28430" xr:uid="{00000000-0005-0000-0000-0000D56B0000}"/>
    <cellStyle name="Percent 4 2 12" xfId="28431" xr:uid="{00000000-0005-0000-0000-0000D66B0000}"/>
    <cellStyle name="Percent 4 2 13" xfId="28432" xr:uid="{00000000-0005-0000-0000-0000D76B0000}"/>
    <cellStyle name="Percent 4 2 14" xfId="28433" xr:uid="{00000000-0005-0000-0000-0000D86B0000}"/>
    <cellStyle name="Percent 4 2 15" xfId="28434" xr:uid="{00000000-0005-0000-0000-0000D96B0000}"/>
    <cellStyle name="Percent 4 2 16" xfId="28435" xr:uid="{00000000-0005-0000-0000-0000DA6B0000}"/>
    <cellStyle name="Percent 4 2 17" xfId="28436" xr:uid="{00000000-0005-0000-0000-0000DB6B0000}"/>
    <cellStyle name="Percent 4 2 18" xfId="28437" xr:uid="{00000000-0005-0000-0000-0000DC6B0000}"/>
    <cellStyle name="Percent 4 2 19" xfId="28438" xr:uid="{00000000-0005-0000-0000-0000DD6B0000}"/>
    <cellStyle name="Percent 4 2 2" xfId="28439" xr:uid="{00000000-0005-0000-0000-0000DE6B0000}"/>
    <cellStyle name="Percent 4 2 2 10" xfId="28440" xr:uid="{00000000-0005-0000-0000-0000DF6B0000}"/>
    <cellStyle name="Percent 4 2 2 11" xfId="28441" xr:uid="{00000000-0005-0000-0000-0000E06B0000}"/>
    <cellStyle name="Percent 4 2 2 12" xfId="28442" xr:uid="{00000000-0005-0000-0000-0000E16B0000}"/>
    <cellStyle name="Percent 4 2 2 13" xfId="28443" xr:uid="{00000000-0005-0000-0000-0000E26B0000}"/>
    <cellStyle name="Percent 4 2 2 14" xfId="28444" xr:uid="{00000000-0005-0000-0000-0000E36B0000}"/>
    <cellStyle name="Percent 4 2 2 15" xfId="28445" xr:uid="{00000000-0005-0000-0000-0000E46B0000}"/>
    <cellStyle name="Percent 4 2 2 16" xfId="28446" xr:uid="{00000000-0005-0000-0000-0000E56B0000}"/>
    <cellStyle name="Percent 4 2 2 17" xfId="28447" xr:uid="{00000000-0005-0000-0000-0000E66B0000}"/>
    <cellStyle name="Percent 4 2 2 18" xfId="28448" xr:uid="{00000000-0005-0000-0000-0000E76B0000}"/>
    <cellStyle name="Percent 4 2 2 19" xfId="28449" xr:uid="{00000000-0005-0000-0000-0000E86B0000}"/>
    <cellStyle name="Percent 4 2 2 2" xfId="28450" xr:uid="{00000000-0005-0000-0000-0000E96B0000}"/>
    <cellStyle name="Percent 4 2 2 2 10" xfId="28451" xr:uid="{00000000-0005-0000-0000-0000EA6B0000}"/>
    <cellStyle name="Percent 4 2 2 2 11" xfId="28452" xr:uid="{00000000-0005-0000-0000-0000EB6B0000}"/>
    <cellStyle name="Percent 4 2 2 2 12" xfId="28453" xr:uid="{00000000-0005-0000-0000-0000EC6B0000}"/>
    <cellStyle name="Percent 4 2 2 2 13" xfId="28454" xr:uid="{00000000-0005-0000-0000-0000ED6B0000}"/>
    <cellStyle name="Percent 4 2 2 2 14" xfId="28455" xr:uid="{00000000-0005-0000-0000-0000EE6B0000}"/>
    <cellStyle name="Percent 4 2 2 2 15" xfId="28456" xr:uid="{00000000-0005-0000-0000-0000EF6B0000}"/>
    <cellStyle name="Percent 4 2 2 2 2" xfId="28457" xr:uid="{00000000-0005-0000-0000-0000F06B0000}"/>
    <cellStyle name="Percent 4 2 2 2 3" xfId="28458" xr:uid="{00000000-0005-0000-0000-0000F16B0000}"/>
    <cellStyle name="Percent 4 2 2 2 4" xfId="28459" xr:uid="{00000000-0005-0000-0000-0000F26B0000}"/>
    <cellStyle name="Percent 4 2 2 2 5" xfId="28460" xr:uid="{00000000-0005-0000-0000-0000F36B0000}"/>
    <cellStyle name="Percent 4 2 2 2 6" xfId="28461" xr:uid="{00000000-0005-0000-0000-0000F46B0000}"/>
    <cellStyle name="Percent 4 2 2 2 7" xfId="28462" xr:uid="{00000000-0005-0000-0000-0000F56B0000}"/>
    <cellStyle name="Percent 4 2 2 2 8" xfId="28463" xr:uid="{00000000-0005-0000-0000-0000F66B0000}"/>
    <cellStyle name="Percent 4 2 2 2 9" xfId="28464" xr:uid="{00000000-0005-0000-0000-0000F76B0000}"/>
    <cellStyle name="Percent 4 2 2 20" xfId="28465" xr:uid="{00000000-0005-0000-0000-0000F86B0000}"/>
    <cellStyle name="Percent 4 2 2 3" xfId="28466" xr:uid="{00000000-0005-0000-0000-0000F96B0000}"/>
    <cellStyle name="Percent 4 2 2 3 10" xfId="28467" xr:uid="{00000000-0005-0000-0000-0000FA6B0000}"/>
    <cellStyle name="Percent 4 2 2 3 11" xfId="28468" xr:uid="{00000000-0005-0000-0000-0000FB6B0000}"/>
    <cellStyle name="Percent 4 2 2 3 12" xfId="28469" xr:uid="{00000000-0005-0000-0000-0000FC6B0000}"/>
    <cellStyle name="Percent 4 2 2 3 13" xfId="28470" xr:uid="{00000000-0005-0000-0000-0000FD6B0000}"/>
    <cellStyle name="Percent 4 2 2 3 14" xfId="28471" xr:uid="{00000000-0005-0000-0000-0000FE6B0000}"/>
    <cellStyle name="Percent 4 2 2 3 15" xfId="28472" xr:uid="{00000000-0005-0000-0000-0000FF6B0000}"/>
    <cellStyle name="Percent 4 2 2 3 2" xfId="28473" xr:uid="{00000000-0005-0000-0000-0000006C0000}"/>
    <cellStyle name="Percent 4 2 2 3 3" xfId="28474" xr:uid="{00000000-0005-0000-0000-0000016C0000}"/>
    <cellStyle name="Percent 4 2 2 3 4" xfId="28475" xr:uid="{00000000-0005-0000-0000-0000026C0000}"/>
    <cellStyle name="Percent 4 2 2 3 5" xfId="28476" xr:uid="{00000000-0005-0000-0000-0000036C0000}"/>
    <cellStyle name="Percent 4 2 2 3 6" xfId="28477" xr:uid="{00000000-0005-0000-0000-0000046C0000}"/>
    <cellStyle name="Percent 4 2 2 3 7" xfId="28478" xr:uid="{00000000-0005-0000-0000-0000056C0000}"/>
    <cellStyle name="Percent 4 2 2 3 8" xfId="28479" xr:uid="{00000000-0005-0000-0000-0000066C0000}"/>
    <cellStyle name="Percent 4 2 2 3 9" xfId="28480" xr:uid="{00000000-0005-0000-0000-0000076C0000}"/>
    <cellStyle name="Percent 4 2 2 4" xfId="28481" xr:uid="{00000000-0005-0000-0000-0000086C0000}"/>
    <cellStyle name="Percent 4 2 2 4 10" xfId="28482" xr:uid="{00000000-0005-0000-0000-0000096C0000}"/>
    <cellStyle name="Percent 4 2 2 4 11" xfId="28483" xr:uid="{00000000-0005-0000-0000-00000A6C0000}"/>
    <cellStyle name="Percent 4 2 2 4 12" xfId="28484" xr:uid="{00000000-0005-0000-0000-00000B6C0000}"/>
    <cellStyle name="Percent 4 2 2 4 13" xfId="28485" xr:uid="{00000000-0005-0000-0000-00000C6C0000}"/>
    <cellStyle name="Percent 4 2 2 4 14" xfId="28486" xr:uid="{00000000-0005-0000-0000-00000D6C0000}"/>
    <cellStyle name="Percent 4 2 2 4 15" xfId="28487" xr:uid="{00000000-0005-0000-0000-00000E6C0000}"/>
    <cellStyle name="Percent 4 2 2 4 2" xfId="28488" xr:uid="{00000000-0005-0000-0000-00000F6C0000}"/>
    <cellStyle name="Percent 4 2 2 4 3" xfId="28489" xr:uid="{00000000-0005-0000-0000-0000106C0000}"/>
    <cellStyle name="Percent 4 2 2 4 4" xfId="28490" xr:uid="{00000000-0005-0000-0000-0000116C0000}"/>
    <cellStyle name="Percent 4 2 2 4 5" xfId="28491" xr:uid="{00000000-0005-0000-0000-0000126C0000}"/>
    <cellStyle name="Percent 4 2 2 4 6" xfId="28492" xr:uid="{00000000-0005-0000-0000-0000136C0000}"/>
    <cellStyle name="Percent 4 2 2 4 7" xfId="28493" xr:uid="{00000000-0005-0000-0000-0000146C0000}"/>
    <cellStyle name="Percent 4 2 2 4 8" xfId="28494" xr:uid="{00000000-0005-0000-0000-0000156C0000}"/>
    <cellStyle name="Percent 4 2 2 4 9" xfId="28495" xr:uid="{00000000-0005-0000-0000-0000166C0000}"/>
    <cellStyle name="Percent 4 2 2 5" xfId="28496" xr:uid="{00000000-0005-0000-0000-0000176C0000}"/>
    <cellStyle name="Percent 4 2 2 5 10" xfId="28497" xr:uid="{00000000-0005-0000-0000-0000186C0000}"/>
    <cellStyle name="Percent 4 2 2 5 11" xfId="28498" xr:uid="{00000000-0005-0000-0000-0000196C0000}"/>
    <cellStyle name="Percent 4 2 2 5 12" xfId="28499" xr:uid="{00000000-0005-0000-0000-00001A6C0000}"/>
    <cellStyle name="Percent 4 2 2 5 13" xfId="28500" xr:uid="{00000000-0005-0000-0000-00001B6C0000}"/>
    <cellStyle name="Percent 4 2 2 5 14" xfId="28501" xr:uid="{00000000-0005-0000-0000-00001C6C0000}"/>
    <cellStyle name="Percent 4 2 2 5 15" xfId="28502" xr:uid="{00000000-0005-0000-0000-00001D6C0000}"/>
    <cellStyle name="Percent 4 2 2 5 2" xfId="28503" xr:uid="{00000000-0005-0000-0000-00001E6C0000}"/>
    <cellStyle name="Percent 4 2 2 5 3" xfId="28504" xr:uid="{00000000-0005-0000-0000-00001F6C0000}"/>
    <cellStyle name="Percent 4 2 2 5 4" xfId="28505" xr:uid="{00000000-0005-0000-0000-0000206C0000}"/>
    <cellStyle name="Percent 4 2 2 5 5" xfId="28506" xr:uid="{00000000-0005-0000-0000-0000216C0000}"/>
    <cellStyle name="Percent 4 2 2 5 6" xfId="28507" xr:uid="{00000000-0005-0000-0000-0000226C0000}"/>
    <cellStyle name="Percent 4 2 2 5 7" xfId="28508" xr:uid="{00000000-0005-0000-0000-0000236C0000}"/>
    <cellStyle name="Percent 4 2 2 5 8" xfId="28509" xr:uid="{00000000-0005-0000-0000-0000246C0000}"/>
    <cellStyle name="Percent 4 2 2 5 9" xfId="28510" xr:uid="{00000000-0005-0000-0000-0000256C0000}"/>
    <cellStyle name="Percent 4 2 2 6" xfId="28511" xr:uid="{00000000-0005-0000-0000-0000266C0000}"/>
    <cellStyle name="Percent 4 2 2 7" xfId="28512" xr:uid="{00000000-0005-0000-0000-0000276C0000}"/>
    <cellStyle name="Percent 4 2 2 8" xfId="28513" xr:uid="{00000000-0005-0000-0000-0000286C0000}"/>
    <cellStyle name="Percent 4 2 2 9" xfId="28514" xr:uid="{00000000-0005-0000-0000-0000296C0000}"/>
    <cellStyle name="Percent 4 2 20" xfId="28515" xr:uid="{00000000-0005-0000-0000-00002A6C0000}"/>
    <cellStyle name="Percent 4 2 21" xfId="28516" xr:uid="{00000000-0005-0000-0000-00002B6C0000}"/>
    <cellStyle name="Percent 4 2 22" xfId="28517" xr:uid="{00000000-0005-0000-0000-00002C6C0000}"/>
    <cellStyle name="Percent 4 2 23" xfId="28518" xr:uid="{00000000-0005-0000-0000-00002D6C0000}"/>
    <cellStyle name="Percent 4 2 3" xfId="28519" xr:uid="{00000000-0005-0000-0000-00002E6C0000}"/>
    <cellStyle name="Percent 4 2 3 10" xfId="28520" xr:uid="{00000000-0005-0000-0000-00002F6C0000}"/>
    <cellStyle name="Percent 4 2 3 11" xfId="28521" xr:uid="{00000000-0005-0000-0000-0000306C0000}"/>
    <cellStyle name="Percent 4 2 3 12" xfId="28522" xr:uid="{00000000-0005-0000-0000-0000316C0000}"/>
    <cellStyle name="Percent 4 2 3 13" xfId="28523" xr:uid="{00000000-0005-0000-0000-0000326C0000}"/>
    <cellStyle name="Percent 4 2 3 14" xfId="28524" xr:uid="{00000000-0005-0000-0000-0000336C0000}"/>
    <cellStyle name="Percent 4 2 3 15" xfId="28525" xr:uid="{00000000-0005-0000-0000-0000346C0000}"/>
    <cellStyle name="Percent 4 2 3 16" xfId="28526" xr:uid="{00000000-0005-0000-0000-0000356C0000}"/>
    <cellStyle name="Percent 4 2 3 17" xfId="28527" xr:uid="{00000000-0005-0000-0000-0000366C0000}"/>
    <cellStyle name="Percent 4 2 3 18" xfId="28528" xr:uid="{00000000-0005-0000-0000-0000376C0000}"/>
    <cellStyle name="Percent 4 2 3 19" xfId="28529" xr:uid="{00000000-0005-0000-0000-0000386C0000}"/>
    <cellStyle name="Percent 4 2 3 2" xfId="28530" xr:uid="{00000000-0005-0000-0000-0000396C0000}"/>
    <cellStyle name="Percent 4 2 3 2 10" xfId="28531" xr:uid="{00000000-0005-0000-0000-00003A6C0000}"/>
    <cellStyle name="Percent 4 2 3 2 11" xfId="28532" xr:uid="{00000000-0005-0000-0000-00003B6C0000}"/>
    <cellStyle name="Percent 4 2 3 2 12" xfId="28533" xr:uid="{00000000-0005-0000-0000-00003C6C0000}"/>
    <cellStyle name="Percent 4 2 3 2 13" xfId="28534" xr:uid="{00000000-0005-0000-0000-00003D6C0000}"/>
    <cellStyle name="Percent 4 2 3 2 14" xfId="28535" xr:uid="{00000000-0005-0000-0000-00003E6C0000}"/>
    <cellStyle name="Percent 4 2 3 2 15" xfId="28536" xr:uid="{00000000-0005-0000-0000-00003F6C0000}"/>
    <cellStyle name="Percent 4 2 3 2 2" xfId="28537" xr:uid="{00000000-0005-0000-0000-0000406C0000}"/>
    <cellStyle name="Percent 4 2 3 2 3" xfId="28538" xr:uid="{00000000-0005-0000-0000-0000416C0000}"/>
    <cellStyle name="Percent 4 2 3 2 4" xfId="28539" xr:uid="{00000000-0005-0000-0000-0000426C0000}"/>
    <cellStyle name="Percent 4 2 3 2 5" xfId="28540" xr:uid="{00000000-0005-0000-0000-0000436C0000}"/>
    <cellStyle name="Percent 4 2 3 2 6" xfId="28541" xr:uid="{00000000-0005-0000-0000-0000446C0000}"/>
    <cellStyle name="Percent 4 2 3 2 7" xfId="28542" xr:uid="{00000000-0005-0000-0000-0000456C0000}"/>
    <cellStyle name="Percent 4 2 3 2 8" xfId="28543" xr:uid="{00000000-0005-0000-0000-0000466C0000}"/>
    <cellStyle name="Percent 4 2 3 2 9" xfId="28544" xr:uid="{00000000-0005-0000-0000-0000476C0000}"/>
    <cellStyle name="Percent 4 2 3 20" xfId="28545" xr:uid="{00000000-0005-0000-0000-0000486C0000}"/>
    <cellStyle name="Percent 4 2 3 3" xfId="28546" xr:uid="{00000000-0005-0000-0000-0000496C0000}"/>
    <cellStyle name="Percent 4 2 3 3 10" xfId="28547" xr:uid="{00000000-0005-0000-0000-00004A6C0000}"/>
    <cellStyle name="Percent 4 2 3 3 11" xfId="28548" xr:uid="{00000000-0005-0000-0000-00004B6C0000}"/>
    <cellStyle name="Percent 4 2 3 3 12" xfId="28549" xr:uid="{00000000-0005-0000-0000-00004C6C0000}"/>
    <cellStyle name="Percent 4 2 3 3 13" xfId="28550" xr:uid="{00000000-0005-0000-0000-00004D6C0000}"/>
    <cellStyle name="Percent 4 2 3 3 14" xfId="28551" xr:uid="{00000000-0005-0000-0000-00004E6C0000}"/>
    <cellStyle name="Percent 4 2 3 3 15" xfId="28552" xr:uid="{00000000-0005-0000-0000-00004F6C0000}"/>
    <cellStyle name="Percent 4 2 3 3 2" xfId="28553" xr:uid="{00000000-0005-0000-0000-0000506C0000}"/>
    <cellStyle name="Percent 4 2 3 3 3" xfId="28554" xr:uid="{00000000-0005-0000-0000-0000516C0000}"/>
    <cellStyle name="Percent 4 2 3 3 4" xfId="28555" xr:uid="{00000000-0005-0000-0000-0000526C0000}"/>
    <cellStyle name="Percent 4 2 3 3 5" xfId="28556" xr:uid="{00000000-0005-0000-0000-0000536C0000}"/>
    <cellStyle name="Percent 4 2 3 3 6" xfId="28557" xr:uid="{00000000-0005-0000-0000-0000546C0000}"/>
    <cellStyle name="Percent 4 2 3 3 7" xfId="28558" xr:uid="{00000000-0005-0000-0000-0000556C0000}"/>
    <cellStyle name="Percent 4 2 3 3 8" xfId="28559" xr:uid="{00000000-0005-0000-0000-0000566C0000}"/>
    <cellStyle name="Percent 4 2 3 3 9" xfId="28560" xr:uid="{00000000-0005-0000-0000-0000576C0000}"/>
    <cellStyle name="Percent 4 2 3 4" xfId="28561" xr:uid="{00000000-0005-0000-0000-0000586C0000}"/>
    <cellStyle name="Percent 4 2 3 4 10" xfId="28562" xr:uid="{00000000-0005-0000-0000-0000596C0000}"/>
    <cellStyle name="Percent 4 2 3 4 11" xfId="28563" xr:uid="{00000000-0005-0000-0000-00005A6C0000}"/>
    <cellStyle name="Percent 4 2 3 4 12" xfId="28564" xr:uid="{00000000-0005-0000-0000-00005B6C0000}"/>
    <cellStyle name="Percent 4 2 3 4 13" xfId="28565" xr:uid="{00000000-0005-0000-0000-00005C6C0000}"/>
    <cellStyle name="Percent 4 2 3 4 14" xfId="28566" xr:uid="{00000000-0005-0000-0000-00005D6C0000}"/>
    <cellStyle name="Percent 4 2 3 4 15" xfId="28567" xr:uid="{00000000-0005-0000-0000-00005E6C0000}"/>
    <cellStyle name="Percent 4 2 3 4 2" xfId="28568" xr:uid="{00000000-0005-0000-0000-00005F6C0000}"/>
    <cellStyle name="Percent 4 2 3 4 3" xfId="28569" xr:uid="{00000000-0005-0000-0000-0000606C0000}"/>
    <cellStyle name="Percent 4 2 3 4 4" xfId="28570" xr:uid="{00000000-0005-0000-0000-0000616C0000}"/>
    <cellStyle name="Percent 4 2 3 4 5" xfId="28571" xr:uid="{00000000-0005-0000-0000-0000626C0000}"/>
    <cellStyle name="Percent 4 2 3 4 6" xfId="28572" xr:uid="{00000000-0005-0000-0000-0000636C0000}"/>
    <cellStyle name="Percent 4 2 3 4 7" xfId="28573" xr:uid="{00000000-0005-0000-0000-0000646C0000}"/>
    <cellStyle name="Percent 4 2 3 4 8" xfId="28574" xr:uid="{00000000-0005-0000-0000-0000656C0000}"/>
    <cellStyle name="Percent 4 2 3 4 9" xfId="28575" xr:uid="{00000000-0005-0000-0000-0000666C0000}"/>
    <cellStyle name="Percent 4 2 3 5" xfId="28576" xr:uid="{00000000-0005-0000-0000-0000676C0000}"/>
    <cellStyle name="Percent 4 2 3 5 10" xfId="28577" xr:uid="{00000000-0005-0000-0000-0000686C0000}"/>
    <cellStyle name="Percent 4 2 3 5 11" xfId="28578" xr:uid="{00000000-0005-0000-0000-0000696C0000}"/>
    <cellStyle name="Percent 4 2 3 5 12" xfId="28579" xr:uid="{00000000-0005-0000-0000-00006A6C0000}"/>
    <cellStyle name="Percent 4 2 3 5 13" xfId="28580" xr:uid="{00000000-0005-0000-0000-00006B6C0000}"/>
    <cellStyle name="Percent 4 2 3 5 14" xfId="28581" xr:uid="{00000000-0005-0000-0000-00006C6C0000}"/>
    <cellStyle name="Percent 4 2 3 5 15" xfId="28582" xr:uid="{00000000-0005-0000-0000-00006D6C0000}"/>
    <cellStyle name="Percent 4 2 3 5 2" xfId="28583" xr:uid="{00000000-0005-0000-0000-00006E6C0000}"/>
    <cellStyle name="Percent 4 2 3 5 3" xfId="28584" xr:uid="{00000000-0005-0000-0000-00006F6C0000}"/>
    <cellStyle name="Percent 4 2 3 5 4" xfId="28585" xr:uid="{00000000-0005-0000-0000-0000706C0000}"/>
    <cellStyle name="Percent 4 2 3 5 5" xfId="28586" xr:uid="{00000000-0005-0000-0000-0000716C0000}"/>
    <cellStyle name="Percent 4 2 3 5 6" xfId="28587" xr:uid="{00000000-0005-0000-0000-0000726C0000}"/>
    <cellStyle name="Percent 4 2 3 5 7" xfId="28588" xr:uid="{00000000-0005-0000-0000-0000736C0000}"/>
    <cellStyle name="Percent 4 2 3 5 8" xfId="28589" xr:uid="{00000000-0005-0000-0000-0000746C0000}"/>
    <cellStyle name="Percent 4 2 3 5 9" xfId="28590" xr:uid="{00000000-0005-0000-0000-0000756C0000}"/>
    <cellStyle name="Percent 4 2 3 6" xfId="28591" xr:uid="{00000000-0005-0000-0000-0000766C0000}"/>
    <cellStyle name="Percent 4 2 3 7" xfId="28592" xr:uid="{00000000-0005-0000-0000-0000776C0000}"/>
    <cellStyle name="Percent 4 2 3 8" xfId="28593" xr:uid="{00000000-0005-0000-0000-0000786C0000}"/>
    <cellStyle name="Percent 4 2 3 9" xfId="28594" xr:uid="{00000000-0005-0000-0000-0000796C0000}"/>
    <cellStyle name="Percent 4 2 4" xfId="28595" xr:uid="{00000000-0005-0000-0000-00007A6C0000}"/>
    <cellStyle name="Percent 4 2 4 10" xfId="28596" xr:uid="{00000000-0005-0000-0000-00007B6C0000}"/>
    <cellStyle name="Percent 4 2 4 11" xfId="28597" xr:uid="{00000000-0005-0000-0000-00007C6C0000}"/>
    <cellStyle name="Percent 4 2 4 12" xfId="28598" xr:uid="{00000000-0005-0000-0000-00007D6C0000}"/>
    <cellStyle name="Percent 4 2 4 13" xfId="28599" xr:uid="{00000000-0005-0000-0000-00007E6C0000}"/>
    <cellStyle name="Percent 4 2 4 14" xfId="28600" xr:uid="{00000000-0005-0000-0000-00007F6C0000}"/>
    <cellStyle name="Percent 4 2 4 15" xfId="28601" xr:uid="{00000000-0005-0000-0000-0000806C0000}"/>
    <cellStyle name="Percent 4 2 4 16" xfId="28602" xr:uid="{00000000-0005-0000-0000-0000816C0000}"/>
    <cellStyle name="Percent 4 2 4 17" xfId="28603" xr:uid="{00000000-0005-0000-0000-0000826C0000}"/>
    <cellStyle name="Percent 4 2 4 18" xfId="28604" xr:uid="{00000000-0005-0000-0000-0000836C0000}"/>
    <cellStyle name="Percent 4 2 4 19" xfId="28605" xr:uid="{00000000-0005-0000-0000-0000846C0000}"/>
    <cellStyle name="Percent 4 2 4 2" xfId="28606" xr:uid="{00000000-0005-0000-0000-0000856C0000}"/>
    <cellStyle name="Percent 4 2 4 2 10" xfId="28607" xr:uid="{00000000-0005-0000-0000-0000866C0000}"/>
    <cellStyle name="Percent 4 2 4 2 11" xfId="28608" xr:uid="{00000000-0005-0000-0000-0000876C0000}"/>
    <cellStyle name="Percent 4 2 4 2 12" xfId="28609" xr:uid="{00000000-0005-0000-0000-0000886C0000}"/>
    <cellStyle name="Percent 4 2 4 2 13" xfId="28610" xr:uid="{00000000-0005-0000-0000-0000896C0000}"/>
    <cellStyle name="Percent 4 2 4 2 14" xfId="28611" xr:uid="{00000000-0005-0000-0000-00008A6C0000}"/>
    <cellStyle name="Percent 4 2 4 2 15" xfId="28612" xr:uid="{00000000-0005-0000-0000-00008B6C0000}"/>
    <cellStyle name="Percent 4 2 4 2 2" xfId="28613" xr:uid="{00000000-0005-0000-0000-00008C6C0000}"/>
    <cellStyle name="Percent 4 2 4 2 3" xfId="28614" xr:uid="{00000000-0005-0000-0000-00008D6C0000}"/>
    <cellStyle name="Percent 4 2 4 2 4" xfId="28615" xr:uid="{00000000-0005-0000-0000-00008E6C0000}"/>
    <cellStyle name="Percent 4 2 4 2 5" xfId="28616" xr:uid="{00000000-0005-0000-0000-00008F6C0000}"/>
    <cellStyle name="Percent 4 2 4 2 6" xfId="28617" xr:uid="{00000000-0005-0000-0000-0000906C0000}"/>
    <cellStyle name="Percent 4 2 4 2 7" xfId="28618" xr:uid="{00000000-0005-0000-0000-0000916C0000}"/>
    <cellStyle name="Percent 4 2 4 2 8" xfId="28619" xr:uid="{00000000-0005-0000-0000-0000926C0000}"/>
    <cellStyle name="Percent 4 2 4 2 9" xfId="28620" xr:uid="{00000000-0005-0000-0000-0000936C0000}"/>
    <cellStyle name="Percent 4 2 4 20" xfId="28621" xr:uid="{00000000-0005-0000-0000-0000946C0000}"/>
    <cellStyle name="Percent 4 2 4 3" xfId="28622" xr:uid="{00000000-0005-0000-0000-0000956C0000}"/>
    <cellStyle name="Percent 4 2 4 3 10" xfId="28623" xr:uid="{00000000-0005-0000-0000-0000966C0000}"/>
    <cellStyle name="Percent 4 2 4 3 11" xfId="28624" xr:uid="{00000000-0005-0000-0000-0000976C0000}"/>
    <cellStyle name="Percent 4 2 4 3 12" xfId="28625" xr:uid="{00000000-0005-0000-0000-0000986C0000}"/>
    <cellStyle name="Percent 4 2 4 3 13" xfId="28626" xr:uid="{00000000-0005-0000-0000-0000996C0000}"/>
    <cellStyle name="Percent 4 2 4 3 14" xfId="28627" xr:uid="{00000000-0005-0000-0000-00009A6C0000}"/>
    <cellStyle name="Percent 4 2 4 3 15" xfId="28628" xr:uid="{00000000-0005-0000-0000-00009B6C0000}"/>
    <cellStyle name="Percent 4 2 4 3 2" xfId="28629" xr:uid="{00000000-0005-0000-0000-00009C6C0000}"/>
    <cellStyle name="Percent 4 2 4 3 3" xfId="28630" xr:uid="{00000000-0005-0000-0000-00009D6C0000}"/>
    <cellStyle name="Percent 4 2 4 3 4" xfId="28631" xr:uid="{00000000-0005-0000-0000-00009E6C0000}"/>
    <cellStyle name="Percent 4 2 4 3 5" xfId="28632" xr:uid="{00000000-0005-0000-0000-00009F6C0000}"/>
    <cellStyle name="Percent 4 2 4 3 6" xfId="28633" xr:uid="{00000000-0005-0000-0000-0000A06C0000}"/>
    <cellStyle name="Percent 4 2 4 3 7" xfId="28634" xr:uid="{00000000-0005-0000-0000-0000A16C0000}"/>
    <cellStyle name="Percent 4 2 4 3 8" xfId="28635" xr:uid="{00000000-0005-0000-0000-0000A26C0000}"/>
    <cellStyle name="Percent 4 2 4 3 9" xfId="28636" xr:uid="{00000000-0005-0000-0000-0000A36C0000}"/>
    <cellStyle name="Percent 4 2 4 4" xfId="28637" xr:uid="{00000000-0005-0000-0000-0000A46C0000}"/>
    <cellStyle name="Percent 4 2 4 4 10" xfId="28638" xr:uid="{00000000-0005-0000-0000-0000A56C0000}"/>
    <cellStyle name="Percent 4 2 4 4 11" xfId="28639" xr:uid="{00000000-0005-0000-0000-0000A66C0000}"/>
    <cellStyle name="Percent 4 2 4 4 12" xfId="28640" xr:uid="{00000000-0005-0000-0000-0000A76C0000}"/>
    <cellStyle name="Percent 4 2 4 4 13" xfId="28641" xr:uid="{00000000-0005-0000-0000-0000A86C0000}"/>
    <cellStyle name="Percent 4 2 4 4 14" xfId="28642" xr:uid="{00000000-0005-0000-0000-0000A96C0000}"/>
    <cellStyle name="Percent 4 2 4 4 15" xfId="28643" xr:uid="{00000000-0005-0000-0000-0000AA6C0000}"/>
    <cellStyle name="Percent 4 2 4 4 2" xfId="28644" xr:uid="{00000000-0005-0000-0000-0000AB6C0000}"/>
    <cellStyle name="Percent 4 2 4 4 3" xfId="28645" xr:uid="{00000000-0005-0000-0000-0000AC6C0000}"/>
    <cellStyle name="Percent 4 2 4 4 4" xfId="28646" xr:uid="{00000000-0005-0000-0000-0000AD6C0000}"/>
    <cellStyle name="Percent 4 2 4 4 5" xfId="28647" xr:uid="{00000000-0005-0000-0000-0000AE6C0000}"/>
    <cellStyle name="Percent 4 2 4 4 6" xfId="28648" xr:uid="{00000000-0005-0000-0000-0000AF6C0000}"/>
    <cellStyle name="Percent 4 2 4 4 7" xfId="28649" xr:uid="{00000000-0005-0000-0000-0000B06C0000}"/>
    <cellStyle name="Percent 4 2 4 4 8" xfId="28650" xr:uid="{00000000-0005-0000-0000-0000B16C0000}"/>
    <cellStyle name="Percent 4 2 4 4 9" xfId="28651" xr:uid="{00000000-0005-0000-0000-0000B26C0000}"/>
    <cellStyle name="Percent 4 2 4 5" xfId="28652" xr:uid="{00000000-0005-0000-0000-0000B36C0000}"/>
    <cellStyle name="Percent 4 2 4 5 10" xfId="28653" xr:uid="{00000000-0005-0000-0000-0000B46C0000}"/>
    <cellStyle name="Percent 4 2 4 5 11" xfId="28654" xr:uid="{00000000-0005-0000-0000-0000B56C0000}"/>
    <cellStyle name="Percent 4 2 4 5 12" xfId="28655" xr:uid="{00000000-0005-0000-0000-0000B66C0000}"/>
    <cellStyle name="Percent 4 2 4 5 13" xfId="28656" xr:uid="{00000000-0005-0000-0000-0000B76C0000}"/>
    <cellStyle name="Percent 4 2 4 5 14" xfId="28657" xr:uid="{00000000-0005-0000-0000-0000B86C0000}"/>
    <cellStyle name="Percent 4 2 4 5 15" xfId="28658" xr:uid="{00000000-0005-0000-0000-0000B96C0000}"/>
    <cellStyle name="Percent 4 2 4 5 2" xfId="28659" xr:uid="{00000000-0005-0000-0000-0000BA6C0000}"/>
    <cellStyle name="Percent 4 2 4 5 3" xfId="28660" xr:uid="{00000000-0005-0000-0000-0000BB6C0000}"/>
    <cellStyle name="Percent 4 2 4 5 4" xfId="28661" xr:uid="{00000000-0005-0000-0000-0000BC6C0000}"/>
    <cellStyle name="Percent 4 2 4 5 5" xfId="28662" xr:uid="{00000000-0005-0000-0000-0000BD6C0000}"/>
    <cellStyle name="Percent 4 2 4 5 6" xfId="28663" xr:uid="{00000000-0005-0000-0000-0000BE6C0000}"/>
    <cellStyle name="Percent 4 2 4 5 7" xfId="28664" xr:uid="{00000000-0005-0000-0000-0000BF6C0000}"/>
    <cellStyle name="Percent 4 2 4 5 8" xfId="28665" xr:uid="{00000000-0005-0000-0000-0000C06C0000}"/>
    <cellStyle name="Percent 4 2 4 5 9" xfId="28666" xr:uid="{00000000-0005-0000-0000-0000C16C0000}"/>
    <cellStyle name="Percent 4 2 4 6" xfId="28667" xr:uid="{00000000-0005-0000-0000-0000C26C0000}"/>
    <cellStyle name="Percent 4 2 4 7" xfId="28668" xr:uid="{00000000-0005-0000-0000-0000C36C0000}"/>
    <cellStyle name="Percent 4 2 4 8" xfId="28669" xr:uid="{00000000-0005-0000-0000-0000C46C0000}"/>
    <cellStyle name="Percent 4 2 4 9" xfId="28670" xr:uid="{00000000-0005-0000-0000-0000C56C0000}"/>
    <cellStyle name="Percent 4 2 5" xfId="28671" xr:uid="{00000000-0005-0000-0000-0000C66C0000}"/>
    <cellStyle name="Percent 4 2 5 10" xfId="28672" xr:uid="{00000000-0005-0000-0000-0000C76C0000}"/>
    <cellStyle name="Percent 4 2 5 11" xfId="28673" xr:uid="{00000000-0005-0000-0000-0000C86C0000}"/>
    <cellStyle name="Percent 4 2 5 12" xfId="28674" xr:uid="{00000000-0005-0000-0000-0000C96C0000}"/>
    <cellStyle name="Percent 4 2 5 13" xfId="28675" xr:uid="{00000000-0005-0000-0000-0000CA6C0000}"/>
    <cellStyle name="Percent 4 2 5 14" xfId="28676" xr:uid="{00000000-0005-0000-0000-0000CB6C0000}"/>
    <cellStyle name="Percent 4 2 5 15" xfId="28677" xr:uid="{00000000-0005-0000-0000-0000CC6C0000}"/>
    <cellStyle name="Percent 4 2 5 2" xfId="28678" xr:uid="{00000000-0005-0000-0000-0000CD6C0000}"/>
    <cellStyle name="Percent 4 2 5 3" xfId="28679" xr:uid="{00000000-0005-0000-0000-0000CE6C0000}"/>
    <cellStyle name="Percent 4 2 5 4" xfId="28680" xr:uid="{00000000-0005-0000-0000-0000CF6C0000}"/>
    <cellStyle name="Percent 4 2 5 5" xfId="28681" xr:uid="{00000000-0005-0000-0000-0000D06C0000}"/>
    <cellStyle name="Percent 4 2 5 6" xfId="28682" xr:uid="{00000000-0005-0000-0000-0000D16C0000}"/>
    <cellStyle name="Percent 4 2 5 7" xfId="28683" xr:uid="{00000000-0005-0000-0000-0000D26C0000}"/>
    <cellStyle name="Percent 4 2 5 8" xfId="28684" xr:uid="{00000000-0005-0000-0000-0000D36C0000}"/>
    <cellStyle name="Percent 4 2 5 9" xfId="28685" xr:uid="{00000000-0005-0000-0000-0000D46C0000}"/>
    <cellStyle name="Percent 4 2 6" xfId="28686" xr:uid="{00000000-0005-0000-0000-0000D56C0000}"/>
    <cellStyle name="Percent 4 2 6 10" xfId="28687" xr:uid="{00000000-0005-0000-0000-0000D66C0000}"/>
    <cellStyle name="Percent 4 2 6 11" xfId="28688" xr:uid="{00000000-0005-0000-0000-0000D76C0000}"/>
    <cellStyle name="Percent 4 2 6 12" xfId="28689" xr:uid="{00000000-0005-0000-0000-0000D86C0000}"/>
    <cellStyle name="Percent 4 2 6 13" xfId="28690" xr:uid="{00000000-0005-0000-0000-0000D96C0000}"/>
    <cellStyle name="Percent 4 2 6 14" xfId="28691" xr:uid="{00000000-0005-0000-0000-0000DA6C0000}"/>
    <cellStyle name="Percent 4 2 6 15" xfId="28692" xr:uid="{00000000-0005-0000-0000-0000DB6C0000}"/>
    <cellStyle name="Percent 4 2 6 2" xfId="28693" xr:uid="{00000000-0005-0000-0000-0000DC6C0000}"/>
    <cellStyle name="Percent 4 2 6 3" xfId="28694" xr:uid="{00000000-0005-0000-0000-0000DD6C0000}"/>
    <cellStyle name="Percent 4 2 6 4" xfId="28695" xr:uid="{00000000-0005-0000-0000-0000DE6C0000}"/>
    <cellStyle name="Percent 4 2 6 5" xfId="28696" xr:uid="{00000000-0005-0000-0000-0000DF6C0000}"/>
    <cellStyle name="Percent 4 2 6 6" xfId="28697" xr:uid="{00000000-0005-0000-0000-0000E06C0000}"/>
    <cellStyle name="Percent 4 2 6 7" xfId="28698" xr:uid="{00000000-0005-0000-0000-0000E16C0000}"/>
    <cellStyle name="Percent 4 2 6 8" xfId="28699" xr:uid="{00000000-0005-0000-0000-0000E26C0000}"/>
    <cellStyle name="Percent 4 2 6 9" xfId="28700" xr:uid="{00000000-0005-0000-0000-0000E36C0000}"/>
    <cellStyle name="Percent 4 2 7" xfId="28701" xr:uid="{00000000-0005-0000-0000-0000E46C0000}"/>
    <cellStyle name="Percent 4 2 7 10" xfId="28702" xr:uid="{00000000-0005-0000-0000-0000E56C0000}"/>
    <cellStyle name="Percent 4 2 7 11" xfId="28703" xr:uid="{00000000-0005-0000-0000-0000E66C0000}"/>
    <cellStyle name="Percent 4 2 7 12" xfId="28704" xr:uid="{00000000-0005-0000-0000-0000E76C0000}"/>
    <cellStyle name="Percent 4 2 7 13" xfId="28705" xr:uid="{00000000-0005-0000-0000-0000E86C0000}"/>
    <cellStyle name="Percent 4 2 7 14" xfId="28706" xr:uid="{00000000-0005-0000-0000-0000E96C0000}"/>
    <cellStyle name="Percent 4 2 7 15" xfId="28707" xr:uid="{00000000-0005-0000-0000-0000EA6C0000}"/>
    <cellStyle name="Percent 4 2 7 2" xfId="28708" xr:uid="{00000000-0005-0000-0000-0000EB6C0000}"/>
    <cellStyle name="Percent 4 2 7 3" xfId="28709" xr:uid="{00000000-0005-0000-0000-0000EC6C0000}"/>
    <cellStyle name="Percent 4 2 7 4" xfId="28710" xr:uid="{00000000-0005-0000-0000-0000ED6C0000}"/>
    <cellStyle name="Percent 4 2 7 5" xfId="28711" xr:uid="{00000000-0005-0000-0000-0000EE6C0000}"/>
    <cellStyle name="Percent 4 2 7 6" xfId="28712" xr:uid="{00000000-0005-0000-0000-0000EF6C0000}"/>
    <cellStyle name="Percent 4 2 7 7" xfId="28713" xr:uid="{00000000-0005-0000-0000-0000F06C0000}"/>
    <cellStyle name="Percent 4 2 7 8" xfId="28714" xr:uid="{00000000-0005-0000-0000-0000F16C0000}"/>
    <cellStyle name="Percent 4 2 7 9" xfId="28715" xr:uid="{00000000-0005-0000-0000-0000F26C0000}"/>
    <cellStyle name="Percent 4 2 8" xfId="28716" xr:uid="{00000000-0005-0000-0000-0000F36C0000}"/>
    <cellStyle name="Percent 4 2 8 10" xfId="28717" xr:uid="{00000000-0005-0000-0000-0000F46C0000}"/>
    <cellStyle name="Percent 4 2 8 11" xfId="28718" xr:uid="{00000000-0005-0000-0000-0000F56C0000}"/>
    <cellStyle name="Percent 4 2 8 12" xfId="28719" xr:uid="{00000000-0005-0000-0000-0000F66C0000}"/>
    <cellStyle name="Percent 4 2 8 13" xfId="28720" xr:uid="{00000000-0005-0000-0000-0000F76C0000}"/>
    <cellStyle name="Percent 4 2 8 14" xfId="28721" xr:uid="{00000000-0005-0000-0000-0000F86C0000}"/>
    <cellStyle name="Percent 4 2 8 15" xfId="28722" xr:uid="{00000000-0005-0000-0000-0000F96C0000}"/>
    <cellStyle name="Percent 4 2 8 2" xfId="28723" xr:uid="{00000000-0005-0000-0000-0000FA6C0000}"/>
    <cellStyle name="Percent 4 2 8 3" xfId="28724" xr:uid="{00000000-0005-0000-0000-0000FB6C0000}"/>
    <cellStyle name="Percent 4 2 8 4" xfId="28725" xr:uid="{00000000-0005-0000-0000-0000FC6C0000}"/>
    <cellStyle name="Percent 4 2 8 5" xfId="28726" xr:uid="{00000000-0005-0000-0000-0000FD6C0000}"/>
    <cellStyle name="Percent 4 2 8 6" xfId="28727" xr:uid="{00000000-0005-0000-0000-0000FE6C0000}"/>
    <cellStyle name="Percent 4 2 8 7" xfId="28728" xr:uid="{00000000-0005-0000-0000-0000FF6C0000}"/>
    <cellStyle name="Percent 4 2 8 8" xfId="28729" xr:uid="{00000000-0005-0000-0000-0000006D0000}"/>
    <cellStyle name="Percent 4 2 8 9" xfId="28730" xr:uid="{00000000-0005-0000-0000-0000016D0000}"/>
    <cellStyle name="Percent 4 2 9" xfId="28731" xr:uid="{00000000-0005-0000-0000-0000026D0000}"/>
    <cellStyle name="Percent 4 20" xfId="28732" xr:uid="{00000000-0005-0000-0000-0000036D0000}"/>
    <cellStyle name="Percent 4 21" xfId="28733" xr:uid="{00000000-0005-0000-0000-0000046D0000}"/>
    <cellStyle name="Percent 4 22" xfId="28734" xr:uid="{00000000-0005-0000-0000-0000056D0000}"/>
    <cellStyle name="Percent 4 23" xfId="28735" xr:uid="{00000000-0005-0000-0000-0000066D0000}"/>
    <cellStyle name="Percent 4 24" xfId="28736" xr:uid="{00000000-0005-0000-0000-0000076D0000}"/>
    <cellStyle name="Percent 4 3" xfId="28737" xr:uid="{00000000-0005-0000-0000-0000086D0000}"/>
    <cellStyle name="Percent 4 3 10" xfId="28738" xr:uid="{00000000-0005-0000-0000-0000096D0000}"/>
    <cellStyle name="Percent 4 3 11" xfId="28739" xr:uid="{00000000-0005-0000-0000-00000A6D0000}"/>
    <cellStyle name="Percent 4 3 12" xfId="28740" xr:uid="{00000000-0005-0000-0000-00000B6D0000}"/>
    <cellStyle name="Percent 4 3 13" xfId="28741" xr:uid="{00000000-0005-0000-0000-00000C6D0000}"/>
    <cellStyle name="Percent 4 3 14" xfId="28742" xr:uid="{00000000-0005-0000-0000-00000D6D0000}"/>
    <cellStyle name="Percent 4 3 15" xfId="28743" xr:uid="{00000000-0005-0000-0000-00000E6D0000}"/>
    <cellStyle name="Percent 4 3 16" xfId="28744" xr:uid="{00000000-0005-0000-0000-00000F6D0000}"/>
    <cellStyle name="Percent 4 3 17" xfId="28745" xr:uid="{00000000-0005-0000-0000-0000106D0000}"/>
    <cellStyle name="Percent 4 3 18" xfId="28746" xr:uid="{00000000-0005-0000-0000-0000116D0000}"/>
    <cellStyle name="Percent 4 3 19" xfId="28747" xr:uid="{00000000-0005-0000-0000-0000126D0000}"/>
    <cellStyle name="Percent 4 3 2" xfId="28748" xr:uid="{00000000-0005-0000-0000-0000136D0000}"/>
    <cellStyle name="Percent 4 3 2 10" xfId="28749" xr:uid="{00000000-0005-0000-0000-0000146D0000}"/>
    <cellStyle name="Percent 4 3 2 11" xfId="28750" xr:uid="{00000000-0005-0000-0000-0000156D0000}"/>
    <cellStyle name="Percent 4 3 2 12" xfId="28751" xr:uid="{00000000-0005-0000-0000-0000166D0000}"/>
    <cellStyle name="Percent 4 3 2 13" xfId="28752" xr:uid="{00000000-0005-0000-0000-0000176D0000}"/>
    <cellStyle name="Percent 4 3 2 14" xfId="28753" xr:uid="{00000000-0005-0000-0000-0000186D0000}"/>
    <cellStyle name="Percent 4 3 2 15" xfId="28754" xr:uid="{00000000-0005-0000-0000-0000196D0000}"/>
    <cellStyle name="Percent 4 3 2 2" xfId="28755" xr:uid="{00000000-0005-0000-0000-00001A6D0000}"/>
    <cellStyle name="Percent 4 3 2 3" xfId="28756" xr:uid="{00000000-0005-0000-0000-00001B6D0000}"/>
    <cellStyle name="Percent 4 3 2 4" xfId="28757" xr:uid="{00000000-0005-0000-0000-00001C6D0000}"/>
    <cellStyle name="Percent 4 3 2 5" xfId="28758" xr:uid="{00000000-0005-0000-0000-00001D6D0000}"/>
    <cellStyle name="Percent 4 3 2 6" xfId="28759" xr:uid="{00000000-0005-0000-0000-00001E6D0000}"/>
    <cellStyle name="Percent 4 3 2 7" xfId="28760" xr:uid="{00000000-0005-0000-0000-00001F6D0000}"/>
    <cellStyle name="Percent 4 3 2 8" xfId="28761" xr:uid="{00000000-0005-0000-0000-0000206D0000}"/>
    <cellStyle name="Percent 4 3 2 9" xfId="28762" xr:uid="{00000000-0005-0000-0000-0000216D0000}"/>
    <cellStyle name="Percent 4 3 20" xfId="28763" xr:uid="{00000000-0005-0000-0000-0000226D0000}"/>
    <cellStyle name="Percent 4 3 3" xfId="28764" xr:uid="{00000000-0005-0000-0000-0000236D0000}"/>
    <cellStyle name="Percent 4 3 3 10" xfId="28765" xr:uid="{00000000-0005-0000-0000-0000246D0000}"/>
    <cellStyle name="Percent 4 3 3 11" xfId="28766" xr:uid="{00000000-0005-0000-0000-0000256D0000}"/>
    <cellStyle name="Percent 4 3 3 12" xfId="28767" xr:uid="{00000000-0005-0000-0000-0000266D0000}"/>
    <cellStyle name="Percent 4 3 3 13" xfId="28768" xr:uid="{00000000-0005-0000-0000-0000276D0000}"/>
    <cellStyle name="Percent 4 3 3 14" xfId="28769" xr:uid="{00000000-0005-0000-0000-0000286D0000}"/>
    <cellStyle name="Percent 4 3 3 15" xfId="28770" xr:uid="{00000000-0005-0000-0000-0000296D0000}"/>
    <cellStyle name="Percent 4 3 3 2" xfId="28771" xr:uid="{00000000-0005-0000-0000-00002A6D0000}"/>
    <cellStyle name="Percent 4 3 3 3" xfId="28772" xr:uid="{00000000-0005-0000-0000-00002B6D0000}"/>
    <cellStyle name="Percent 4 3 3 4" xfId="28773" xr:uid="{00000000-0005-0000-0000-00002C6D0000}"/>
    <cellStyle name="Percent 4 3 3 5" xfId="28774" xr:uid="{00000000-0005-0000-0000-00002D6D0000}"/>
    <cellStyle name="Percent 4 3 3 6" xfId="28775" xr:uid="{00000000-0005-0000-0000-00002E6D0000}"/>
    <cellStyle name="Percent 4 3 3 7" xfId="28776" xr:uid="{00000000-0005-0000-0000-00002F6D0000}"/>
    <cellStyle name="Percent 4 3 3 8" xfId="28777" xr:uid="{00000000-0005-0000-0000-0000306D0000}"/>
    <cellStyle name="Percent 4 3 3 9" xfId="28778" xr:uid="{00000000-0005-0000-0000-0000316D0000}"/>
    <cellStyle name="Percent 4 3 4" xfId="28779" xr:uid="{00000000-0005-0000-0000-0000326D0000}"/>
    <cellStyle name="Percent 4 3 4 10" xfId="28780" xr:uid="{00000000-0005-0000-0000-0000336D0000}"/>
    <cellStyle name="Percent 4 3 4 11" xfId="28781" xr:uid="{00000000-0005-0000-0000-0000346D0000}"/>
    <cellStyle name="Percent 4 3 4 12" xfId="28782" xr:uid="{00000000-0005-0000-0000-0000356D0000}"/>
    <cellStyle name="Percent 4 3 4 13" xfId="28783" xr:uid="{00000000-0005-0000-0000-0000366D0000}"/>
    <cellStyle name="Percent 4 3 4 14" xfId="28784" xr:uid="{00000000-0005-0000-0000-0000376D0000}"/>
    <cellStyle name="Percent 4 3 4 15" xfId="28785" xr:uid="{00000000-0005-0000-0000-0000386D0000}"/>
    <cellStyle name="Percent 4 3 4 2" xfId="28786" xr:uid="{00000000-0005-0000-0000-0000396D0000}"/>
    <cellStyle name="Percent 4 3 4 3" xfId="28787" xr:uid="{00000000-0005-0000-0000-00003A6D0000}"/>
    <cellStyle name="Percent 4 3 4 4" xfId="28788" xr:uid="{00000000-0005-0000-0000-00003B6D0000}"/>
    <cellStyle name="Percent 4 3 4 5" xfId="28789" xr:uid="{00000000-0005-0000-0000-00003C6D0000}"/>
    <cellStyle name="Percent 4 3 4 6" xfId="28790" xr:uid="{00000000-0005-0000-0000-00003D6D0000}"/>
    <cellStyle name="Percent 4 3 4 7" xfId="28791" xr:uid="{00000000-0005-0000-0000-00003E6D0000}"/>
    <cellStyle name="Percent 4 3 4 8" xfId="28792" xr:uid="{00000000-0005-0000-0000-00003F6D0000}"/>
    <cellStyle name="Percent 4 3 4 9" xfId="28793" xr:uid="{00000000-0005-0000-0000-0000406D0000}"/>
    <cellStyle name="Percent 4 3 5" xfId="28794" xr:uid="{00000000-0005-0000-0000-0000416D0000}"/>
    <cellStyle name="Percent 4 3 5 10" xfId="28795" xr:uid="{00000000-0005-0000-0000-0000426D0000}"/>
    <cellStyle name="Percent 4 3 5 11" xfId="28796" xr:uid="{00000000-0005-0000-0000-0000436D0000}"/>
    <cellStyle name="Percent 4 3 5 12" xfId="28797" xr:uid="{00000000-0005-0000-0000-0000446D0000}"/>
    <cellStyle name="Percent 4 3 5 13" xfId="28798" xr:uid="{00000000-0005-0000-0000-0000456D0000}"/>
    <cellStyle name="Percent 4 3 5 14" xfId="28799" xr:uid="{00000000-0005-0000-0000-0000466D0000}"/>
    <cellStyle name="Percent 4 3 5 15" xfId="28800" xr:uid="{00000000-0005-0000-0000-0000476D0000}"/>
    <cellStyle name="Percent 4 3 5 2" xfId="28801" xr:uid="{00000000-0005-0000-0000-0000486D0000}"/>
    <cellStyle name="Percent 4 3 5 3" xfId="28802" xr:uid="{00000000-0005-0000-0000-0000496D0000}"/>
    <cellStyle name="Percent 4 3 5 4" xfId="28803" xr:uid="{00000000-0005-0000-0000-00004A6D0000}"/>
    <cellStyle name="Percent 4 3 5 5" xfId="28804" xr:uid="{00000000-0005-0000-0000-00004B6D0000}"/>
    <cellStyle name="Percent 4 3 5 6" xfId="28805" xr:uid="{00000000-0005-0000-0000-00004C6D0000}"/>
    <cellStyle name="Percent 4 3 5 7" xfId="28806" xr:uid="{00000000-0005-0000-0000-00004D6D0000}"/>
    <cellStyle name="Percent 4 3 5 8" xfId="28807" xr:uid="{00000000-0005-0000-0000-00004E6D0000}"/>
    <cellStyle name="Percent 4 3 5 9" xfId="28808" xr:uid="{00000000-0005-0000-0000-00004F6D0000}"/>
    <cellStyle name="Percent 4 3 6" xfId="28809" xr:uid="{00000000-0005-0000-0000-0000506D0000}"/>
    <cellStyle name="Percent 4 3 7" xfId="28810" xr:uid="{00000000-0005-0000-0000-0000516D0000}"/>
    <cellStyle name="Percent 4 3 8" xfId="28811" xr:uid="{00000000-0005-0000-0000-0000526D0000}"/>
    <cellStyle name="Percent 4 3 9" xfId="28812" xr:uid="{00000000-0005-0000-0000-0000536D0000}"/>
    <cellStyle name="Percent 4 4" xfId="28813" xr:uid="{00000000-0005-0000-0000-0000546D0000}"/>
    <cellStyle name="Percent 4 4 10" xfId="28814" xr:uid="{00000000-0005-0000-0000-0000556D0000}"/>
    <cellStyle name="Percent 4 4 11" xfId="28815" xr:uid="{00000000-0005-0000-0000-0000566D0000}"/>
    <cellStyle name="Percent 4 4 12" xfId="28816" xr:uid="{00000000-0005-0000-0000-0000576D0000}"/>
    <cellStyle name="Percent 4 4 13" xfId="28817" xr:uid="{00000000-0005-0000-0000-0000586D0000}"/>
    <cellStyle name="Percent 4 4 14" xfId="28818" xr:uid="{00000000-0005-0000-0000-0000596D0000}"/>
    <cellStyle name="Percent 4 4 15" xfId="28819" xr:uid="{00000000-0005-0000-0000-00005A6D0000}"/>
    <cellStyle name="Percent 4 4 16" xfId="28820" xr:uid="{00000000-0005-0000-0000-00005B6D0000}"/>
    <cellStyle name="Percent 4 4 17" xfId="28821" xr:uid="{00000000-0005-0000-0000-00005C6D0000}"/>
    <cellStyle name="Percent 4 4 18" xfId="28822" xr:uid="{00000000-0005-0000-0000-00005D6D0000}"/>
    <cellStyle name="Percent 4 4 19" xfId="28823" xr:uid="{00000000-0005-0000-0000-00005E6D0000}"/>
    <cellStyle name="Percent 4 4 2" xfId="28824" xr:uid="{00000000-0005-0000-0000-00005F6D0000}"/>
    <cellStyle name="Percent 4 4 2 10" xfId="28825" xr:uid="{00000000-0005-0000-0000-0000606D0000}"/>
    <cellStyle name="Percent 4 4 2 11" xfId="28826" xr:uid="{00000000-0005-0000-0000-0000616D0000}"/>
    <cellStyle name="Percent 4 4 2 12" xfId="28827" xr:uid="{00000000-0005-0000-0000-0000626D0000}"/>
    <cellStyle name="Percent 4 4 2 13" xfId="28828" xr:uid="{00000000-0005-0000-0000-0000636D0000}"/>
    <cellStyle name="Percent 4 4 2 14" xfId="28829" xr:uid="{00000000-0005-0000-0000-0000646D0000}"/>
    <cellStyle name="Percent 4 4 2 15" xfId="28830" xr:uid="{00000000-0005-0000-0000-0000656D0000}"/>
    <cellStyle name="Percent 4 4 2 2" xfId="28831" xr:uid="{00000000-0005-0000-0000-0000666D0000}"/>
    <cellStyle name="Percent 4 4 2 3" xfId="28832" xr:uid="{00000000-0005-0000-0000-0000676D0000}"/>
    <cellStyle name="Percent 4 4 2 4" xfId="28833" xr:uid="{00000000-0005-0000-0000-0000686D0000}"/>
    <cellStyle name="Percent 4 4 2 5" xfId="28834" xr:uid="{00000000-0005-0000-0000-0000696D0000}"/>
    <cellStyle name="Percent 4 4 2 6" xfId="28835" xr:uid="{00000000-0005-0000-0000-00006A6D0000}"/>
    <cellStyle name="Percent 4 4 2 7" xfId="28836" xr:uid="{00000000-0005-0000-0000-00006B6D0000}"/>
    <cellStyle name="Percent 4 4 2 8" xfId="28837" xr:uid="{00000000-0005-0000-0000-00006C6D0000}"/>
    <cellStyle name="Percent 4 4 2 9" xfId="28838" xr:uid="{00000000-0005-0000-0000-00006D6D0000}"/>
    <cellStyle name="Percent 4 4 20" xfId="28839" xr:uid="{00000000-0005-0000-0000-00006E6D0000}"/>
    <cellStyle name="Percent 4 4 3" xfId="28840" xr:uid="{00000000-0005-0000-0000-00006F6D0000}"/>
    <cellStyle name="Percent 4 4 3 10" xfId="28841" xr:uid="{00000000-0005-0000-0000-0000706D0000}"/>
    <cellStyle name="Percent 4 4 3 11" xfId="28842" xr:uid="{00000000-0005-0000-0000-0000716D0000}"/>
    <cellStyle name="Percent 4 4 3 12" xfId="28843" xr:uid="{00000000-0005-0000-0000-0000726D0000}"/>
    <cellStyle name="Percent 4 4 3 13" xfId="28844" xr:uid="{00000000-0005-0000-0000-0000736D0000}"/>
    <cellStyle name="Percent 4 4 3 14" xfId="28845" xr:uid="{00000000-0005-0000-0000-0000746D0000}"/>
    <cellStyle name="Percent 4 4 3 15" xfId="28846" xr:uid="{00000000-0005-0000-0000-0000756D0000}"/>
    <cellStyle name="Percent 4 4 3 2" xfId="28847" xr:uid="{00000000-0005-0000-0000-0000766D0000}"/>
    <cellStyle name="Percent 4 4 3 3" xfId="28848" xr:uid="{00000000-0005-0000-0000-0000776D0000}"/>
    <cellStyle name="Percent 4 4 3 4" xfId="28849" xr:uid="{00000000-0005-0000-0000-0000786D0000}"/>
    <cellStyle name="Percent 4 4 3 5" xfId="28850" xr:uid="{00000000-0005-0000-0000-0000796D0000}"/>
    <cellStyle name="Percent 4 4 3 6" xfId="28851" xr:uid="{00000000-0005-0000-0000-00007A6D0000}"/>
    <cellStyle name="Percent 4 4 3 7" xfId="28852" xr:uid="{00000000-0005-0000-0000-00007B6D0000}"/>
    <cellStyle name="Percent 4 4 3 8" xfId="28853" xr:uid="{00000000-0005-0000-0000-00007C6D0000}"/>
    <cellStyle name="Percent 4 4 3 9" xfId="28854" xr:uid="{00000000-0005-0000-0000-00007D6D0000}"/>
    <cellStyle name="Percent 4 4 4" xfId="28855" xr:uid="{00000000-0005-0000-0000-00007E6D0000}"/>
    <cellStyle name="Percent 4 4 4 10" xfId="28856" xr:uid="{00000000-0005-0000-0000-00007F6D0000}"/>
    <cellStyle name="Percent 4 4 4 11" xfId="28857" xr:uid="{00000000-0005-0000-0000-0000806D0000}"/>
    <cellStyle name="Percent 4 4 4 12" xfId="28858" xr:uid="{00000000-0005-0000-0000-0000816D0000}"/>
    <cellStyle name="Percent 4 4 4 13" xfId="28859" xr:uid="{00000000-0005-0000-0000-0000826D0000}"/>
    <cellStyle name="Percent 4 4 4 14" xfId="28860" xr:uid="{00000000-0005-0000-0000-0000836D0000}"/>
    <cellStyle name="Percent 4 4 4 15" xfId="28861" xr:uid="{00000000-0005-0000-0000-0000846D0000}"/>
    <cellStyle name="Percent 4 4 4 2" xfId="28862" xr:uid="{00000000-0005-0000-0000-0000856D0000}"/>
    <cellStyle name="Percent 4 4 4 3" xfId="28863" xr:uid="{00000000-0005-0000-0000-0000866D0000}"/>
    <cellStyle name="Percent 4 4 4 4" xfId="28864" xr:uid="{00000000-0005-0000-0000-0000876D0000}"/>
    <cellStyle name="Percent 4 4 4 5" xfId="28865" xr:uid="{00000000-0005-0000-0000-0000886D0000}"/>
    <cellStyle name="Percent 4 4 4 6" xfId="28866" xr:uid="{00000000-0005-0000-0000-0000896D0000}"/>
    <cellStyle name="Percent 4 4 4 7" xfId="28867" xr:uid="{00000000-0005-0000-0000-00008A6D0000}"/>
    <cellStyle name="Percent 4 4 4 8" xfId="28868" xr:uid="{00000000-0005-0000-0000-00008B6D0000}"/>
    <cellStyle name="Percent 4 4 4 9" xfId="28869" xr:uid="{00000000-0005-0000-0000-00008C6D0000}"/>
    <cellStyle name="Percent 4 4 5" xfId="28870" xr:uid="{00000000-0005-0000-0000-00008D6D0000}"/>
    <cellStyle name="Percent 4 4 5 10" xfId="28871" xr:uid="{00000000-0005-0000-0000-00008E6D0000}"/>
    <cellStyle name="Percent 4 4 5 11" xfId="28872" xr:uid="{00000000-0005-0000-0000-00008F6D0000}"/>
    <cellStyle name="Percent 4 4 5 12" xfId="28873" xr:uid="{00000000-0005-0000-0000-0000906D0000}"/>
    <cellStyle name="Percent 4 4 5 13" xfId="28874" xr:uid="{00000000-0005-0000-0000-0000916D0000}"/>
    <cellStyle name="Percent 4 4 5 14" xfId="28875" xr:uid="{00000000-0005-0000-0000-0000926D0000}"/>
    <cellStyle name="Percent 4 4 5 15" xfId="28876" xr:uid="{00000000-0005-0000-0000-0000936D0000}"/>
    <cellStyle name="Percent 4 4 5 2" xfId="28877" xr:uid="{00000000-0005-0000-0000-0000946D0000}"/>
    <cellStyle name="Percent 4 4 5 3" xfId="28878" xr:uid="{00000000-0005-0000-0000-0000956D0000}"/>
    <cellStyle name="Percent 4 4 5 4" xfId="28879" xr:uid="{00000000-0005-0000-0000-0000966D0000}"/>
    <cellStyle name="Percent 4 4 5 5" xfId="28880" xr:uid="{00000000-0005-0000-0000-0000976D0000}"/>
    <cellStyle name="Percent 4 4 5 6" xfId="28881" xr:uid="{00000000-0005-0000-0000-0000986D0000}"/>
    <cellStyle name="Percent 4 4 5 7" xfId="28882" xr:uid="{00000000-0005-0000-0000-0000996D0000}"/>
    <cellStyle name="Percent 4 4 5 8" xfId="28883" xr:uid="{00000000-0005-0000-0000-00009A6D0000}"/>
    <cellStyle name="Percent 4 4 5 9" xfId="28884" xr:uid="{00000000-0005-0000-0000-00009B6D0000}"/>
    <cellStyle name="Percent 4 4 6" xfId="28885" xr:uid="{00000000-0005-0000-0000-00009C6D0000}"/>
    <cellStyle name="Percent 4 4 7" xfId="28886" xr:uid="{00000000-0005-0000-0000-00009D6D0000}"/>
    <cellStyle name="Percent 4 4 8" xfId="28887" xr:uid="{00000000-0005-0000-0000-00009E6D0000}"/>
    <cellStyle name="Percent 4 4 9" xfId="28888" xr:uid="{00000000-0005-0000-0000-00009F6D0000}"/>
    <cellStyle name="Percent 4 5" xfId="28889" xr:uid="{00000000-0005-0000-0000-0000A06D0000}"/>
    <cellStyle name="Percent 4 5 10" xfId="28890" xr:uid="{00000000-0005-0000-0000-0000A16D0000}"/>
    <cellStyle name="Percent 4 5 11" xfId="28891" xr:uid="{00000000-0005-0000-0000-0000A26D0000}"/>
    <cellStyle name="Percent 4 5 12" xfId="28892" xr:uid="{00000000-0005-0000-0000-0000A36D0000}"/>
    <cellStyle name="Percent 4 5 13" xfId="28893" xr:uid="{00000000-0005-0000-0000-0000A46D0000}"/>
    <cellStyle name="Percent 4 5 14" xfId="28894" xr:uid="{00000000-0005-0000-0000-0000A56D0000}"/>
    <cellStyle name="Percent 4 5 15" xfId="28895" xr:uid="{00000000-0005-0000-0000-0000A66D0000}"/>
    <cellStyle name="Percent 4 5 16" xfId="28896" xr:uid="{00000000-0005-0000-0000-0000A76D0000}"/>
    <cellStyle name="Percent 4 5 17" xfId="28897" xr:uid="{00000000-0005-0000-0000-0000A86D0000}"/>
    <cellStyle name="Percent 4 5 18" xfId="28898" xr:uid="{00000000-0005-0000-0000-0000A96D0000}"/>
    <cellStyle name="Percent 4 5 19" xfId="28899" xr:uid="{00000000-0005-0000-0000-0000AA6D0000}"/>
    <cellStyle name="Percent 4 5 2" xfId="28900" xr:uid="{00000000-0005-0000-0000-0000AB6D0000}"/>
    <cellStyle name="Percent 4 5 2 10" xfId="28901" xr:uid="{00000000-0005-0000-0000-0000AC6D0000}"/>
    <cellStyle name="Percent 4 5 2 11" xfId="28902" xr:uid="{00000000-0005-0000-0000-0000AD6D0000}"/>
    <cellStyle name="Percent 4 5 2 12" xfId="28903" xr:uid="{00000000-0005-0000-0000-0000AE6D0000}"/>
    <cellStyle name="Percent 4 5 2 13" xfId="28904" xr:uid="{00000000-0005-0000-0000-0000AF6D0000}"/>
    <cellStyle name="Percent 4 5 2 14" xfId="28905" xr:uid="{00000000-0005-0000-0000-0000B06D0000}"/>
    <cellStyle name="Percent 4 5 2 15" xfId="28906" xr:uid="{00000000-0005-0000-0000-0000B16D0000}"/>
    <cellStyle name="Percent 4 5 2 2" xfId="28907" xr:uid="{00000000-0005-0000-0000-0000B26D0000}"/>
    <cellStyle name="Percent 4 5 2 3" xfId="28908" xr:uid="{00000000-0005-0000-0000-0000B36D0000}"/>
    <cellStyle name="Percent 4 5 2 4" xfId="28909" xr:uid="{00000000-0005-0000-0000-0000B46D0000}"/>
    <cellStyle name="Percent 4 5 2 5" xfId="28910" xr:uid="{00000000-0005-0000-0000-0000B56D0000}"/>
    <cellStyle name="Percent 4 5 2 6" xfId="28911" xr:uid="{00000000-0005-0000-0000-0000B66D0000}"/>
    <cellStyle name="Percent 4 5 2 7" xfId="28912" xr:uid="{00000000-0005-0000-0000-0000B76D0000}"/>
    <cellStyle name="Percent 4 5 2 8" xfId="28913" xr:uid="{00000000-0005-0000-0000-0000B86D0000}"/>
    <cellStyle name="Percent 4 5 2 9" xfId="28914" xr:uid="{00000000-0005-0000-0000-0000B96D0000}"/>
    <cellStyle name="Percent 4 5 20" xfId="28915" xr:uid="{00000000-0005-0000-0000-0000BA6D0000}"/>
    <cellStyle name="Percent 4 5 3" xfId="28916" xr:uid="{00000000-0005-0000-0000-0000BB6D0000}"/>
    <cellStyle name="Percent 4 5 3 10" xfId="28917" xr:uid="{00000000-0005-0000-0000-0000BC6D0000}"/>
    <cellStyle name="Percent 4 5 3 11" xfId="28918" xr:uid="{00000000-0005-0000-0000-0000BD6D0000}"/>
    <cellStyle name="Percent 4 5 3 12" xfId="28919" xr:uid="{00000000-0005-0000-0000-0000BE6D0000}"/>
    <cellStyle name="Percent 4 5 3 13" xfId="28920" xr:uid="{00000000-0005-0000-0000-0000BF6D0000}"/>
    <cellStyle name="Percent 4 5 3 14" xfId="28921" xr:uid="{00000000-0005-0000-0000-0000C06D0000}"/>
    <cellStyle name="Percent 4 5 3 15" xfId="28922" xr:uid="{00000000-0005-0000-0000-0000C16D0000}"/>
    <cellStyle name="Percent 4 5 3 2" xfId="28923" xr:uid="{00000000-0005-0000-0000-0000C26D0000}"/>
    <cellStyle name="Percent 4 5 3 3" xfId="28924" xr:uid="{00000000-0005-0000-0000-0000C36D0000}"/>
    <cellStyle name="Percent 4 5 3 4" xfId="28925" xr:uid="{00000000-0005-0000-0000-0000C46D0000}"/>
    <cellStyle name="Percent 4 5 3 5" xfId="28926" xr:uid="{00000000-0005-0000-0000-0000C56D0000}"/>
    <cellStyle name="Percent 4 5 3 6" xfId="28927" xr:uid="{00000000-0005-0000-0000-0000C66D0000}"/>
    <cellStyle name="Percent 4 5 3 7" xfId="28928" xr:uid="{00000000-0005-0000-0000-0000C76D0000}"/>
    <cellStyle name="Percent 4 5 3 8" xfId="28929" xr:uid="{00000000-0005-0000-0000-0000C86D0000}"/>
    <cellStyle name="Percent 4 5 3 9" xfId="28930" xr:uid="{00000000-0005-0000-0000-0000C96D0000}"/>
    <cellStyle name="Percent 4 5 4" xfId="28931" xr:uid="{00000000-0005-0000-0000-0000CA6D0000}"/>
    <cellStyle name="Percent 4 5 4 10" xfId="28932" xr:uid="{00000000-0005-0000-0000-0000CB6D0000}"/>
    <cellStyle name="Percent 4 5 4 11" xfId="28933" xr:uid="{00000000-0005-0000-0000-0000CC6D0000}"/>
    <cellStyle name="Percent 4 5 4 12" xfId="28934" xr:uid="{00000000-0005-0000-0000-0000CD6D0000}"/>
    <cellStyle name="Percent 4 5 4 13" xfId="28935" xr:uid="{00000000-0005-0000-0000-0000CE6D0000}"/>
    <cellStyle name="Percent 4 5 4 14" xfId="28936" xr:uid="{00000000-0005-0000-0000-0000CF6D0000}"/>
    <cellStyle name="Percent 4 5 4 15" xfId="28937" xr:uid="{00000000-0005-0000-0000-0000D06D0000}"/>
    <cellStyle name="Percent 4 5 4 2" xfId="28938" xr:uid="{00000000-0005-0000-0000-0000D16D0000}"/>
    <cellStyle name="Percent 4 5 4 3" xfId="28939" xr:uid="{00000000-0005-0000-0000-0000D26D0000}"/>
    <cellStyle name="Percent 4 5 4 4" xfId="28940" xr:uid="{00000000-0005-0000-0000-0000D36D0000}"/>
    <cellStyle name="Percent 4 5 4 5" xfId="28941" xr:uid="{00000000-0005-0000-0000-0000D46D0000}"/>
    <cellStyle name="Percent 4 5 4 6" xfId="28942" xr:uid="{00000000-0005-0000-0000-0000D56D0000}"/>
    <cellStyle name="Percent 4 5 4 7" xfId="28943" xr:uid="{00000000-0005-0000-0000-0000D66D0000}"/>
    <cellStyle name="Percent 4 5 4 8" xfId="28944" xr:uid="{00000000-0005-0000-0000-0000D76D0000}"/>
    <cellStyle name="Percent 4 5 4 9" xfId="28945" xr:uid="{00000000-0005-0000-0000-0000D86D0000}"/>
    <cellStyle name="Percent 4 5 5" xfId="28946" xr:uid="{00000000-0005-0000-0000-0000D96D0000}"/>
    <cellStyle name="Percent 4 5 5 10" xfId="28947" xr:uid="{00000000-0005-0000-0000-0000DA6D0000}"/>
    <cellStyle name="Percent 4 5 5 11" xfId="28948" xr:uid="{00000000-0005-0000-0000-0000DB6D0000}"/>
    <cellStyle name="Percent 4 5 5 12" xfId="28949" xr:uid="{00000000-0005-0000-0000-0000DC6D0000}"/>
    <cellStyle name="Percent 4 5 5 13" xfId="28950" xr:uid="{00000000-0005-0000-0000-0000DD6D0000}"/>
    <cellStyle name="Percent 4 5 5 14" xfId="28951" xr:uid="{00000000-0005-0000-0000-0000DE6D0000}"/>
    <cellStyle name="Percent 4 5 5 15" xfId="28952" xr:uid="{00000000-0005-0000-0000-0000DF6D0000}"/>
    <cellStyle name="Percent 4 5 5 2" xfId="28953" xr:uid="{00000000-0005-0000-0000-0000E06D0000}"/>
    <cellStyle name="Percent 4 5 5 3" xfId="28954" xr:uid="{00000000-0005-0000-0000-0000E16D0000}"/>
    <cellStyle name="Percent 4 5 5 4" xfId="28955" xr:uid="{00000000-0005-0000-0000-0000E26D0000}"/>
    <cellStyle name="Percent 4 5 5 5" xfId="28956" xr:uid="{00000000-0005-0000-0000-0000E36D0000}"/>
    <cellStyle name="Percent 4 5 5 6" xfId="28957" xr:uid="{00000000-0005-0000-0000-0000E46D0000}"/>
    <cellStyle name="Percent 4 5 5 7" xfId="28958" xr:uid="{00000000-0005-0000-0000-0000E56D0000}"/>
    <cellStyle name="Percent 4 5 5 8" xfId="28959" xr:uid="{00000000-0005-0000-0000-0000E66D0000}"/>
    <cellStyle name="Percent 4 5 5 9" xfId="28960" xr:uid="{00000000-0005-0000-0000-0000E76D0000}"/>
    <cellStyle name="Percent 4 5 6" xfId="28961" xr:uid="{00000000-0005-0000-0000-0000E86D0000}"/>
    <cellStyle name="Percent 4 5 7" xfId="28962" xr:uid="{00000000-0005-0000-0000-0000E96D0000}"/>
    <cellStyle name="Percent 4 5 8" xfId="28963" xr:uid="{00000000-0005-0000-0000-0000EA6D0000}"/>
    <cellStyle name="Percent 4 5 9" xfId="28964" xr:uid="{00000000-0005-0000-0000-0000EB6D0000}"/>
    <cellStyle name="Percent 4 6" xfId="28965" xr:uid="{00000000-0005-0000-0000-0000EC6D0000}"/>
    <cellStyle name="Percent 4 6 10" xfId="28966" xr:uid="{00000000-0005-0000-0000-0000ED6D0000}"/>
    <cellStyle name="Percent 4 6 11" xfId="28967" xr:uid="{00000000-0005-0000-0000-0000EE6D0000}"/>
    <cellStyle name="Percent 4 6 12" xfId="28968" xr:uid="{00000000-0005-0000-0000-0000EF6D0000}"/>
    <cellStyle name="Percent 4 6 13" xfId="28969" xr:uid="{00000000-0005-0000-0000-0000F06D0000}"/>
    <cellStyle name="Percent 4 6 14" xfId="28970" xr:uid="{00000000-0005-0000-0000-0000F16D0000}"/>
    <cellStyle name="Percent 4 6 15" xfId="28971" xr:uid="{00000000-0005-0000-0000-0000F26D0000}"/>
    <cellStyle name="Percent 4 6 2" xfId="28972" xr:uid="{00000000-0005-0000-0000-0000F36D0000}"/>
    <cellStyle name="Percent 4 6 3" xfId="28973" xr:uid="{00000000-0005-0000-0000-0000F46D0000}"/>
    <cellStyle name="Percent 4 6 4" xfId="28974" xr:uid="{00000000-0005-0000-0000-0000F56D0000}"/>
    <cellStyle name="Percent 4 6 5" xfId="28975" xr:uid="{00000000-0005-0000-0000-0000F66D0000}"/>
    <cellStyle name="Percent 4 6 6" xfId="28976" xr:uid="{00000000-0005-0000-0000-0000F76D0000}"/>
    <cellStyle name="Percent 4 6 7" xfId="28977" xr:uid="{00000000-0005-0000-0000-0000F86D0000}"/>
    <cellStyle name="Percent 4 6 8" xfId="28978" xr:uid="{00000000-0005-0000-0000-0000F96D0000}"/>
    <cellStyle name="Percent 4 6 9" xfId="28979" xr:uid="{00000000-0005-0000-0000-0000FA6D0000}"/>
    <cellStyle name="Percent 4 7" xfId="28980" xr:uid="{00000000-0005-0000-0000-0000FB6D0000}"/>
    <cellStyle name="Percent 4 7 10" xfId="28981" xr:uid="{00000000-0005-0000-0000-0000FC6D0000}"/>
    <cellStyle name="Percent 4 7 11" xfId="28982" xr:uid="{00000000-0005-0000-0000-0000FD6D0000}"/>
    <cellStyle name="Percent 4 7 12" xfId="28983" xr:uid="{00000000-0005-0000-0000-0000FE6D0000}"/>
    <cellStyle name="Percent 4 7 13" xfId="28984" xr:uid="{00000000-0005-0000-0000-0000FF6D0000}"/>
    <cellStyle name="Percent 4 7 14" xfId="28985" xr:uid="{00000000-0005-0000-0000-0000006E0000}"/>
    <cellStyle name="Percent 4 7 15" xfId="28986" xr:uid="{00000000-0005-0000-0000-0000016E0000}"/>
    <cellStyle name="Percent 4 7 2" xfId="28987" xr:uid="{00000000-0005-0000-0000-0000026E0000}"/>
    <cellStyle name="Percent 4 7 3" xfId="28988" xr:uid="{00000000-0005-0000-0000-0000036E0000}"/>
    <cellStyle name="Percent 4 7 4" xfId="28989" xr:uid="{00000000-0005-0000-0000-0000046E0000}"/>
    <cellStyle name="Percent 4 7 5" xfId="28990" xr:uid="{00000000-0005-0000-0000-0000056E0000}"/>
    <cellStyle name="Percent 4 7 6" xfId="28991" xr:uid="{00000000-0005-0000-0000-0000066E0000}"/>
    <cellStyle name="Percent 4 7 7" xfId="28992" xr:uid="{00000000-0005-0000-0000-0000076E0000}"/>
    <cellStyle name="Percent 4 7 8" xfId="28993" xr:uid="{00000000-0005-0000-0000-0000086E0000}"/>
    <cellStyle name="Percent 4 7 9" xfId="28994" xr:uid="{00000000-0005-0000-0000-0000096E0000}"/>
    <cellStyle name="Percent 4 8" xfId="28995" xr:uid="{00000000-0005-0000-0000-00000A6E0000}"/>
    <cellStyle name="Percent 4 8 10" xfId="28996" xr:uid="{00000000-0005-0000-0000-00000B6E0000}"/>
    <cellStyle name="Percent 4 8 11" xfId="28997" xr:uid="{00000000-0005-0000-0000-00000C6E0000}"/>
    <cellStyle name="Percent 4 8 12" xfId="28998" xr:uid="{00000000-0005-0000-0000-00000D6E0000}"/>
    <cellStyle name="Percent 4 8 13" xfId="28999" xr:uid="{00000000-0005-0000-0000-00000E6E0000}"/>
    <cellStyle name="Percent 4 8 14" xfId="29000" xr:uid="{00000000-0005-0000-0000-00000F6E0000}"/>
    <cellStyle name="Percent 4 8 15" xfId="29001" xr:uid="{00000000-0005-0000-0000-0000106E0000}"/>
    <cellStyle name="Percent 4 8 2" xfId="29002" xr:uid="{00000000-0005-0000-0000-0000116E0000}"/>
    <cellStyle name="Percent 4 8 3" xfId="29003" xr:uid="{00000000-0005-0000-0000-0000126E0000}"/>
    <cellStyle name="Percent 4 8 4" xfId="29004" xr:uid="{00000000-0005-0000-0000-0000136E0000}"/>
    <cellStyle name="Percent 4 8 5" xfId="29005" xr:uid="{00000000-0005-0000-0000-0000146E0000}"/>
    <cellStyle name="Percent 4 8 6" xfId="29006" xr:uid="{00000000-0005-0000-0000-0000156E0000}"/>
    <cellStyle name="Percent 4 8 7" xfId="29007" xr:uid="{00000000-0005-0000-0000-0000166E0000}"/>
    <cellStyle name="Percent 4 8 8" xfId="29008" xr:uid="{00000000-0005-0000-0000-0000176E0000}"/>
    <cellStyle name="Percent 4 8 9" xfId="29009" xr:uid="{00000000-0005-0000-0000-0000186E0000}"/>
    <cellStyle name="Percent 4 9" xfId="29010" xr:uid="{00000000-0005-0000-0000-0000196E0000}"/>
    <cellStyle name="Percent 4 9 10" xfId="29011" xr:uid="{00000000-0005-0000-0000-00001A6E0000}"/>
    <cellStyle name="Percent 4 9 11" xfId="29012" xr:uid="{00000000-0005-0000-0000-00001B6E0000}"/>
    <cellStyle name="Percent 4 9 12" xfId="29013" xr:uid="{00000000-0005-0000-0000-00001C6E0000}"/>
    <cellStyle name="Percent 4 9 13" xfId="29014" xr:uid="{00000000-0005-0000-0000-00001D6E0000}"/>
    <cellStyle name="Percent 4 9 14" xfId="29015" xr:uid="{00000000-0005-0000-0000-00001E6E0000}"/>
    <cellStyle name="Percent 4 9 15" xfId="29016" xr:uid="{00000000-0005-0000-0000-00001F6E0000}"/>
    <cellStyle name="Percent 4 9 2" xfId="29017" xr:uid="{00000000-0005-0000-0000-0000206E0000}"/>
    <cellStyle name="Percent 4 9 3" xfId="29018" xr:uid="{00000000-0005-0000-0000-0000216E0000}"/>
    <cellStyle name="Percent 4 9 4" xfId="29019" xr:uid="{00000000-0005-0000-0000-0000226E0000}"/>
    <cellStyle name="Percent 4 9 5" xfId="29020" xr:uid="{00000000-0005-0000-0000-0000236E0000}"/>
    <cellStyle name="Percent 4 9 6" xfId="29021" xr:uid="{00000000-0005-0000-0000-0000246E0000}"/>
    <cellStyle name="Percent 4 9 7" xfId="29022" xr:uid="{00000000-0005-0000-0000-0000256E0000}"/>
    <cellStyle name="Percent 4 9 8" xfId="29023" xr:uid="{00000000-0005-0000-0000-0000266E0000}"/>
    <cellStyle name="Percent 4 9 9" xfId="29024" xr:uid="{00000000-0005-0000-0000-0000276E0000}"/>
    <cellStyle name="Percent 5" xfId="29025" xr:uid="{00000000-0005-0000-0000-0000286E0000}"/>
    <cellStyle name="Percent 5 10" xfId="29026" xr:uid="{00000000-0005-0000-0000-0000296E0000}"/>
    <cellStyle name="Percent 5 10 10" xfId="29027" xr:uid="{00000000-0005-0000-0000-00002A6E0000}"/>
    <cellStyle name="Percent 5 10 11" xfId="29028" xr:uid="{00000000-0005-0000-0000-00002B6E0000}"/>
    <cellStyle name="Percent 5 10 12" xfId="29029" xr:uid="{00000000-0005-0000-0000-00002C6E0000}"/>
    <cellStyle name="Percent 5 10 13" xfId="29030" xr:uid="{00000000-0005-0000-0000-00002D6E0000}"/>
    <cellStyle name="Percent 5 10 14" xfId="29031" xr:uid="{00000000-0005-0000-0000-00002E6E0000}"/>
    <cellStyle name="Percent 5 10 15" xfId="29032" xr:uid="{00000000-0005-0000-0000-00002F6E0000}"/>
    <cellStyle name="Percent 5 10 2" xfId="29033" xr:uid="{00000000-0005-0000-0000-0000306E0000}"/>
    <cellStyle name="Percent 5 10 3" xfId="29034" xr:uid="{00000000-0005-0000-0000-0000316E0000}"/>
    <cellStyle name="Percent 5 10 4" xfId="29035" xr:uid="{00000000-0005-0000-0000-0000326E0000}"/>
    <cellStyle name="Percent 5 10 5" xfId="29036" xr:uid="{00000000-0005-0000-0000-0000336E0000}"/>
    <cellStyle name="Percent 5 10 6" xfId="29037" xr:uid="{00000000-0005-0000-0000-0000346E0000}"/>
    <cellStyle name="Percent 5 10 7" xfId="29038" xr:uid="{00000000-0005-0000-0000-0000356E0000}"/>
    <cellStyle name="Percent 5 10 8" xfId="29039" xr:uid="{00000000-0005-0000-0000-0000366E0000}"/>
    <cellStyle name="Percent 5 10 9" xfId="29040" xr:uid="{00000000-0005-0000-0000-0000376E0000}"/>
    <cellStyle name="Percent 5 11" xfId="29041" xr:uid="{00000000-0005-0000-0000-0000386E0000}"/>
    <cellStyle name="Percent 5 11 10" xfId="29042" xr:uid="{00000000-0005-0000-0000-0000396E0000}"/>
    <cellStyle name="Percent 5 11 11" xfId="29043" xr:uid="{00000000-0005-0000-0000-00003A6E0000}"/>
    <cellStyle name="Percent 5 11 12" xfId="29044" xr:uid="{00000000-0005-0000-0000-00003B6E0000}"/>
    <cellStyle name="Percent 5 11 13" xfId="29045" xr:uid="{00000000-0005-0000-0000-00003C6E0000}"/>
    <cellStyle name="Percent 5 11 14" xfId="29046" xr:uid="{00000000-0005-0000-0000-00003D6E0000}"/>
    <cellStyle name="Percent 5 11 15" xfId="29047" xr:uid="{00000000-0005-0000-0000-00003E6E0000}"/>
    <cellStyle name="Percent 5 11 2" xfId="29048" xr:uid="{00000000-0005-0000-0000-00003F6E0000}"/>
    <cellStyle name="Percent 5 11 3" xfId="29049" xr:uid="{00000000-0005-0000-0000-0000406E0000}"/>
    <cellStyle name="Percent 5 11 4" xfId="29050" xr:uid="{00000000-0005-0000-0000-0000416E0000}"/>
    <cellStyle name="Percent 5 11 5" xfId="29051" xr:uid="{00000000-0005-0000-0000-0000426E0000}"/>
    <cellStyle name="Percent 5 11 6" xfId="29052" xr:uid="{00000000-0005-0000-0000-0000436E0000}"/>
    <cellStyle name="Percent 5 11 7" xfId="29053" xr:uid="{00000000-0005-0000-0000-0000446E0000}"/>
    <cellStyle name="Percent 5 11 8" xfId="29054" xr:uid="{00000000-0005-0000-0000-0000456E0000}"/>
    <cellStyle name="Percent 5 11 9" xfId="29055" xr:uid="{00000000-0005-0000-0000-0000466E0000}"/>
    <cellStyle name="Percent 5 12" xfId="29056" xr:uid="{00000000-0005-0000-0000-0000476E0000}"/>
    <cellStyle name="Percent 5 13" xfId="29057" xr:uid="{00000000-0005-0000-0000-0000486E0000}"/>
    <cellStyle name="Percent 5 14" xfId="29058" xr:uid="{00000000-0005-0000-0000-0000496E0000}"/>
    <cellStyle name="Percent 5 15" xfId="29059" xr:uid="{00000000-0005-0000-0000-00004A6E0000}"/>
    <cellStyle name="Percent 5 16" xfId="29060" xr:uid="{00000000-0005-0000-0000-00004B6E0000}"/>
    <cellStyle name="Percent 5 17" xfId="29061" xr:uid="{00000000-0005-0000-0000-00004C6E0000}"/>
    <cellStyle name="Percent 5 18" xfId="29062" xr:uid="{00000000-0005-0000-0000-00004D6E0000}"/>
    <cellStyle name="Percent 5 19" xfId="29063" xr:uid="{00000000-0005-0000-0000-00004E6E0000}"/>
    <cellStyle name="Percent 5 2" xfId="29064" xr:uid="{00000000-0005-0000-0000-00004F6E0000}"/>
    <cellStyle name="Percent 5 2 10" xfId="29065" xr:uid="{00000000-0005-0000-0000-0000506E0000}"/>
    <cellStyle name="Percent 5 2 11" xfId="29066" xr:uid="{00000000-0005-0000-0000-0000516E0000}"/>
    <cellStyle name="Percent 5 2 12" xfId="29067" xr:uid="{00000000-0005-0000-0000-0000526E0000}"/>
    <cellStyle name="Percent 5 2 13" xfId="29068" xr:uid="{00000000-0005-0000-0000-0000536E0000}"/>
    <cellStyle name="Percent 5 2 14" xfId="29069" xr:uid="{00000000-0005-0000-0000-0000546E0000}"/>
    <cellStyle name="Percent 5 2 15" xfId="29070" xr:uid="{00000000-0005-0000-0000-0000556E0000}"/>
    <cellStyle name="Percent 5 2 16" xfId="29071" xr:uid="{00000000-0005-0000-0000-0000566E0000}"/>
    <cellStyle name="Percent 5 2 17" xfId="29072" xr:uid="{00000000-0005-0000-0000-0000576E0000}"/>
    <cellStyle name="Percent 5 2 18" xfId="29073" xr:uid="{00000000-0005-0000-0000-0000586E0000}"/>
    <cellStyle name="Percent 5 2 19" xfId="29074" xr:uid="{00000000-0005-0000-0000-0000596E0000}"/>
    <cellStyle name="Percent 5 2 2" xfId="29075" xr:uid="{00000000-0005-0000-0000-00005A6E0000}"/>
    <cellStyle name="Percent 5 2 2 10" xfId="29076" xr:uid="{00000000-0005-0000-0000-00005B6E0000}"/>
    <cellStyle name="Percent 5 2 2 11" xfId="29077" xr:uid="{00000000-0005-0000-0000-00005C6E0000}"/>
    <cellStyle name="Percent 5 2 2 12" xfId="29078" xr:uid="{00000000-0005-0000-0000-00005D6E0000}"/>
    <cellStyle name="Percent 5 2 2 13" xfId="29079" xr:uid="{00000000-0005-0000-0000-00005E6E0000}"/>
    <cellStyle name="Percent 5 2 2 14" xfId="29080" xr:uid="{00000000-0005-0000-0000-00005F6E0000}"/>
    <cellStyle name="Percent 5 2 2 15" xfId="29081" xr:uid="{00000000-0005-0000-0000-0000606E0000}"/>
    <cellStyle name="Percent 5 2 2 2" xfId="29082" xr:uid="{00000000-0005-0000-0000-0000616E0000}"/>
    <cellStyle name="Percent 5 2 2 3" xfId="29083" xr:uid="{00000000-0005-0000-0000-0000626E0000}"/>
    <cellStyle name="Percent 5 2 2 4" xfId="29084" xr:uid="{00000000-0005-0000-0000-0000636E0000}"/>
    <cellStyle name="Percent 5 2 2 5" xfId="29085" xr:uid="{00000000-0005-0000-0000-0000646E0000}"/>
    <cellStyle name="Percent 5 2 2 6" xfId="29086" xr:uid="{00000000-0005-0000-0000-0000656E0000}"/>
    <cellStyle name="Percent 5 2 2 7" xfId="29087" xr:uid="{00000000-0005-0000-0000-0000666E0000}"/>
    <cellStyle name="Percent 5 2 2 8" xfId="29088" xr:uid="{00000000-0005-0000-0000-0000676E0000}"/>
    <cellStyle name="Percent 5 2 2 9" xfId="29089" xr:uid="{00000000-0005-0000-0000-0000686E0000}"/>
    <cellStyle name="Percent 5 2 3" xfId="29090" xr:uid="{00000000-0005-0000-0000-0000696E0000}"/>
    <cellStyle name="Percent 5 2 3 10" xfId="29091" xr:uid="{00000000-0005-0000-0000-00006A6E0000}"/>
    <cellStyle name="Percent 5 2 3 11" xfId="29092" xr:uid="{00000000-0005-0000-0000-00006B6E0000}"/>
    <cellStyle name="Percent 5 2 3 12" xfId="29093" xr:uid="{00000000-0005-0000-0000-00006C6E0000}"/>
    <cellStyle name="Percent 5 2 3 13" xfId="29094" xr:uid="{00000000-0005-0000-0000-00006D6E0000}"/>
    <cellStyle name="Percent 5 2 3 14" xfId="29095" xr:uid="{00000000-0005-0000-0000-00006E6E0000}"/>
    <cellStyle name="Percent 5 2 3 15" xfId="29096" xr:uid="{00000000-0005-0000-0000-00006F6E0000}"/>
    <cellStyle name="Percent 5 2 3 2" xfId="29097" xr:uid="{00000000-0005-0000-0000-0000706E0000}"/>
    <cellStyle name="Percent 5 2 3 3" xfId="29098" xr:uid="{00000000-0005-0000-0000-0000716E0000}"/>
    <cellStyle name="Percent 5 2 3 4" xfId="29099" xr:uid="{00000000-0005-0000-0000-0000726E0000}"/>
    <cellStyle name="Percent 5 2 3 5" xfId="29100" xr:uid="{00000000-0005-0000-0000-0000736E0000}"/>
    <cellStyle name="Percent 5 2 3 6" xfId="29101" xr:uid="{00000000-0005-0000-0000-0000746E0000}"/>
    <cellStyle name="Percent 5 2 3 7" xfId="29102" xr:uid="{00000000-0005-0000-0000-0000756E0000}"/>
    <cellStyle name="Percent 5 2 3 8" xfId="29103" xr:uid="{00000000-0005-0000-0000-0000766E0000}"/>
    <cellStyle name="Percent 5 2 3 9" xfId="29104" xr:uid="{00000000-0005-0000-0000-0000776E0000}"/>
    <cellStyle name="Percent 5 2 4" xfId="29105" xr:uid="{00000000-0005-0000-0000-0000786E0000}"/>
    <cellStyle name="Percent 5 2 4 10" xfId="29106" xr:uid="{00000000-0005-0000-0000-0000796E0000}"/>
    <cellStyle name="Percent 5 2 4 11" xfId="29107" xr:uid="{00000000-0005-0000-0000-00007A6E0000}"/>
    <cellStyle name="Percent 5 2 4 12" xfId="29108" xr:uid="{00000000-0005-0000-0000-00007B6E0000}"/>
    <cellStyle name="Percent 5 2 4 13" xfId="29109" xr:uid="{00000000-0005-0000-0000-00007C6E0000}"/>
    <cellStyle name="Percent 5 2 4 14" xfId="29110" xr:uid="{00000000-0005-0000-0000-00007D6E0000}"/>
    <cellStyle name="Percent 5 2 4 15" xfId="29111" xr:uid="{00000000-0005-0000-0000-00007E6E0000}"/>
    <cellStyle name="Percent 5 2 4 2" xfId="29112" xr:uid="{00000000-0005-0000-0000-00007F6E0000}"/>
    <cellStyle name="Percent 5 2 4 3" xfId="29113" xr:uid="{00000000-0005-0000-0000-0000806E0000}"/>
    <cellStyle name="Percent 5 2 4 4" xfId="29114" xr:uid="{00000000-0005-0000-0000-0000816E0000}"/>
    <cellStyle name="Percent 5 2 4 5" xfId="29115" xr:uid="{00000000-0005-0000-0000-0000826E0000}"/>
    <cellStyle name="Percent 5 2 4 6" xfId="29116" xr:uid="{00000000-0005-0000-0000-0000836E0000}"/>
    <cellStyle name="Percent 5 2 4 7" xfId="29117" xr:uid="{00000000-0005-0000-0000-0000846E0000}"/>
    <cellStyle name="Percent 5 2 4 8" xfId="29118" xr:uid="{00000000-0005-0000-0000-0000856E0000}"/>
    <cellStyle name="Percent 5 2 4 9" xfId="29119" xr:uid="{00000000-0005-0000-0000-0000866E0000}"/>
    <cellStyle name="Percent 5 2 5" xfId="29120" xr:uid="{00000000-0005-0000-0000-0000876E0000}"/>
    <cellStyle name="Percent 5 2 5 10" xfId="29121" xr:uid="{00000000-0005-0000-0000-0000886E0000}"/>
    <cellStyle name="Percent 5 2 5 11" xfId="29122" xr:uid="{00000000-0005-0000-0000-0000896E0000}"/>
    <cellStyle name="Percent 5 2 5 12" xfId="29123" xr:uid="{00000000-0005-0000-0000-00008A6E0000}"/>
    <cellStyle name="Percent 5 2 5 13" xfId="29124" xr:uid="{00000000-0005-0000-0000-00008B6E0000}"/>
    <cellStyle name="Percent 5 2 5 14" xfId="29125" xr:uid="{00000000-0005-0000-0000-00008C6E0000}"/>
    <cellStyle name="Percent 5 2 5 15" xfId="29126" xr:uid="{00000000-0005-0000-0000-00008D6E0000}"/>
    <cellStyle name="Percent 5 2 5 2" xfId="29127" xr:uid="{00000000-0005-0000-0000-00008E6E0000}"/>
    <cellStyle name="Percent 5 2 5 3" xfId="29128" xr:uid="{00000000-0005-0000-0000-00008F6E0000}"/>
    <cellStyle name="Percent 5 2 5 4" xfId="29129" xr:uid="{00000000-0005-0000-0000-0000906E0000}"/>
    <cellStyle name="Percent 5 2 5 5" xfId="29130" xr:uid="{00000000-0005-0000-0000-0000916E0000}"/>
    <cellStyle name="Percent 5 2 5 6" xfId="29131" xr:uid="{00000000-0005-0000-0000-0000926E0000}"/>
    <cellStyle name="Percent 5 2 5 7" xfId="29132" xr:uid="{00000000-0005-0000-0000-0000936E0000}"/>
    <cellStyle name="Percent 5 2 5 8" xfId="29133" xr:uid="{00000000-0005-0000-0000-0000946E0000}"/>
    <cellStyle name="Percent 5 2 5 9" xfId="29134" xr:uid="{00000000-0005-0000-0000-0000956E0000}"/>
    <cellStyle name="Percent 5 2 6" xfId="29135" xr:uid="{00000000-0005-0000-0000-0000966E0000}"/>
    <cellStyle name="Percent 5 2 7" xfId="29136" xr:uid="{00000000-0005-0000-0000-0000976E0000}"/>
    <cellStyle name="Percent 5 2 8" xfId="29137" xr:uid="{00000000-0005-0000-0000-0000986E0000}"/>
    <cellStyle name="Percent 5 2 9" xfId="29138" xr:uid="{00000000-0005-0000-0000-0000996E0000}"/>
    <cellStyle name="Percent 5 20" xfId="29139" xr:uid="{00000000-0005-0000-0000-00009A6E0000}"/>
    <cellStyle name="Percent 5 21" xfId="29140" xr:uid="{00000000-0005-0000-0000-00009B6E0000}"/>
    <cellStyle name="Percent 5 22" xfId="29141" xr:uid="{00000000-0005-0000-0000-00009C6E0000}"/>
    <cellStyle name="Percent 5 23" xfId="29142" xr:uid="{00000000-0005-0000-0000-00009D6E0000}"/>
    <cellStyle name="Percent 5 24" xfId="29143" xr:uid="{00000000-0005-0000-0000-00009E6E0000}"/>
    <cellStyle name="Percent 5 25" xfId="29144" xr:uid="{00000000-0005-0000-0000-00009F6E0000}"/>
    <cellStyle name="Percent 5 26" xfId="29145" xr:uid="{00000000-0005-0000-0000-0000A06E0000}"/>
    <cellStyle name="Percent 5 3" xfId="29146" xr:uid="{00000000-0005-0000-0000-0000A16E0000}"/>
    <cellStyle name="Percent 5 3 10" xfId="29147" xr:uid="{00000000-0005-0000-0000-0000A26E0000}"/>
    <cellStyle name="Percent 5 3 11" xfId="29148" xr:uid="{00000000-0005-0000-0000-0000A36E0000}"/>
    <cellStyle name="Percent 5 3 12" xfId="29149" xr:uid="{00000000-0005-0000-0000-0000A46E0000}"/>
    <cellStyle name="Percent 5 3 13" xfId="29150" xr:uid="{00000000-0005-0000-0000-0000A56E0000}"/>
    <cellStyle name="Percent 5 3 14" xfId="29151" xr:uid="{00000000-0005-0000-0000-0000A66E0000}"/>
    <cellStyle name="Percent 5 3 15" xfId="29152" xr:uid="{00000000-0005-0000-0000-0000A76E0000}"/>
    <cellStyle name="Percent 5 3 16" xfId="29153" xr:uid="{00000000-0005-0000-0000-0000A86E0000}"/>
    <cellStyle name="Percent 5 3 17" xfId="29154" xr:uid="{00000000-0005-0000-0000-0000A96E0000}"/>
    <cellStyle name="Percent 5 3 18" xfId="29155" xr:uid="{00000000-0005-0000-0000-0000AA6E0000}"/>
    <cellStyle name="Percent 5 3 19" xfId="29156" xr:uid="{00000000-0005-0000-0000-0000AB6E0000}"/>
    <cellStyle name="Percent 5 3 2" xfId="29157" xr:uid="{00000000-0005-0000-0000-0000AC6E0000}"/>
    <cellStyle name="Percent 5 3 2 10" xfId="29158" xr:uid="{00000000-0005-0000-0000-0000AD6E0000}"/>
    <cellStyle name="Percent 5 3 2 11" xfId="29159" xr:uid="{00000000-0005-0000-0000-0000AE6E0000}"/>
    <cellStyle name="Percent 5 3 2 12" xfId="29160" xr:uid="{00000000-0005-0000-0000-0000AF6E0000}"/>
    <cellStyle name="Percent 5 3 2 13" xfId="29161" xr:uid="{00000000-0005-0000-0000-0000B06E0000}"/>
    <cellStyle name="Percent 5 3 2 14" xfId="29162" xr:uid="{00000000-0005-0000-0000-0000B16E0000}"/>
    <cellStyle name="Percent 5 3 2 15" xfId="29163" xr:uid="{00000000-0005-0000-0000-0000B26E0000}"/>
    <cellStyle name="Percent 5 3 2 2" xfId="29164" xr:uid="{00000000-0005-0000-0000-0000B36E0000}"/>
    <cellStyle name="Percent 5 3 2 3" xfId="29165" xr:uid="{00000000-0005-0000-0000-0000B46E0000}"/>
    <cellStyle name="Percent 5 3 2 4" xfId="29166" xr:uid="{00000000-0005-0000-0000-0000B56E0000}"/>
    <cellStyle name="Percent 5 3 2 5" xfId="29167" xr:uid="{00000000-0005-0000-0000-0000B66E0000}"/>
    <cellStyle name="Percent 5 3 2 6" xfId="29168" xr:uid="{00000000-0005-0000-0000-0000B76E0000}"/>
    <cellStyle name="Percent 5 3 2 7" xfId="29169" xr:uid="{00000000-0005-0000-0000-0000B86E0000}"/>
    <cellStyle name="Percent 5 3 2 8" xfId="29170" xr:uid="{00000000-0005-0000-0000-0000B96E0000}"/>
    <cellStyle name="Percent 5 3 2 9" xfId="29171" xr:uid="{00000000-0005-0000-0000-0000BA6E0000}"/>
    <cellStyle name="Percent 5 3 3" xfId="29172" xr:uid="{00000000-0005-0000-0000-0000BB6E0000}"/>
    <cellStyle name="Percent 5 3 3 10" xfId="29173" xr:uid="{00000000-0005-0000-0000-0000BC6E0000}"/>
    <cellStyle name="Percent 5 3 3 11" xfId="29174" xr:uid="{00000000-0005-0000-0000-0000BD6E0000}"/>
    <cellStyle name="Percent 5 3 3 12" xfId="29175" xr:uid="{00000000-0005-0000-0000-0000BE6E0000}"/>
    <cellStyle name="Percent 5 3 3 13" xfId="29176" xr:uid="{00000000-0005-0000-0000-0000BF6E0000}"/>
    <cellStyle name="Percent 5 3 3 14" xfId="29177" xr:uid="{00000000-0005-0000-0000-0000C06E0000}"/>
    <cellStyle name="Percent 5 3 3 15" xfId="29178" xr:uid="{00000000-0005-0000-0000-0000C16E0000}"/>
    <cellStyle name="Percent 5 3 3 2" xfId="29179" xr:uid="{00000000-0005-0000-0000-0000C26E0000}"/>
    <cellStyle name="Percent 5 3 3 3" xfId="29180" xr:uid="{00000000-0005-0000-0000-0000C36E0000}"/>
    <cellStyle name="Percent 5 3 3 4" xfId="29181" xr:uid="{00000000-0005-0000-0000-0000C46E0000}"/>
    <cellStyle name="Percent 5 3 3 5" xfId="29182" xr:uid="{00000000-0005-0000-0000-0000C56E0000}"/>
    <cellStyle name="Percent 5 3 3 6" xfId="29183" xr:uid="{00000000-0005-0000-0000-0000C66E0000}"/>
    <cellStyle name="Percent 5 3 3 7" xfId="29184" xr:uid="{00000000-0005-0000-0000-0000C76E0000}"/>
    <cellStyle name="Percent 5 3 3 8" xfId="29185" xr:uid="{00000000-0005-0000-0000-0000C86E0000}"/>
    <cellStyle name="Percent 5 3 3 9" xfId="29186" xr:uid="{00000000-0005-0000-0000-0000C96E0000}"/>
    <cellStyle name="Percent 5 3 4" xfId="29187" xr:uid="{00000000-0005-0000-0000-0000CA6E0000}"/>
    <cellStyle name="Percent 5 3 4 10" xfId="29188" xr:uid="{00000000-0005-0000-0000-0000CB6E0000}"/>
    <cellStyle name="Percent 5 3 4 11" xfId="29189" xr:uid="{00000000-0005-0000-0000-0000CC6E0000}"/>
    <cellStyle name="Percent 5 3 4 12" xfId="29190" xr:uid="{00000000-0005-0000-0000-0000CD6E0000}"/>
    <cellStyle name="Percent 5 3 4 13" xfId="29191" xr:uid="{00000000-0005-0000-0000-0000CE6E0000}"/>
    <cellStyle name="Percent 5 3 4 14" xfId="29192" xr:uid="{00000000-0005-0000-0000-0000CF6E0000}"/>
    <cellStyle name="Percent 5 3 4 15" xfId="29193" xr:uid="{00000000-0005-0000-0000-0000D06E0000}"/>
    <cellStyle name="Percent 5 3 4 2" xfId="29194" xr:uid="{00000000-0005-0000-0000-0000D16E0000}"/>
    <cellStyle name="Percent 5 3 4 3" xfId="29195" xr:uid="{00000000-0005-0000-0000-0000D26E0000}"/>
    <cellStyle name="Percent 5 3 4 4" xfId="29196" xr:uid="{00000000-0005-0000-0000-0000D36E0000}"/>
    <cellStyle name="Percent 5 3 4 5" xfId="29197" xr:uid="{00000000-0005-0000-0000-0000D46E0000}"/>
    <cellStyle name="Percent 5 3 4 6" xfId="29198" xr:uid="{00000000-0005-0000-0000-0000D56E0000}"/>
    <cellStyle name="Percent 5 3 4 7" xfId="29199" xr:uid="{00000000-0005-0000-0000-0000D66E0000}"/>
    <cellStyle name="Percent 5 3 4 8" xfId="29200" xr:uid="{00000000-0005-0000-0000-0000D76E0000}"/>
    <cellStyle name="Percent 5 3 4 9" xfId="29201" xr:uid="{00000000-0005-0000-0000-0000D86E0000}"/>
    <cellStyle name="Percent 5 3 5" xfId="29202" xr:uid="{00000000-0005-0000-0000-0000D96E0000}"/>
    <cellStyle name="Percent 5 3 5 10" xfId="29203" xr:uid="{00000000-0005-0000-0000-0000DA6E0000}"/>
    <cellStyle name="Percent 5 3 5 11" xfId="29204" xr:uid="{00000000-0005-0000-0000-0000DB6E0000}"/>
    <cellStyle name="Percent 5 3 5 12" xfId="29205" xr:uid="{00000000-0005-0000-0000-0000DC6E0000}"/>
    <cellStyle name="Percent 5 3 5 13" xfId="29206" xr:uid="{00000000-0005-0000-0000-0000DD6E0000}"/>
    <cellStyle name="Percent 5 3 5 14" xfId="29207" xr:uid="{00000000-0005-0000-0000-0000DE6E0000}"/>
    <cellStyle name="Percent 5 3 5 15" xfId="29208" xr:uid="{00000000-0005-0000-0000-0000DF6E0000}"/>
    <cellStyle name="Percent 5 3 5 2" xfId="29209" xr:uid="{00000000-0005-0000-0000-0000E06E0000}"/>
    <cellStyle name="Percent 5 3 5 3" xfId="29210" xr:uid="{00000000-0005-0000-0000-0000E16E0000}"/>
    <cellStyle name="Percent 5 3 5 4" xfId="29211" xr:uid="{00000000-0005-0000-0000-0000E26E0000}"/>
    <cellStyle name="Percent 5 3 5 5" xfId="29212" xr:uid="{00000000-0005-0000-0000-0000E36E0000}"/>
    <cellStyle name="Percent 5 3 5 6" xfId="29213" xr:uid="{00000000-0005-0000-0000-0000E46E0000}"/>
    <cellStyle name="Percent 5 3 5 7" xfId="29214" xr:uid="{00000000-0005-0000-0000-0000E56E0000}"/>
    <cellStyle name="Percent 5 3 5 8" xfId="29215" xr:uid="{00000000-0005-0000-0000-0000E66E0000}"/>
    <cellStyle name="Percent 5 3 5 9" xfId="29216" xr:uid="{00000000-0005-0000-0000-0000E76E0000}"/>
    <cellStyle name="Percent 5 3 6" xfId="29217" xr:uid="{00000000-0005-0000-0000-0000E86E0000}"/>
    <cellStyle name="Percent 5 3 7" xfId="29218" xr:uid="{00000000-0005-0000-0000-0000E96E0000}"/>
    <cellStyle name="Percent 5 3 8" xfId="29219" xr:uid="{00000000-0005-0000-0000-0000EA6E0000}"/>
    <cellStyle name="Percent 5 3 9" xfId="29220" xr:uid="{00000000-0005-0000-0000-0000EB6E0000}"/>
    <cellStyle name="Percent 5 4" xfId="29221" xr:uid="{00000000-0005-0000-0000-0000EC6E0000}"/>
    <cellStyle name="Percent 5 4 10" xfId="29222" xr:uid="{00000000-0005-0000-0000-0000ED6E0000}"/>
    <cellStyle name="Percent 5 4 11" xfId="29223" xr:uid="{00000000-0005-0000-0000-0000EE6E0000}"/>
    <cellStyle name="Percent 5 4 12" xfId="29224" xr:uid="{00000000-0005-0000-0000-0000EF6E0000}"/>
    <cellStyle name="Percent 5 4 13" xfId="29225" xr:uid="{00000000-0005-0000-0000-0000F06E0000}"/>
    <cellStyle name="Percent 5 4 14" xfId="29226" xr:uid="{00000000-0005-0000-0000-0000F16E0000}"/>
    <cellStyle name="Percent 5 4 15" xfId="29227" xr:uid="{00000000-0005-0000-0000-0000F26E0000}"/>
    <cellStyle name="Percent 5 4 16" xfId="29228" xr:uid="{00000000-0005-0000-0000-0000F36E0000}"/>
    <cellStyle name="Percent 5 4 17" xfId="29229" xr:uid="{00000000-0005-0000-0000-0000F46E0000}"/>
    <cellStyle name="Percent 5 4 18" xfId="29230" xr:uid="{00000000-0005-0000-0000-0000F56E0000}"/>
    <cellStyle name="Percent 5 4 19" xfId="29231" xr:uid="{00000000-0005-0000-0000-0000F66E0000}"/>
    <cellStyle name="Percent 5 4 2" xfId="29232" xr:uid="{00000000-0005-0000-0000-0000F76E0000}"/>
    <cellStyle name="Percent 5 4 2 10" xfId="29233" xr:uid="{00000000-0005-0000-0000-0000F86E0000}"/>
    <cellStyle name="Percent 5 4 2 11" xfId="29234" xr:uid="{00000000-0005-0000-0000-0000F96E0000}"/>
    <cellStyle name="Percent 5 4 2 12" xfId="29235" xr:uid="{00000000-0005-0000-0000-0000FA6E0000}"/>
    <cellStyle name="Percent 5 4 2 13" xfId="29236" xr:uid="{00000000-0005-0000-0000-0000FB6E0000}"/>
    <cellStyle name="Percent 5 4 2 14" xfId="29237" xr:uid="{00000000-0005-0000-0000-0000FC6E0000}"/>
    <cellStyle name="Percent 5 4 2 15" xfId="29238" xr:uid="{00000000-0005-0000-0000-0000FD6E0000}"/>
    <cellStyle name="Percent 5 4 2 2" xfId="29239" xr:uid="{00000000-0005-0000-0000-0000FE6E0000}"/>
    <cellStyle name="Percent 5 4 2 3" xfId="29240" xr:uid="{00000000-0005-0000-0000-0000FF6E0000}"/>
    <cellStyle name="Percent 5 4 2 4" xfId="29241" xr:uid="{00000000-0005-0000-0000-0000006F0000}"/>
    <cellStyle name="Percent 5 4 2 5" xfId="29242" xr:uid="{00000000-0005-0000-0000-0000016F0000}"/>
    <cellStyle name="Percent 5 4 2 6" xfId="29243" xr:uid="{00000000-0005-0000-0000-0000026F0000}"/>
    <cellStyle name="Percent 5 4 2 7" xfId="29244" xr:uid="{00000000-0005-0000-0000-0000036F0000}"/>
    <cellStyle name="Percent 5 4 2 8" xfId="29245" xr:uid="{00000000-0005-0000-0000-0000046F0000}"/>
    <cellStyle name="Percent 5 4 2 9" xfId="29246" xr:uid="{00000000-0005-0000-0000-0000056F0000}"/>
    <cellStyle name="Percent 5 4 3" xfId="29247" xr:uid="{00000000-0005-0000-0000-0000066F0000}"/>
    <cellStyle name="Percent 5 4 3 10" xfId="29248" xr:uid="{00000000-0005-0000-0000-0000076F0000}"/>
    <cellStyle name="Percent 5 4 3 11" xfId="29249" xr:uid="{00000000-0005-0000-0000-0000086F0000}"/>
    <cellStyle name="Percent 5 4 3 12" xfId="29250" xr:uid="{00000000-0005-0000-0000-0000096F0000}"/>
    <cellStyle name="Percent 5 4 3 13" xfId="29251" xr:uid="{00000000-0005-0000-0000-00000A6F0000}"/>
    <cellStyle name="Percent 5 4 3 14" xfId="29252" xr:uid="{00000000-0005-0000-0000-00000B6F0000}"/>
    <cellStyle name="Percent 5 4 3 15" xfId="29253" xr:uid="{00000000-0005-0000-0000-00000C6F0000}"/>
    <cellStyle name="Percent 5 4 3 2" xfId="29254" xr:uid="{00000000-0005-0000-0000-00000D6F0000}"/>
    <cellStyle name="Percent 5 4 3 3" xfId="29255" xr:uid="{00000000-0005-0000-0000-00000E6F0000}"/>
    <cellStyle name="Percent 5 4 3 4" xfId="29256" xr:uid="{00000000-0005-0000-0000-00000F6F0000}"/>
    <cellStyle name="Percent 5 4 3 5" xfId="29257" xr:uid="{00000000-0005-0000-0000-0000106F0000}"/>
    <cellStyle name="Percent 5 4 3 6" xfId="29258" xr:uid="{00000000-0005-0000-0000-0000116F0000}"/>
    <cellStyle name="Percent 5 4 3 7" xfId="29259" xr:uid="{00000000-0005-0000-0000-0000126F0000}"/>
    <cellStyle name="Percent 5 4 3 8" xfId="29260" xr:uid="{00000000-0005-0000-0000-0000136F0000}"/>
    <cellStyle name="Percent 5 4 3 9" xfId="29261" xr:uid="{00000000-0005-0000-0000-0000146F0000}"/>
    <cellStyle name="Percent 5 4 4" xfId="29262" xr:uid="{00000000-0005-0000-0000-0000156F0000}"/>
    <cellStyle name="Percent 5 4 4 10" xfId="29263" xr:uid="{00000000-0005-0000-0000-0000166F0000}"/>
    <cellStyle name="Percent 5 4 4 11" xfId="29264" xr:uid="{00000000-0005-0000-0000-0000176F0000}"/>
    <cellStyle name="Percent 5 4 4 12" xfId="29265" xr:uid="{00000000-0005-0000-0000-0000186F0000}"/>
    <cellStyle name="Percent 5 4 4 13" xfId="29266" xr:uid="{00000000-0005-0000-0000-0000196F0000}"/>
    <cellStyle name="Percent 5 4 4 14" xfId="29267" xr:uid="{00000000-0005-0000-0000-00001A6F0000}"/>
    <cellStyle name="Percent 5 4 4 15" xfId="29268" xr:uid="{00000000-0005-0000-0000-00001B6F0000}"/>
    <cellStyle name="Percent 5 4 4 2" xfId="29269" xr:uid="{00000000-0005-0000-0000-00001C6F0000}"/>
    <cellStyle name="Percent 5 4 4 3" xfId="29270" xr:uid="{00000000-0005-0000-0000-00001D6F0000}"/>
    <cellStyle name="Percent 5 4 4 4" xfId="29271" xr:uid="{00000000-0005-0000-0000-00001E6F0000}"/>
    <cellStyle name="Percent 5 4 4 5" xfId="29272" xr:uid="{00000000-0005-0000-0000-00001F6F0000}"/>
    <cellStyle name="Percent 5 4 4 6" xfId="29273" xr:uid="{00000000-0005-0000-0000-0000206F0000}"/>
    <cellStyle name="Percent 5 4 4 7" xfId="29274" xr:uid="{00000000-0005-0000-0000-0000216F0000}"/>
    <cellStyle name="Percent 5 4 4 8" xfId="29275" xr:uid="{00000000-0005-0000-0000-0000226F0000}"/>
    <cellStyle name="Percent 5 4 4 9" xfId="29276" xr:uid="{00000000-0005-0000-0000-0000236F0000}"/>
    <cellStyle name="Percent 5 4 5" xfId="29277" xr:uid="{00000000-0005-0000-0000-0000246F0000}"/>
    <cellStyle name="Percent 5 4 5 10" xfId="29278" xr:uid="{00000000-0005-0000-0000-0000256F0000}"/>
    <cellStyle name="Percent 5 4 5 11" xfId="29279" xr:uid="{00000000-0005-0000-0000-0000266F0000}"/>
    <cellStyle name="Percent 5 4 5 12" xfId="29280" xr:uid="{00000000-0005-0000-0000-0000276F0000}"/>
    <cellStyle name="Percent 5 4 5 13" xfId="29281" xr:uid="{00000000-0005-0000-0000-0000286F0000}"/>
    <cellStyle name="Percent 5 4 5 14" xfId="29282" xr:uid="{00000000-0005-0000-0000-0000296F0000}"/>
    <cellStyle name="Percent 5 4 5 15" xfId="29283" xr:uid="{00000000-0005-0000-0000-00002A6F0000}"/>
    <cellStyle name="Percent 5 4 5 2" xfId="29284" xr:uid="{00000000-0005-0000-0000-00002B6F0000}"/>
    <cellStyle name="Percent 5 4 5 3" xfId="29285" xr:uid="{00000000-0005-0000-0000-00002C6F0000}"/>
    <cellStyle name="Percent 5 4 5 4" xfId="29286" xr:uid="{00000000-0005-0000-0000-00002D6F0000}"/>
    <cellStyle name="Percent 5 4 5 5" xfId="29287" xr:uid="{00000000-0005-0000-0000-00002E6F0000}"/>
    <cellStyle name="Percent 5 4 5 6" xfId="29288" xr:uid="{00000000-0005-0000-0000-00002F6F0000}"/>
    <cellStyle name="Percent 5 4 5 7" xfId="29289" xr:uid="{00000000-0005-0000-0000-0000306F0000}"/>
    <cellStyle name="Percent 5 4 5 8" xfId="29290" xr:uid="{00000000-0005-0000-0000-0000316F0000}"/>
    <cellStyle name="Percent 5 4 5 9" xfId="29291" xr:uid="{00000000-0005-0000-0000-0000326F0000}"/>
    <cellStyle name="Percent 5 4 6" xfId="29292" xr:uid="{00000000-0005-0000-0000-0000336F0000}"/>
    <cellStyle name="Percent 5 4 7" xfId="29293" xr:uid="{00000000-0005-0000-0000-0000346F0000}"/>
    <cellStyle name="Percent 5 4 8" xfId="29294" xr:uid="{00000000-0005-0000-0000-0000356F0000}"/>
    <cellStyle name="Percent 5 4 9" xfId="29295" xr:uid="{00000000-0005-0000-0000-0000366F0000}"/>
    <cellStyle name="Percent 5 5" xfId="29296" xr:uid="{00000000-0005-0000-0000-0000376F0000}"/>
    <cellStyle name="Percent 5 5 10" xfId="29297" xr:uid="{00000000-0005-0000-0000-0000386F0000}"/>
    <cellStyle name="Percent 5 5 11" xfId="29298" xr:uid="{00000000-0005-0000-0000-0000396F0000}"/>
    <cellStyle name="Percent 5 5 12" xfId="29299" xr:uid="{00000000-0005-0000-0000-00003A6F0000}"/>
    <cellStyle name="Percent 5 5 13" xfId="29300" xr:uid="{00000000-0005-0000-0000-00003B6F0000}"/>
    <cellStyle name="Percent 5 5 14" xfId="29301" xr:uid="{00000000-0005-0000-0000-00003C6F0000}"/>
    <cellStyle name="Percent 5 5 15" xfId="29302" xr:uid="{00000000-0005-0000-0000-00003D6F0000}"/>
    <cellStyle name="Percent 5 5 2" xfId="29303" xr:uid="{00000000-0005-0000-0000-00003E6F0000}"/>
    <cellStyle name="Percent 5 5 3" xfId="29304" xr:uid="{00000000-0005-0000-0000-00003F6F0000}"/>
    <cellStyle name="Percent 5 5 4" xfId="29305" xr:uid="{00000000-0005-0000-0000-0000406F0000}"/>
    <cellStyle name="Percent 5 5 5" xfId="29306" xr:uid="{00000000-0005-0000-0000-0000416F0000}"/>
    <cellStyle name="Percent 5 5 6" xfId="29307" xr:uid="{00000000-0005-0000-0000-0000426F0000}"/>
    <cellStyle name="Percent 5 5 7" xfId="29308" xr:uid="{00000000-0005-0000-0000-0000436F0000}"/>
    <cellStyle name="Percent 5 5 8" xfId="29309" xr:uid="{00000000-0005-0000-0000-0000446F0000}"/>
    <cellStyle name="Percent 5 5 9" xfId="29310" xr:uid="{00000000-0005-0000-0000-0000456F0000}"/>
    <cellStyle name="Percent 5 6" xfId="29311" xr:uid="{00000000-0005-0000-0000-0000466F0000}"/>
    <cellStyle name="Percent 5 6 10" xfId="29312" xr:uid="{00000000-0005-0000-0000-0000476F0000}"/>
    <cellStyle name="Percent 5 6 11" xfId="29313" xr:uid="{00000000-0005-0000-0000-0000486F0000}"/>
    <cellStyle name="Percent 5 6 12" xfId="29314" xr:uid="{00000000-0005-0000-0000-0000496F0000}"/>
    <cellStyle name="Percent 5 6 13" xfId="29315" xr:uid="{00000000-0005-0000-0000-00004A6F0000}"/>
    <cellStyle name="Percent 5 6 14" xfId="29316" xr:uid="{00000000-0005-0000-0000-00004B6F0000}"/>
    <cellStyle name="Percent 5 6 15" xfId="29317" xr:uid="{00000000-0005-0000-0000-00004C6F0000}"/>
    <cellStyle name="Percent 5 6 2" xfId="29318" xr:uid="{00000000-0005-0000-0000-00004D6F0000}"/>
    <cellStyle name="Percent 5 6 3" xfId="29319" xr:uid="{00000000-0005-0000-0000-00004E6F0000}"/>
    <cellStyle name="Percent 5 6 4" xfId="29320" xr:uid="{00000000-0005-0000-0000-00004F6F0000}"/>
    <cellStyle name="Percent 5 6 5" xfId="29321" xr:uid="{00000000-0005-0000-0000-0000506F0000}"/>
    <cellStyle name="Percent 5 6 6" xfId="29322" xr:uid="{00000000-0005-0000-0000-0000516F0000}"/>
    <cellStyle name="Percent 5 6 7" xfId="29323" xr:uid="{00000000-0005-0000-0000-0000526F0000}"/>
    <cellStyle name="Percent 5 6 8" xfId="29324" xr:uid="{00000000-0005-0000-0000-0000536F0000}"/>
    <cellStyle name="Percent 5 6 9" xfId="29325" xr:uid="{00000000-0005-0000-0000-0000546F0000}"/>
    <cellStyle name="Percent 5 7" xfId="29326" xr:uid="{00000000-0005-0000-0000-0000556F0000}"/>
    <cellStyle name="Percent 5 7 10" xfId="29327" xr:uid="{00000000-0005-0000-0000-0000566F0000}"/>
    <cellStyle name="Percent 5 7 11" xfId="29328" xr:uid="{00000000-0005-0000-0000-0000576F0000}"/>
    <cellStyle name="Percent 5 7 12" xfId="29329" xr:uid="{00000000-0005-0000-0000-0000586F0000}"/>
    <cellStyle name="Percent 5 7 13" xfId="29330" xr:uid="{00000000-0005-0000-0000-0000596F0000}"/>
    <cellStyle name="Percent 5 7 14" xfId="29331" xr:uid="{00000000-0005-0000-0000-00005A6F0000}"/>
    <cellStyle name="Percent 5 7 15" xfId="29332" xr:uid="{00000000-0005-0000-0000-00005B6F0000}"/>
    <cellStyle name="Percent 5 7 2" xfId="29333" xr:uid="{00000000-0005-0000-0000-00005C6F0000}"/>
    <cellStyle name="Percent 5 7 3" xfId="29334" xr:uid="{00000000-0005-0000-0000-00005D6F0000}"/>
    <cellStyle name="Percent 5 7 4" xfId="29335" xr:uid="{00000000-0005-0000-0000-00005E6F0000}"/>
    <cellStyle name="Percent 5 7 5" xfId="29336" xr:uid="{00000000-0005-0000-0000-00005F6F0000}"/>
    <cellStyle name="Percent 5 7 6" xfId="29337" xr:uid="{00000000-0005-0000-0000-0000606F0000}"/>
    <cellStyle name="Percent 5 7 7" xfId="29338" xr:uid="{00000000-0005-0000-0000-0000616F0000}"/>
    <cellStyle name="Percent 5 7 8" xfId="29339" xr:uid="{00000000-0005-0000-0000-0000626F0000}"/>
    <cellStyle name="Percent 5 7 9" xfId="29340" xr:uid="{00000000-0005-0000-0000-0000636F0000}"/>
    <cellStyle name="Percent 5 8" xfId="29341" xr:uid="{00000000-0005-0000-0000-0000646F0000}"/>
    <cellStyle name="Percent 5 8 10" xfId="29342" xr:uid="{00000000-0005-0000-0000-0000656F0000}"/>
    <cellStyle name="Percent 5 8 11" xfId="29343" xr:uid="{00000000-0005-0000-0000-0000666F0000}"/>
    <cellStyle name="Percent 5 8 12" xfId="29344" xr:uid="{00000000-0005-0000-0000-0000676F0000}"/>
    <cellStyle name="Percent 5 8 13" xfId="29345" xr:uid="{00000000-0005-0000-0000-0000686F0000}"/>
    <cellStyle name="Percent 5 8 14" xfId="29346" xr:uid="{00000000-0005-0000-0000-0000696F0000}"/>
    <cellStyle name="Percent 5 8 15" xfId="29347" xr:uid="{00000000-0005-0000-0000-00006A6F0000}"/>
    <cellStyle name="Percent 5 8 2" xfId="29348" xr:uid="{00000000-0005-0000-0000-00006B6F0000}"/>
    <cellStyle name="Percent 5 8 3" xfId="29349" xr:uid="{00000000-0005-0000-0000-00006C6F0000}"/>
    <cellStyle name="Percent 5 8 4" xfId="29350" xr:uid="{00000000-0005-0000-0000-00006D6F0000}"/>
    <cellStyle name="Percent 5 8 5" xfId="29351" xr:uid="{00000000-0005-0000-0000-00006E6F0000}"/>
    <cellStyle name="Percent 5 8 6" xfId="29352" xr:uid="{00000000-0005-0000-0000-00006F6F0000}"/>
    <cellStyle name="Percent 5 8 7" xfId="29353" xr:uid="{00000000-0005-0000-0000-0000706F0000}"/>
    <cellStyle name="Percent 5 8 8" xfId="29354" xr:uid="{00000000-0005-0000-0000-0000716F0000}"/>
    <cellStyle name="Percent 5 8 9" xfId="29355" xr:uid="{00000000-0005-0000-0000-0000726F0000}"/>
    <cellStyle name="Percent 5 9" xfId="29356" xr:uid="{00000000-0005-0000-0000-0000736F0000}"/>
    <cellStyle name="Percent 5 9 10" xfId="29357" xr:uid="{00000000-0005-0000-0000-0000746F0000}"/>
    <cellStyle name="Percent 5 9 11" xfId="29358" xr:uid="{00000000-0005-0000-0000-0000756F0000}"/>
    <cellStyle name="Percent 5 9 12" xfId="29359" xr:uid="{00000000-0005-0000-0000-0000766F0000}"/>
    <cellStyle name="Percent 5 9 13" xfId="29360" xr:uid="{00000000-0005-0000-0000-0000776F0000}"/>
    <cellStyle name="Percent 5 9 14" xfId="29361" xr:uid="{00000000-0005-0000-0000-0000786F0000}"/>
    <cellStyle name="Percent 5 9 15" xfId="29362" xr:uid="{00000000-0005-0000-0000-0000796F0000}"/>
    <cellStyle name="Percent 5 9 2" xfId="29363" xr:uid="{00000000-0005-0000-0000-00007A6F0000}"/>
    <cellStyle name="Percent 5 9 3" xfId="29364" xr:uid="{00000000-0005-0000-0000-00007B6F0000}"/>
    <cellStyle name="Percent 5 9 4" xfId="29365" xr:uid="{00000000-0005-0000-0000-00007C6F0000}"/>
    <cellStyle name="Percent 5 9 5" xfId="29366" xr:uid="{00000000-0005-0000-0000-00007D6F0000}"/>
    <cellStyle name="Percent 5 9 6" xfId="29367" xr:uid="{00000000-0005-0000-0000-00007E6F0000}"/>
    <cellStyle name="Percent 5 9 7" xfId="29368" xr:uid="{00000000-0005-0000-0000-00007F6F0000}"/>
    <cellStyle name="Percent 5 9 8" xfId="29369" xr:uid="{00000000-0005-0000-0000-0000806F0000}"/>
    <cellStyle name="Percent 5 9 9" xfId="29370" xr:uid="{00000000-0005-0000-0000-0000816F0000}"/>
    <cellStyle name="Popis" xfId="29371" xr:uid="{00000000-0005-0000-0000-0000826F0000}"/>
    <cellStyle name="Popis 10" xfId="29372" xr:uid="{00000000-0005-0000-0000-0000836F0000}"/>
    <cellStyle name="Popis 11" xfId="29373" xr:uid="{00000000-0005-0000-0000-0000846F0000}"/>
    <cellStyle name="Popis 12" xfId="29374" xr:uid="{00000000-0005-0000-0000-0000856F0000}"/>
    <cellStyle name="Popis 13" xfId="29375" xr:uid="{00000000-0005-0000-0000-0000866F0000}"/>
    <cellStyle name="Popis 14" xfId="29376" xr:uid="{00000000-0005-0000-0000-0000876F0000}"/>
    <cellStyle name="Popis 15" xfId="29377" xr:uid="{00000000-0005-0000-0000-0000886F0000}"/>
    <cellStyle name="Popis 16" xfId="29378" xr:uid="{00000000-0005-0000-0000-0000896F0000}"/>
    <cellStyle name="Popis 2" xfId="29379" xr:uid="{00000000-0005-0000-0000-00008A6F0000}"/>
    <cellStyle name="Popis 3" xfId="29380" xr:uid="{00000000-0005-0000-0000-00008B6F0000}"/>
    <cellStyle name="Popis 4" xfId="29381" xr:uid="{00000000-0005-0000-0000-00008C6F0000}"/>
    <cellStyle name="Popis 5" xfId="29382" xr:uid="{00000000-0005-0000-0000-00008D6F0000}"/>
    <cellStyle name="Popis 6" xfId="29383" xr:uid="{00000000-0005-0000-0000-00008E6F0000}"/>
    <cellStyle name="Popis 7" xfId="29384" xr:uid="{00000000-0005-0000-0000-00008F6F0000}"/>
    <cellStyle name="Popis 8" xfId="29385" xr:uid="{00000000-0005-0000-0000-0000906F0000}"/>
    <cellStyle name="Popis 9" xfId="29386" xr:uid="{00000000-0005-0000-0000-0000916F0000}"/>
    <cellStyle name="Rate" xfId="29387" xr:uid="{00000000-0005-0000-0000-0000926F0000}"/>
    <cellStyle name="Rate 10" xfId="29388" xr:uid="{00000000-0005-0000-0000-0000936F0000}"/>
    <cellStyle name="Rate 11" xfId="29389" xr:uid="{00000000-0005-0000-0000-0000946F0000}"/>
    <cellStyle name="Rate 12" xfId="29390" xr:uid="{00000000-0005-0000-0000-0000956F0000}"/>
    <cellStyle name="Rate 13" xfId="29391" xr:uid="{00000000-0005-0000-0000-0000966F0000}"/>
    <cellStyle name="Rate 14" xfId="29392" xr:uid="{00000000-0005-0000-0000-0000976F0000}"/>
    <cellStyle name="Rate 15" xfId="29393" xr:uid="{00000000-0005-0000-0000-0000986F0000}"/>
    <cellStyle name="Rate 16" xfId="29394" xr:uid="{00000000-0005-0000-0000-0000996F0000}"/>
    <cellStyle name="Rate 2" xfId="29395" xr:uid="{00000000-0005-0000-0000-00009A6F0000}"/>
    <cellStyle name="Rate 3" xfId="29396" xr:uid="{00000000-0005-0000-0000-00009B6F0000}"/>
    <cellStyle name="Rate 4" xfId="29397" xr:uid="{00000000-0005-0000-0000-00009C6F0000}"/>
    <cellStyle name="Rate 5" xfId="29398" xr:uid="{00000000-0005-0000-0000-00009D6F0000}"/>
    <cellStyle name="Rate 6" xfId="29399" xr:uid="{00000000-0005-0000-0000-00009E6F0000}"/>
    <cellStyle name="Rate 7" xfId="29400" xr:uid="{00000000-0005-0000-0000-00009F6F0000}"/>
    <cellStyle name="Rate 8" xfId="29401" xr:uid="{00000000-0005-0000-0000-0000A06F0000}"/>
    <cellStyle name="Rate 9" xfId="29402" xr:uid="{00000000-0005-0000-0000-0000A16F0000}"/>
    <cellStyle name="RateBold" xfId="29403" xr:uid="{00000000-0005-0000-0000-0000A26F0000}"/>
    <cellStyle name="RateBold 10" xfId="29404" xr:uid="{00000000-0005-0000-0000-0000A36F0000}"/>
    <cellStyle name="RateBold 11" xfId="29405" xr:uid="{00000000-0005-0000-0000-0000A46F0000}"/>
    <cellStyle name="RateBold 12" xfId="29406" xr:uid="{00000000-0005-0000-0000-0000A56F0000}"/>
    <cellStyle name="RateBold 13" xfId="29407" xr:uid="{00000000-0005-0000-0000-0000A66F0000}"/>
    <cellStyle name="RateBold 14" xfId="29408" xr:uid="{00000000-0005-0000-0000-0000A76F0000}"/>
    <cellStyle name="RateBold 15" xfId="29409" xr:uid="{00000000-0005-0000-0000-0000A86F0000}"/>
    <cellStyle name="RateBold 16" xfId="29410" xr:uid="{00000000-0005-0000-0000-0000A96F0000}"/>
    <cellStyle name="RateBold 2" xfId="29411" xr:uid="{00000000-0005-0000-0000-0000AA6F0000}"/>
    <cellStyle name="RateBold 3" xfId="29412" xr:uid="{00000000-0005-0000-0000-0000AB6F0000}"/>
    <cellStyle name="RateBold 4" xfId="29413" xr:uid="{00000000-0005-0000-0000-0000AC6F0000}"/>
    <cellStyle name="RateBold 5" xfId="29414" xr:uid="{00000000-0005-0000-0000-0000AD6F0000}"/>
    <cellStyle name="RateBold 6" xfId="29415" xr:uid="{00000000-0005-0000-0000-0000AE6F0000}"/>
    <cellStyle name="RateBold 7" xfId="29416" xr:uid="{00000000-0005-0000-0000-0000AF6F0000}"/>
    <cellStyle name="RateBold 8" xfId="29417" xr:uid="{00000000-0005-0000-0000-0000B06F0000}"/>
    <cellStyle name="RateBold 9" xfId="29418" xr:uid="{00000000-0005-0000-0000-0000B16F0000}"/>
    <cellStyle name="Reset  - Style7" xfId="29419" xr:uid="{00000000-0005-0000-0000-0000B26F0000}"/>
    <cellStyle name="Reset  - Style7 10" xfId="29420" xr:uid="{00000000-0005-0000-0000-0000B36F0000}"/>
    <cellStyle name="Reset  - Style7 11" xfId="29421" xr:uid="{00000000-0005-0000-0000-0000B46F0000}"/>
    <cellStyle name="Reset  - Style7 12" xfId="29422" xr:uid="{00000000-0005-0000-0000-0000B56F0000}"/>
    <cellStyle name="Reset  - Style7 13" xfId="29423" xr:uid="{00000000-0005-0000-0000-0000B66F0000}"/>
    <cellStyle name="Reset  - Style7 14" xfId="29424" xr:uid="{00000000-0005-0000-0000-0000B76F0000}"/>
    <cellStyle name="Reset  - Style7 15" xfId="29425" xr:uid="{00000000-0005-0000-0000-0000B86F0000}"/>
    <cellStyle name="Reset  - Style7 16" xfId="29426" xr:uid="{00000000-0005-0000-0000-0000B96F0000}"/>
    <cellStyle name="Reset  - Style7 2" xfId="29427" xr:uid="{00000000-0005-0000-0000-0000BA6F0000}"/>
    <cellStyle name="Reset  - Style7 3" xfId="29428" xr:uid="{00000000-0005-0000-0000-0000BB6F0000}"/>
    <cellStyle name="Reset  - Style7 4" xfId="29429" xr:uid="{00000000-0005-0000-0000-0000BC6F0000}"/>
    <cellStyle name="Reset  - Style7 5" xfId="29430" xr:uid="{00000000-0005-0000-0000-0000BD6F0000}"/>
    <cellStyle name="Reset  - Style7 6" xfId="29431" xr:uid="{00000000-0005-0000-0000-0000BE6F0000}"/>
    <cellStyle name="Reset  - Style7 7" xfId="29432" xr:uid="{00000000-0005-0000-0000-0000BF6F0000}"/>
    <cellStyle name="Reset  - Style7 8" xfId="29433" xr:uid="{00000000-0005-0000-0000-0000C06F0000}"/>
    <cellStyle name="Reset  - Style7 9" xfId="29434" xr:uid="{00000000-0005-0000-0000-0000C16F0000}"/>
    <cellStyle name="RevList" xfId="29435" xr:uid="{00000000-0005-0000-0000-0000C26F0000}"/>
    <cellStyle name="RevList 10" xfId="29436" xr:uid="{00000000-0005-0000-0000-0000C36F0000}"/>
    <cellStyle name="RevList 11" xfId="29437" xr:uid="{00000000-0005-0000-0000-0000C46F0000}"/>
    <cellStyle name="RevList 12" xfId="29438" xr:uid="{00000000-0005-0000-0000-0000C56F0000}"/>
    <cellStyle name="RevList 13" xfId="29439" xr:uid="{00000000-0005-0000-0000-0000C66F0000}"/>
    <cellStyle name="RevList 14" xfId="29440" xr:uid="{00000000-0005-0000-0000-0000C76F0000}"/>
    <cellStyle name="RevList 15" xfId="29441" xr:uid="{00000000-0005-0000-0000-0000C86F0000}"/>
    <cellStyle name="RevList 16" xfId="29442" xr:uid="{00000000-0005-0000-0000-0000C96F0000}"/>
    <cellStyle name="RevList 2" xfId="29443" xr:uid="{00000000-0005-0000-0000-0000CA6F0000}"/>
    <cellStyle name="RevList 3" xfId="29444" xr:uid="{00000000-0005-0000-0000-0000CB6F0000}"/>
    <cellStyle name="RevList 4" xfId="29445" xr:uid="{00000000-0005-0000-0000-0000CC6F0000}"/>
    <cellStyle name="RevList 5" xfId="29446" xr:uid="{00000000-0005-0000-0000-0000CD6F0000}"/>
    <cellStyle name="RevList 6" xfId="29447" xr:uid="{00000000-0005-0000-0000-0000CE6F0000}"/>
    <cellStyle name="RevList 7" xfId="29448" xr:uid="{00000000-0005-0000-0000-0000CF6F0000}"/>
    <cellStyle name="RevList 8" xfId="29449" xr:uid="{00000000-0005-0000-0000-0000D06F0000}"/>
    <cellStyle name="RevList 9" xfId="29450" xr:uid="{00000000-0005-0000-0000-0000D16F0000}"/>
    <cellStyle name="Section Title" xfId="29451" xr:uid="{00000000-0005-0000-0000-0000D26F0000}"/>
    <cellStyle name="Section Title 10" xfId="29452" xr:uid="{00000000-0005-0000-0000-0000D36F0000}"/>
    <cellStyle name="Section Title 11" xfId="29453" xr:uid="{00000000-0005-0000-0000-0000D46F0000}"/>
    <cellStyle name="Section Title 12" xfId="29454" xr:uid="{00000000-0005-0000-0000-0000D56F0000}"/>
    <cellStyle name="Section Title 13" xfId="29455" xr:uid="{00000000-0005-0000-0000-0000D66F0000}"/>
    <cellStyle name="Section Title 14" xfId="29456" xr:uid="{00000000-0005-0000-0000-0000D76F0000}"/>
    <cellStyle name="Section Title 15" xfId="29457" xr:uid="{00000000-0005-0000-0000-0000D86F0000}"/>
    <cellStyle name="Section Title 16" xfId="29458" xr:uid="{00000000-0005-0000-0000-0000D96F0000}"/>
    <cellStyle name="Section Title 2" xfId="29459" xr:uid="{00000000-0005-0000-0000-0000DA6F0000}"/>
    <cellStyle name="Section Title 3" xfId="29460" xr:uid="{00000000-0005-0000-0000-0000DB6F0000}"/>
    <cellStyle name="Section Title 4" xfId="29461" xr:uid="{00000000-0005-0000-0000-0000DC6F0000}"/>
    <cellStyle name="Section Title 5" xfId="29462" xr:uid="{00000000-0005-0000-0000-0000DD6F0000}"/>
    <cellStyle name="Section Title 6" xfId="29463" xr:uid="{00000000-0005-0000-0000-0000DE6F0000}"/>
    <cellStyle name="Section Title 7" xfId="29464" xr:uid="{00000000-0005-0000-0000-0000DF6F0000}"/>
    <cellStyle name="Section Title 8" xfId="29465" xr:uid="{00000000-0005-0000-0000-0000E06F0000}"/>
    <cellStyle name="Section Title 9" xfId="29466" xr:uid="{00000000-0005-0000-0000-0000E16F0000}"/>
    <cellStyle name="Sheet Title" xfId="29467" xr:uid="{00000000-0005-0000-0000-0000E26F0000}"/>
    <cellStyle name="Sheet Title 10" xfId="29468" xr:uid="{00000000-0005-0000-0000-0000E36F0000}"/>
    <cellStyle name="Sheet Title 11" xfId="29469" xr:uid="{00000000-0005-0000-0000-0000E46F0000}"/>
    <cellStyle name="Sheet Title 12" xfId="29470" xr:uid="{00000000-0005-0000-0000-0000E56F0000}"/>
    <cellStyle name="Sheet Title 13" xfId="29471" xr:uid="{00000000-0005-0000-0000-0000E66F0000}"/>
    <cellStyle name="Sheet Title 14" xfId="29472" xr:uid="{00000000-0005-0000-0000-0000E76F0000}"/>
    <cellStyle name="Sheet Title 15" xfId="29473" xr:uid="{00000000-0005-0000-0000-0000E86F0000}"/>
    <cellStyle name="Sheet Title 16" xfId="29474" xr:uid="{00000000-0005-0000-0000-0000E96F0000}"/>
    <cellStyle name="Sheet Title 2" xfId="29475" xr:uid="{00000000-0005-0000-0000-0000EA6F0000}"/>
    <cellStyle name="Sheet Title 3" xfId="29476" xr:uid="{00000000-0005-0000-0000-0000EB6F0000}"/>
    <cellStyle name="Sheet Title 4" xfId="29477" xr:uid="{00000000-0005-0000-0000-0000EC6F0000}"/>
    <cellStyle name="Sheet Title 5" xfId="29478" xr:uid="{00000000-0005-0000-0000-0000ED6F0000}"/>
    <cellStyle name="Sheet Title 6" xfId="29479" xr:uid="{00000000-0005-0000-0000-0000EE6F0000}"/>
    <cellStyle name="Sheet Title 7" xfId="29480" xr:uid="{00000000-0005-0000-0000-0000EF6F0000}"/>
    <cellStyle name="Sheet Title 8" xfId="29481" xr:uid="{00000000-0005-0000-0000-0000F06F0000}"/>
    <cellStyle name="Sheet Title 9" xfId="29482" xr:uid="{00000000-0005-0000-0000-0000F16F0000}"/>
    <cellStyle name="Sledovaný hypertextový odkaz" xfId="29483" xr:uid="{00000000-0005-0000-0000-0000F26F0000}"/>
    <cellStyle name="Sledovaný hypertextový odkaz 10" xfId="29484" xr:uid="{00000000-0005-0000-0000-0000F36F0000}"/>
    <cellStyle name="Sledovaný hypertextový odkaz 11" xfId="29485" xr:uid="{00000000-0005-0000-0000-0000F46F0000}"/>
    <cellStyle name="Sledovaný hypertextový odkaz 12" xfId="29486" xr:uid="{00000000-0005-0000-0000-0000F56F0000}"/>
    <cellStyle name="Sledovaný hypertextový odkaz 13" xfId="29487" xr:uid="{00000000-0005-0000-0000-0000F66F0000}"/>
    <cellStyle name="Sledovaný hypertextový odkaz 14" xfId="29488" xr:uid="{00000000-0005-0000-0000-0000F76F0000}"/>
    <cellStyle name="Sledovaný hypertextový odkaz 15" xfId="29489" xr:uid="{00000000-0005-0000-0000-0000F86F0000}"/>
    <cellStyle name="Sledovaný hypertextový odkaz 16" xfId="29490" xr:uid="{00000000-0005-0000-0000-0000F96F0000}"/>
    <cellStyle name="Sledovaný hypertextový odkaz 2" xfId="29491" xr:uid="{00000000-0005-0000-0000-0000FA6F0000}"/>
    <cellStyle name="Sledovaný hypertextový odkaz 3" xfId="29492" xr:uid="{00000000-0005-0000-0000-0000FB6F0000}"/>
    <cellStyle name="Sledovaný hypertextový odkaz 4" xfId="29493" xr:uid="{00000000-0005-0000-0000-0000FC6F0000}"/>
    <cellStyle name="Sledovaný hypertextový odkaz 5" xfId="29494" xr:uid="{00000000-0005-0000-0000-0000FD6F0000}"/>
    <cellStyle name="Sledovaný hypertextový odkaz 6" xfId="29495" xr:uid="{00000000-0005-0000-0000-0000FE6F0000}"/>
    <cellStyle name="Sledovaný hypertextový odkaz 7" xfId="29496" xr:uid="{00000000-0005-0000-0000-0000FF6F0000}"/>
    <cellStyle name="Sledovaný hypertextový odkaz 8" xfId="29497" xr:uid="{00000000-0005-0000-0000-000000700000}"/>
    <cellStyle name="Sledovaný hypertextový odkaz 9" xfId="29498" xr:uid="{00000000-0005-0000-0000-000001700000}"/>
    <cellStyle name="Standaard_prod eu distr" xfId="29499" xr:uid="{00000000-0005-0000-0000-000002700000}"/>
    <cellStyle name="Standard_aktuell" xfId="166" xr:uid="{00000000-0005-0000-0000-000080030000}"/>
    <cellStyle name="StLine" xfId="29500" xr:uid="{00000000-0005-0000-0000-000004700000}"/>
    <cellStyle name="StLine 10" xfId="29501" xr:uid="{00000000-0005-0000-0000-000005700000}"/>
    <cellStyle name="StLine 11" xfId="29502" xr:uid="{00000000-0005-0000-0000-000006700000}"/>
    <cellStyle name="StLine 12" xfId="29503" xr:uid="{00000000-0005-0000-0000-000007700000}"/>
    <cellStyle name="StLine 13" xfId="29504" xr:uid="{00000000-0005-0000-0000-000008700000}"/>
    <cellStyle name="StLine 14" xfId="29505" xr:uid="{00000000-0005-0000-0000-000009700000}"/>
    <cellStyle name="StLine 15" xfId="29506" xr:uid="{00000000-0005-0000-0000-00000A700000}"/>
    <cellStyle name="StLine 16" xfId="29507" xr:uid="{00000000-0005-0000-0000-00000B700000}"/>
    <cellStyle name="StLine 17" xfId="29508" xr:uid="{00000000-0005-0000-0000-00000C700000}"/>
    <cellStyle name="StLine 18" xfId="29509" xr:uid="{00000000-0005-0000-0000-00000D700000}"/>
    <cellStyle name="StLine 19" xfId="29510" xr:uid="{00000000-0005-0000-0000-00000E700000}"/>
    <cellStyle name="StLine 2" xfId="29511" xr:uid="{00000000-0005-0000-0000-00000F700000}"/>
    <cellStyle name="StLine 2 10" xfId="29512" xr:uid="{00000000-0005-0000-0000-000010700000}"/>
    <cellStyle name="StLine 2 11" xfId="29513" xr:uid="{00000000-0005-0000-0000-000011700000}"/>
    <cellStyle name="StLine 2 12" xfId="29514" xr:uid="{00000000-0005-0000-0000-000012700000}"/>
    <cellStyle name="StLine 2 13" xfId="29515" xr:uid="{00000000-0005-0000-0000-000013700000}"/>
    <cellStyle name="StLine 2 14" xfId="29516" xr:uid="{00000000-0005-0000-0000-000014700000}"/>
    <cellStyle name="StLine 2 15" xfId="29517" xr:uid="{00000000-0005-0000-0000-000015700000}"/>
    <cellStyle name="StLine 2 2" xfId="29518" xr:uid="{00000000-0005-0000-0000-000016700000}"/>
    <cellStyle name="StLine 2 3" xfId="29519" xr:uid="{00000000-0005-0000-0000-000017700000}"/>
    <cellStyle name="StLine 2 4" xfId="29520" xr:uid="{00000000-0005-0000-0000-000018700000}"/>
    <cellStyle name="StLine 2 5" xfId="29521" xr:uid="{00000000-0005-0000-0000-000019700000}"/>
    <cellStyle name="StLine 2 6" xfId="29522" xr:uid="{00000000-0005-0000-0000-00001A700000}"/>
    <cellStyle name="StLine 2 7" xfId="29523" xr:uid="{00000000-0005-0000-0000-00001B700000}"/>
    <cellStyle name="StLine 2 8" xfId="29524" xr:uid="{00000000-0005-0000-0000-00001C700000}"/>
    <cellStyle name="StLine 2 9" xfId="29525" xr:uid="{00000000-0005-0000-0000-00001D700000}"/>
    <cellStyle name="StLine 3" xfId="29526" xr:uid="{00000000-0005-0000-0000-00001E700000}"/>
    <cellStyle name="StLine 3 10" xfId="29527" xr:uid="{00000000-0005-0000-0000-00001F700000}"/>
    <cellStyle name="StLine 3 11" xfId="29528" xr:uid="{00000000-0005-0000-0000-000020700000}"/>
    <cellStyle name="StLine 3 12" xfId="29529" xr:uid="{00000000-0005-0000-0000-000021700000}"/>
    <cellStyle name="StLine 3 13" xfId="29530" xr:uid="{00000000-0005-0000-0000-000022700000}"/>
    <cellStyle name="StLine 3 14" xfId="29531" xr:uid="{00000000-0005-0000-0000-000023700000}"/>
    <cellStyle name="StLine 3 15" xfId="29532" xr:uid="{00000000-0005-0000-0000-000024700000}"/>
    <cellStyle name="StLine 3 2" xfId="29533" xr:uid="{00000000-0005-0000-0000-000025700000}"/>
    <cellStyle name="StLine 3 3" xfId="29534" xr:uid="{00000000-0005-0000-0000-000026700000}"/>
    <cellStyle name="StLine 3 4" xfId="29535" xr:uid="{00000000-0005-0000-0000-000027700000}"/>
    <cellStyle name="StLine 3 5" xfId="29536" xr:uid="{00000000-0005-0000-0000-000028700000}"/>
    <cellStyle name="StLine 3 6" xfId="29537" xr:uid="{00000000-0005-0000-0000-000029700000}"/>
    <cellStyle name="StLine 3 7" xfId="29538" xr:uid="{00000000-0005-0000-0000-00002A700000}"/>
    <cellStyle name="StLine 3 8" xfId="29539" xr:uid="{00000000-0005-0000-0000-00002B700000}"/>
    <cellStyle name="StLine 3 9" xfId="29540" xr:uid="{00000000-0005-0000-0000-00002C700000}"/>
    <cellStyle name="StLine 4" xfId="29541" xr:uid="{00000000-0005-0000-0000-00002D700000}"/>
    <cellStyle name="StLine 4 10" xfId="29542" xr:uid="{00000000-0005-0000-0000-00002E700000}"/>
    <cellStyle name="StLine 4 11" xfId="29543" xr:uid="{00000000-0005-0000-0000-00002F700000}"/>
    <cellStyle name="StLine 4 12" xfId="29544" xr:uid="{00000000-0005-0000-0000-000030700000}"/>
    <cellStyle name="StLine 4 13" xfId="29545" xr:uid="{00000000-0005-0000-0000-000031700000}"/>
    <cellStyle name="StLine 4 14" xfId="29546" xr:uid="{00000000-0005-0000-0000-000032700000}"/>
    <cellStyle name="StLine 4 15" xfId="29547" xr:uid="{00000000-0005-0000-0000-000033700000}"/>
    <cellStyle name="StLine 4 2" xfId="29548" xr:uid="{00000000-0005-0000-0000-000034700000}"/>
    <cellStyle name="StLine 4 3" xfId="29549" xr:uid="{00000000-0005-0000-0000-000035700000}"/>
    <cellStyle name="StLine 4 4" xfId="29550" xr:uid="{00000000-0005-0000-0000-000036700000}"/>
    <cellStyle name="StLine 4 5" xfId="29551" xr:uid="{00000000-0005-0000-0000-000037700000}"/>
    <cellStyle name="StLine 4 6" xfId="29552" xr:uid="{00000000-0005-0000-0000-000038700000}"/>
    <cellStyle name="StLine 4 7" xfId="29553" xr:uid="{00000000-0005-0000-0000-000039700000}"/>
    <cellStyle name="StLine 4 8" xfId="29554" xr:uid="{00000000-0005-0000-0000-00003A700000}"/>
    <cellStyle name="StLine 4 9" xfId="29555" xr:uid="{00000000-0005-0000-0000-00003B700000}"/>
    <cellStyle name="StLine 5" xfId="29556" xr:uid="{00000000-0005-0000-0000-00003C700000}"/>
    <cellStyle name="StLine 6" xfId="29557" xr:uid="{00000000-0005-0000-0000-00003D700000}"/>
    <cellStyle name="StLine 7" xfId="29558" xr:uid="{00000000-0005-0000-0000-00003E700000}"/>
    <cellStyle name="StLine 8" xfId="29559" xr:uid="{00000000-0005-0000-0000-00003F700000}"/>
    <cellStyle name="StLine 9" xfId="29560" xr:uid="{00000000-0005-0000-0000-000040700000}"/>
    <cellStyle name="StLineTOP" xfId="29561" xr:uid="{00000000-0005-0000-0000-000041700000}"/>
    <cellStyle name="StLineTOP 10" xfId="29562" xr:uid="{00000000-0005-0000-0000-000042700000}"/>
    <cellStyle name="StLineTOP 11" xfId="29563" xr:uid="{00000000-0005-0000-0000-000043700000}"/>
    <cellStyle name="StLineTOP 12" xfId="29564" xr:uid="{00000000-0005-0000-0000-000044700000}"/>
    <cellStyle name="StLineTOP 13" xfId="29565" xr:uid="{00000000-0005-0000-0000-000045700000}"/>
    <cellStyle name="StLineTOP 14" xfId="29566" xr:uid="{00000000-0005-0000-0000-000046700000}"/>
    <cellStyle name="StLineTOP 15" xfId="29567" xr:uid="{00000000-0005-0000-0000-000047700000}"/>
    <cellStyle name="StLineTOP 16" xfId="29568" xr:uid="{00000000-0005-0000-0000-000048700000}"/>
    <cellStyle name="StLineTOP 17" xfId="29569" xr:uid="{00000000-0005-0000-0000-000049700000}"/>
    <cellStyle name="StLineTOP 18" xfId="29570" xr:uid="{00000000-0005-0000-0000-00004A700000}"/>
    <cellStyle name="StLineTOP 19" xfId="29571" xr:uid="{00000000-0005-0000-0000-00004B700000}"/>
    <cellStyle name="StLineTOP 2" xfId="29572" xr:uid="{00000000-0005-0000-0000-00004C700000}"/>
    <cellStyle name="StLineTOP 2 10" xfId="29573" xr:uid="{00000000-0005-0000-0000-00004D700000}"/>
    <cellStyle name="StLineTOP 2 11" xfId="29574" xr:uid="{00000000-0005-0000-0000-00004E700000}"/>
    <cellStyle name="StLineTOP 2 12" xfId="29575" xr:uid="{00000000-0005-0000-0000-00004F700000}"/>
    <cellStyle name="StLineTOP 2 13" xfId="29576" xr:uid="{00000000-0005-0000-0000-000050700000}"/>
    <cellStyle name="StLineTOP 2 14" xfId="29577" xr:uid="{00000000-0005-0000-0000-000051700000}"/>
    <cellStyle name="StLineTOP 2 15" xfId="29578" xr:uid="{00000000-0005-0000-0000-000052700000}"/>
    <cellStyle name="StLineTOP 2 2" xfId="29579" xr:uid="{00000000-0005-0000-0000-000053700000}"/>
    <cellStyle name="StLineTOP 2 3" xfId="29580" xr:uid="{00000000-0005-0000-0000-000054700000}"/>
    <cellStyle name="StLineTOP 2 4" xfId="29581" xr:uid="{00000000-0005-0000-0000-000055700000}"/>
    <cellStyle name="StLineTOP 2 5" xfId="29582" xr:uid="{00000000-0005-0000-0000-000056700000}"/>
    <cellStyle name="StLineTOP 2 6" xfId="29583" xr:uid="{00000000-0005-0000-0000-000057700000}"/>
    <cellStyle name="StLineTOP 2 7" xfId="29584" xr:uid="{00000000-0005-0000-0000-000058700000}"/>
    <cellStyle name="StLineTOP 2 8" xfId="29585" xr:uid="{00000000-0005-0000-0000-000059700000}"/>
    <cellStyle name="StLineTOP 2 9" xfId="29586" xr:uid="{00000000-0005-0000-0000-00005A700000}"/>
    <cellStyle name="StLineTOP 3" xfId="29587" xr:uid="{00000000-0005-0000-0000-00005B700000}"/>
    <cellStyle name="StLineTOP 3 10" xfId="29588" xr:uid="{00000000-0005-0000-0000-00005C700000}"/>
    <cellStyle name="StLineTOP 3 11" xfId="29589" xr:uid="{00000000-0005-0000-0000-00005D700000}"/>
    <cellStyle name="StLineTOP 3 12" xfId="29590" xr:uid="{00000000-0005-0000-0000-00005E700000}"/>
    <cellStyle name="StLineTOP 3 13" xfId="29591" xr:uid="{00000000-0005-0000-0000-00005F700000}"/>
    <cellStyle name="StLineTOP 3 14" xfId="29592" xr:uid="{00000000-0005-0000-0000-000060700000}"/>
    <cellStyle name="StLineTOP 3 15" xfId="29593" xr:uid="{00000000-0005-0000-0000-000061700000}"/>
    <cellStyle name="StLineTOP 3 2" xfId="29594" xr:uid="{00000000-0005-0000-0000-000062700000}"/>
    <cellStyle name="StLineTOP 3 3" xfId="29595" xr:uid="{00000000-0005-0000-0000-000063700000}"/>
    <cellStyle name="StLineTOP 3 4" xfId="29596" xr:uid="{00000000-0005-0000-0000-000064700000}"/>
    <cellStyle name="StLineTOP 3 5" xfId="29597" xr:uid="{00000000-0005-0000-0000-000065700000}"/>
    <cellStyle name="StLineTOP 3 6" xfId="29598" xr:uid="{00000000-0005-0000-0000-000066700000}"/>
    <cellStyle name="StLineTOP 3 7" xfId="29599" xr:uid="{00000000-0005-0000-0000-000067700000}"/>
    <cellStyle name="StLineTOP 3 8" xfId="29600" xr:uid="{00000000-0005-0000-0000-000068700000}"/>
    <cellStyle name="StLineTOP 3 9" xfId="29601" xr:uid="{00000000-0005-0000-0000-000069700000}"/>
    <cellStyle name="StLineTOP 4" xfId="29602" xr:uid="{00000000-0005-0000-0000-00006A700000}"/>
    <cellStyle name="StLineTOP 4 10" xfId="29603" xr:uid="{00000000-0005-0000-0000-00006B700000}"/>
    <cellStyle name="StLineTOP 4 11" xfId="29604" xr:uid="{00000000-0005-0000-0000-00006C700000}"/>
    <cellStyle name="StLineTOP 4 12" xfId="29605" xr:uid="{00000000-0005-0000-0000-00006D700000}"/>
    <cellStyle name="StLineTOP 4 13" xfId="29606" xr:uid="{00000000-0005-0000-0000-00006E700000}"/>
    <cellStyle name="StLineTOP 4 14" xfId="29607" xr:uid="{00000000-0005-0000-0000-00006F700000}"/>
    <cellStyle name="StLineTOP 4 15" xfId="29608" xr:uid="{00000000-0005-0000-0000-000070700000}"/>
    <cellStyle name="StLineTOP 4 2" xfId="29609" xr:uid="{00000000-0005-0000-0000-000071700000}"/>
    <cellStyle name="StLineTOP 4 3" xfId="29610" xr:uid="{00000000-0005-0000-0000-000072700000}"/>
    <cellStyle name="StLineTOP 4 4" xfId="29611" xr:uid="{00000000-0005-0000-0000-000073700000}"/>
    <cellStyle name="StLineTOP 4 5" xfId="29612" xr:uid="{00000000-0005-0000-0000-000074700000}"/>
    <cellStyle name="StLineTOP 4 6" xfId="29613" xr:uid="{00000000-0005-0000-0000-000075700000}"/>
    <cellStyle name="StLineTOP 4 7" xfId="29614" xr:uid="{00000000-0005-0000-0000-000076700000}"/>
    <cellStyle name="StLineTOP 4 8" xfId="29615" xr:uid="{00000000-0005-0000-0000-000077700000}"/>
    <cellStyle name="StLineTOP 4 9" xfId="29616" xr:uid="{00000000-0005-0000-0000-000078700000}"/>
    <cellStyle name="StLineTOP 5" xfId="29617" xr:uid="{00000000-0005-0000-0000-000079700000}"/>
    <cellStyle name="StLineTOP 6" xfId="29618" xr:uid="{00000000-0005-0000-0000-00007A700000}"/>
    <cellStyle name="StLineTOP 7" xfId="29619" xr:uid="{00000000-0005-0000-0000-00007B700000}"/>
    <cellStyle name="StLineTOP 8" xfId="29620" xr:uid="{00000000-0005-0000-0000-00007C700000}"/>
    <cellStyle name="StLineTOP 9" xfId="29621" xr:uid="{00000000-0005-0000-0000-00007D700000}"/>
    <cellStyle name="Style 1" xfId="37" xr:uid="{00000000-0005-0000-0000-000038000000}"/>
    <cellStyle name="Style 1 10" xfId="29622" xr:uid="{00000000-0005-0000-0000-00007F700000}"/>
    <cellStyle name="Style 1 11" xfId="29623" xr:uid="{00000000-0005-0000-0000-000080700000}"/>
    <cellStyle name="Style 1 12" xfId="29624" xr:uid="{00000000-0005-0000-0000-000081700000}"/>
    <cellStyle name="Style 1 13" xfId="29625" xr:uid="{00000000-0005-0000-0000-000082700000}"/>
    <cellStyle name="Style 1 14" xfId="29626" xr:uid="{00000000-0005-0000-0000-000083700000}"/>
    <cellStyle name="Style 1 15" xfId="29627" xr:uid="{00000000-0005-0000-0000-000084700000}"/>
    <cellStyle name="Style 1 16" xfId="29628" xr:uid="{00000000-0005-0000-0000-000085700000}"/>
    <cellStyle name="Style 1 17" xfId="29629" xr:uid="{00000000-0005-0000-0000-000086700000}"/>
    <cellStyle name="Style 1 18" xfId="29630" xr:uid="{00000000-0005-0000-0000-000087700000}"/>
    <cellStyle name="Style 1 19" xfId="29631" xr:uid="{00000000-0005-0000-0000-000088700000}"/>
    <cellStyle name="Style 1 2" xfId="878" xr:uid="{00000000-0005-0000-0000-000082030000}"/>
    <cellStyle name="Style 1 2 10" xfId="29633" xr:uid="{00000000-0005-0000-0000-00008A700000}"/>
    <cellStyle name="Style 1 2 11" xfId="29634" xr:uid="{00000000-0005-0000-0000-00008B700000}"/>
    <cellStyle name="Style 1 2 12" xfId="29635" xr:uid="{00000000-0005-0000-0000-00008C700000}"/>
    <cellStyle name="Style 1 2 13" xfId="29636" xr:uid="{00000000-0005-0000-0000-00008D700000}"/>
    <cellStyle name="Style 1 2 14" xfId="29637" xr:uid="{00000000-0005-0000-0000-00008E700000}"/>
    <cellStyle name="Style 1 2 15" xfId="29638" xr:uid="{00000000-0005-0000-0000-00008F700000}"/>
    <cellStyle name="Style 1 2 16" xfId="29639" xr:uid="{00000000-0005-0000-0000-000090700000}"/>
    <cellStyle name="Style 1 2 17" xfId="29640" xr:uid="{00000000-0005-0000-0000-000091700000}"/>
    <cellStyle name="Style 1 2 18" xfId="29641" xr:uid="{00000000-0005-0000-0000-000092700000}"/>
    <cellStyle name="Style 1 2 19" xfId="29642" xr:uid="{00000000-0005-0000-0000-000093700000}"/>
    <cellStyle name="Style 1 2 2" xfId="29643" xr:uid="{00000000-0005-0000-0000-000094700000}"/>
    <cellStyle name="Style 1 2 2 10" xfId="29644" xr:uid="{00000000-0005-0000-0000-000095700000}"/>
    <cellStyle name="Style 1 2 2 11" xfId="29645" xr:uid="{00000000-0005-0000-0000-000096700000}"/>
    <cellStyle name="Style 1 2 2 12" xfId="29646" xr:uid="{00000000-0005-0000-0000-000097700000}"/>
    <cellStyle name="Style 1 2 2 13" xfId="29647" xr:uid="{00000000-0005-0000-0000-000098700000}"/>
    <cellStyle name="Style 1 2 2 14" xfId="29648" xr:uid="{00000000-0005-0000-0000-000099700000}"/>
    <cellStyle name="Style 1 2 2 15" xfId="29649" xr:uid="{00000000-0005-0000-0000-00009A700000}"/>
    <cellStyle name="Style 1 2 2 16" xfId="29650" xr:uid="{00000000-0005-0000-0000-00009B700000}"/>
    <cellStyle name="Style 1 2 2 2" xfId="29651" xr:uid="{00000000-0005-0000-0000-00009C700000}"/>
    <cellStyle name="Style 1 2 2 3" xfId="29652" xr:uid="{00000000-0005-0000-0000-00009D700000}"/>
    <cellStyle name="Style 1 2 2 4" xfId="29653" xr:uid="{00000000-0005-0000-0000-00009E700000}"/>
    <cellStyle name="Style 1 2 2 5" xfId="29654" xr:uid="{00000000-0005-0000-0000-00009F700000}"/>
    <cellStyle name="Style 1 2 2 6" xfId="29655" xr:uid="{00000000-0005-0000-0000-0000A0700000}"/>
    <cellStyle name="Style 1 2 2 7" xfId="29656" xr:uid="{00000000-0005-0000-0000-0000A1700000}"/>
    <cellStyle name="Style 1 2 2 8" xfId="29657" xr:uid="{00000000-0005-0000-0000-0000A2700000}"/>
    <cellStyle name="Style 1 2 2 9" xfId="29658" xr:uid="{00000000-0005-0000-0000-0000A3700000}"/>
    <cellStyle name="Style 1 2 20" xfId="29659" xr:uid="{00000000-0005-0000-0000-0000A4700000}"/>
    <cellStyle name="Style 1 2 21" xfId="29660" xr:uid="{00000000-0005-0000-0000-0000A5700000}"/>
    <cellStyle name="Style 1 2 22" xfId="29632" xr:uid="{00000000-0005-0000-0000-000089700000}"/>
    <cellStyle name="Style 1 2 3" xfId="29661" xr:uid="{00000000-0005-0000-0000-0000A6700000}"/>
    <cellStyle name="Style 1 2 3 10" xfId="29662" xr:uid="{00000000-0005-0000-0000-0000A7700000}"/>
    <cellStyle name="Style 1 2 3 11" xfId="29663" xr:uid="{00000000-0005-0000-0000-0000A8700000}"/>
    <cellStyle name="Style 1 2 3 12" xfId="29664" xr:uid="{00000000-0005-0000-0000-0000A9700000}"/>
    <cellStyle name="Style 1 2 3 13" xfId="29665" xr:uid="{00000000-0005-0000-0000-0000AA700000}"/>
    <cellStyle name="Style 1 2 3 14" xfId="29666" xr:uid="{00000000-0005-0000-0000-0000AB700000}"/>
    <cellStyle name="Style 1 2 3 15" xfId="29667" xr:uid="{00000000-0005-0000-0000-0000AC700000}"/>
    <cellStyle name="Style 1 2 3 2" xfId="29668" xr:uid="{00000000-0005-0000-0000-0000AD700000}"/>
    <cellStyle name="Style 1 2 3 3" xfId="29669" xr:uid="{00000000-0005-0000-0000-0000AE700000}"/>
    <cellStyle name="Style 1 2 3 4" xfId="29670" xr:uid="{00000000-0005-0000-0000-0000AF700000}"/>
    <cellStyle name="Style 1 2 3 5" xfId="29671" xr:uid="{00000000-0005-0000-0000-0000B0700000}"/>
    <cellStyle name="Style 1 2 3 6" xfId="29672" xr:uid="{00000000-0005-0000-0000-0000B1700000}"/>
    <cellStyle name="Style 1 2 3 7" xfId="29673" xr:uid="{00000000-0005-0000-0000-0000B2700000}"/>
    <cellStyle name="Style 1 2 3 8" xfId="29674" xr:uid="{00000000-0005-0000-0000-0000B3700000}"/>
    <cellStyle name="Style 1 2 3 9" xfId="29675" xr:uid="{00000000-0005-0000-0000-0000B4700000}"/>
    <cellStyle name="Style 1 2 4" xfId="29676" xr:uid="{00000000-0005-0000-0000-0000B5700000}"/>
    <cellStyle name="Style 1 2 4 10" xfId="29677" xr:uid="{00000000-0005-0000-0000-0000B6700000}"/>
    <cellStyle name="Style 1 2 4 11" xfId="29678" xr:uid="{00000000-0005-0000-0000-0000B7700000}"/>
    <cellStyle name="Style 1 2 4 12" xfId="29679" xr:uid="{00000000-0005-0000-0000-0000B8700000}"/>
    <cellStyle name="Style 1 2 4 13" xfId="29680" xr:uid="{00000000-0005-0000-0000-0000B9700000}"/>
    <cellStyle name="Style 1 2 4 14" xfId="29681" xr:uid="{00000000-0005-0000-0000-0000BA700000}"/>
    <cellStyle name="Style 1 2 4 15" xfId="29682" xr:uid="{00000000-0005-0000-0000-0000BB700000}"/>
    <cellStyle name="Style 1 2 4 2" xfId="29683" xr:uid="{00000000-0005-0000-0000-0000BC700000}"/>
    <cellStyle name="Style 1 2 4 3" xfId="29684" xr:uid="{00000000-0005-0000-0000-0000BD700000}"/>
    <cellStyle name="Style 1 2 4 4" xfId="29685" xr:uid="{00000000-0005-0000-0000-0000BE700000}"/>
    <cellStyle name="Style 1 2 4 5" xfId="29686" xr:uid="{00000000-0005-0000-0000-0000BF700000}"/>
    <cellStyle name="Style 1 2 4 6" xfId="29687" xr:uid="{00000000-0005-0000-0000-0000C0700000}"/>
    <cellStyle name="Style 1 2 4 7" xfId="29688" xr:uid="{00000000-0005-0000-0000-0000C1700000}"/>
    <cellStyle name="Style 1 2 4 8" xfId="29689" xr:uid="{00000000-0005-0000-0000-0000C2700000}"/>
    <cellStyle name="Style 1 2 4 9" xfId="29690" xr:uid="{00000000-0005-0000-0000-0000C3700000}"/>
    <cellStyle name="Style 1 2 5" xfId="29691" xr:uid="{00000000-0005-0000-0000-0000C4700000}"/>
    <cellStyle name="Style 1 2 5 2" xfId="29692" xr:uid="{00000000-0005-0000-0000-0000C5700000}"/>
    <cellStyle name="Style 1 2 5 3" xfId="29693" xr:uid="{00000000-0005-0000-0000-0000C6700000}"/>
    <cellStyle name="Style 1 2 6" xfId="29694" xr:uid="{00000000-0005-0000-0000-0000C7700000}"/>
    <cellStyle name="Style 1 2 7" xfId="29695" xr:uid="{00000000-0005-0000-0000-0000C8700000}"/>
    <cellStyle name="Style 1 2 8" xfId="29696" xr:uid="{00000000-0005-0000-0000-0000C9700000}"/>
    <cellStyle name="Style 1 2 9" xfId="29697" xr:uid="{00000000-0005-0000-0000-0000CA700000}"/>
    <cellStyle name="Style 1 20" xfId="37245" xr:uid="{00000000-0005-0000-0000-0000CB700000}"/>
    <cellStyle name="Style 1 21" xfId="987" xr:uid="{00000000-0005-0000-0000-0000CC700000}"/>
    <cellStyle name="Style 1 3" xfId="29698" xr:uid="{00000000-0005-0000-0000-0000CD700000}"/>
    <cellStyle name="Style 1 3 2" xfId="29699" xr:uid="{00000000-0005-0000-0000-0000CE700000}"/>
    <cellStyle name="Style 1 3 3" xfId="29700" xr:uid="{00000000-0005-0000-0000-0000CF700000}"/>
    <cellStyle name="Style 1 4" xfId="29701" xr:uid="{00000000-0005-0000-0000-0000D0700000}"/>
    <cellStyle name="Style 1 5" xfId="29702" xr:uid="{00000000-0005-0000-0000-0000D1700000}"/>
    <cellStyle name="Style 1 6" xfId="29703" xr:uid="{00000000-0005-0000-0000-0000D2700000}"/>
    <cellStyle name="Style 1 7" xfId="29704" xr:uid="{00000000-0005-0000-0000-0000D3700000}"/>
    <cellStyle name="Style 1 8" xfId="29705" xr:uid="{00000000-0005-0000-0000-0000D4700000}"/>
    <cellStyle name="Style 1 9" xfId="29706" xr:uid="{00000000-0005-0000-0000-0000D5700000}"/>
    <cellStyle name="Style 1_Architectural BOQ 300509" xfId="29707" xr:uid="{00000000-0005-0000-0000-0000D6700000}"/>
    <cellStyle name="SubDescription" xfId="29708" xr:uid="{00000000-0005-0000-0000-0000D7700000}"/>
    <cellStyle name="SubDescription 10" xfId="29709" xr:uid="{00000000-0005-0000-0000-0000D8700000}"/>
    <cellStyle name="SubDescription 11" xfId="29710" xr:uid="{00000000-0005-0000-0000-0000D9700000}"/>
    <cellStyle name="SubDescription 12" xfId="29711" xr:uid="{00000000-0005-0000-0000-0000DA700000}"/>
    <cellStyle name="SubDescription 13" xfId="29712" xr:uid="{00000000-0005-0000-0000-0000DB700000}"/>
    <cellStyle name="SubDescription 14" xfId="29713" xr:uid="{00000000-0005-0000-0000-0000DC700000}"/>
    <cellStyle name="SubDescription 15" xfId="29714" xr:uid="{00000000-0005-0000-0000-0000DD700000}"/>
    <cellStyle name="SubDescription 16" xfId="29715" xr:uid="{00000000-0005-0000-0000-0000DE700000}"/>
    <cellStyle name="SubDescription 2" xfId="29716" xr:uid="{00000000-0005-0000-0000-0000DF700000}"/>
    <cellStyle name="SubDescription 3" xfId="29717" xr:uid="{00000000-0005-0000-0000-0000E0700000}"/>
    <cellStyle name="SubDescription 4" xfId="29718" xr:uid="{00000000-0005-0000-0000-0000E1700000}"/>
    <cellStyle name="SubDescription 5" xfId="29719" xr:uid="{00000000-0005-0000-0000-0000E2700000}"/>
    <cellStyle name="SubDescription 6" xfId="29720" xr:uid="{00000000-0005-0000-0000-0000E3700000}"/>
    <cellStyle name="SubDescription 7" xfId="29721" xr:uid="{00000000-0005-0000-0000-0000E4700000}"/>
    <cellStyle name="SubDescription 8" xfId="29722" xr:uid="{00000000-0005-0000-0000-0000E5700000}"/>
    <cellStyle name="SubDescription 9" xfId="29723" xr:uid="{00000000-0005-0000-0000-0000E6700000}"/>
    <cellStyle name="subhead" xfId="29724" xr:uid="{00000000-0005-0000-0000-0000E7700000}"/>
    <cellStyle name="subhead 10" xfId="29725" xr:uid="{00000000-0005-0000-0000-0000E8700000}"/>
    <cellStyle name="subhead 11" xfId="29726" xr:uid="{00000000-0005-0000-0000-0000E9700000}"/>
    <cellStyle name="subhead 12" xfId="29727" xr:uid="{00000000-0005-0000-0000-0000EA700000}"/>
    <cellStyle name="subhead 13" xfId="29728" xr:uid="{00000000-0005-0000-0000-0000EB700000}"/>
    <cellStyle name="subhead 14" xfId="29729" xr:uid="{00000000-0005-0000-0000-0000EC700000}"/>
    <cellStyle name="subhead 15" xfId="29730" xr:uid="{00000000-0005-0000-0000-0000ED700000}"/>
    <cellStyle name="subhead 16" xfId="29731" xr:uid="{00000000-0005-0000-0000-0000EE700000}"/>
    <cellStyle name="subhead 2" xfId="29732" xr:uid="{00000000-0005-0000-0000-0000EF700000}"/>
    <cellStyle name="subhead 3" xfId="29733" xr:uid="{00000000-0005-0000-0000-0000F0700000}"/>
    <cellStyle name="subhead 4" xfId="29734" xr:uid="{00000000-0005-0000-0000-0000F1700000}"/>
    <cellStyle name="subhead 5" xfId="29735" xr:uid="{00000000-0005-0000-0000-0000F2700000}"/>
    <cellStyle name="subhead 6" xfId="29736" xr:uid="{00000000-0005-0000-0000-0000F3700000}"/>
    <cellStyle name="subhead 7" xfId="29737" xr:uid="{00000000-0005-0000-0000-0000F4700000}"/>
    <cellStyle name="subhead 8" xfId="29738" xr:uid="{00000000-0005-0000-0000-0000F5700000}"/>
    <cellStyle name="subhead 9" xfId="29739" xr:uid="{00000000-0005-0000-0000-0000F6700000}"/>
    <cellStyle name="Subtitle" xfId="29740" xr:uid="{00000000-0005-0000-0000-0000F7700000}"/>
    <cellStyle name="Subtitle 10" xfId="29741" xr:uid="{00000000-0005-0000-0000-0000F8700000}"/>
    <cellStyle name="Subtitle 11" xfId="29742" xr:uid="{00000000-0005-0000-0000-0000F9700000}"/>
    <cellStyle name="Subtitle 12" xfId="29743" xr:uid="{00000000-0005-0000-0000-0000FA700000}"/>
    <cellStyle name="Subtitle 13" xfId="29744" xr:uid="{00000000-0005-0000-0000-0000FB700000}"/>
    <cellStyle name="Subtitle 14" xfId="29745" xr:uid="{00000000-0005-0000-0000-0000FC700000}"/>
    <cellStyle name="Subtitle 15" xfId="29746" xr:uid="{00000000-0005-0000-0000-0000FD700000}"/>
    <cellStyle name="Subtitle 16" xfId="29747" xr:uid="{00000000-0005-0000-0000-0000FE700000}"/>
    <cellStyle name="Subtitle 2" xfId="29748" xr:uid="{00000000-0005-0000-0000-0000FF700000}"/>
    <cellStyle name="Subtitle 3" xfId="29749" xr:uid="{00000000-0005-0000-0000-000000710000}"/>
    <cellStyle name="Subtitle 4" xfId="29750" xr:uid="{00000000-0005-0000-0000-000001710000}"/>
    <cellStyle name="Subtitle 5" xfId="29751" xr:uid="{00000000-0005-0000-0000-000002710000}"/>
    <cellStyle name="Subtitle 6" xfId="29752" xr:uid="{00000000-0005-0000-0000-000003710000}"/>
    <cellStyle name="Subtitle 7" xfId="29753" xr:uid="{00000000-0005-0000-0000-000004710000}"/>
    <cellStyle name="Subtitle 8" xfId="29754" xr:uid="{00000000-0005-0000-0000-000005710000}"/>
    <cellStyle name="Subtitle 9" xfId="29755" xr:uid="{00000000-0005-0000-0000-000006710000}"/>
    <cellStyle name="Subtotal" xfId="29756" xr:uid="{00000000-0005-0000-0000-000007710000}"/>
    <cellStyle name="Subtotal 10" xfId="29757" xr:uid="{00000000-0005-0000-0000-000008710000}"/>
    <cellStyle name="Subtotal 11" xfId="29758" xr:uid="{00000000-0005-0000-0000-000009710000}"/>
    <cellStyle name="Subtotal 12" xfId="29759" xr:uid="{00000000-0005-0000-0000-00000A710000}"/>
    <cellStyle name="Subtotal 13" xfId="29760" xr:uid="{00000000-0005-0000-0000-00000B710000}"/>
    <cellStyle name="Subtotal 14" xfId="29761" xr:uid="{00000000-0005-0000-0000-00000C710000}"/>
    <cellStyle name="Subtotal 15" xfId="29762" xr:uid="{00000000-0005-0000-0000-00000D710000}"/>
    <cellStyle name="Subtotal 16" xfId="29763" xr:uid="{00000000-0005-0000-0000-00000E710000}"/>
    <cellStyle name="Subtotal 2" xfId="29764" xr:uid="{00000000-0005-0000-0000-00000F710000}"/>
    <cellStyle name="Subtotal 3" xfId="29765" xr:uid="{00000000-0005-0000-0000-000010710000}"/>
    <cellStyle name="Subtotal 4" xfId="29766" xr:uid="{00000000-0005-0000-0000-000011710000}"/>
    <cellStyle name="Subtotal 5" xfId="29767" xr:uid="{00000000-0005-0000-0000-000012710000}"/>
    <cellStyle name="Subtotal 6" xfId="29768" xr:uid="{00000000-0005-0000-0000-000013710000}"/>
    <cellStyle name="Subtotal 7" xfId="29769" xr:uid="{00000000-0005-0000-0000-000014710000}"/>
    <cellStyle name="Subtotal 8" xfId="29770" xr:uid="{00000000-0005-0000-0000-000015710000}"/>
    <cellStyle name="Subtotal 9" xfId="29771" xr:uid="{00000000-0005-0000-0000-000016710000}"/>
    <cellStyle name="sum" xfId="29772" xr:uid="{00000000-0005-0000-0000-000017710000}"/>
    <cellStyle name="sum 10" xfId="29773" xr:uid="{00000000-0005-0000-0000-000018710000}"/>
    <cellStyle name="sum 11" xfId="29774" xr:uid="{00000000-0005-0000-0000-000019710000}"/>
    <cellStyle name="sum 12" xfId="29775" xr:uid="{00000000-0005-0000-0000-00001A710000}"/>
    <cellStyle name="sum 13" xfId="29776" xr:uid="{00000000-0005-0000-0000-00001B710000}"/>
    <cellStyle name="sum 14" xfId="29777" xr:uid="{00000000-0005-0000-0000-00001C710000}"/>
    <cellStyle name="sum 15" xfId="29778" xr:uid="{00000000-0005-0000-0000-00001D710000}"/>
    <cellStyle name="sum 16" xfId="29779" xr:uid="{00000000-0005-0000-0000-00001E710000}"/>
    <cellStyle name="sum 2" xfId="29780" xr:uid="{00000000-0005-0000-0000-00001F710000}"/>
    <cellStyle name="sum 3" xfId="29781" xr:uid="{00000000-0005-0000-0000-000020710000}"/>
    <cellStyle name="sum 4" xfId="29782" xr:uid="{00000000-0005-0000-0000-000021710000}"/>
    <cellStyle name="sum 5" xfId="29783" xr:uid="{00000000-0005-0000-0000-000022710000}"/>
    <cellStyle name="sum 6" xfId="29784" xr:uid="{00000000-0005-0000-0000-000023710000}"/>
    <cellStyle name="sum 7" xfId="29785" xr:uid="{00000000-0005-0000-0000-000024710000}"/>
    <cellStyle name="sum 8" xfId="29786" xr:uid="{00000000-0005-0000-0000-000025710000}"/>
    <cellStyle name="sum 9" xfId="29787" xr:uid="{00000000-0005-0000-0000-000026710000}"/>
    <cellStyle name="sum8" xfId="29788" xr:uid="{00000000-0005-0000-0000-000027710000}"/>
    <cellStyle name="sum8 10" xfId="29789" xr:uid="{00000000-0005-0000-0000-000028710000}"/>
    <cellStyle name="sum8 11" xfId="29790" xr:uid="{00000000-0005-0000-0000-000029710000}"/>
    <cellStyle name="sum8 12" xfId="29791" xr:uid="{00000000-0005-0000-0000-00002A710000}"/>
    <cellStyle name="sum8 13" xfId="29792" xr:uid="{00000000-0005-0000-0000-00002B710000}"/>
    <cellStyle name="sum8 14" xfId="29793" xr:uid="{00000000-0005-0000-0000-00002C710000}"/>
    <cellStyle name="sum8 15" xfId="29794" xr:uid="{00000000-0005-0000-0000-00002D710000}"/>
    <cellStyle name="sum8 16" xfId="29795" xr:uid="{00000000-0005-0000-0000-00002E710000}"/>
    <cellStyle name="sum8 2" xfId="29796" xr:uid="{00000000-0005-0000-0000-00002F710000}"/>
    <cellStyle name="sum8 3" xfId="29797" xr:uid="{00000000-0005-0000-0000-000030710000}"/>
    <cellStyle name="sum8 4" xfId="29798" xr:uid="{00000000-0005-0000-0000-000031710000}"/>
    <cellStyle name="sum8 5" xfId="29799" xr:uid="{00000000-0005-0000-0000-000032710000}"/>
    <cellStyle name="sum8 6" xfId="29800" xr:uid="{00000000-0005-0000-0000-000033710000}"/>
    <cellStyle name="sum8 7" xfId="29801" xr:uid="{00000000-0005-0000-0000-000034710000}"/>
    <cellStyle name="sum8 8" xfId="29802" xr:uid="{00000000-0005-0000-0000-000035710000}"/>
    <cellStyle name="sum8 9" xfId="29803" xr:uid="{00000000-0005-0000-0000-000036710000}"/>
    <cellStyle name="Summary_back" xfId="29804" xr:uid="{00000000-0005-0000-0000-000037710000}"/>
    <cellStyle name="Table  - Style6" xfId="29805" xr:uid="{00000000-0005-0000-0000-000038710000}"/>
    <cellStyle name="Table  - Style6 10" xfId="29806" xr:uid="{00000000-0005-0000-0000-000039710000}"/>
    <cellStyle name="Table  - Style6 10 10" xfId="29807" xr:uid="{00000000-0005-0000-0000-00003A710000}"/>
    <cellStyle name="Table  - Style6 10 11" xfId="29808" xr:uid="{00000000-0005-0000-0000-00003B710000}"/>
    <cellStyle name="Table  - Style6 10 12" xfId="29809" xr:uid="{00000000-0005-0000-0000-00003C710000}"/>
    <cellStyle name="Table  - Style6 10 13" xfId="29810" xr:uid="{00000000-0005-0000-0000-00003D710000}"/>
    <cellStyle name="Table  - Style6 10 14" xfId="29811" xr:uid="{00000000-0005-0000-0000-00003E710000}"/>
    <cellStyle name="Table  - Style6 10 15" xfId="29812" xr:uid="{00000000-0005-0000-0000-00003F710000}"/>
    <cellStyle name="Table  - Style6 10 16" xfId="29813" xr:uid="{00000000-0005-0000-0000-000040710000}"/>
    <cellStyle name="Table  - Style6 10 17" xfId="29814" xr:uid="{00000000-0005-0000-0000-000041710000}"/>
    <cellStyle name="Table  - Style6 10 2" xfId="29815" xr:uid="{00000000-0005-0000-0000-000042710000}"/>
    <cellStyle name="Table  - Style6 10 2 10" xfId="29816" xr:uid="{00000000-0005-0000-0000-000043710000}"/>
    <cellStyle name="Table  - Style6 10 2 11" xfId="29817" xr:uid="{00000000-0005-0000-0000-000044710000}"/>
    <cellStyle name="Table  - Style6 10 2 12" xfId="29818" xr:uid="{00000000-0005-0000-0000-000045710000}"/>
    <cellStyle name="Table  - Style6 10 2 13" xfId="29819" xr:uid="{00000000-0005-0000-0000-000046710000}"/>
    <cellStyle name="Table  - Style6 10 2 14" xfId="29820" xr:uid="{00000000-0005-0000-0000-000047710000}"/>
    <cellStyle name="Table  - Style6 10 2 15" xfId="29821" xr:uid="{00000000-0005-0000-0000-000048710000}"/>
    <cellStyle name="Table  - Style6 10 2 16" xfId="29822" xr:uid="{00000000-0005-0000-0000-000049710000}"/>
    <cellStyle name="Table  - Style6 10 2 2" xfId="29823" xr:uid="{00000000-0005-0000-0000-00004A710000}"/>
    <cellStyle name="Table  - Style6 10 2 3" xfId="29824" xr:uid="{00000000-0005-0000-0000-00004B710000}"/>
    <cellStyle name="Table  - Style6 10 2 4" xfId="29825" xr:uid="{00000000-0005-0000-0000-00004C710000}"/>
    <cellStyle name="Table  - Style6 10 2 5" xfId="29826" xr:uid="{00000000-0005-0000-0000-00004D710000}"/>
    <cellStyle name="Table  - Style6 10 2 6" xfId="29827" xr:uid="{00000000-0005-0000-0000-00004E710000}"/>
    <cellStyle name="Table  - Style6 10 2 7" xfId="29828" xr:uid="{00000000-0005-0000-0000-00004F710000}"/>
    <cellStyle name="Table  - Style6 10 2 8" xfId="29829" xr:uid="{00000000-0005-0000-0000-000050710000}"/>
    <cellStyle name="Table  - Style6 10 2 9" xfId="29830" xr:uid="{00000000-0005-0000-0000-000051710000}"/>
    <cellStyle name="Table  - Style6 10 3" xfId="29831" xr:uid="{00000000-0005-0000-0000-000052710000}"/>
    <cellStyle name="Table  - Style6 10 4" xfId="29832" xr:uid="{00000000-0005-0000-0000-000053710000}"/>
    <cellStyle name="Table  - Style6 10 5" xfId="29833" xr:uid="{00000000-0005-0000-0000-000054710000}"/>
    <cellStyle name="Table  - Style6 10 6" xfId="29834" xr:uid="{00000000-0005-0000-0000-000055710000}"/>
    <cellStyle name="Table  - Style6 10 7" xfId="29835" xr:uid="{00000000-0005-0000-0000-000056710000}"/>
    <cellStyle name="Table  - Style6 10 8" xfId="29836" xr:uid="{00000000-0005-0000-0000-000057710000}"/>
    <cellStyle name="Table  - Style6 10 9" xfId="29837" xr:uid="{00000000-0005-0000-0000-000058710000}"/>
    <cellStyle name="Table  - Style6 11" xfId="29838" xr:uid="{00000000-0005-0000-0000-000059710000}"/>
    <cellStyle name="Table  - Style6 11 10" xfId="29839" xr:uid="{00000000-0005-0000-0000-00005A710000}"/>
    <cellStyle name="Table  - Style6 11 11" xfId="29840" xr:uid="{00000000-0005-0000-0000-00005B710000}"/>
    <cellStyle name="Table  - Style6 11 12" xfId="29841" xr:uid="{00000000-0005-0000-0000-00005C710000}"/>
    <cellStyle name="Table  - Style6 11 13" xfId="29842" xr:uid="{00000000-0005-0000-0000-00005D710000}"/>
    <cellStyle name="Table  - Style6 11 14" xfId="29843" xr:uid="{00000000-0005-0000-0000-00005E710000}"/>
    <cellStyle name="Table  - Style6 11 15" xfId="29844" xr:uid="{00000000-0005-0000-0000-00005F710000}"/>
    <cellStyle name="Table  - Style6 11 16" xfId="29845" xr:uid="{00000000-0005-0000-0000-000060710000}"/>
    <cellStyle name="Table  - Style6 11 17" xfId="29846" xr:uid="{00000000-0005-0000-0000-000061710000}"/>
    <cellStyle name="Table  - Style6 11 2" xfId="29847" xr:uid="{00000000-0005-0000-0000-000062710000}"/>
    <cellStyle name="Table  - Style6 11 2 10" xfId="29848" xr:uid="{00000000-0005-0000-0000-000063710000}"/>
    <cellStyle name="Table  - Style6 11 2 11" xfId="29849" xr:uid="{00000000-0005-0000-0000-000064710000}"/>
    <cellStyle name="Table  - Style6 11 2 12" xfId="29850" xr:uid="{00000000-0005-0000-0000-000065710000}"/>
    <cellStyle name="Table  - Style6 11 2 13" xfId="29851" xr:uid="{00000000-0005-0000-0000-000066710000}"/>
    <cellStyle name="Table  - Style6 11 2 14" xfId="29852" xr:uid="{00000000-0005-0000-0000-000067710000}"/>
    <cellStyle name="Table  - Style6 11 2 15" xfId="29853" xr:uid="{00000000-0005-0000-0000-000068710000}"/>
    <cellStyle name="Table  - Style6 11 2 16" xfId="29854" xr:uid="{00000000-0005-0000-0000-000069710000}"/>
    <cellStyle name="Table  - Style6 11 2 2" xfId="29855" xr:uid="{00000000-0005-0000-0000-00006A710000}"/>
    <cellStyle name="Table  - Style6 11 2 3" xfId="29856" xr:uid="{00000000-0005-0000-0000-00006B710000}"/>
    <cellStyle name="Table  - Style6 11 2 4" xfId="29857" xr:uid="{00000000-0005-0000-0000-00006C710000}"/>
    <cellStyle name="Table  - Style6 11 2 5" xfId="29858" xr:uid="{00000000-0005-0000-0000-00006D710000}"/>
    <cellStyle name="Table  - Style6 11 2 6" xfId="29859" xr:uid="{00000000-0005-0000-0000-00006E710000}"/>
    <cellStyle name="Table  - Style6 11 2 7" xfId="29860" xr:uid="{00000000-0005-0000-0000-00006F710000}"/>
    <cellStyle name="Table  - Style6 11 2 8" xfId="29861" xr:uid="{00000000-0005-0000-0000-000070710000}"/>
    <cellStyle name="Table  - Style6 11 2 9" xfId="29862" xr:uid="{00000000-0005-0000-0000-000071710000}"/>
    <cellStyle name="Table  - Style6 11 3" xfId="29863" xr:uid="{00000000-0005-0000-0000-000072710000}"/>
    <cellStyle name="Table  - Style6 11 4" xfId="29864" xr:uid="{00000000-0005-0000-0000-000073710000}"/>
    <cellStyle name="Table  - Style6 11 5" xfId="29865" xr:uid="{00000000-0005-0000-0000-000074710000}"/>
    <cellStyle name="Table  - Style6 11 6" xfId="29866" xr:uid="{00000000-0005-0000-0000-000075710000}"/>
    <cellStyle name="Table  - Style6 11 7" xfId="29867" xr:uid="{00000000-0005-0000-0000-000076710000}"/>
    <cellStyle name="Table  - Style6 11 8" xfId="29868" xr:uid="{00000000-0005-0000-0000-000077710000}"/>
    <cellStyle name="Table  - Style6 11 9" xfId="29869" xr:uid="{00000000-0005-0000-0000-000078710000}"/>
    <cellStyle name="Table  - Style6 12" xfId="29870" xr:uid="{00000000-0005-0000-0000-000079710000}"/>
    <cellStyle name="Table  - Style6 12 10" xfId="29871" xr:uid="{00000000-0005-0000-0000-00007A710000}"/>
    <cellStyle name="Table  - Style6 12 11" xfId="29872" xr:uid="{00000000-0005-0000-0000-00007B710000}"/>
    <cellStyle name="Table  - Style6 12 12" xfId="29873" xr:uid="{00000000-0005-0000-0000-00007C710000}"/>
    <cellStyle name="Table  - Style6 12 13" xfId="29874" xr:uid="{00000000-0005-0000-0000-00007D710000}"/>
    <cellStyle name="Table  - Style6 12 14" xfId="29875" xr:uid="{00000000-0005-0000-0000-00007E710000}"/>
    <cellStyle name="Table  - Style6 12 15" xfId="29876" xr:uid="{00000000-0005-0000-0000-00007F710000}"/>
    <cellStyle name="Table  - Style6 12 16" xfId="29877" xr:uid="{00000000-0005-0000-0000-000080710000}"/>
    <cellStyle name="Table  - Style6 12 17" xfId="29878" xr:uid="{00000000-0005-0000-0000-000081710000}"/>
    <cellStyle name="Table  - Style6 12 2" xfId="29879" xr:uid="{00000000-0005-0000-0000-000082710000}"/>
    <cellStyle name="Table  - Style6 12 2 10" xfId="29880" xr:uid="{00000000-0005-0000-0000-000083710000}"/>
    <cellStyle name="Table  - Style6 12 2 11" xfId="29881" xr:uid="{00000000-0005-0000-0000-000084710000}"/>
    <cellStyle name="Table  - Style6 12 2 12" xfId="29882" xr:uid="{00000000-0005-0000-0000-000085710000}"/>
    <cellStyle name="Table  - Style6 12 2 13" xfId="29883" xr:uid="{00000000-0005-0000-0000-000086710000}"/>
    <cellStyle name="Table  - Style6 12 2 14" xfId="29884" xr:uid="{00000000-0005-0000-0000-000087710000}"/>
    <cellStyle name="Table  - Style6 12 2 15" xfId="29885" xr:uid="{00000000-0005-0000-0000-000088710000}"/>
    <cellStyle name="Table  - Style6 12 2 16" xfId="29886" xr:uid="{00000000-0005-0000-0000-000089710000}"/>
    <cellStyle name="Table  - Style6 12 2 2" xfId="29887" xr:uid="{00000000-0005-0000-0000-00008A710000}"/>
    <cellStyle name="Table  - Style6 12 2 3" xfId="29888" xr:uid="{00000000-0005-0000-0000-00008B710000}"/>
    <cellStyle name="Table  - Style6 12 2 4" xfId="29889" xr:uid="{00000000-0005-0000-0000-00008C710000}"/>
    <cellStyle name="Table  - Style6 12 2 5" xfId="29890" xr:uid="{00000000-0005-0000-0000-00008D710000}"/>
    <cellStyle name="Table  - Style6 12 2 6" xfId="29891" xr:uid="{00000000-0005-0000-0000-00008E710000}"/>
    <cellStyle name="Table  - Style6 12 2 7" xfId="29892" xr:uid="{00000000-0005-0000-0000-00008F710000}"/>
    <cellStyle name="Table  - Style6 12 2 8" xfId="29893" xr:uid="{00000000-0005-0000-0000-000090710000}"/>
    <cellStyle name="Table  - Style6 12 2 9" xfId="29894" xr:uid="{00000000-0005-0000-0000-000091710000}"/>
    <cellStyle name="Table  - Style6 12 3" xfId="29895" xr:uid="{00000000-0005-0000-0000-000092710000}"/>
    <cellStyle name="Table  - Style6 12 4" xfId="29896" xr:uid="{00000000-0005-0000-0000-000093710000}"/>
    <cellStyle name="Table  - Style6 12 5" xfId="29897" xr:uid="{00000000-0005-0000-0000-000094710000}"/>
    <cellStyle name="Table  - Style6 12 6" xfId="29898" xr:uid="{00000000-0005-0000-0000-000095710000}"/>
    <cellStyle name="Table  - Style6 12 7" xfId="29899" xr:uid="{00000000-0005-0000-0000-000096710000}"/>
    <cellStyle name="Table  - Style6 12 8" xfId="29900" xr:uid="{00000000-0005-0000-0000-000097710000}"/>
    <cellStyle name="Table  - Style6 12 9" xfId="29901" xr:uid="{00000000-0005-0000-0000-000098710000}"/>
    <cellStyle name="Table  - Style6 13" xfId="29902" xr:uid="{00000000-0005-0000-0000-000099710000}"/>
    <cellStyle name="Table  - Style6 13 10" xfId="29903" xr:uid="{00000000-0005-0000-0000-00009A710000}"/>
    <cellStyle name="Table  - Style6 13 11" xfId="29904" xr:uid="{00000000-0005-0000-0000-00009B710000}"/>
    <cellStyle name="Table  - Style6 13 12" xfId="29905" xr:uid="{00000000-0005-0000-0000-00009C710000}"/>
    <cellStyle name="Table  - Style6 13 13" xfId="29906" xr:uid="{00000000-0005-0000-0000-00009D710000}"/>
    <cellStyle name="Table  - Style6 13 14" xfId="29907" xr:uid="{00000000-0005-0000-0000-00009E710000}"/>
    <cellStyle name="Table  - Style6 13 15" xfId="29908" xr:uid="{00000000-0005-0000-0000-00009F710000}"/>
    <cellStyle name="Table  - Style6 13 16" xfId="29909" xr:uid="{00000000-0005-0000-0000-0000A0710000}"/>
    <cellStyle name="Table  - Style6 13 17" xfId="29910" xr:uid="{00000000-0005-0000-0000-0000A1710000}"/>
    <cellStyle name="Table  - Style6 13 2" xfId="29911" xr:uid="{00000000-0005-0000-0000-0000A2710000}"/>
    <cellStyle name="Table  - Style6 13 2 10" xfId="29912" xr:uid="{00000000-0005-0000-0000-0000A3710000}"/>
    <cellStyle name="Table  - Style6 13 2 11" xfId="29913" xr:uid="{00000000-0005-0000-0000-0000A4710000}"/>
    <cellStyle name="Table  - Style6 13 2 12" xfId="29914" xr:uid="{00000000-0005-0000-0000-0000A5710000}"/>
    <cellStyle name="Table  - Style6 13 2 13" xfId="29915" xr:uid="{00000000-0005-0000-0000-0000A6710000}"/>
    <cellStyle name="Table  - Style6 13 2 14" xfId="29916" xr:uid="{00000000-0005-0000-0000-0000A7710000}"/>
    <cellStyle name="Table  - Style6 13 2 15" xfId="29917" xr:uid="{00000000-0005-0000-0000-0000A8710000}"/>
    <cellStyle name="Table  - Style6 13 2 16" xfId="29918" xr:uid="{00000000-0005-0000-0000-0000A9710000}"/>
    <cellStyle name="Table  - Style6 13 2 2" xfId="29919" xr:uid="{00000000-0005-0000-0000-0000AA710000}"/>
    <cellStyle name="Table  - Style6 13 2 3" xfId="29920" xr:uid="{00000000-0005-0000-0000-0000AB710000}"/>
    <cellStyle name="Table  - Style6 13 2 4" xfId="29921" xr:uid="{00000000-0005-0000-0000-0000AC710000}"/>
    <cellStyle name="Table  - Style6 13 2 5" xfId="29922" xr:uid="{00000000-0005-0000-0000-0000AD710000}"/>
    <cellStyle name="Table  - Style6 13 2 6" xfId="29923" xr:uid="{00000000-0005-0000-0000-0000AE710000}"/>
    <cellStyle name="Table  - Style6 13 2 7" xfId="29924" xr:uid="{00000000-0005-0000-0000-0000AF710000}"/>
    <cellStyle name="Table  - Style6 13 2 8" xfId="29925" xr:uid="{00000000-0005-0000-0000-0000B0710000}"/>
    <cellStyle name="Table  - Style6 13 2 9" xfId="29926" xr:uid="{00000000-0005-0000-0000-0000B1710000}"/>
    <cellStyle name="Table  - Style6 13 3" xfId="29927" xr:uid="{00000000-0005-0000-0000-0000B2710000}"/>
    <cellStyle name="Table  - Style6 13 4" xfId="29928" xr:uid="{00000000-0005-0000-0000-0000B3710000}"/>
    <cellStyle name="Table  - Style6 13 5" xfId="29929" xr:uid="{00000000-0005-0000-0000-0000B4710000}"/>
    <cellStyle name="Table  - Style6 13 6" xfId="29930" xr:uid="{00000000-0005-0000-0000-0000B5710000}"/>
    <cellStyle name="Table  - Style6 13 7" xfId="29931" xr:uid="{00000000-0005-0000-0000-0000B6710000}"/>
    <cellStyle name="Table  - Style6 13 8" xfId="29932" xr:uid="{00000000-0005-0000-0000-0000B7710000}"/>
    <cellStyle name="Table  - Style6 13 9" xfId="29933" xr:uid="{00000000-0005-0000-0000-0000B8710000}"/>
    <cellStyle name="Table  - Style6 14" xfId="29934" xr:uid="{00000000-0005-0000-0000-0000B9710000}"/>
    <cellStyle name="Table  - Style6 14 10" xfId="29935" xr:uid="{00000000-0005-0000-0000-0000BA710000}"/>
    <cellStyle name="Table  - Style6 14 11" xfId="29936" xr:uid="{00000000-0005-0000-0000-0000BB710000}"/>
    <cellStyle name="Table  - Style6 14 12" xfId="29937" xr:uid="{00000000-0005-0000-0000-0000BC710000}"/>
    <cellStyle name="Table  - Style6 14 13" xfId="29938" xr:uid="{00000000-0005-0000-0000-0000BD710000}"/>
    <cellStyle name="Table  - Style6 14 14" xfId="29939" xr:uid="{00000000-0005-0000-0000-0000BE710000}"/>
    <cellStyle name="Table  - Style6 14 15" xfId="29940" xr:uid="{00000000-0005-0000-0000-0000BF710000}"/>
    <cellStyle name="Table  - Style6 14 16" xfId="29941" xr:uid="{00000000-0005-0000-0000-0000C0710000}"/>
    <cellStyle name="Table  - Style6 14 17" xfId="29942" xr:uid="{00000000-0005-0000-0000-0000C1710000}"/>
    <cellStyle name="Table  - Style6 14 2" xfId="29943" xr:uid="{00000000-0005-0000-0000-0000C2710000}"/>
    <cellStyle name="Table  - Style6 14 2 10" xfId="29944" xr:uid="{00000000-0005-0000-0000-0000C3710000}"/>
    <cellStyle name="Table  - Style6 14 2 11" xfId="29945" xr:uid="{00000000-0005-0000-0000-0000C4710000}"/>
    <cellStyle name="Table  - Style6 14 2 12" xfId="29946" xr:uid="{00000000-0005-0000-0000-0000C5710000}"/>
    <cellStyle name="Table  - Style6 14 2 13" xfId="29947" xr:uid="{00000000-0005-0000-0000-0000C6710000}"/>
    <cellStyle name="Table  - Style6 14 2 14" xfId="29948" xr:uid="{00000000-0005-0000-0000-0000C7710000}"/>
    <cellStyle name="Table  - Style6 14 2 15" xfId="29949" xr:uid="{00000000-0005-0000-0000-0000C8710000}"/>
    <cellStyle name="Table  - Style6 14 2 16" xfId="29950" xr:uid="{00000000-0005-0000-0000-0000C9710000}"/>
    <cellStyle name="Table  - Style6 14 2 2" xfId="29951" xr:uid="{00000000-0005-0000-0000-0000CA710000}"/>
    <cellStyle name="Table  - Style6 14 2 3" xfId="29952" xr:uid="{00000000-0005-0000-0000-0000CB710000}"/>
    <cellStyle name="Table  - Style6 14 2 4" xfId="29953" xr:uid="{00000000-0005-0000-0000-0000CC710000}"/>
    <cellStyle name="Table  - Style6 14 2 5" xfId="29954" xr:uid="{00000000-0005-0000-0000-0000CD710000}"/>
    <cellStyle name="Table  - Style6 14 2 6" xfId="29955" xr:uid="{00000000-0005-0000-0000-0000CE710000}"/>
    <cellStyle name="Table  - Style6 14 2 7" xfId="29956" xr:uid="{00000000-0005-0000-0000-0000CF710000}"/>
    <cellStyle name="Table  - Style6 14 2 8" xfId="29957" xr:uid="{00000000-0005-0000-0000-0000D0710000}"/>
    <cellStyle name="Table  - Style6 14 2 9" xfId="29958" xr:uid="{00000000-0005-0000-0000-0000D1710000}"/>
    <cellStyle name="Table  - Style6 14 3" xfId="29959" xr:uid="{00000000-0005-0000-0000-0000D2710000}"/>
    <cellStyle name="Table  - Style6 14 4" xfId="29960" xr:uid="{00000000-0005-0000-0000-0000D3710000}"/>
    <cellStyle name="Table  - Style6 14 5" xfId="29961" xr:uid="{00000000-0005-0000-0000-0000D4710000}"/>
    <cellStyle name="Table  - Style6 14 6" xfId="29962" xr:uid="{00000000-0005-0000-0000-0000D5710000}"/>
    <cellStyle name="Table  - Style6 14 7" xfId="29963" xr:uid="{00000000-0005-0000-0000-0000D6710000}"/>
    <cellStyle name="Table  - Style6 14 8" xfId="29964" xr:uid="{00000000-0005-0000-0000-0000D7710000}"/>
    <cellStyle name="Table  - Style6 14 9" xfId="29965" xr:uid="{00000000-0005-0000-0000-0000D8710000}"/>
    <cellStyle name="Table  - Style6 15" xfId="29966" xr:uid="{00000000-0005-0000-0000-0000D9710000}"/>
    <cellStyle name="Table  - Style6 15 10" xfId="29967" xr:uid="{00000000-0005-0000-0000-0000DA710000}"/>
    <cellStyle name="Table  - Style6 15 11" xfId="29968" xr:uid="{00000000-0005-0000-0000-0000DB710000}"/>
    <cellStyle name="Table  - Style6 15 12" xfId="29969" xr:uid="{00000000-0005-0000-0000-0000DC710000}"/>
    <cellStyle name="Table  - Style6 15 13" xfId="29970" xr:uid="{00000000-0005-0000-0000-0000DD710000}"/>
    <cellStyle name="Table  - Style6 15 14" xfId="29971" xr:uid="{00000000-0005-0000-0000-0000DE710000}"/>
    <cellStyle name="Table  - Style6 15 15" xfId="29972" xr:uid="{00000000-0005-0000-0000-0000DF710000}"/>
    <cellStyle name="Table  - Style6 15 16" xfId="29973" xr:uid="{00000000-0005-0000-0000-0000E0710000}"/>
    <cellStyle name="Table  - Style6 15 17" xfId="29974" xr:uid="{00000000-0005-0000-0000-0000E1710000}"/>
    <cellStyle name="Table  - Style6 15 2" xfId="29975" xr:uid="{00000000-0005-0000-0000-0000E2710000}"/>
    <cellStyle name="Table  - Style6 15 2 10" xfId="29976" xr:uid="{00000000-0005-0000-0000-0000E3710000}"/>
    <cellStyle name="Table  - Style6 15 2 11" xfId="29977" xr:uid="{00000000-0005-0000-0000-0000E4710000}"/>
    <cellStyle name="Table  - Style6 15 2 12" xfId="29978" xr:uid="{00000000-0005-0000-0000-0000E5710000}"/>
    <cellStyle name="Table  - Style6 15 2 13" xfId="29979" xr:uid="{00000000-0005-0000-0000-0000E6710000}"/>
    <cellStyle name="Table  - Style6 15 2 14" xfId="29980" xr:uid="{00000000-0005-0000-0000-0000E7710000}"/>
    <cellStyle name="Table  - Style6 15 2 15" xfId="29981" xr:uid="{00000000-0005-0000-0000-0000E8710000}"/>
    <cellStyle name="Table  - Style6 15 2 16" xfId="29982" xr:uid="{00000000-0005-0000-0000-0000E9710000}"/>
    <cellStyle name="Table  - Style6 15 2 2" xfId="29983" xr:uid="{00000000-0005-0000-0000-0000EA710000}"/>
    <cellStyle name="Table  - Style6 15 2 3" xfId="29984" xr:uid="{00000000-0005-0000-0000-0000EB710000}"/>
    <cellStyle name="Table  - Style6 15 2 4" xfId="29985" xr:uid="{00000000-0005-0000-0000-0000EC710000}"/>
    <cellStyle name="Table  - Style6 15 2 5" xfId="29986" xr:uid="{00000000-0005-0000-0000-0000ED710000}"/>
    <cellStyle name="Table  - Style6 15 2 6" xfId="29987" xr:uid="{00000000-0005-0000-0000-0000EE710000}"/>
    <cellStyle name="Table  - Style6 15 2 7" xfId="29988" xr:uid="{00000000-0005-0000-0000-0000EF710000}"/>
    <cellStyle name="Table  - Style6 15 2 8" xfId="29989" xr:uid="{00000000-0005-0000-0000-0000F0710000}"/>
    <cellStyle name="Table  - Style6 15 2 9" xfId="29990" xr:uid="{00000000-0005-0000-0000-0000F1710000}"/>
    <cellStyle name="Table  - Style6 15 3" xfId="29991" xr:uid="{00000000-0005-0000-0000-0000F2710000}"/>
    <cellStyle name="Table  - Style6 15 4" xfId="29992" xr:uid="{00000000-0005-0000-0000-0000F3710000}"/>
    <cellStyle name="Table  - Style6 15 5" xfId="29993" xr:uid="{00000000-0005-0000-0000-0000F4710000}"/>
    <cellStyle name="Table  - Style6 15 6" xfId="29994" xr:uid="{00000000-0005-0000-0000-0000F5710000}"/>
    <cellStyle name="Table  - Style6 15 7" xfId="29995" xr:uid="{00000000-0005-0000-0000-0000F6710000}"/>
    <cellStyle name="Table  - Style6 15 8" xfId="29996" xr:uid="{00000000-0005-0000-0000-0000F7710000}"/>
    <cellStyle name="Table  - Style6 15 9" xfId="29997" xr:uid="{00000000-0005-0000-0000-0000F8710000}"/>
    <cellStyle name="Table  - Style6 16" xfId="29998" xr:uid="{00000000-0005-0000-0000-0000F9710000}"/>
    <cellStyle name="Table  - Style6 16 10" xfId="29999" xr:uid="{00000000-0005-0000-0000-0000FA710000}"/>
    <cellStyle name="Table  - Style6 16 11" xfId="30000" xr:uid="{00000000-0005-0000-0000-0000FB710000}"/>
    <cellStyle name="Table  - Style6 16 12" xfId="30001" xr:uid="{00000000-0005-0000-0000-0000FC710000}"/>
    <cellStyle name="Table  - Style6 16 13" xfId="30002" xr:uid="{00000000-0005-0000-0000-0000FD710000}"/>
    <cellStyle name="Table  - Style6 16 14" xfId="30003" xr:uid="{00000000-0005-0000-0000-0000FE710000}"/>
    <cellStyle name="Table  - Style6 16 15" xfId="30004" xr:uid="{00000000-0005-0000-0000-0000FF710000}"/>
    <cellStyle name="Table  - Style6 16 16" xfId="30005" xr:uid="{00000000-0005-0000-0000-000000720000}"/>
    <cellStyle name="Table  - Style6 16 17" xfId="30006" xr:uid="{00000000-0005-0000-0000-000001720000}"/>
    <cellStyle name="Table  - Style6 16 2" xfId="30007" xr:uid="{00000000-0005-0000-0000-000002720000}"/>
    <cellStyle name="Table  - Style6 16 2 10" xfId="30008" xr:uid="{00000000-0005-0000-0000-000003720000}"/>
    <cellStyle name="Table  - Style6 16 2 11" xfId="30009" xr:uid="{00000000-0005-0000-0000-000004720000}"/>
    <cellStyle name="Table  - Style6 16 2 12" xfId="30010" xr:uid="{00000000-0005-0000-0000-000005720000}"/>
    <cellStyle name="Table  - Style6 16 2 13" xfId="30011" xr:uid="{00000000-0005-0000-0000-000006720000}"/>
    <cellStyle name="Table  - Style6 16 2 14" xfId="30012" xr:uid="{00000000-0005-0000-0000-000007720000}"/>
    <cellStyle name="Table  - Style6 16 2 15" xfId="30013" xr:uid="{00000000-0005-0000-0000-000008720000}"/>
    <cellStyle name="Table  - Style6 16 2 16" xfId="30014" xr:uid="{00000000-0005-0000-0000-000009720000}"/>
    <cellStyle name="Table  - Style6 16 2 2" xfId="30015" xr:uid="{00000000-0005-0000-0000-00000A720000}"/>
    <cellStyle name="Table  - Style6 16 2 3" xfId="30016" xr:uid="{00000000-0005-0000-0000-00000B720000}"/>
    <cellStyle name="Table  - Style6 16 2 4" xfId="30017" xr:uid="{00000000-0005-0000-0000-00000C720000}"/>
    <cellStyle name="Table  - Style6 16 2 5" xfId="30018" xr:uid="{00000000-0005-0000-0000-00000D720000}"/>
    <cellStyle name="Table  - Style6 16 2 6" xfId="30019" xr:uid="{00000000-0005-0000-0000-00000E720000}"/>
    <cellStyle name="Table  - Style6 16 2 7" xfId="30020" xr:uid="{00000000-0005-0000-0000-00000F720000}"/>
    <cellStyle name="Table  - Style6 16 2 8" xfId="30021" xr:uid="{00000000-0005-0000-0000-000010720000}"/>
    <cellStyle name="Table  - Style6 16 2 9" xfId="30022" xr:uid="{00000000-0005-0000-0000-000011720000}"/>
    <cellStyle name="Table  - Style6 16 3" xfId="30023" xr:uid="{00000000-0005-0000-0000-000012720000}"/>
    <cellStyle name="Table  - Style6 16 4" xfId="30024" xr:uid="{00000000-0005-0000-0000-000013720000}"/>
    <cellStyle name="Table  - Style6 16 5" xfId="30025" xr:uid="{00000000-0005-0000-0000-000014720000}"/>
    <cellStyle name="Table  - Style6 16 6" xfId="30026" xr:uid="{00000000-0005-0000-0000-000015720000}"/>
    <cellStyle name="Table  - Style6 16 7" xfId="30027" xr:uid="{00000000-0005-0000-0000-000016720000}"/>
    <cellStyle name="Table  - Style6 16 8" xfId="30028" xr:uid="{00000000-0005-0000-0000-000017720000}"/>
    <cellStyle name="Table  - Style6 16 9" xfId="30029" xr:uid="{00000000-0005-0000-0000-000018720000}"/>
    <cellStyle name="Table  - Style6 17" xfId="30030" xr:uid="{00000000-0005-0000-0000-000019720000}"/>
    <cellStyle name="Table  - Style6 17 10" xfId="30031" xr:uid="{00000000-0005-0000-0000-00001A720000}"/>
    <cellStyle name="Table  - Style6 17 11" xfId="30032" xr:uid="{00000000-0005-0000-0000-00001B720000}"/>
    <cellStyle name="Table  - Style6 17 12" xfId="30033" xr:uid="{00000000-0005-0000-0000-00001C720000}"/>
    <cellStyle name="Table  - Style6 17 13" xfId="30034" xr:uid="{00000000-0005-0000-0000-00001D720000}"/>
    <cellStyle name="Table  - Style6 17 14" xfId="30035" xr:uid="{00000000-0005-0000-0000-00001E720000}"/>
    <cellStyle name="Table  - Style6 17 15" xfId="30036" xr:uid="{00000000-0005-0000-0000-00001F720000}"/>
    <cellStyle name="Table  - Style6 17 16" xfId="30037" xr:uid="{00000000-0005-0000-0000-000020720000}"/>
    <cellStyle name="Table  - Style6 17 2" xfId="30038" xr:uid="{00000000-0005-0000-0000-000021720000}"/>
    <cellStyle name="Table  - Style6 17 3" xfId="30039" xr:uid="{00000000-0005-0000-0000-000022720000}"/>
    <cellStyle name="Table  - Style6 17 4" xfId="30040" xr:uid="{00000000-0005-0000-0000-000023720000}"/>
    <cellStyle name="Table  - Style6 17 5" xfId="30041" xr:uid="{00000000-0005-0000-0000-000024720000}"/>
    <cellStyle name="Table  - Style6 17 6" xfId="30042" xr:uid="{00000000-0005-0000-0000-000025720000}"/>
    <cellStyle name="Table  - Style6 17 7" xfId="30043" xr:uid="{00000000-0005-0000-0000-000026720000}"/>
    <cellStyle name="Table  - Style6 17 8" xfId="30044" xr:uid="{00000000-0005-0000-0000-000027720000}"/>
    <cellStyle name="Table  - Style6 17 9" xfId="30045" xr:uid="{00000000-0005-0000-0000-000028720000}"/>
    <cellStyle name="Table  - Style6 18" xfId="30046" xr:uid="{00000000-0005-0000-0000-000029720000}"/>
    <cellStyle name="Table  - Style6 19" xfId="30047" xr:uid="{00000000-0005-0000-0000-00002A720000}"/>
    <cellStyle name="Table  - Style6 2" xfId="30048" xr:uid="{00000000-0005-0000-0000-00002B720000}"/>
    <cellStyle name="Table  - Style6 2 10" xfId="30049" xr:uid="{00000000-0005-0000-0000-00002C720000}"/>
    <cellStyle name="Table  - Style6 2 10 10" xfId="30050" xr:uid="{00000000-0005-0000-0000-00002D720000}"/>
    <cellStyle name="Table  - Style6 2 10 11" xfId="30051" xr:uid="{00000000-0005-0000-0000-00002E720000}"/>
    <cellStyle name="Table  - Style6 2 10 12" xfId="30052" xr:uid="{00000000-0005-0000-0000-00002F720000}"/>
    <cellStyle name="Table  - Style6 2 10 13" xfId="30053" xr:uid="{00000000-0005-0000-0000-000030720000}"/>
    <cellStyle name="Table  - Style6 2 10 14" xfId="30054" xr:uid="{00000000-0005-0000-0000-000031720000}"/>
    <cellStyle name="Table  - Style6 2 10 15" xfId="30055" xr:uid="{00000000-0005-0000-0000-000032720000}"/>
    <cellStyle name="Table  - Style6 2 10 16" xfId="30056" xr:uid="{00000000-0005-0000-0000-000033720000}"/>
    <cellStyle name="Table  - Style6 2 10 17" xfId="30057" xr:uid="{00000000-0005-0000-0000-000034720000}"/>
    <cellStyle name="Table  - Style6 2 10 2" xfId="30058" xr:uid="{00000000-0005-0000-0000-000035720000}"/>
    <cellStyle name="Table  - Style6 2 10 2 10" xfId="30059" xr:uid="{00000000-0005-0000-0000-000036720000}"/>
    <cellStyle name="Table  - Style6 2 10 2 11" xfId="30060" xr:uid="{00000000-0005-0000-0000-000037720000}"/>
    <cellStyle name="Table  - Style6 2 10 2 12" xfId="30061" xr:uid="{00000000-0005-0000-0000-000038720000}"/>
    <cellStyle name="Table  - Style6 2 10 2 13" xfId="30062" xr:uid="{00000000-0005-0000-0000-000039720000}"/>
    <cellStyle name="Table  - Style6 2 10 2 14" xfId="30063" xr:uid="{00000000-0005-0000-0000-00003A720000}"/>
    <cellStyle name="Table  - Style6 2 10 2 15" xfId="30064" xr:uid="{00000000-0005-0000-0000-00003B720000}"/>
    <cellStyle name="Table  - Style6 2 10 2 16" xfId="30065" xr:uid="{00000000-0005-0000-0000-00003C720000}"/>
    <cellStyle name="Table  - Style6 2 10 2 2" xfId="30066" xr:uid="{00000000-0005-0000-0000-00003D720000}"/>
    <cellStyle name="Table  - Style6 2 10 2 3" xfId="30067" xr:uid="{00000000-0005-0000-0000-00003E720000}"/>
    <cellStyle name="Table  - Style6 2 10 2 4" xfId="30068" xr:uid="{00000000-0005-0000-0000-00003F720000}"/>
    <cellStyle name="Table  - Style6 2 10 2 5" xfId="30069" xr:uid="{00000000-0005-0000-0000-000040720000}"/>
    <cellStyle name="Table  - Style6 2 10 2 6" xfId="30070" xr:uid="{00000000-0005-0000-0000-000041720000}"/>
    <cellStyle name="Table  - Style6 2 10 2 7" xfId="30071" xr:uid="{00000000-0005-0000-0000-000042720000}"/>
    <cellStyle name="Table  - Style6 2 10 2 8" xfId="30072" xr:uid="{00000000-0005-0000-0000-000043720000}"/>
    <cellStyle name="Table  - Style6 2 10 2 9" xfId="30073" xr:uid="{00000000-0005-0000-0000-000044720000}"/>
    <cellStyle name="Table  - Style6 2 10 3" xfId="30074" xr:uid="{00000000-0005-0000-0000-000045720000}"/>
    <cellStyle name="Table  - Style6 2 10 4" xfId="30075" xr:uid="{00000000-0005-0000-0000-000046720000}"/>
    <cellStyle name="Table  - Style6 2 10 5" xfId="30076" xr:uid="{00000000-0005-0000-0000-000047720000}"/>
    <cellStyle name="Table  - Style6 2 10 6" xfId="30077" xr:uid="{00000000-0005-0000-0000-000048720000}"/>
    <cellStyle name="Table  - Style6 2 10 7" xfId="30078" xr:uid="{00000000-0005-0000-0000-000049720000}"/>
    <cellStyle name="Table  - Style6 2 10 8" xfId="30079" xr:uid="{00000000-0005-0000-0000-00004A720000}"/>
    <cellStyle name="Table  - Style6 2 10 9" xfId="30080" xr:uid="{00000000-0005-0000-0000-00004B720000}"/>
    <cellStyle name="Table  - Style6 2 11" xfId="30081" xr:uid="{00000000-0005-0000-0000-00004C720000}"/>
    <cellStyle name="Table  - Style6 2 11 10" xfId="30082" xr:uid="{00000000-0005-0000-0000-00004D720000}"/>
    <cellStyle name="Table  - Style6 2 11 11" xfId="30083" xr:uid="{00000000-0005-0000-0000-00004E720000}"/>
    <cellStyle name="Table  - Style6 2 11 12" xfId="30084" xr:uid="{00000000-0005-0000-0000-00004F720000}"/>
    <cellStyle name="Table  - Style6 2 11 13" xfId="30085" xr:uid="{00000000-0005-0000-0000-000050720000}"/>
    <cellStyle name="Table  - Style6 2 11 14" xfId="30086" xr:uid="{00000000-0005-0000-0000-000051720000}"/>
    <cellStyle name="Table  - Style6 2 11 15" xfId="30087" xr:uid="{00000000-0005-0000-0000-000052720000}"/>
    <cellStyle name="Table  - Style6 2 11 16" xfId="30088" xr:uid="{00000000-0005-0000-0000-000053720000}"/>
    <cellStyle name="Table  - Style6 2 11 2" xfId="30089" xr:uid="{00000000-0005-0000-0000-000054720000}"/>
    <cellStyle name="Table  - Style6 2 11 3" xfId="30090" xr:uid="{00000000-0005-0000-0000-000055720000}"/>
    <cellStyle name="Table  - Style6 2 11 4" xfId="30091" xr:uid="{00000000-0005-0000-0000-000056720000}"/>
    <cellStyle name="Table  - Style6 2 11 5" xfId="30092" xr:uid="{00000000-0005-0000-0000-000057720000}"/>
    <cellStyle name="Table  - Style6 2 11 6" xfId="30093" xr:uid="{00000000-0005-0000-0000-000058720000}"/>
    <cellStyle name="Table  - Style6 2 11 7" xfId="30094" xr:uid="{00000000-0005-0000-0000-000059720000}"/>
    <cellStyle name="Table  - Style6 2 11 8" xfId="30095" xr:uid="{00000000-0005-0000-0000-00005A720000}"/>
    <cellStyle name="Table  - Style6 2 11 9" xfId="30096" xr:uid="{00000000-0005-0000-0000-00005B720000}"/>
    <cellStyle name="Table  - Style6 2 12" xfId="30097" xr:uid="{00000000-0005-0000-0000-00005C720000}"/>
    <cellStyle name="Table  - Style6 2 13" xfId="30098" xr:uid="{00000000-0005-0000-0000-00005D720000}"/>
    <cellStyle name="Table  - Style6 2 14" xfId="30099" xr:uid="{00000000-0005-0000-0000-00005E720000}"/>
    <cellStyle name="Table  - Style6 2 15" xfId="30100" xr:uid="{00000000-0005-0000-0000-00005F720000}"/>
    <cellStyle name="Table  - Style6 2 16" xfId="30101" xr:uid="{00000000-0005-0000-0000-000060720000}"/>
    <cellStyle name="Table  - Style6 2 17" xfId="30102" xr:uid="{00000000-0005-0000-0000-000061720000}"/>
    <cellStyle name="Table  - Style6 2 18" xfId="30103" xr:uid="{00000000-0005-0000-0000-000062720000}"/>
    <cellStyle name="Table  - Style6 2 19" xfId="30104" xr:uid="{00000000-0005-0000-0000-000063720000}"/>
    <cellStyle name="Table  - Style6 2 2" xfId="30105" xr:uid="{00000000-0005-0000-0000-000064720000}"/>
    <cellStyle name="Table  - Style6 2 2 10" xfId="30106" xr:uid="{00000000-0005-0000-0000-000065720000}"/>
    <cellStyle name="Table  - Style6 2 2 11" xfId="30107" xr:uid="{00000000-0005-0000-0000-000066720000}"/>
    <cellStyle name="Table  - Style6 2 2 12" xfId="30108" xr:uid="{00000000-0005-0000-0000-000067720000}"/>
    <cellStyle name="Table  - Style6 2 2 13" xfId="30109" xr:uid="{00000000-0005-0000-0000-000068720000}"/>
    <cellStyle name="Table  - Style6 2 2 14" xfId="30110" xr:uid="{00000000-0005-0000-0000-000069720000}"/>
    <cellStyle name="Table  - Style6 2 2 15" xfId="30111" xr:uid="{00000000-0005-0000-0000-00006A720000}"/>
    <cellStyle name="Table  - Style6 2 2 16" xfId="30112" xr:uid="{00000000-0005-0000-0000-00006B720000}"/>
    <cellStyle name="Table  - Style6 2 2 17" xfId="30113" xr:uid="{00000000-0005-0000-0000-00006C720000}"/>
    <cellStyle name="Table  - Style6 2 2 2" xfId="30114" xr:uid="{00000000-0005-0000-0000-00006D720000}"/>
    <cellStyle name="Table  - Style6 2 2 2 10" xfId="30115" xr:uid="{00000000-0005-0000-0000-00006E720000}"/>
    <cellStyle name="Table  - Style6 2 2 2 11" xfId="30116" xr:uid="{00000000-0005-0000-0000-00006F720000}"/>
    <cellStyle name="Table  - Style6 2 2 2 12" xfId="30117" xr:uid="{00000000-0005-0000-0000-000070720000}"/>
    <cellStyle name="Table  - Style6 2 2 2 13" xfId="30118" xr:uid="{00000000-0005-0000-0000-000071720000}"/>
    <cellStyle name="Table  - Style6 2 2 2 14" xfId="30119" xr:uid="{00000000-0005-0000-0000-000072720000}"/>
    <cellStyle name="Table  - Style6 2 2 2 15" xfId="30120" xr:uid="{00000000-0005-0000-0000-000073720000}"/>
    <cellStyle name="Table  - Style6 2 2 2 16" xfId="30121" xr:uid="{00000000-0005-0000-0000-000074720000}"/>
    <cellStyle name="Table  - Style6 2 2 2 2" xfId="30122" xr:uid="{00000000-0005-0000-0000-000075720000}"/>
    <cellStyle name="Table  - Style6 2 2 2 3" xfId="30123" xr:uid="{00000000-0005-0000-0000-000076720000}"/>
    <cellStyle name="Table  - Style6 2 2 2 4" xfId="30124" xr:uid="{00000000-0005-0000-0000-000077720000}"/>
    <cellStyle name="Table  - Style6 2 2 2 5" xfId="30125" xr:uid="{00000000-0005-0000-0000-000078720000}"/>
    <cellStyle name="Table  - Style6 2 2 2 6" xfId="30126" xr:uid="{00000000-0005-0000-0000-000079720000}"/>
    <cellStyle name="Table  - Style6 2 2 2 7" xfId="30127" xr:uid="{00000000-0005-0000-0000-00007A720000}"/>
    <cellStyle name="Table  - Style6 2 2 2 8" xfId="30128" xr:uid="{00000000-0005-0000-0000-00007B720000}"/>
    <cellStyle name="Table  - Style6 2 2 2 9" xfId="30129" xr:uid="{00000000-0005-0000-0000-00007C720000}"/>
    <cellStyle name="Table  - Style6 2 2 3" xfId="30130" xr:uid="{00000000-0005-0000-0000-00007D720000}"/>
    <cellStyle name="Table  - Style6 2 2 4" xfId="30131" xr:uid="{00000000-0005-0000-0000-00007E720000}"/>
    <cellStyle name="Table  - Style6 2 2 5" xfId="30132" xr:uid="{00000000-0005-0000-0000-00007F720000}"/>
    <cellStyle name="Table  - Style6 2 2 6" xfId="30133" xr:uid="{00000000-0005-0000-0000-000080720000}"/>
    <cellStyle name="Table  - Style6 2 2 7" xfId="30134" xr:uid="{00000000-0005-0000-0000-000081720000}"/>
    <cellStyle name="Table  - Style6 2 2 8" xfId="30135" xr:uid="{00000000-0005-0000-0000-000082720000}"/>
    <cellStyle name="Table  - Style6 2 2 9" xfId="30136" xr:uid="{00000000-0005-0000-0000-000083720000}"/>
    <cellStyle name="Table  - Style6 2 20" xfId="30137" xr:uid="{00000000-0005-0000-0000-000084720000}"/>
    <cellStyle name="Table  - Style6 2 21" xfId="30138" xr:uid="{00000000-0005-0000-0000-000085720000}"/>
    <cellStyle name="Table  - Style6 2 22" xfId="30139" xr:uid="{00000000-0005-0000-0000-000086720000}"/>
    <cellStyle name="Table  - Style6 2 23" xfId="30140" xr:uid="{00000000-0005-0000-0000-000087720000}"/>
    <cellStyle name="Table  - Style6 2 24" xfId="30141" xr:uid="{00000000-0005-0000-0000-000088720000}"/>
    <cellStyle name="Table  - Style6 2 25" xfId="30142" xr:uid="{00000000-0005-0000-0000-000089720000}"/>
    <cellStyle name="Table  - Style6 2 26" xfId="30143" xr:uid="{00000000-0005-0000-0000-00008A720000}"/>
    <cellStyle name="Table  - Style6 2 3" xfId="30144" xr:uid="{00000000-0005-0000-0000-00008B720000}"/>
    <cellStyle name="Table  - Style6 2 3 10" xfId="30145" xr:uid="{00000000-0005-0000-0000-00008C720000}"/>
    <cellStyle name="Table  - Style6 2 3 11" xfId="30146" xr:uid="{00000000-0005-0000-0000-00008D720000}"/>
    <cellStyle name="Table  - Style6 2 3 12" xfId="30147" xr:uid="{00000000-0005-0000-0000-00008E720000}"/>
    <cellStyle name="Table  - Style6 2 3 13" xfId="30148" xr:uid="{00000000-0005-0000-0000-00008F720000}"/>
    <cellStyle name="Table  - Style6 2 3 14" xfId="30149" xr:uid="{00000000-0005-0000-0000-000090720000}"/>
    <cellStyle name="Table  - Style6 2 3 15" xfId="30150" xr:uid="{00000000-0005-0000-0000-000091720000}"/>
    <cellStyle name="Table  - Style6 2 3 16" xfId="30151" xr:uid="{00000000-0005-0000-0000-000092720000}"/>
    <cellStyle name="Table  - Style6 2 3 17" xfId="30152" xr:uid="{00000000-0005-0000-0000-000093720000}"/>
    <cellStyle name="Table  - Style6 2 3 2" xfId="30153" xr:uid="{00000000-0005-0000-0000-000094720000}"/>
    <cellStyle name="Table  - Style6 2 3 2 10" xfId="30154" xr:uid="{00000000-0005-0000-0000-000095720000}"/>
    <cellStyle name="Table  - Style6 2 3 2 11" xfId="30155" xr:uid="{00000000-0005-0000-0000-000096720000}"/>
    <cellStyle name="Table  - Style6 2 3 2 12" xfId="30156" xr:uid="{00000000-0005-0000-0000-000097720000}"/>
    <cellStyle name="Table  - Style6 2 3 2 13" xfId="30157" xr:uid="{00000000-0005-0000-0000-000098720000}"/>
    <cellStyle name="Table  - Style6 2 3 2 14" xfId="30158" xr:uid="{00000000-0005-0000-0000-000099720000}"/>
    <cellStyle name="Table  - Style6 2 3 2 15" xfId="30159" xr:uid="{00000000-0005-0000-0000-00009A720000}"/>
    <cellStyle name="Table  - Style6 2 3 2 16" xfId="30160" xr:uid="{00000000-0005-0000-0000-00009B720000}"/>
    <cellStyle name="Table  - Style6 2 3 2 2" xfId="30161" xr:uid="{00000000-0005-0000-0000-00009C720000}"/>
    <cellStyle name="Table  - Style6 2 3 2 3" xfId="30162" xr:uid="{00000000-0005-0000-0000-00009D720000}"/>
    <cellStyle name="Table  - Style6 2 3 2 4" xfId="30163" xr:uid="{00000000-0005-0000-0000-00009E720000}"/>
    <cellStyle name="Table  - Style6 2 3 2 5" xfId="30164" xr:uid="{00000000-0005-0000-0000-00009F720000}"/>
    <cellStyle name="Table  - Style6 2 3 2 6" xfId="30165" xr:uid="{00000000-0005-0000-0000-0000A0720000}"/>
    <cellStyle name="Table  - Style6 2 3 2 7" xfId="30166" xr:uid="{00000000-0005-0000-0000-0000A1720000}"/>
    <cellStyle name="Table  - Style6 2 3 2 8" xfId="30167" xr:uid="{00000000-0005-0000-0000-0000A2720000}"/>
    <cellStyle name="Table  - Style6 2 3 2 9" xfId="30168" xr:uid="{00000000-0005-0000-0000-0000A3720000}"/>
    <cellStyle name="Table  - Style6 2 3 3" xfId="30169" xr:uid="{00000000-0005-0000-0000-0000A4720000}"/>
    <cellStyle name="Table  - Style6 2 3 4" xfId="30170" xr:uid="{00000000-0005-0000-0000-0000A5720000}"/>
    <cellStyle name="Table  - Style6 2 3 5" xfId="30171" xr:uid="{00000000-0005-0000-0000-0000A6720000}"/>
    <cellStyle name="Table  - Style6 2 3 6" xfId="30172" xr:uid="{00000000-0005-0000-0000-0000A7720000}"/>
    <cellStyle name="Table  - Style6 2 3 7" xfId="30173" xr:uid="{00000000-0005-0000-0000-0000A8720000}"/>
    <cellStyle name="Table  - Style6 2 3 8" xfId="30174" xr:uid="{00000000-0005-0000-0000-0000A9720000}"/>
    <cellStyle name="Table  - Style6 2 3 9" xfId="30175" xr:uid="{00000000-0005-0000-0000-0000AA720000}"/>
    <cellStyle name="Table  - Style6 2 4" xfId="30176" xr:uid="{00000000-0005-0000-0000-0000AB720000}"/>
    <cellStyle name="Table  - Style6 2 4 10" xfId="30177" xr:uid="{00000000-0005-0000-0000-0000AC720000}"/>
    <cellStyle name="Table  - Style6 2 4 11" xfId="30178" xr:uid="{00000000-0005-0000-0000-0000AD720000}"/>
    <cellStyle name="Table  - Style6 2 4 12" xfId="30179" xr:uid="{00000000-0005-0000-0000-0000AE720000}"/>
    <cellStyle name="Table  - Style6 2 4 13" xfId="30180" xr:uid="{00000000-0005-0000-0000-0000AF720000}"/>
    <cellStyle name="Table  - Style6 2 4 14" xfId="30181" xr:uid="{00000000-0005-0000-0000-0000B0720000}"/>
    <cellStyle name="Table  - Style6 2 4 15" xfId="30182" xr:uid="{00000000-0005-0000-0000-0000B1720000}"/>
    <cellStyle name="Table  - Style6 2 4 16" xfId="30183" xr:uid="{00000000-0005-0000-0000-0000B2720000}"/>
    <cellStyle name="Table  - Style6 2 4 17" xfId="30184" xr:uid="{00000000-0005-0000-0000-0000B3720000}"/>
    <cellStyle name="Table  - Style6 2 4 2" xfId="30185" xr:uid="{00000000-0005-0000-0000-0000B4720000}"/>
    <cellStyle name="Table  - Style6 2 4 2 10" xfId="30186" xr:uid="{00000000-0005-0000-0000-0000B5720000}"/>
    <cellStyle name="Table  - Style6 2 4 2 11" xfId="30187" xr:uid="{00000000-0005-0000-0000-0000B6720000}"/>
    <cellStyle name="Table  - Style6 2 4 2 12" xfId="30188" xr:uid="{00000000-0005-0000-0000-0000B7720000}"/>
    <cellStyle name="Table  - Style6 2 4 2 13" xfId="30189" xr:uid="{00000000-0005-0000-0000-0000B8720000}"/>
    <cellStyle name="Table  - Style6 2 4 2 14" xfId="30190" xr:uid="{00000000-0005-0000-0000-0000B9720000}"/>
    <cellStyle name="Table  - Style6 2 4 2 15" xfId="30191" xr:uid="{00000000-0005-0000-0000-0000BA720000}"/>
    <cellStyle name="Table  - Style6 2 4 2 16" xfId="30192" xr:uid="{00000000-0005-0000-0000-0000BB720000}"/>
    <cellStyle name="Table  - Style6 2 4 2 2" xfId="30193" xr:uid="{00000000-0005-0000-0000-0000BC720000}"/>
    <cellStyle name="Table  - Style6 2 4 2 3" xfId="30194" xr:uid="{00000000-0005-0000-0000-0000BD720000}"/>
    <cellStyle name="Table  - Style6 2 4 2 4" xfId="30195" xr:uid="{00000000-0005-0000-0000-0000BE720000}"/>
    <cellStyle name="Table  - Style6 2 4 2 5" xfId="30196" xr:uid="{00000000-0005-0000-0000-0000BF720000}"/>
    <cellStyle name="Table  - Style6 2 4 2 6" xfId="30197" xr:uid="{00000000-0005-0000-0000-0000C0720000}"/>
    <cellStyle name="Table  - Style6 2 4 2 7" xfId="30198" xr:uid="{00000000-0005-0000-0000-0000C1720000}"/>
    <cellStyle name="Table  - Style6 2 4 2 8" xfId="30199" xr:uid="{00000000-0005-0000-0000-0000C2720000}"/>
    <cellStyle name="Table  - Style6 2 4 2 9" xfId="30200" xr:uid="{00000000-0005-0000-0000-0000C3720000}"/>
    <cellStyle name="Table  - Style6 2 4 3" xfId="30201" xr:uid="{00000000-0005-0000-0000-0000C4720000}"/>
    <cellStyle name="Table  - Style6 2 4 4" xfId="30202" xr:uid="{00000000-0005-0000-0000-0000C5720000}"/>
    <cellStyle name="Table  - Style6 2 4 5" xfId="30203" xr:uid="{00000000-0005-0000-0000-0000C6720000}"/>
    <cellStyle name="Table  - Style6 2 4 6" xfId="30204" xr:uid="{00000000-0005-0000-0000-0000C7720000}"/>
    <cellStyle name="Table  - Style6 2 4 7" xfId="30205" xr:uid="{00000000-0005-0000-0000-0000C8720000}"/>
    <cellStyle name="Table  - Style6 2 4 8" xfId="30206" xr:uid="{00000000-0005-0000-0000-0000C9720000}"/>
    <cellStyle name="Table  - Style6 2 4 9" xfId="30207" xr:uid="{00000000-0005-0000-0000-0000CA720000}"/>
    <cellStyle name="Table  - Style6 2 5" xfId="30208" xr:uid="{00000000-0005-0000-0000-0000CB720000}"/>
    <cellStyle name="Table  - Style6 2 5 10" xfId="30209" xr:uid="{00000000-0005-0000-0000-0000CC720000}"/>
    <cellStyle name="Table  - Style6 2 5 11" xfId="30210" xr:uid="{00000000-0005-0000-0000-0000CD720000}"/>
    <cellStyle name="Table  - Style6 2 5 12" xfId="30211" xr:uid="{00000000-0005-0000-0000-0000CE720000}"/>
    <cellStyle name="Table  - Style6 2 5 13" xfId="30212" xr:uid="{00000000-0005-0000-0000-0000CF720000}"/>
    <cellStyle name="Table  - Style6 2 5 14" xfId="30213" xr:uid="{00000000-0005-0000-0000-0000D0720000}"/>
    <cellStyle name="Table  - Style6 2 5 15" xfId="30214" xr:uid="{00000000-0005-0000-0000-0000D1720000}"/>
    <cellStyle name="Table  - Style6 2 5 16" xfId="30215" xr:uid="{00000000-0005-0000-0000-0000D2720000}"/>
    <cellStyle name="Table  - Style6 2 5 17" xfId="30216" xr:uid="{00000000-0005-0000-0000-0000D3720000}"/>
    <cellStyle name="Table  - Style6 2 5 2" xfId="30217" xr:uid="{00000000-0005-0000-0000-0000D4720000}"/>
    <cellStyle name="Table  - Style6 2 5 2 10" xfId="30218" xr:uid="{00000000-0005-0000-0000-0000D5720000}"/>
    <cellStyle name="Table  - Style6 2 5 2 11" xfId="30219" xr:uid="{00000000-0005-0000-0000-0000D6720000}"/>
    <cellStyle name="Table  - Style6 2 5 2 12" xfId="30220" xr:uid="{00000000-0005-0000-0000-0000D7720000}"/>
    <cellStyle name="Table  - Style6 2 5 2 13" xfId="30221" xr:uid="{00000000-0005-0000-0000-0000D8720000}"/>
    <cellStyle name="Table  - Style6 2 5 2 14" xfId="30222" xr:uid="{00000000-0005-0000-0000-0000D9720000}"/>
    <cellStyle name="Table  - Style6 2 5 2 15" xfId="30223" xr:uid="{00000000-0005-0000-0000-0000DA720000}"/>
    <cellStyle name="Table  - Style6 2 5 2 16" xfId="30224" xr:uid="{00000000-0005-0000-0000-0000DB720000}"/>
    <cellStyle name="Table  - Style6 2 5 2 2" xfId="30225" xr:uid="{00000000-0005-0000-0000-0000DC720000}"/>
    <cellStyle name="Table  - Style6 2 5 2 3" xfId="30226" xr:uid="{00000000-0005-0000-0000-0000DD720000}"/>
    <cellStyle name="Table  - Style6 2 5 2 4" xfId="30227" xr:uid="{00000000-0005-0000-0000-0000DE720000}"/>
    <cellStyle name="Table  - Style6 2 5 2 5" xfId="30228" xr:uid="{00000000-0005-0000-0000-0000DF720000}"/>
    <cellStyle name="Table  - Style6 2 5 2 6" xfId="30229" xr:uid="{00000000-0005-0000-0000-0000E0720000}"/>
    <cellStyle name="Table  - Style6 2 5 2 7" xfId="30230" xr:uid="{00000000-0005-0000-0000-0000E1720000}"/>
    <cellStyle name="Table  - Style6 2 5 2 8" xfId="30231" xr:uid="{00000000-0005-0000-0000-0000E2720000}"/>
    <cellStyle name="Table  - Style6 2 5 2 9" xfId="30232" xr:uid="{00000000-0005-0000-0000-0000E3720000}"/>
    <cellStyle name="Table  - Style6 2 5 3" xfId="30233" xr:uid="{00000000-0005-0000-0000-0000E4720000}"/>
    <cellStyle name="Table  - Style6 2 5 4" xfId="30234" xr:uid="{00000000-0005-0000-0000-0000E5720000}"/>
    <cellStyle name="Table  - Style6 2 5 5" xfId="30235" xr:uid="{00000000-0005-0000-0000-0000E6720000}"/>
    <cellStyle name="Table  - Style6 2 5 6" xfId="30236" xr:uid="{00000000-0005-0000-0000-0000E7720000}"/>
    <cellStyle name="Table  - Style6 2 5 7" xfId="30237" xr:uid="{00000000-0005-0000-0000-0000E8720000}"/>
    <cellStyle name="Table  - Style6 2 5 8" xfId="30238" xr:uid="{00000000-0005-0000-0000-0000E9720000}"/>
    <cellStyle name="Table  - Style6 2 5 9" xfId="30239" xr:uid="{00000000-0005-0000-0000-0000EA720000}"/>
    <cellStyle name="Table  - Style6 2 6" xfId="30240" xr:uid="{00000000-0005-0000-0000-0000EB720000}"/>
    <cellStyle name="Table  - Style6 2 6 10" xfId="30241" xr:uid="{00000000-0005-0000-0000-0000EC720000}"/>
    <cellStyle name="Table  - Style6 2 6 11" xfId="30242" xr:uid="{00000000-0005-0000-0000-0000ED720000}"/>
    <cellStyle name="Table  - Style6 2 6 12" xfId="30243" xr:uid="{00000000-0005-0000-0000-0000EE720000}"/>
    <cellStyle name="Table  - Style6 2 6 13" xfId="30244" xr:uid="{00000000-0005-0000-0000-0000EF720000}"/>
    <cellStyle name="Table  - Style6 2 6 14" xfId="30245" xr:uid="{00000000-0005-0000-0000-0000F0720000}"/>
    <cellStyle name="Table  - Style6 2 6 15" xfId="30246" xr:uid="{00000000-0005-0000-0000-0000F1720000}"/>
    <cellStyle name="Table  - Style6 2 6 16" xfId="30247" xr:uid="{00000000-0005-0000-0000-0000F2720000}"/>
    <cellStyle name="Table  - Style6 2 6 17" xfId="30248" xr:uid="{00000000-0005-0000-0000-0000F3720000}"/>
    <cellStyle name="Table  - Style6 2 6 2" xfId="30249" xr:uid="{00000000-0005-0000-0000-0000F4720000}"/>
    <cellStyle name="Table  - Style6 2 6 2 10" xfId="30250" xr:uid="{00000000-0005-0000-0000-0000F5720000}"/>
    <cellStyle name="Table  - Style6 2 6 2 11" xfId="30251" xr:uid="{00000000-0005-0000-0000-0000F6720000}"/>
    <cellStyle name="Table  - Style6 2 6 2 12" xfId="30252" xr:uid="{00000000-0005-0000-0000-0000F7720000}"/>
    <cellStyle name="Table  - Style6 2 6 2 13" xfId="30253" xr:uid="{00000000-0005-0000-0000-0000F8720000}"/>
    <cellStyle name="Table  - Style6 2 6 2 14" xfId="30254" xr:uid="{00000000-0005-0000-0000-0000F9720000}"/>
    <cellStyle name="Table  - Style6 2 6 2 15" xfId="30255" xr:uid="{00000000-0005-0000-0000-0000FA720000}"/>
    <cellStyle name="Table  - Style6 2 6 2 16" xfId="30256" xr:uid="{00000000-0005-0000-0000-0000FB720000}"/>
    <cellStyle name="Table  - Style6 2 6 2 2" xfId="30257" xr:uid="{00000000-0005-0000-0000-0000FC720000}"/>
    <cellStyle name="Table  - Style6 2 6 2 3" xfId="30258" xr:uid="{00000000-0005-0000-0000-0000FD720000}"/>
    <cellStyle name="Table  - Style6 2 6 2 4" xfId="30259" xr:uid="{00000000-0005-0000-0000-0000FE720000}"/>
    <cellStyle name="Table  - Style6 2 6 2 5" xfId="30260" xr:uid="{00000000-0005-0000-0000-0000FF720000}"/>
    <cellStyle name="Table  - Style6 2 6 2 6" xfId="30261" xr:uid="{00000000-0005-0000-0000-000000730000}"/>
    <cellStyle name="Table  - Style6 2 6 2 7" xfId="30262" xr:uid="{00000000-0005-0000-0000-000001730000}"/>
    <cellStyle name="Table  - Style6 2 6 2 8" xfId="30263" xr:uid="{00000000-0005-0000-0000-000002730000}"/>
    <cellStyle name="Table  - Style6 2 6 2 9" xfId="30264" xr:uid="{00000000-0005-0000-0000-000003730000}"/>
    <cellStyle name="Table  - Style6 2 6 3" xfId="30265" xr:uid="{00000000-0005-0000-0000-000004730000}"/>
    <cellStyle name="Table  - Style6 2 6 4" xfId="30266" xr:uid="{00000000-0005-0000-0000-000005730000}"/>
    <cellStyle name="Table  - Style6 2 6 5" xfId="30267" xr:uid="{00000000-0005-0000-0000-000006730000}"/>
    <cellStyle name="Table  - Style6 2 6 6" xfId="30268" xr:uid="{00000000-0005-0000-0000-000007730000}"/>
    <cellStyle name="Table  - Style6 2 6 7" xfId="30269" xr:uid="{00000000-0005-0000-0000-000008730000}"/>
    <cellStyle name="Table  - Style6 2 6 8" xfId="30270" xr:uid="{00000000-0005-0000-0000-000009730000}"/>
    <cellStyle name="Table  - Style6 2 6 9" xfId="30271" xr:uid="{00000000-0005-0000-0000-00000A730000}"/>
    <cellStyle name="Table  - Style6 2 7" xfId="30272" xr:uid="{00000000-0005-0000-0000-00000B730000}"/>
    <cellStyle name="Table  - Style6 2 7 10" xfId="30273" xr:uid="{00000000-0005-0000-0000-00000C730000}"/>
    <cellStyle name="Table  - Style6 2 7 11" xfId="30274" xr:uid="{00000000-0005-0000-0000-00000D730000}"/>
    <cellStyle name="Table  - Style6 2 7 12" xfId="30275" xr:uid="{00000000-0005-0000-0000-00000E730000}"/>
    <cellStyle name="Table  - Style6 2 7 13" xfId="30276" xr:uid="{00000000-0005-0000-0000-00000F730000}"/>
    <cellStyle name="Table  - Style6 2 7 14" xfId="30277" xr:uid="{00000000-0005-0000-0000-000010730000}"/>
    <cellStyle name="Table  - Style6 2 7 15" xfId="30278" xr:uid="{00000000-0005-0000-0000-000011730000}"/>
    <cellStyle name="Table  - Style6 2 7 16" xfId="30279" xr:uid="{00000000-0005-0000-0000-000012730000}"/>
    <cellStyle name="Table  - Style6 2 7 17" xfId="30280" xr:uid="{00000000-0005-0000-0000-000013730000}"/>
    <cellStyle name="Table  - Style6 2 7 2" xfId="30281" xr:uid="{00000000-0005-0000-0000-000014730000}"/>
    <cellStyle name="Table  - Style6 2 7 2 10" xfId="30282" xr:uid="{00000000-0005-0000-0000-000015730000}"/>
    <cellStyle name="Table  - Style6 2 7 2 11" xfId="30283" xr:uid="{00000000-0005-0000-0000-000016730000}"/>
    <cellStyle name="Table  - Style6 2 7 2 12" xfId="30284" xr:uid="{00000000-0005-0000-0000-000017730000}"/>
    <cellStyle name="Table  - Style6 2 7 2 13" xfId="30285" xr:uid="{00000000-0005-0000-0000-000018730000}"/>
    <cellStyle name="Table  - Style6 2 7 2 14" xfId="30286" xr:uid="{00000000-0005-0000-0000-000019730000}"/>
    <cellStyle name="Table  - Style6 2 7 2 15" xfId="30287" xr:uid="{00000000-0005-0000-0000-00001A730000}"/>
    <cellStyle name="Table  - Style6 2 7 2 16" xfId="30288" xr:uid="{00000000-0005-0000-0000-00001B730000}"/>
    <cellStyle name="Table  - Style6 2 7 2 2" xfId="30289" xr:uid="{00000000-0005-0000-0000-00001C730000}"/>
    <cellStyle name="Table  - Style6 2 7 2 3" xfId="30290" xr:uid="{00000000-0005-0000-0000-00001D730000}"/>
    <cellStyle name="Table  - Style6 2 7 2 4" xfId="30291" xr:uid="{00000000-0005-0000-0000-00001E730000}"/>
    <cellStyle name="Table  - Style6 2 7 2 5" xfId="30292" xr:uid="{00000000-0005-0000-0000-00001F730000}"/>
    <cellStyle name="Table  - Style6 2 7 2 6" xfId="30293" xr:uid="{00000000-0005-0000-0000-000020730000}"/>
    <cellStyle name="Table  - Style6 2 7 2 7" xfId="30294" xr:uid="{00000000-0005-0000-0000-000021730000}"/>
    <cellStyle name="Table  - Style6 2 7 2 8" xfId="30295" xr:uid="{00000000-0005-0000-0000-000022730000}"/>
    <cellStyle name="Table  - Style6 2 7 2 9" xfId="30296" xr:uid="{00000000-0005-0000-0000-000023730000}"/>
    <cellStyle name="Table  - Style6 2 7 3" xfId="30297" xr:uid="{00000000-0005-0000-0000-000024730000}"/>
    <cellStyle name="Table  - Style6 2 7 4" xfId="30298" xr:uid="{00000000-0005-0000-0000-000025730000}"/>
    <cellStyle name="Table  - Style6 2 7 5" xfId="30299" xr:uid="{00000000-0005-0000-0000-000026730000}"/>
    <cellStyle name="Table  - Style6 2 7 6" xfId="30300" xr:uid="{00000000-0005-0000-0000-000027730000}"/>
    <cellStyle name="Table  - Style6 2 7 7" xfId="30301" xr:uid="{00000000-0005-0000-0000-000028730000}"/>
    <cellStyle name="Table  - Style6 2 7 8" xfId="30302" xr:uid="{00000000-0005-0000-0000-000029730000}"/>
    <cellStyle name="Table  - Style6 2 7 9" xfId="30303" xr:uid="{00000000-0005-0000-0000-00002A730000}"/>
    <cellStyle name="Table  - Style6 2 8" xfId="30304" xr:uid="{00000000-0005-0000-0000-00002B730000}"/>
    <cellStyle name="Table  - Style6 2 8 10" xfId="30305" xr:uid="{00000000-0005-0000-0000-00002C730000}"/>
    <cellStyle name="Table  - Style6 2 8 11" xfId="30306" xr:uid="{00000000-0005-0000-0000-00002D730000}"/>
    <cellStyle name="Table  - Style6 2 8 12" xfId="30307" xr:uid="{00000000-0005-0000-0000-00002E730000}"/>
    <cellStyle name="Table  - Style6 2 8 13" xfId="30308" xr:uid="{00000000-0005-0000-0000-00002F730000}"/>
    <cellStyle name="Table  - Style6 2 8 14" xfId="30309" xr:uid="{00000000-0005-0000-0000-000030730000}"/>
    <cellStyle name="Table  - Style6 2 8 15" xfId="30310" xr:uid="{00000000-0005-0000-0000-000031730000}"/>
    <cellStyle name="Table  - Style6 2 8 16" xfId="30311" xr:uid="{00000000-0005-0000-0000-000032730000}"/>
    <cellStyle name="Table  - Style6 2 8 17" xfId="30312" xr:uid="{00000000-0005-0000-0000-000033730000}"/>
    <cellStyle name="Table  - Style6 2 8 2" xfId="30313" xr:uid="{00000000-0005-0000-0000-000034730000}"/>
    <cellStyle name="Table  - Style6 2 8 2 10" xfId="30314" xr:uid="{00000000-0005-0000-0000-000035730000}"/>
    <cellStyle name="Table  - Style6 2 8 2 11" xfId="30315" xr:uid="{00000000-0005-0000-0000-000036730000}"/>
    <cellStyle name="Table  - Style6 2 8 2 12" xfId="30316" xr:uid="{00000000-0005-0000-0000-000037730000}"/>
    <cellStyle name="Table  - Style6 2 8 2 13" xfId="30317" xr:uid="{00000000-0005-0000-0000-000038730000}"/>
    <cellStyle name="Table  - Style6 2 8 2 14" xfId="30318" xr:uid="{00000000-0005-0000-0000-000039730000}"/>
    <cellStyle name="Table  - Style6 2 8 2 15" xfId="30319" xr:uid="{00000000-0005-0000-0000-00003A730000}"/>
    <cellStyle name="Table  - Style6 2 8 2 16" xfId="30320" xr:uid="{00000000-0005-0000-0000-00003B730000}"/>
    <cellStyle name="Table  - Style6 2 8 2 2" xfId="30321" xr:uid="{00000000-0005-0000-0000-00003C730000}"/>
    <cellStyle name="Table  - Style6 2 8 2 3" xfId="30322" xr:uid="{00000000-0005-0000-0000-00003D730000}"/>
    <cellStyle name="Table  - Style6 2 8 2 4" xfId="30323" xr:uid="{00000000-0005-0000-0000-00003E730000}"/>
    <cellStyle name="Table  - Style6 2 8 2 5" xfId="30324" xr:uid="{00000000-0005-0000-0000-00003F730000}"/>
    <cellStyle name="Table  - Style6 2 8 2 6" xfId="30325" xr:uid="{00000000-0005-0000-0000-000040730000}"/>
    <cellStyle name="Table  - Style6 2 8 2 7" xfId="30326" xr:uid="{00000000-0005-0000-0000-000041730000}"/>
    <cellStyle name="Table  - Style6 2 8 2 8" xfId="30327" xr:uid="{00000000-0005-0000-0000-000042730000}"/>
    <cellStyle name="Table  - Style6 2 8 2 9" xfId="30328" xr:uid="{00000000-0005-0000-0000-000043730000}"/>
    <cellStyle name="Table  - Style6 2 8 3" xfId="30329" xr:uid="{00000000-0005-0000-0000-000044730000}"/>
    <cellStyle name="Table  - Style6 2 8 4" xfId="30330" xr:uid="{00000000-0005-0000-0000-000045730000}"/>
    <cellStyle name="Table  - Style6 2 8 5" xfId="30331" xr:uid="{00000000-0005-0000-0000-000046730000}"/>
    <cellStyle name="Table  - Style6 2 8 6" xfId="30332" xr:uid="{00000000-0005-0000-0000-000047730000}"/>
    <cellStyle name="Table  - Style6 2 8 7" xfId="30333" xr:uid="{00000000-0005-0000-0000-000048730000}"/>
    <cellStyle name="Table  - Style6 2 8 8" xfId="30334" xr:uid="{00000000-0005-0000-0000-000049730000}"/>
    <cellStyle name="Table  - Style6 2 8 9" xfId="30335" xr:uid="{00000000-0005-0000-0000-00004A730000}"/>
    <cellStyle name="Table  - Style6 2 9" xfId="30336" xr:uid="{00000000-0005-0000-0000-00004B730000}"/>
    <cellStyle name="Table  - Style6 2 9 10" xfId="30337" xr:uid="{00000000-0005-0000-0000-00004C730000}"/>
    <cellStyle name="Table  - Style6 2 9 11" xfId="30338" xr:uid="{00000000-0005-0000-0000-00004D730000}"/>
    <cellStyle name="Table  - Style6 2 9 12" xfId="30339" xr:uid="{00000000-0005-0000-0000-00004E730000}"/>
    <cellStyle name="Table  - Style6 2 9 13" xfId="30340" xr:uid="{00000000-0005-0000-0000-00004F730000}"/>
    <cellStyle name="Table  - Style6 2 9 14" xfId="30341" xr:uid="{00000000-0005-0000-0000-000050730000}"/>
    <cellStyle name="Table  - Style6 2 9 15" xfId="30342" xr:uid="{00000000-0005-0000-0000-000051730000}"/>
    <cellStyle name="Table  - Style6 2 9 16" xfId="30343" xr:uid="{00000000-0005-0000-0000-000052730000}"/>
    <cellStyle name="Table  - Style6 2 9 17" xfId="30344" xr:uid="{00000000-0005-0000-0000-000053730000}"/>
    <cellStyle name="Table  - Style6 2 9 2" xfId="30345" xr:uid="{00000000-0005-0000-0000-000054730000}"/>
    <cellStyle name="Table  - Style6 2 9 2 10" xfId="30346" xr:uid="{00000000-0005-0000-0000-000055730000}"/>
    <cellStyle name="Table  - Style6 2 9 2 11" xfId="30347" xr:uid="{00000000-0005-0000-0000-000056730000}"/>
    <cellStyle name="Table  - Style6 2 9 2 12" xfId="30348" xr:uid="{00000000-0005-0000-0000-000057730000}"/>
    <cellStyle name="Table  - Style6 2 9 2 13" xfId="30349" xr:uid="{00000000-0005-0000-0000-000058730000}"/>
    <cellStyle name="Table  - Style6 2 9 2 14" xfId="30350" xr:uid="{00000000-0005-0000-0000-000059730000}"/>
    <cellStyle name="Table  - Style6 2 9 2 15" xfId="30351" xr:uid="{00000000-0005-0000-0000-00005A730000}"/>
    <cellStyle name="Table  - Style6 2 9 2 16" xfId="30352" xr:uid="{00000000-0005-0000-0000-00005B730000}"/>
    <cellStyle name="Table  - Style6 2 9 2 2" xfId="30353" xr:uid="{00000000-0005-0000-0000-00005C730000}"/>
    <cellStyle name="Table  - Style6 2 9 2 3" xfId="30354" xr:uid="{00000000-0005-0000-0000-00005D730000}"/>
    <cellStyle name="Table  - Style6 2 9 2 4" xfId="30355" xr:uid="{00000000-0005-0000-0000-00005E730000}"/>
    <cellStyle name="Table  - Style6 2 9 2 5" xfId="30356" xr:uid="{00000000-0005-0000-0000-00005F730000}"/>
    <cellStyle name="Table  - Style6 2 9 2 6" xfId="30357" xr:uid="{00000000-0005-0000-0000-000060730000}"/>
    <cellStyle name="Table  - Style6 2 9 2 7" xfId="30358" xr:uid="{00000000-0005-0000-0000-000061730000}"/>
    <cellStyle name="Table  - Style6 2 9 2 8" xfId="30359" xr:uid="{00000000-0005-0000-0000-000062730000}"/>
    <cellStyle name="Table  - Style6 2 9 2 9" xfId="30360" xr:uid="{00000000-0005-0000-0000-000063730000}"/>
    <cellStyle name="Table  - Style6 2 9 3" xfId="30361" xr:uid="{00000000-0005-0000-0000-000064730000}"/>
    <cellStyle name="Table  - Style6 2 9 4" xfId="30362" xr:uid="{00000000-0005-0000-0000-000065730000}"/>
    <cellStyle name="Table  - Style6 2 9 5" xfId="30363" xr:uid="{00000000-0005-0000-0000-000066730000}"/>
    <cellStyle name="Table  - Style6 2 9 6" xfId="30364" xr:uid="{00000000-0005-0000-0000-000067730000}"/>
    <cellStyle name="Table  - Style6 2 9 7" xfId="30365" xr:uid="{00000000-0005-0000-0000-000068730000}"/>
    <cellStyle name="Table  - Style6 2 9 8" xfId="30366" xr:uid="{00000000-0005-0000-0000-000069730000}"/>
    <cellStyle name="Table  - Style6 2 9 9" xfId="30367" xr:uid="{00000000-0005-0000-0000-00006A730000}"/>
    <cellStyle name="Table  - Style6 20" xfId="30368" xr:uid="{00000000-0005-0000-0000-00006B730000}"/>
    <cellStyle name="Table  - Style6 21" xfId="30369" xr:uid="{00000000-0005-0000-0000-00006C730000}"/>
    <cellStyle name="Table  - Style6 22" xfId="30370" xr:uid="{00000000-0005-0000-0000-00006D730000}"/>
    <cellStyle name="Table  - Style6 23" xfId="30371" xr:uid="{00000000-0005-0000-0000-00006E730000}"/>
    <cellStyle name="Table  - Style6 24" xfId="30372" xr:uid="{00000000-0005-0000-0000-00006F730000}"/>
    <cellStyle name="Table  - Style6 25" xfId="30373" xr:uid="{00000000-0005-0000-0000-000070730000}"/>
    <cellStyle name="Table  - Style6 26" xfId="30374" xr:uid="{00000000-0005-0000-0000-000071730000}"/>
    <cellStyle name="Table  - Style6 27" xfId="30375" xr:uid="{00000000-0005-0000-0000-000072730000}"/>
    <cellStyle name="Table  - Style6 28" xfId="30376" xr:uid="{00000000-0005-0000-0000-000073730000}"/>
    <cellStyle name="Table  - Style6 29" xfId="30377" xr:uid="{00000000-0005-0000-0000-000074730000}"/>
    <cellStyle name="Table  - Style6 3" xfId="30378" xr:uid="{00000000-0005-0000-0000-000075730000}"/>
    <cellStyle name="Table  - Style6 3 10" xfId="30379" xr:uid="{00000000-0005-0000-0000-000076730000}"/>
    <cellStyle name="Table  - Style6 3 10 10" xfId="30380" xr:uid="{00000000-0005-0000-0000-000077730000}"/>
    <cellStyle name="Table  - Style6 3 10 11" xfId="30381" xr:uid="{00000000-0005-0000-0000-000078730000}"/>
    <cellStyle name="Table  - Style6 3 10 12" xfId="30382" xr:uid="{00000000-0005-0000-0000-000079730000}"/>
    <cellStyle name="Table  - Style6 3 10 13" xfId="30383" xr:uid="{00000000-0005-0000-0000-00007A730000}"/>
    <cellStyle name="Table  - Style6 3 10 14" xfId="30384" xr:uid="{00000000-0005-0000-0000-00007B730000}"/>
    <cellStyle name="Table  - Style6 3 10 15" xfId="30385" xr:uid="{00000000-0005-0000-0000-00007C730000}"/>
    <cellStyle name="Table  - Style6 3 10 16" xfId="30386" xr:uid="{00000000-0005-0000-0000-00007D730000}"/>
    <cellStyle name="Table  - Style6 3 10 17" xfId="30387" xr:uid="{00000000-0005-0000-0000-00007E730000}"/>
    <cellStyle name="Table  - Style6 3 10 2" xfId="30388" xr:uid="{00000000-0005-0000-0000-00007F730000}"/>
    <cellStyle name="Table  - Style6 3 10 2 10" xfId="30389" xr:uid="{00000000-0005-0000-0000-000080730000}"/>
    <cellStyle name="Table  - Style6 3 10 2 11" xfId="30390" xr:uid="{00000000-0005-0000-0000-000081730000}"/>
    <cellStyle name="Table  - Style6 3 10 2 12" xfId="30391" xr:uid="{00000000-0005-0000-0000-000082730000}"/>
    <cellStyle name="Table  - Style6 3 10 2 13" xfId="30392" xr:uid="{00000000-0005-0000-0000-000083730000}"/>
    <cellStyle name="Table  - Style6 3 10 2 14" xfId="30393" xr:uid="{00000000-0005-0000-0000-000084730000}"/>
    <cellStyle name="Table  - Style6 3 10 2 15" xfId="30394" xr:uid="{00000000-0005-0000-0000-000085730000}"/>
    <cellStyle name="Table  - Style6 3 10 2 16" xfId="30395" xr:uid="{00000000-0005-0000-0000-000086730000}"/>
    <cellStyle name="Table  - Style6 3 10 2 2" xfId="30396" xr:uid="{00000000-0005-0000-0000-000087730000}"/>
    <cellStyle name="Table  - Style6 3 10 2 3" xfId="30397" xr:uid="{00000000-0005-0000-0000-000088730000}"/>
    <cellStyle name="Table  - Style6 3 10 2 4" xfId="30398" xr:uid="{00000000-0005-0000-0000-000089730000}"/>
    <cellStyle name="Table  - Style6 3 10 2 5" xfId="30399" xr:uid="{00000000-0005-0000-0000-00008A730000}"/>
    <cellStyle name="Table  - Style6 3 10 2 6" xfId="30400" xr:uid="{00000000-0005-0000-0000-00008B730000}"/>
    <cellStyle name="Table  - Style6 3 10 2 7" xfId="30401" xr:uid="{00000000-0005-0000-0000-00008C730000}"/>
    <cellStyle name="Table  - Style6 3 10 2 8" xfId="30402" xr:uid="{00000000-0005-0000-0000-00008D730000}"/>
    <cellStyle name="Table  - Style6 3 10 2 9" xfId="30403" xr:uid="{00000000-0005-0000-0000-00008E730000}"/>
    <cellStyle name="Table  - Style6 3 10 3" xfId="30404" xr:uid="{00000000-0005-0000-0000-00008F730000}"/>
    <cellStyle name="Table  - Style6 3 10 4" xfId="30405" xr:uid="{00000000-0005-0000-0000-000090730000}"/>
    <cellStyle name="Table  - Style6 3 10 5" xfId="30406" xr:uid="{00000000-0005-0000-0000-000091730000}"/>
    <cellStyle name="Table  - Style6 3 10 6" xfId="30407" xr:uid="{00000000-0005-0000-0000-000092730000}"/>
    <cellStyle name="Table  - Style6 3 10 7" xfId="30408" xr:uid="{00000000-0005-0000-0000-000093730000}"/>
    <cellStyle name="Table  - Style6 3 10 8" xfId="30409" xr:uid="{00000000-0005-0000-0000-000094730000}"/>
    <cellStyle name="Table  - Style6 3 10 9" xfId="30410" xr:uid="{00000000-0005-0000-0000-000095730000}"/>
    <cellStyle name="Table  - Style6 3 11" xfId="30411" xr:uid="{00000000-0005-0000-0000-000096730000}"/>
    <cellStyle name="Table  - Style6 3 11 10" xfId="30412" xr:uid="{00000000-0005-0000-0000-000097730000}"/>
    <cellStyle name="Table  - Style6 3 11 11" xfId="30413" xr:uid="{00000000-0005-0000-0000-000098730000}"/>
    <cellStyle name="Table  - Style6 3 11 12" xfId="30414" xr:uid="{00000000-0005-0000-0000-000099730000}"/>
    <cellStyle name="Table  - Style6 3 11 13" xfId="30415" xr:uid="{00000000-0005-0000-0000-00009A730000}"/>
    <cellStyle name="Table  - Style6 3 11 14" xfId="30416" xr:uid="{00000000-0005-0000-0000-00009B730000}"/>
    <cellStyle name="Table  - Style6 3 11 15" xfId="30417" xr:uid="{00000000-0005-0000-0000-00009C730000}"/>
    <cellStyle name="Table  - Style6 3 11 16" xfId="30418" xr:uid="{00000000-0005-0000-0000-00009D730000}"/>
    <cellStyle name="Table  - Style6 3 11 2" xfId="30419" xr:uid="{00000000-0005-0000-0000-00009E730000}"/>
    <cellStyle name="Table  - Style6 3 11 3" xfId="30420" xr:uid="{00000000-0005-0000-0000-00009F730000}"/>
    <cellStyle name="Table  - Style6 3 11 4" xfId="30421" xr:uid="{00000000-0005-0000-0000-0000A0730000}"/>
    <cellStyle name="Table  - Style6 3 11 5" xfId="30422" xr:uid="{00000000-0005-0000-0000-0000A1730000}"/>
    <cellStyle name="Table  - Style6 3 11 6" xfId="30423" xr:uid="{00000000-0005-0000-0000-0000A2730000}"/>
    <cellStyle name="Table  - Style6 3 11 7" xfId="30424" xr:uid="{00000000-0005-0000-0000-0000A3730000}"/>
    <cellStyle name="Table  - Style6 3 11 8" xfId="30425" xr:uid="{00000000-0005-0000-0000-0000A4730000}"/>
    <cellStyle name="Table  - Style6 3 11 9" xfId="30426" xr:uid="{00000000-0005-0000-0000-0000A5730000}"/>
    <cellStyle name="Table  - Style6 3 12" xfId="30427" xr:uid="{00000000-0005-0000-0000-0000A6730000}"/>
    <cellStyle name="Table  - Style6 3 13" xfId="30428" xr:uid="{00000000-0005-0000-0000-0000A7730000}"/>
    <cellStyle name="Table  - Style6 3 14" xfId="30429" xr:uid="{00000000-0005-0000-0000-0000A8730000}"/>
    <cellStyle name="Table  - Style6 3 15" xfId="30430" xr:uid="{00000000-0005-0000-0000-0000A9730000}"/>
    <cellStyle name="Table  - Style6 3 16" xfId="30431" xr:uid="{00000000-0005-0000-0000-0000AA730000}"/>
    <cellStyle name="Table  - Style6 3 17" xfId="30432" xr:uid="{00000000-0005-0000-0000-0000AB730000}"/>
    <cellStyle name="Table  - Style6 3 18" xfId="30433" xr:uid="{00000000-0005-0000-0000-0000AC730000}"/>
    <cellStyle name="Table  - Style6 3 19" xfId="30434" xr:uid="{00000000-0005-0000-0000-0000AD730000}"/>
    <cellStyle name="Table  - Style6 3 2" xfId="30435" xr:uid="{00000000-0005-0000-0000-0000AE730000}"/>
    <cellStyle name="Table  - Style6 3 2 10" xfId="30436" xr:uid="{00000000-0005-0000-0000-0000AF730000}"/>
    <cellStyle name="Table  - Style6 3 2 11" xfId="30437" xr:uid="{00000000-0005-0000-0000-0000B0730000}"/>
    <cellStyle name="Table  - Style6 3 2 12" xfId="30438" xr:uid="{00000000-0005-0000-0000-0000B1730000}"/>
    <cellStyle name="Table  - Style6 3 2 13" xfId="30439" xr:uid="{00000000-0005-0000-0000-0000B2730000}"/>
    <cellStyle name="Table  - Style6 3 2 14" xfId="30440" xr:uid="{00000000-0005-0000-0000-0000B3730000}"/>
    <cellStyle name="Table  - Style6 3 2 15" xfId="30441" xr:uid="{00000000-0005-0000-0000-0000B4730000}"/>
    <cellStyle name="Table  - Style6 3 2 16" xfId="30442" xr:uid="{00000000-0005-0000-0000-0000B5730000}"/>
    <cellStyle name="Table  - Style6 3 2 17" xfId="30443" xr:uid="{00000000-0005-0000-0000-0000B6730000}"/>
    <cellStyle name="Table  - Style6 3 2 2" xfId="30444" xr:uid="{00000000-0005-0000-0000-0000B7730000}"/>
    <cellStyle name="Table  - Style6 3 2 2 10" xfId="30445" xr:uid="{00000000-0005-0000-0000-0000B8730000}"/>
    <cellStyle name="Table  - Style6 3 2 2 11" xfId="30446" xr:uid="{00000000-0005-0000-0000-0000B9730000}"/>
    <cellStyle name="Table  - Style6 3 2 2 12" xfId="30447" xr:uid="{00000000-0005-0000-0000-0000BA730000}"/>
    <cellStyle name="Table  - Style6 3 2 2 13" xfId="30448" xr:uid="{00000000-0005-0000-0000-0000BB730000}"/>
    <cellStyle name="Table  - Style6 3 2 2 14" xfId="30449" xr:uid="{00000000-0005-0000-0000-0000BC730000}"/>
    <cellStyle name="Table  - Style6 3 2 2 15" xfId="30450" xr:uid="{00000000-0005-0000-0000-0000BD730000}"/>
    <cellStyle name="Table  - Style6 3 2 2 16" xfId="30451" xr:uid="{00000000-0005-0000-0000-0000BE730000}"/>
    <cellStyle name="Table  - Style6 3 2 2 2" xfId="30452" xr:uid="{00000000-0005-0000-0000-0000BF730000}"/>
    <cellStyle name="Table  - Style6 3 2 2 3" xfId="30453" xr:uid="{00000000-0005-0000-0000-0000C0730000}"/>
    <cellStyle name="Table  - Style6 3 2 2 4" xfId="30454" xr:uid="{00000000-0005-0000-0000-0000C1730000}"/>
    <cellStyle name="Table  - Style6 3 2 2 5" xfId="30455" xr:uid="{00000000-0005-0000-0000-0000C2730000}"/>
    <cellStyle name="Table  - Style6 3 2 2 6" xfId="30456" xr:uid="{00000000-0005-0000-0000-0000C3730000}"/>
    <cellStyle name="Table  - Style6 3 2 2 7" xfId="30457" xr:uid="{00000000-0005-0000-0000-0000C4730000}"/>
    <cellStyle name="Table  - Style6 3 2 2 8" xfId="30458" xr:uid="{00000000-0005-0000-0000-0000C5730000}"/>
    <cellStyle name="Table  - Style6 3 2 2 9" xfId="30459" xr:uid="{00000000-0005-0000-0000-0000C6730000}"/>
    <cellStyle name="Table  - Style6 3 2 3" xfId="30460" xr:uid="{00000000-0005-0000-0000-0000C7730000}"/>
    <cellStyle name="Table  - Style6 3 2 4" xfId="30461" xr:uid="{00000000-0005-0000-0000-0000C8730000}"/>
    <cellStyle name="Table  - Style6 3 2 5" xfId="30462" xr:uid="{00000000-0005-0000-0000-0000C9730000}"/>
    <cellStyle name="Table  - Style6 3 2 6" xfId="30463" xr:uid="{00000000-0005-0000-0000-0000CA730000}"/>
    <cellStyle name="Table  - Style6 3 2 7" xfId="30464" xr:uid="{00000000-0005-0000-0000-0000CB730000}"/>
    <cellStyle name="Table  - Style6 3 2 8" xfId="30465" xr:uid="{00000000-0005-0000-0000-0000CC730000}"/>
    <cellStyle name="Table  - Style6 3 2 9" xfId="30466" xr:uid="{00000000-0005-0000-0000-0000CD730000}"/>
    <cellStyle name="Table  - Style6 3 20" xfId="30467" xr:uid="{00000000-0005-0000-0000-0000CE730000}"/>
    <cellStyle name="Table  - Style6 3 21" xfId="30468" xr:uid="{00000000-0005-0000-0000-0000CF730000}"/>
    <cellStyle name="Table  - Style6 3 22" xfId="30469" xr:uid="{00000000-0005-0000-0000-0000D0730000}"/>
    <cellStyle name="Table  - Style6 3 23" xfId="30470" xr:uid="{00000000-0005-0000-0000-0000D1730000}"/>
    <cellStyle name="Table  - Style6 3 24" xfId="30471" xr:uid="{00000000-0005-0000-0000-0000D2730000}"/>
    <cellStyle name="Table  - Style6 3 25" xfId="30472" xr:uid="{00000000-0005-0000-0000-0000D3730000}"/>
    <cellStyle name="Table  - Style6 3 26" xfId="30473" xr:uid="{00000000-0005-0000-0000-0000D4730000}"/>
    <cellStyle name="Table  - Style6 3 3" xfId="30474" xr:uid="{00000000-0005-0000-0000-0000D5730000}"/>
    <cellStyle name="Table  - Style6 3 3 10" xfId="30475" xr:uid="{00000000-0005-0000-0000-0000D6730000}"/>
    <cellStyle name="Table  - Style6 3 3 11" xfId="30476" xr:uid="{00000000-0005-0000-0000-0000D7730000}"/>
    <cellStyle name="Table  - Style6 3 3 12" xfId="30477" xr:uid="{00000000-0005-0000-0000-0000D8730000}"/>
    <cellStyle name="Table  - Style6 3 3 13" xfId="30478" xr:uid="{00000000-0005-0000-0000-0000D9730000}"/>
    <cellStyle name="Table  - Style6 3 3 14" xfId="30479" xr:uid="{00000000-0005-0000-0000-0000DA730000}"/>
    <cellStyle name="Table  - Style6 3 3 15" xfId="30480" xr:uid="{00000000-0005-0000-0000-0000DB730000}"/>
    <cellStyle name="Table  - Style6 3 3 16" xfId="30481" xr:uid="{00000000-0005-0000-0000-0000DC730000}"/>
    <cellStyle name="Table  - Style6 3 3 17" xfId="30482" xr:uid="{00000000-0005-0000-0000-0000DD730000}"/>
    <cellStyle name="Table  - Style6 3 3 2" xfId="30483" xr:uid="{00000000-0005-0000-0000-0000DE730000}"/>
    <cellStyle name="Table  - Style6 3 3 2 10" xfId="30484" xr:uid="{00000000-0005-0000-0000-0000DF730000}"/>
    <cellStyle name="Table  - Style6 3 3 2 11" xfId="30485" xr:uid="{00000000-0005-0000-0000-0000E0730000}"/>
    <cellStyle name="Table  - Style6 3 3 2 12" xfId="30486" xr:uid="{00000000-0005-0000-0000-0000E1730000}"/>
    <cellStyle name="Table  - Style6 3 3 2 13" xfId="30487" xr:uid="{00000000-0005-0000-0000-0000E2730000}"/>
    <cellStyle name="Table  - Style6 3 3 2 14" xfId="30488" xr:uid="{00000000-0005-0000-0000-0000E3730000}"/>
    <cellStyle name="Table  - Style6 3 3 2 15" xfId="30489" xr:uid="{00000000-0005-0000-0000-0000E4730000}"/>
    <cellStyle name="Table  - Style6 3 3 2 16" xfId="30490" xr:uid="{00000000-0005-0000-0000-0000E5730000}"/>
    <cellStyle name="Table  - Style6 3 3 2 2" xfId="30491" xr:uid="{00000000-0005-0000-0000-0000E6730000}"/>
    <cellStyle name="Table  - Style6 3 3 2 3" xfId="30492" xr:uid="{00000000-0005-0000-0000-0000E7730000}"/>
    <cellStyle name="Table  - Style6 3 3 2 4" xfId="30493" xr:uid="{00000000-0005-0000-0000-0000E8730000}"/>
    <cellStyle name="Table  - Style6 3 3 2 5" xfId="30494" xr:uid="{00000000-0005-0000-0000-0000E9730000}"/>
    <cellStyle name="Table  - Style6 3 3 2 6" xfId="30495" xr:uid="{00000000-0005-0000-0000-0000EA730000}"/>
    <cellStyle name="Table  - Style6 3 3 2 7" xfId="30496" xr:uid="{00000000-0005-0000-0000-0000EB730000}"/>
    <cellStyle name="Table  - Style6 3 3 2 8" xfId="30497" xr:uid="{00000000-0005-0000-0000-0000EC730000}"/>
    <cellStyle name="Table  - Style6 3 3 2 9" xfId="30498" xr:uid="{00000000-0005-0000-0000-0000ED730000}"/>
    <cellStyle name="Table  - Style6 3 3 3" xfId="30499" xr:uid="{00000000-0005-0000-0000-0000EE730000}"/>
    <cellStyle name="Table  - Style6 3 3 4" xfId="30500" xr:uid="{00000000-0005-0000-0000-0000EF730000}"/>
    <cellStyle name="Table  - Style6 3 3 5" xfId="30501" xr:uid="{00000000-0005-0000-0000-0000F0730000}"/>
    <cellStyle name="Table  - Style6 3 3 6" xfId="30502" xr:uid="{00000000-0005-0000-0000-0000F1730000}"/>
    <cellStyle name="Table  - Style6 3 3 7" xfId="30503" xr:uid="{00000000-0005-0000-0000-0000F2730000}"/>
    <cellStyle name="Table  - Style6 3 3 8" xfId="30504" xr:uid="{00000000-0005-0000-0000-0000F3730000}"/>
    <cellStyle name="Table  - Style6 3 3 9" xfId="30505" xr:uid="{00000000-0005-0000-0000-0000F4730000}"/>
    <cellStyle name="Table  - Style6 3 4" xfId="30506" xr:uid="{00000000-0005-0000-0000-0000F5730000}"/>
    <cellStyle name="Table  - Style6 3 4 10" xfId="30507" xr:uid="{00000000-0005-0000-0000-0000F6730000}"/>
    <cellStyle name="Table  - Style6 3 4 11" xfId="30508" xr:uid="{00000000-0005-0000-0000-0000F7730000}"/>
    <cellStyle name="Table  - Style6 3 4 12" xfId="30509" xr:uid="{00000000-0005-0000-0000-0000F8730000}"/>
    <cellStyle name="Table  - Style6 3 4 13" xfId="30510" xr:uid="{00000000-0005-0000-0000-0000F9730000}"/>
    <cellStyle name="Table  - Style6 3 4 14" xfId="30511" xr:uid="{00000000-0005-0000-0000-0000FA730000}"/>
    <cellStyle name="Table  - Style6 3 4 15" xfId="30512" xr:uid="{00000000-0005-0000-0000-0000FB730000}"/>
    <cellStyle name="Table  - Style6 3 4 16" xfId="30513" xr:uid="{00000000-0005-0000-0000-0000FC730000}"/>
    <cellStyle name="Table  - Style6 3 4 17" xfId="30514" xr:uid="{00000000-0005-0000-0000-0000FD730000}"/>
    <cellStyle name="Table  - Style6 3 4 2" xfId="30515" xr:uid="{00000000-0005-0000-0000-0000FE730000}"/>
    <cellStyle name="Table  - Style6 3 4 2 10" xfId="30516" xr:uid="{00000000-0005-0000-0000-0000FF730000}"/>
    <cellStyle name="Table  - Style6 3 4 2 11" xfId="30517" xr:uid="{00000000-0005-0000-0000-000000740000}"/>
    <cellStyle name="Table  - Style6 3 4 2 12" xfId="30518" xr:uid="{00000000-0005-0000-0000-000001740000}"/>
    <cellStyle name="Table  - Style6 3 4 2 13" xfId="30519" xr:uid="{00000000-0005-0000-0000-000002740000}"/>
    <cellStyle name="Table  - Style6 3 4 2 14" xfId="30520" xr:uid="{00000000-0005-0000-0000-000003740000}"/>
    <cellStyle name="Table  - Style6 3 4 2 15" xfId="30521" xr:uid="{00000000-0005-0000-0000-000004740000}"/>
    <cellStyle name="Table  - Style6 3 4 2 16" xfId="30522" xr:uid="{00000000-0005-0000-0000-000005740000}"/>
    <cellStyle name="Table  - Style6 3 4 2 2" xfId="30523" xr:uid="{00000000-0005-0000-0000-000006740000}"/>
    <cellStyle name="Table  - Style6 3 4 2 3" xfId="30524" xr:uid="{00000000-0005-0000-0000-000007740000}"/>
    <cellStyle name="Table  - Style6 3 4 2 4" xfId="30525" xr:uid="{00000000-0005-0000-0000-000008740000}"/>
    <cellStyle name="Table  - Style6 3 4 2 5" xfId="30526" xr:uid="{00000000-0005-0000-0000-000009740000}"/>
    <cellStyle name="Table  - Style6 3 4 2 6" xfId="30527" xr:uid="{00000000-0005-0000-0000-00000A740000}"/>
    <cellStyle name="Table  - Style6 3 4 2 7" xfId="30528" xr:uid="{00000000-0005-0000-0000-00000B740000}"/>
    <cellStyle name="Table  - Style6 3 4 2 8" xfId="30529" xr:uid="{00000000-0005-0000-0000-00000C740000}"/>
    <cellStyle name="Table  - Style6 3 4 2 9" xfId="30530" xr:uid="{00000000-0005-0000-0000-00000D740000}"/>
    <cellStyle name="Table  - Style6 3 4 3" xfId="30531" xr:uid="{00000000-0005-0000-0000-00000E740000}"/>
    <cellStyle name="Table  - Style6 3 4 4" xfId="30532" xr:uid="{00000000-0005-0000-0000-00000F740000}"/>
    <cellStyle name="Table  - Style6 3 4 5" xfId="30533" xr:uid="{00000000-0005-0000-0000-000010740000}"/>
    <cellStyle name="Table  - Style6 3 4 6" xfId="30534" xr:uid="{00000000-0005-0000-0000-000011740000}"/>
    <cellStyle name="Table  - Style6 3 4 7" xfId="30535" xr:uid="{00000000-0005-0000-0000-000012740000}"/>
    <cellStyle name="Table  - Style6 3 4 8" xfId="30536" xr:uid="{00000000-0005-0000-0000-000013740000}"/>
    <cellStyle name="Table  - Style6 3 4 9" xfId="30537" xr:uid="{00000000-0005-0000-0000-000014740000}"/>
    <cellStyle name="Table  - Style6 3 5" xfId="30538" xr:uid="{00000000-0005-0000-0000-000015740000}"/>
    <cellStyle name="Table  - Style6 3 5 10" xfId="30539" xr:uid="{00000000-0005-0000-0000-000016740000}"/>
    <cellStyle name="Table  - Style6 3 5 11" xfId="30540" xr:uid="{00000000-0005-0000-0000-000017740000}"/>
    <cellStyle name="Table  - Style6 3 5 12" xfId="30541" xr:uid="{00000000-0005-0000-0000-000018740000}"/>
    <cellStyle name="Table  - Style6 3 5 13" xfId="30542" xr:uid="{00000000-0005-0000-0000-000019740000}"/>
    <cellStyle name="Table  - Style6 3 5 14" xfId="30543" xr:uid="{00000000-0005-0000-0000-00001A740000}"/>
    <cellStyle name="Table  - Style6 3 5 15" xfId="30544" xr:uid="{00000000-0005-0000-0000-00001B740000}"/>
    <cellStyle name="Table  - Style6 3 5 16" xfId="30545" xr:uid="{00000000-0005-0000-0000-00001C740000}"/>
    <cellStyle name="Table  - Style6 3 5 17" xfId="30546" xr:uid="{00000000-0005-0000-0000-00001D740000}"/>
    <cellStyle name="Table  - Style6 3 5 2" xfId="30547" xr:uid="{00000000-0005-0000-0000-00001E740000}"/>
    <cellStyle name="Table  - Style6 3 5 2 10" xfId="30548" xr:uid="{00000000-0005-0000-0000-00001F740000}"/>
    <cellStyle name="Table  - Style6 3 5 2 11" xfId="30549" xr:uid="{00000000-0005-0000-0000-000020740000}"/>
    <cellStyle name="Table  - Style6 3 5 2 12" xfId="30550" xr:uid="{00000000-0005-0000-0000-000021740000}"/>
    <cellStyle name="Table  - Style6 3 5 2 13" xfId="30551" xr:uid="{00000000-0005-0000-0000-000022740000}"/>
    <cellStyle name="Table  - Style6 3 5 2 14" xfId="30552" xr:uid="{00000000-0005-0000-0000-000023740000}"/>
    <cellStyle name="Table  - Style6 3 5 2 15" xfId="30553" xr:uid="{00000000-0005-0000-0000-000024740000}"/>
    <cellStyle name="Table  - Style6 3 5 2 16" xfId="30554" xr:uid="{00000000-0005-0000-0000-000025740000}"/>
    <cellStyle name="Table  - Style6 3 5 2 2" xfId="30555" xr:uid="{00000000-0005-0000-0000-000026740000}"/>
    <cellStyle name="Table  - Style6 3 5 2 3" xfId="30556" xr:uid="{00000000-0005-0000-0000-000027740000}"/>
    <cellStyle name="Table  - Style6 3 5 2 4" xfId="30557" xr:uid="{00000000-0005-0000-0000-000028740000}"/>
    <cellStyle name="Table  - Style6 3 5 2 5" xfId="30558" xr:uid="{00000000-0005-0000-0000-000029740000}"/>
    <cellStyle name="Table  - Style6 3 5 2 6" xfId="30559" xr:uid="{00000000-0005-0000-0000-00002A740000}"/>
    <cellStyle name="Table  - Style6 3 5 2 7" xfId="30560" xr:uid="{00000000-0005-0000-0000-00002B740000}"/>
    <cellStyle name="Table  - Style6 3 5 2 8" xfId="30561" xr:uid="{00000000-0005-0000-0000-00002C740000}"/>
    <cellStyle name="Table  - Style6 3 5 2 9" xfId="30562" xr:uid="{00000000-0005-0000-0000-00002D740000}"/>
    <cellStyle name="Table  - Style6 3 5 3" xfId="30563" xr:uid="{00000000-0005-0000-0000-00002E740000}"/>
    <cellStyle name="Table  - Style6 3 5 4" xfId="30564" xr:uid="{00000000-0005-0000-0000-00002F740000}"/>
    <cellStyle name="Table  - Style6 3 5 5" xfId="30565" xr:uid="{00000000-0005-0000-0000-000030740000}"/>
    <cellStyle name="Table  - Style6 3 5 6" xfId="30566" xr:uid="{00000000-0005-0000-0000-000031740000}"/>
    <cellStyle name="Table  - Style6 3 5 7" xfId="30567" xr:uid="{00000000-0005-0000-0000-000032740000}"/>
    <cellStyle name="Table  - Style6 3 5 8" xfId="30568" xr:uid="{00000000-0005-0000-0000-000033740000}"/>
    <cellStyle name="Table  - Style6 3 5 9" xfId="30569" xr:uid="{00000000-0005-0000-0000-000034740000}"/>
    <cellStyle name="Table  - Style6 3 6" xfId="30570" xr:uid="{00000000-0005-0000-0000-000035740000}"/>
    <cellStyle name="Table  - Style6 3 6 10" xfId="30571" xr:uid="{00000000-0005-0000-0000-000036740000}"/>
    <cellStyle name="Table  - Style6 3 6 11" xfId="30572" xr:uid="{00000000-0005-0000-0000-000037740000}"/>
    <cellStyle name="Table  - Style6 3 6 12" xfId="30573" xr:uid="{00000000-0005-0000-0000-000038740000}"/>
    <cellStyle name="Table  - Style6 3 6 13" xfId="30574" xr:uid="{00000000-0005-0000-0000-000039740000}"/>
    <cellStyle name="Table  - Style6 3 6 14" xfId="30575" xr:uid="{00000000-0005-0000-0000-00003A740000}"/>
    <cellStyle name="Table  - Style6 3 6 15" xfId="30576" xr:uid="{00000000-0005-0000-0000-00003B740000}"/>
    <cellStyle name="Table  - Style6 3 6 16" xfId="30577" xr:uid="{00000000-0005-0000-0000-00003C740000}"/>
    <cellStyle name="Table  - Style6 3 6 17" xfId="30578" xr:uid="{00000000-0005-0000-0000-00003D740000}"/>
    <cellStyle name="Table  - Style6 3 6 2" xfId="30579" xr:uid="{00000000-0005-0000-0000-00003E740000}"/>
    <cellStyle name="Table  - Style6 3 6 2 10" xfId="30580" xr:uid="{00000000-0005-0000-0000-00003F740000}"/>
    <cellStyle name="Table  - Style6 3 6 2 11" xfId="30581" xr:uid="{00000000-0005-0000-0000-000040740000}"/>
    <cellStyle name="Table  - Style6 3 6 2 12" xfId="30582" xr:uid="{00000000-0005-0000-0000-000041740000}"/>
    <cellStyle name="Table  - Style6 3 6 2 13" xfId="30583" xr:uid="{00000000-0005-0000-0000-000042740000}"/>
    <cellStyle name="Table  - Style6 3 6 2 14" xfId="30584" xr:uid="{00000000-0005-0000-0000-000043740000}"/>
    <cellStyle name="Table  - Style6 3 6 2 15" xfId="30585" xr:uid="{00000000-0005-0000-0000-000044740000}"/>
    <cellStyle name="Table  - Style6 3 6 2 16" xfId="30586" xr:uid="{00000000-0005-0000-0000-000045740000}"/>
    <cellStyle name="Table  - Style6 3 6 2 2" xfId="30587" xr:uid="{00000000-0005-0000-0000-000046740000}"/>
    <cellStyle name="Table  - Style6 3 6 2 3" xfId="30588" xr:uid="{00000000-0005-0000-0000-000047740000}"/>
    <cellStyle name="Table  - Style6 3 6 2 4" xfId="30589" xr:uid="{00000000-0005-0000-0000-000048740000}"/>
    <cellStyle name="Table  - Style6 3 6 2 5" xfId="30590" xr:uid="{00000000-0005-0000-0000-000049740000}"/>
    <cellStyle name="Table  - Style6 3 6 2 6" xfId="30591" xr:uid="{00000000-0005-0000-0000-00004A740000}"/>
    <cellStyle name="Table  - Style6 3 6 2 7" xfId="30592" xr:uid="{00000000-0005-0000-0000-00004B740000}"/>
    <cellStyle name="Table  - Style6 3 6 2 8" xfId="30593" xr:uid="{00000000-0005-0000-0000-00004C740000}"/>
    <cellStyle name="Table  - Style6 3 6 2 9" xfId="30594" xr:uid="{00000000-0005-0000-0000-00004D740000}"/>
    <cellStyle name="Table  - Style6 3 6 3" xfId="30595" xr:uid="{00000000-0005-0000-0000-00004E740000}"/>
    <cellStyle name="Table  - Style6 3 6 4" xfId="30596" xr:uid="{00000000-0005-0000-0000-00004F740000}"/>
    <cellStyle name="Table  - Style6 3 6 5" xfId="30597" xr:uid="{00000000-0005-0000-0000-000050740000}"/>
    <cellStyle name="Table  - Style6 3 6 6" xfId="30598" xr:uid="{00000000-0005-0000-0000-000051740000}"/>
    <cellStyle name="Table  - Style6 3 6 7" xfId="30599" xr:uid="{00000000-0005-0000-0000-000052740000}"/>
    <cellStyle name="Table  - Style6 3 6 8" xfId="30600" xr:uid="{00000000-0005-0000-0000-000053740000}"/>
    <cellStyle name="Table  - Style6 3 6 9" xfId="30601" xr:uid="{00000000-0005-0000-0000-000054740000}"/>
    <cellStyle name="Table  - Style6 3 7" xfId="30602" xr:uid="{00000000-0005-0000-0000-000055740000}"/>
    <cellStyle name="Table  - Style6 3 7 10" xfId="30603" xr:uid="{00000000-0005-0000-0000-000056740000}"/>
    <cellStyle name="Table  - Style6 3 7 11" xfId="30604" xr:uid="{00000000-0005-0000-0000-000057740000}"/>
    <cellStyle name="Table  - Style6 3 7 12" xfId="30605" xr:uid="{00000000-0005-0000-0000-000058740000}"/>
    <cellStyle name="Table  - Style6 3 7 13" xfId="30606" xr:uid="{00000000-0005-0000-0000-000059740000}"/>
    <cellStyle name="Table  - Style6 3 7 14" xfId="30607" xr:uid="{00000000-0005-0000-0000-00005A740000}"/>
    <cellStyle name="Table  - Style6 3 7 15" xfId="30608" xr:uid="{00000000-0005-0000-0000-00005B740000}"/>
    <cellStyle name="Table  - Style6 3 7 16" xfId="30609" xr:uid="{00000000-0005-0000-0000-00005C740000}"/>
    <cellStyle name="Table  - Style6 3 7 17" xfId="30610" xr:uid="{00000000-0005-0000-0000-00005D740000}"/>
    <cellStyle name="Table  - Style6 3 7 2" xfId="30611" xr:uid="{00000000-0005-0000-0000-00005E740000}"/>
    <cellStyle name="Table  - Style6 3 7 2 10" xfId="30612" xr:uid="{00000000-0005-0000-0000-00005F740000}"/>
    <cellStyle name="Table  - Style6 3 7 2 11" xfId="30613" xr:uid="{00000000-0005-0000-0000-000060740000}"/>
    <cellStyle name="Table  - Style6 3 7 2 12" xfId="30614" xr:uid="{00000000-0005-0000-0000-000061740000}"/>
    <cellStyle name="Table  - Style6 3 7 2 13" xfId="30615" xr:uid="{00000000-0005-0000-0000-000062740000}"/>
    <cellStyle name="Table  - Style6 3 7 2 14" xfId="30616" xr:uid="{00000000-0005-0000-0000-000063740000}"/>
    <cellStyle name="Table  - Style6 3 7 2 15" xfId="30617" xr:uid="{00000000-0005-0000-0000-000064740000}"/>
    <cellStyle name="Table  - Style6 3 7 2 16" xfId="30618" xr:uid="{00000000-0005-0000-0000-000065740000}"/>
    <cellStyle name="Table  - Style6 3 7 2 2" xfId="30619" xr:uid="{00000000-0005-0000-0000-000066740000}"/>
    <cellStyle name="Table  - Style6 3 7 2 3" xfId="30620" xr:uid="{00000000-0005-0000-0000-000067740000}"/>
    <cellStyle name="Table  - Style6 3 7 2 4" xfId="30621" xr:uid="{00000000-0005-0000-0000-000068740000}"/>
    <cellStyle name="Table  - Style6 3 7 2 5" xfId="30622" xr:uid="{00000000-0005-0000-0000-000069740000}"/>
    <cellStyle name="Table  - Style6 3 7 2 6" xfId="30623" xr:uid="{00000000-0005-0000-0000-00006A740000}"/>
    <cellStyle name="Table  - Style6 3 7 2 7" xfId="30624" xr:uid="{00000000-0005-0000-0000-00006B740000}"/>
    <cellStyle name="Table  - Style6 3 7 2 8" xfId="30625" xr:uid="{00000000-0005-0000-0000-00006C740000}"/>
    <cellStyle name="Table  - Style6 3 7 2 9" xfId="30626" xr:uid="{00000000-0005-0000-0000-00006D740000}"/>
    <cellStyle name="Table  - Style6 3 7 3" xfId="30627" xr:uid="{00000000-0005-0000-0000-00006E740000}"/>
    <cellStyle name="Table  - Style6 3 7 4" xfId="30628" xr:uid="{00000000-0005-0000-0000-00006F740000}"/>
    <cellStyle name="Table  - Style6 3 7 5" xfId="30629" xr:uid="{00000000-0005-0000-0000-000070740000}"/>
    <cellStyle name="Table  - Style6 3 7 6" xfId="30630" xr:uid="{00000000-0005-0000-0000-000071740000}"/>
    <cellStyle name="Table  - Style6 3 7 7" xfId="30631" xr:uid="{00000000-0005-0000-0000-000072740000}"/>
    <cellStyle name="Table  - Style6 3 7 8" xfId="30632" xr:uid="{00000000-0005-0000-0000-000073740000}"/>
    <cellStyle name="Table  - Style6 3 7 9" xfId="30633" xr:uid="{00000000-0005-0000-0000-000074740000}"/>
    <cellStyle name="Table  - Style6 3 8" xfId="30634" xr:uid="{00000000-0005-0000-0000-000075740000}"/>
    <cellStyle name="Table  - Style6 3 8 10" xfId="30635" xr:uid="{00000000-0005-0000-0000-000076740000}"/>
    <cellStyle name="Table  - Style6 3 8 11" xfId="30636" xr:uid="{00000000-0005-0000-0000-000077740000}"/>
    <cellStyle name="Table  - Style6 3 8 12" xfId="30637" xr:uid="{00000000-0005-0000-0000-000078740000}"/>
    <cellStyle name="Table  - Style6 3 8 13" xfId="30638" xr:uid="{00000000-0005-0000-0000-000079740000}"/>
    <cellStyle name="Table  - Style6 3 8 14" xfId="30639" xr:uid="{00000000-0005-0000-0000-00007A740000}"/>
    <cellStyle name="Table  - Style6 3 8 15" xfId="30640" xr:uid="{00000000-0005-0000-0000-00007B740000}"/>
    <cellStyle name="Table  - Style6 3 8 16" xfId="30641" xr:uid="{00000000-0005-0000-0000-00007C740000}"/>
    <cellStyle name="Table  - Style6 3 8 17" xfId="30642" xr:uid="{00000000-0005-0000-0000-00007D740000}"/>
    <cellStyle name="Table  - Style6 3 8 2" xfId="30643" xr:uid="{00000000-0005-0000-0000-00007E740000}"/>
    <cellStyle name="Table  - Style6 3 8 2 10" xfId="30644" xr:uid="{00000000-0005-0000-0000-00007F740000}"/>
    <cellStyle name="Table  - Style6 3 8 2 11" xfId="30645" xr:uid="{00000000-0005-0000-0000-000080740000}"/>
    <cellStyle name="Table  - Style6 3 8 2 12" xfId="30646" xr:uid="{00000000-0005-0000-0000-000081740000}"/>
    <cellStyle name="Table  - Style6 3 8 2 13" xfId="30647" xr:uid="{00000000-0005-0000-0000-000082740000}"/>
    <cellStyle name="Table  - Style6 3 8 2 14" xfId="30648" xr:uid="{00000000-0005-0000-0000-000083740000}"/>
    <cellStyle name="Table  - Style6 3 8 2 15" xfId="30649" xr:uid="{00000000-0005-0000-0000-000084740000}"/>
    <cellStyle name="Table  - Style6 3 8 2 16" xfId="30650" xr:uid="{00000000-0005-0000-0000-000085740000}"/>
    <cellStyle name="Table  - Style6 3 8 2 2" xfId="30651" xr:uid="{00000000-0005-0000-0000-000086740000}"/>
    <cellStyle name="Table  - Style6 3 8 2 3" xfId="30652" xr:uid="{00000000-0005-0000-0000-000087740000}"/>
    <cellStyle name="Table  - Style6 3 8 2 4" xfId="30653" xr:uid="{00000000-0005-0000-0000-000088740000}"/>
    <cellStyle name="Table  - Style6 3 8 2 5" xfId="30654" xr:uid="{00000000-0005-0000-0000-000089740000}"/>
    <cellStyle name="Table  - Style6 3 8 2 6" xfId="30655" xr:uid="{00000000-0005-0000-0000-00008A740000}"/>
    <cellStyle name="Table  - Style6 3 8 2 7" xfId="30656" xr:uid="{00000000-0005-0000-0000-00008B740000}"/>
    <cellStyle name="Table  - Style6 3 8 2 8" xfId="30657" xr:uid="{00000000-0005-0000-0000-00008C740000}"/>
    <cellStyle name="Table  - Style6 3 8 2 9" xfId="30658" xr:uid="{00000000-0005-0000-0000-00008D740000}"/>
    <cellStyle name="Table  - Style6 3 8 3" xfId="30659" xr:uid="{00000000-0005-0000-0000-00008E740000}"/>
    <cellStyle name="Table  - Style6 3 8 4" xfId="30660" xr:uid="{00000000-0005-0000-0000-00008F740000}"/>
    <cellStyle name="Table  - Style6 3 8 5" xfId="30661" xr:uid="{00000000-0005-0000-0000-000090740000}"/>
    <cellStyle name="Table  - Style6 3 8 6" xfId="30662" xr:uid="{00000000-0005-0000-0000-000091740000}"/>
    <cellStyle name="Table  - Style6 3 8 7" xfId="30663" xr:uid="{00000000-0005-0000-0000-000092740000}"/>
    <cellStyle name="Table  - Style6 3 8 8" xfId="30664" xr:uid="{00000000-0005-0000-0000-000093740000}"/>
    <cellStyle name="Table  - Style6 3 8 9" xfId="30665" xr:uid="{00000000-0005-0000-0000-000094740000}"/>
    <cellStyle name="Table  - Style6 3 9" xfId="30666" xr:uid="{00000000-0005-0000-0000-000095740000}"/>
    <cellStyle name="Table  - Style6 3 9 10" xfId="30667" xr:uid="{00000000-0005-0000-0000-000096740000}"/>
    <cellStyle name="Table  - Style6 3 9 11" xfId="30668" xr:uid="{00000000-0005-0000-0000-000097740000}"/>
    <cellStyle name="Table  - Style6 3 9 12" xfId="30669" xr:uid="{00000000-0005-0000-0000-000098740000}"/>
    <cellStyle name="Table  - Style6 3 9 13" xfId="30670" xr:uid="{00000000-0005-0000-0000-000099740000}"/>
    <cellStyle name="Table  - Style6 3 9 14" xfId="30671" xr:uid="{00000000-0005-0000-0000-00009A740000}"/>
    <cellStyle name="Table  - Style6 3 9 15" xfId="30672" xr:uid="{00000000-0005-0000-0000-00009B740000}"/>
    <cellStyle name="Table  - Style6 3 9 16" xfId="30673" xr:uid="{00000000-0005-0000-0000-00009C740000}"/>
    <cellStyle name="Table  - Style6 3 9 17" xfId="30674" xr:uid="{00000000-0005-0000-0000-00009D740000}"/>
    <cellStyle name="Table  - Style6 3 9 2" xfId="30675" xr:uid="{00000000-0005-0000-0000-00009E740000}"/>
    <cellStyle name="Table  - Style6 3 9 2 10" xfId="30676" xr:uid="{00000000-0005-0000-0000-00009F740000}"/>
    <cellStyle name="Table  - Style6 3 9 2 11" xfId="30677" xr:uid="{00000000-0005-0000-0000-0000A0740000}"/>
    <cellStyle name="Table  - Style6 3 9 2 12" xfId="30678" xr:uid="{00000000-0005-0000-0000-0000A1740000}"/>
    <cellStyle name="Table  - Style6 3 9 2 13" xfId="30679" xr:uid="{00000000-0005-0000-0000-0000A2740000}"/>
    <cellStyle name="Table  - Style6 3 9 2 14" xfId="30680" xr:uid="{00000000-0005-0000-0000-0000A3740000}"/>
    <cellStyle name="Table  - Style6 3 9 2 15" xfId="30681" xr:uid="{00000000-0005-0000-0000-0000A4740000}"/>
    <cellStyle name="Table  - Style6 3 9 2 16" xfId="30682" xr:uid="{00000000-0005-0000-0000-0000A5740000}"/>
    <cellStyle name="Table  - Style6 3 9 2 2" xfId="30683" xr:uid="{00000000-0005-0000-0000-0000A6740000}"/>
    <cellStyle name="Table  - Style6 3 9 2 3" xfId="30684" xr:uid="{00000000-0005-0000-0000-0000A7740000}"/>
    <cellStyle name="Table  - Style6 3 9 2 4" xfId="30685" xr:uid="{00000000-0005-0000-0000-0000A8740000}"/>
    <cellStyle name="Table  - Style6 3 9 2 5" xfId="30686" xr:uid="{00000000-0005-0000-0000-0000A9740000}"/>
    <cellStyle name="Table  - Style6 3 9 2 6" xfId="30687" xr:uid="{00000000-0005-0000-0000-0000AA740000}"/>
    <cellStyle name="Table  - Style6 3 9 2 7" xfId="30688" xr:uid="{00000000-0005-0000-0000-0000AB740000}"/>
    <cellStyle name="Table  - Style6 3 9 2 8" xfId="30689" xr:uid="{00000000-0005-0000-0000-0000AC740000}"/>
    <cellStyle name="Table  - Style6 3 9 2 9" xfId="30690" xr:uid="{00000000-0005-0000-0000-0000AD740000}"/>
    <cellStyle name="Table  - Style6 3 9 3" xfId="30691" xr:uid="{00000000-0005-0000-0000-0000AE740000}"/>
    <cellStyle name="Table  - Style6 3 9 4" xfId="30692" xr:uid="{00000000-0005-0000-0000-0000AF740000}"/>
    <cellStyle name="Table  - Style6 3 9 5" xfId="30693" xr:uid="{00000000-0005-0000-0000-0000B0740000}"/>
    <cellStyle name="Table  - Style6 3 9 6" xfId="30694" xr:uid="{00000000-0005-0000-0000-0000B1740000}"/>
    <cellStyle name="Table  - Style6 3 9 7" xfId="30695" xr:uid="{00000000-0005-0000-0000-0000B2740000}"/>
    <cellStyle name="Table  - Style6 3 9 8" xfId="30696" xr:uid="{00000000-0005-0000-0000-0000B3740000}"/>
    <cellStyle name="Table  - Style6 3 9 9" xfId="30697" xr:uid="{00000000-0005-0000-0000-0000B4740000}"/>
    <cellStyle name="Table  - Style6 30" xfId="30698" xr:uid="{00000000-0005-0000-0000-0000B5740000}"/>
    <cellStyle name="Table  - Style6 31" xfId="30699" xr:uid="{00000000-0005-0000-0000-0000B6740000}"/>
    <cellStyle name="Table  - Style6 32" xfId="30700" xr:uid="{00000000-0005-0000-0000-0000B7740000}"/>
    <cellStyle name="Table  - Style6 4" xfId="30701" xr:uid="{00000000-0005-0000-0000-0000B8740000}"/>
    <cellStyle name="Table  - Style6 4 10" xfId="30702" xr:uid="{00000000-0005-0000-0000-0000B9740000}"/>
    <cellStyle name="Table  - Style6 4 10 10" xfId="30703" xr:uid="{00000000-0005-0000-0000-0000BA740000}"/>
    <cellStyle name="Table  - Style6 4 10 11" xfId="30704" xr:uid="{00000000-0005-0000-0000-0000BB740000}"/>
    <cellStyle name="Table  - Style6 4 10 12" xfId="30705" xr:uid="{00000000-0005-0000-0000-0000BC740000}"/>
    <cellStyle name="Table  - Style6 4 10 13" xfId="30706" xr:uid="{00000000-0005-0000-0000-0000BD740000}"/>
    <cellStyle name="Table  - Style6 4 10 14" xfId="30707" xr:uid="{00000000-0005-0000-0000-0000BE740000}"/>
    <cellStyle name="Table  - Style6 4 10 15" xfId="30708" xr:uid="{00000000-0005-0000-0000-0000BF740000}"/>
    <cellStyle name="Table  - Style6 4 10 16" xfId="30709" xr:uid="{00000000-0005-0000-0000-0000C0740000}"/>
    <cellStyle name="Table  - Style6 4 10 17" xfId="30710" xr:uid="{00000000-0005-0000-0000-0000C1740000}"/>
    <cellStyle name="Table  - Style6 4 10 2" xfId="30711" xr:uid="{00000000-0005-0000-0000-0000C2740000}"/>
    <cellStyle name="Table  - Style6 4 10 2 10" xfId="30712" xr:uid="{00000000-0005-0000-0000-0000C3740000}"/>
    <cellStyle name="Table  - Style6 4 10 2 11" xfId="30713" xr:uid="{00000000-0005-0000-0000-0000C4740000}"/>
    <cellStyle name="Table  - Style6 4 10 2 12" xfId="30714" xr:uid="{00000000-0005-0000-0000-0000C5740000}"/>
    <cellStyle name="Table  - Style6 4 10 2 13" xfId="30715" xr:uid="{00000000-0005-0000-0000-0000C6740000}"/>
    <cellStyle name="Table  - Style6 4 10 2 14" xfId="30716" xr:uid="{00000000-0005-0000-0000-0000C7740000}"/>
    <cellStyle name="Table  - Style6 4 10 2 15" xfId="30717" xr:uid="{00000000-0005-0000-0000-0000C8740000}"/>
    <cellStyle name="Table  - Style6 4 10 2 16" xfId="30718" xr:uid="{00000000-0005-0000-0000-0000C9740000}"/>
    <cellStyle name="Table  - Style6 4 10 2 2" xfId="30719" xr:uid="{00000000-0005-0000-0000-0000CA740000}"/>
    <cellStyle name="Table  - Style6 4 10 2 3" xfId="30720" xr:uid="{00000000-0005-0000-0000-0000CB740000}"/>
    <cellStyle name="Table  - Style6 4 10 2 4" xfId="30721" xr:uid="{00000000-0005-0000-0000-0000CC740000}"/>
    <cellStyle name="Table  - Style6 4 10 2 5" xfId="30722" xr:uid="{00000000-0005-0000-0000-0000CD740000}"/>
    <cellStyle name="Table  - Style6 4 10 2 6" xfId="30723" xr:uid="{00000000-0005-0000-0000-0000CE740000}"/>
    <cellStyle name="Table  - Style6 4 10 2 7" xfId="30724" xr:uid="{00000000-0005-0000-0000-0000CF740000}"/>
    <cellStyle name="Table  - Style6 4 10 2 8" xfId="30725" xr:uid="{00000000-0005-0000-0000-0000D0740000}"/>
    <cellStyle name="Table  - Style6 4 10 2 9" xfId="30726" xr:uid="{00000000-0005-0000-0000-0000D1740000}"/>
    <cellStyle name="Table  - Style6 4 10 3" xfId="30727" xr:uid="{00000000-0005-0000-0000-0000D2740000}"/>
    <cellStyle name="Table  - Style6 4 10 4" xfId="30728" xr:uid="{00000000-0005-0000-0000-0000D3740000}"/>
    <cellStyle name="Table  - Style6 4 10 5" xfId="30729" xr:uid="{00000000-0005-0000-0000-0000D4740000}"/>
    <cellStyle name="Table  - Style6 4 10 6" xfId="30730" xr:uid="{00000000-0005-0000-0000-0000D5740000}"/>
    <cellStyle name="Table  - Style6 4 10 7" xfId="30731" xr:uid="{00000000-0005-0000-0000-0000D6740000}"/>
    <cellStyle name="Table  - Style6 4 10 8" xfId="30732" xr:uid="{00000000-0005-0000-0000-0000D7740000}"/>
    <cellStyle name="Table  - Style6 4 10 9" xfId="30733" xr:uid="{00000000-0005-0000-0000-0000D8740000}"/>
    <cellStyle name="Table  - Style6 4 11" xfId="30734" xr:uid="{00000000-0005-0000-0000-0000D9740000}"/>
    <cellStyle name="Table  - Style6 4 11 10" xfId="30735" xr:uid="{00000000-0005-0000-0000-0000DA740000}"/>
    <cellStyle name="Table  - Style6 4 11 11" xfId="30736" xr:uid="{00000000-0005-0000-0000-0000DB740000}"/>
    <cellStyle name="Table  - Style6 4 11 12" xfId="30737" xr:uid="{00000000-0005-0000-0000-0000DC740000}"/>
    <cellStyle name="Table  - Style6 4 11 13" xfId="30738" xr:uid="{00000000-0005-0000-0000-0000DD740000}"/>
    <cellStyle name="Table  - Style6 4 11 14" xfId="30739" xr:uid="{00000000-0005-0000-0000-0000DE740000}"/>
    <cellStyle name="Table  - Style6 4 11 15" xfId="30740" xr:uid="{00000000-0005-0000-0000-0000DF740000}"/>
    <cellStyle name="Table  - Style6 4 11 16" xfId="30741" xr:uid="{00000000-0005-0000-0000-0000E0740000}"/>
    <cellStyle name="Table  - Style6 4 11 2" xfId="30742" xr:uid="{00000000-0005-0000-0000-0000E1740000}"/>
    <cellStyle name="Table  - Style6 4 11 3" xfId="30743" xr:uid="{00000000-0005-0000-0000-0000E2740000}"/>
    <cellStyle name="Table  - Style6 4 11 4" xfId="30744" xr:uid="{00000000-0005-0000-0000-0000E3740000}"/>
    <cellStyle name="Table  - Style6 4 11 5" xfId="30745" xr:uid="{00000000-0005-0000-0000-0000E4740000}"/>
    <cellStyle name="Table  - Style6 4 11 6" xfId="30746" xr:uid="{00000000-0005-0000-0000-0000E5740000}"/>
    <cellStyle name="Table  - Style6 4 11 7" xfId="30747" xr:uid="{00000000-0005-0000-0000-0000E6740000}"/>
    <cellStyle name="Table  - Style6 4 11 8" xfId="30748" xr:uid="{00000000-0005-0000-0000-0000E7740000}"/>
    <cellStyle name="Table  - Style6 4 11 9" xfId="30749" xr:uid="{00000000-0005-0000-0000-0000E8740000}"/>
    <cellStyle name="Table  - Style6 4 12" xfId="30750" xr:uid="{00000000-0005-0000-0000-0000E9740000}"/>
    <cellStyle name="Table  - Style6 4 13" xfId="30751" xr:uid="{00000000-0005-0000-0000-0000EA740000}"/>
    <cellStyle name="Table  - Style6 4 14" xfId="30752" xr:uid="{00000000-0005-0000-0000-0000EB740000}"/>
    <cellStyle name="Table  - Style6 4 15" xfId="30753" xr:uid="{00000000-0005-0000-0000-0000EC740000}"/>
    <cellStyle name="Table  - Style6 4 16" xfId="30754" xr:uid="{00000000-0005-0000-0000-0000ED740000}"/>
    <cellStyle name="Table  - Style6 4 17" xfId="30755" xr:uid="{00000000-0005-0000-0000-0000EE740000}"/>
    <cellStyle name="Table  - Style6 4 18" xfId="30756" xr:uid="{00000000-0005-0000-0000-0000EF740000}"/>
    <cellStyle name="Table  - Style6 4 19" xfId="30757" xr:uid="{00000000-0005-0000-0000-0000F0740000}"/>
    <cellStyle name="Table  - Style6 4 2" xfId="30758" xr:uid="{00000000-0005-0000-0000-0000F1740000}"/>
    <cellStyle name="Table  - Style6 4 2 10" xfId="30759" xr:uid="{00000000-0005-0000-0000-0000F2740000}"/>
    <cellStyle name="Table  - Style6 4 2 11" xfId="30760" xr:uid="{00000000-0005-0000-0000-0000F3740000}"/>
    <cellStyle name="Table  - Style6 4 2 12" xfId="30761" xr:uid="{00000000-0005-0000-0000-0000F4740000}"/>
    <cellStyle name="Table  - Style6 4 2 13" xfId="30762" xr:uid="{00000000-0005-0000-0000-0000F5740000}"/>
    <cellStyle name="Table  - Style6 4 2 14" xfId="30763" xr:uid="{00000000-0005-0000-0000-0000F6740000}"/>
    <cellStyle name="Table  - Style6 4 2 15" xfId="30764" xr:uid="{00000000-0005-0000-0000-0000F7740000}"/>
    <cellStyle name="Table  - Style6 4 2 16" xfId="30765" xr:uid="{00000000-0005-0000-0000-0000F8740000}"/>
    <cellStyle name="Table  - Style6 4 2 17" xfId="30766" xr:uid="{00000000-0005-0000-0000-0000F9740000}"/>
    <cellStyle name="Table  - Style6 4 2 2" xfId="30767" xr:uid="{00000000-0005-0000-0000-0000FA740000}"/>
    <cellStyle name="Table  - Style6 4 2 2 10" xfId="30768" xr:uid="{00000000-0005-0000-0000-0000FB740000}"/>
    <cellStyle name="Table  - Style6 4 2 2 11" xfId="30769" xr:uid="{00000000-0005-0000-0000-0000FC740000}"/>
    <cellStyle name="Table  - Style6 4 2 2 12" xfId="30770" xr:uid="{00000000-0005-0000-0000-0000FD740000}"/>
    <cellStyle name="Table  - Style6 4 2 2 13" xfId="30771" xr:uid="{00000000-0005-0000-0000-0000FE740000}"/>
    <cellStyle name="Table  - Style6 4 2 2 14" xfId="30772" xr:uid="{00000000-0005-0000-0000-0000FF740000}"/>
    <cellStyle name="Table  - Style6 4 2 2 15" xfId="30773" xr:uid="{00000000-0005-0000-0000-000000750000}"/>
    <cellStyle name="Table  - Style6 4 2 2 16" xfId="30774" xr:uid="{00000000-0005-0000-0000-000001750000}"/>
    <cellStyle name="Table  - Style6 4 2 2 2" xfId="30775" xr:uid="{00000000-0005-0000-0000-000002750000}"/>
    <cellStyle name="Table  - Style6 4 2 2 3" xfId="30776" xr:uid="{00000000-0005-0000-0000-000003750000}"/>
    <cellStyle name="Table  - Style6 4 2 2 4" xfId="30777" xr:uid="{00000000-0005-0000-0000-000004750000}"/>
    <cellStyle name="Table  - Style6 4 2 2 5" xfId="30778" xr:uid="{00000000-0005-0000-0000-000005750000}"/>
    <cellStyle name="Table  - Style6 4 2 2 6" xfId="30779" xr:uid="{00000000-0005-0000-0000-000006750000}"/>
    <cellStyle name="Table  - Style6 4 2 2 7" xfId="30780" xr:uid="{00000000-0005-0000-0000-000007750000}"/>
    <cellStyle name="Table  - Style6 4 2 2 8" xfId="30781" xr:uid="{00000000-0005-0000-0000-000008750000}"/>
    <cellStyle name="Table  - Style6 4 2 2 9" xfId="30782" xr:uid="{00000000-0005-0000-0000-000009750000}"/>
    <cellStyle name="Table  - Style6 4 2 3" xfId="30783" xr:uid="{00000000-0005-0000-0000-00000A750000}"/>
    <cellStyle name="Table  - Style6 4 2 4" xfId="30784" xr:uid="{00000000-0005-0000-0000-00000B750000}"/>
    <cellStyle name="Table  - Style6 4 2 5" xfId="30785" xr:uid="{00000000-0005-0000-0000-00000C750000}"/>
    <cellStyle name="Table  - Style6 4 2 6" xfId="30786" xr:uid="{00000000-0005-0000-0000-00000D750000}"/>
    <cellStyle name="Table  - Style6 4 2 7" xfId="30787" xr:uid="{00000000-0005-0000-0000-00000E750000}"/>
    <cellStyle name="Table  - Style6 4 2 8" xfId="30788" xr:uid="{00000000-0005-0000-0000-00000F750000}"/>
    <cellStyle name="Table  - Style6 4 2 9" xfId="30789" xr:uid="{00000000-0005-0000-0000-000010750000}"/>
    <cellStyle name="Table  - Style6 4 20" xfId="30790" xr:uid="{00000000-0005-0000-0000-000011750000}"/>
    <cellStyle name="Table  - Style6 4 21" xfId="30791" xr:uid="{00000000-0005-0000-0000-000012750000}"/>
    <cellStyle name="Table  - Style6 4 22" xfId="30792" xr:uid="{00000000-0005-0000-0000-000013750000}"/>
    <cellStyle name="Table  - Style6 4 23" xfId="30793" xr:uid="{00000000-0005-0000-0000-000014750000}"/>
    <cellStyle name="Table  - Style6 4 24" xfId="30794" xr:uid="{00000000-0005-0000-0000-000015750000}"/>
    <cellStyle name="Table  - Style6 4 25" xfId="30795" xr:uid="{00000000-0005-0000-0000-000016750000}"/>
    <cellStyle name="Table  - Style6 4 26" xfId="30796" xr:uid="{00000000-0005-0000-0000-000017750000}"/>
    <cellStyle name="Table  - Style6 4 3" xfId="30797" xr:uid="{00000000-0005-0000-0000-000018750000}"/>
    <cellStyle name="Table  - Style6 4 3 10" xfId="30798" xr:uid="{00000000-0005-0000-0000-000019750000}"/>
    <cellStyle name="Table  - Style6 4 3 11" xfId="30799" xr:uid="{00000000-0005-0000-0000-00001A750000}"/>
    <cellStyle name="Table  - Style6 4 3 12" xfId="30800" xr:uid="{00000000-0005-0000-0000-00001B750000}"/>
    <cellStyle name="Table  - Style6 4 3 13" xfId="30801" xr:uid="{00000000-0005-0000-0000-00001C750000}"/>
    <cellStyle name="Table  - Style6 4 3 14" xfId="30802" xr:uid="{00000000-0005-0000-0000-00001D750000}"/>
    <cellStyle name="Table  - Style6 4 3 15" xfId="30803" xr:uid="{00000000-0005-0000-0000-00001E750000}"/>
    <cellStyle name="Table  - Style6 4 3 16" xfId="30804" xr:uid="{00000000-0005-0000-0000-00001F750000}"/>
    <cellStyle name="Table  - Style6 4 3 17" xfId="30805" xr:uid="{00000000-0005-0000-0000-000020750000}"/>
    <cellStyle name="Table  - Style6 4 3 2" xfId="30806" xr:uid="{00000000-0005-0000-0000-000021750000}"/>
    <cellStyle name="Table  - Style6 4 3 2 10" xfId="30807" xr:uid="{00000000-0005-0000-0000-000022750000}"/>
    <cellStyle name="Table  - Style6 4 3 2 11" xfId="30808" xr:uid="{00000000-0005-0000-0000-000023750000}"/>
    <cellStyle name="Table  - Style6 4 3 2 12" xfId="30809" xr:uid="{00000000-0005-0000-0000-000024750000}"/>
    <cellStyle name="Table  - Style6 4 3 2 13" xfId="30810" xr:uid="{00000000-0005-0000-0000-000025750000}"/>
    <cellStyle name="Table  - Style6 4 3 2 14" xfId="30811" xr:uid="{00000000-0005-0000-0000-000026750000}"/>
    <cellStyle name="Table  - Style6 4 3 2 15" xfId="30812" xr:uid="{00000000-0005-0000-0000-000027750000}"/>
    <cellStyle name="Table  - Style6 4 3 2 16" xfId="30813" xr:uid="{00000000-0005-0000-0000-000028750000}"/>
    <cellStyle name="Table  - Style6 4 3 2 2" xfId="30814" xr:uid="{00000000-0005-0000-0000-000029750000}"/>
    <cellStyle name="Table  - Style6 4 3 2 3" xfId="30815" xr:uid="{00000000-0005-0000-0000-00002A750000}"/>
    <cellStyle name="Table  - Style6 4 3 2 4" xfId="30816" xr:uid="{00000000-0005-0000-0000-00002B750000}"/>
    <cellStyle name="Table  - Style6 4 3 2 5" xfId="30817" xr:uid="{00000000-0005-0000-0000-00002C750000}"/>
    <cellStyle name="Table  - Style6 4 3 2 6" xfId="30818" xr:uid="{00000000-0005-0000-0000-00002D750000}"/>
    <cellStyle name="Table  - Style6 4 3 2 7" xfId="30819" xr:uid="{00000000-0005-0000-0000-00002E750000}"/>
    <cellStyle name="Table  - Style6 4 3 2 8" xfId="30820" xr:uid="{00000000-0005-0000-0000-00002F750000}"/>
    <cellStyle name="Table  - Style6 4 3 2 9" xfId="30821" xr:uid="{00000000-0005-0000-0000-000030750000}"/>
    <cellStyle name="Table  - Style6 4 3 3" xfId="30822" xr:uid="{00000000-0005-0000-0000-000031750000}"/>
    <cellStyle name="Table  - Style6 4 3 4" xfId="30823" xr:uid="{00000000-0005-0000-0000-000032750000}"/>
    <cellStyle name="Table  - Style6 4 3 5" xfId="30824" xr:uid="{00000000-0005-0000-0000-000033750000}"/>
    <cellStyle name="Table  - Style6 4 3 6" xfId="30825" xr:uid="{00000000-0005-0000-0000-000034750000}"/>
    <cellStyle name="Table  - Style6 4 3 7" xfId="30826" xr:uid="{00000000-0005-0000-0000-000035750000}"/>
    <cellStyle name="Table  - Style6 4 3 8" xfId="30827" xr:uid="{00000000-0005-0000-0000-000036750000}"/>
    <cellStyle name="Table  - Style6 4 3 9" xfId="30828" xr:uid="{00000000-0005-0000-0000-000037750000}"/>
    <cellStyle name="Table  - Style6 4 4" xfId="30829" xr:uid="{00000000-0005-0000-0000-000038750000}"/>
    <cellStyle name="Table  - Style6 4 4 10" xfId="30830" xr:uid="{00000000-0005-0000-0000-000039750000}"/>
    <cellStyle name="Table  - Style6 4 4 11" xfId="30831" xr:uid="{00000000-0005-0000-0000-00003A750000}"/>
    <cellStyle name="Table  - Style6 4 4 12" xfId="30832" xr:uid="{00000000-0005-0000-0000-00003B750000}"/>
    <cellStyle name="Table  - Style6 4 4 13" xfId="30833" xr:uid="{00000000-0005-0000-0000-00003C750000}"/>
    <cellStyle name="Table  - Style6 4 4 14" xfId="30834" xr:uid="{00000000-0005-0000-0000-00003D750000}"/>
    <cellStyle name="Table  - Style6 4 4 15" xfId="30835" xr:uid="{00000000-0005-0000-0000-00003E750000}"/>
    <cellStyle name="Table  - Style6 4 4 16" xfId="30836" xr:uid="{00000000-0005-0000-0000-00003F750000}"/>
    <cellStyle name="Table  - Style6 4 4 17" xfId="30837" xr:uid="{00000000-0005-0000-0000-000040750000}"/>
    <cellStyle name="Table  - Style6 4 4 2" xfId="30838" xr:uid="{00000000-0005-0000-0000-000041750000}"/>
    <cellStyle name="Table  - Style6 4 4 2 10" xfId="30839" xr:uid="{00000000-0005-0000-0000-000042750000}"/>
    <cellStyle name="Table  - Style6 4 4 2 11" xfId="30840" xr:uid="{00000000-0005-0000-0000-000043750000}"/>
    <cellStyle name="Table  - Style6 4 4 2 12" xfId="30841" xr:uid="{00000000-0005-0000-0000-000044750000}"/>
    <cellStyle name="Table  - Style6 4 4 2 13" xfId="30842" xr:uid="{00000000-0005-0000-0000-000045750000}"/>
    <cellStyle name="Table  - Style6 4 4 2 14" xfId="30843" xr:uid="{00000000-0005-0000-0000-000046750000}"/>
    <cellStyle name="Table  - Style6 4 4 2 15" xfId="30844" xr:uid="{00000000-0005-0000-0000-000047750000}"/>
    <cellStyle name="Table  - Style6 4 4 2 16" xfId="30845" xr:uid="{00000000-0005-0000-0000-000048750000}"/>
    <cellStyle name="Table  - Style6 4 4 2 2" xfId="30846" xr:uid="{00000000-0005-0000-0000-000049750000}"/>
    <cellStyle name="Table  - Style6 4 4 2 3" xfId="30847" xr:uid="{00000000-0005-0000-0000-00004A750000}"/>
    <cellStyle name="Table  - Style6 4 4 2 4" xfId="30848" xr:uid="{00000000-0005-0000-0000-00004B750000}"/>
    <cellStyle name="Table  - Style6 4 4 2 5" xfId="30849" xr:uid="{00000000-0005-0000-0000-00004C750000}"/>
    <cellStyle name="Table  - Style6 4 4 2 6" xfId="30850" xr:uid="{00000000-0005-0000-0000-00004D750000}"/>
    <cellStyle name="Table  - Style6 4 4 2 7" xfId="30851" xr:uid="{00000000-0005-0000-0000-00004E750000}"/>
    <cellStyle name="Table  - Style6 4 4 2 8" xfId="30852" xr:uid="{00000000-0005-0000-0000-00004F750000}"/>
    <cellStyle name="Table  - Style6 4 4 2 9" xfId="30853" xr:uid="{00000000-0005-0000-0000-000050750000}"/>
    <cellStyle name="Table  - Style6 4 4 3" xfId="30854" xr:uid="{00000000-0005-0000-0000-000051750000}"/>
    <cellStyle name="Table  - Style6 4 4 4" xfId="30855" xr:uid="{00000000-0005-0000-0000-000052750000}"/>
    <cellStyle name="Table  - Style6 4 4 5" xfId="30856" xr:uid="{00000000-0005-0000-0000-000053750000}"/>
    <cellStyle name="Table  - Style6 4 4 6" xfId="30857" xr:uid="{00000000-0005-0000-0000-000054750000}"/>
    <cellStyle name="Table  - Style6 4 4 7" xfId="30858" xr:uid="{00000000-0005-0000-0000-000055750000}"/>
    <cellStyle name="Table  - Style6 4 4 8" xfId="30859" xr:uid="{00000000-0005-0000-0000-000056750000}"/>
    <cellStyle name="Table  - Style6 4 4 9" xfId="30860" xr:uid="{00000000-0005-0000-0000-000057750000}"/>
    <cellStyle name="Table  - Style6 4 5" xfId="30861" xr:uid="{00000000-0005-0000-0000-000058750000}"/>
    <cellStyle name="Table  - Style6 4 5 10" xfId="30862" xr:uid="{00000000-0005-0000-0000-000059750000}"/>
    <cellStyle name="Table  - Style6 4 5 11" xfId="30863" xr:uid="{00000000-0005-0000-0000-00005A750000}"/>
    <cellStyle name="Table  - Style6 4 5 12" xfId="30864" xr:uid="{00000000-0005-0000-0000-00005B750000}"/>
    <cellStyle name="Table  - Style6 4 5 13" xfId="30865" xr:uid="{00000000-0005-0000-0000-00005C750000}"/>
    <cellStyle name="Table  - Style6 4 5 14" xfId="30866" xr:uid="{00000000-0005-0000-0000-00005D750000}"/>
    <cellStyle name="Table  - Style6 4 5 15" xfId="30867" xr:uid="{00000000-0005-0000-0000-00005E750000}"/>
    <cellStyle name="Table  - Style6 4 5 16" xfId="30868" xr:uid="{00000000-0005-0000-0000-00005F750000}"/>
    <cellStyle name="Table  - Style6 4 5 17" xfId="30869" xr:uid="{00000000-0005-0000-0000-000060750000}"/>
    <cellStyle name="Table  - Style6 4 5 2" xfId="30870" xr:uid="{00000000-0005-0000-0000-000061750000}"/>
    <cellStyle name="Table  - Style6 4 5 2 10" xfId="30871" xr:uid="{00000000-0005-0000-0000-000062750000}"/>
    <cellStyle name="Table  - Style6 4 5 2 11" xfId="30872" xr:uid="{00000000-0005-0000-0000-000063750000}"/>
    <cellStyle name="Table  - Style6 4 5 2 12" xfId="30873" xr:uid="{00000000-0005-0000-0000-000064750000}"/>
    <cellStyle name="Table  - Style6 4 5 2 13" xfId="30874" xr:uid="{00000000-0005-0000-0000-000065750000}"/>
    <cellStyle name="Table  - Style6 4 5 2 14" xfId="30875" xr:uid="{00000000-0005-0000-0000-000066750000}"/>
    <cellStyle name="Table  - Style6 4 5 2 15" xfId="30876" xr:uid="{00000000-0005-0000-0000-000067750000}"/>
    <cellStyle name="Table  - Style6 4 5 2 16" xfId="30877" xr:uid="{00000000-0005-0000-0000-000068750000}"/>
    <cellStyle name="Table  - Style6 4 5 2 2" xfId="30878" xr:uid="{00000000-0005-0000-0000-000069750000}"/>
    <cellStyle name="Table  - Style6 4 5 2 3" xfId="30879" xr:uid="{00000000-0005-0000-0000-00006A750000}"/>
    <cellStyle name="Table  - Style6 4 5 2 4" xfId="30880" xr:uid="{00000000-0005-0000-0000-00006B750000}"/>
    <cellStyle name="Table  - Style6 4 5 2 5" xfId="30881" xr:uid="{00000000-0005-0000-0000-00006C750000}"/>
    <cellStyle name="Table  - Style6 4 5 2 6" xfId="30882" xr:uid="{00000000-0005-0000-0000-00006D750000}"/>
    <cellStyle name="Table  - Style6 4 5 2 7" xfId="30883" xr:uid="{00000000-0005-0000-0000-00006E750000}"/>
    <cellStyle name="Table  - Style6 4 5 2 8" xfId="30884" xr:uid="{00000000-0005-0000-0000-00006F750000}"/>
    <cellStyle name="Table  - Style6 4 5 2 9" xfId="30885" xr:uid="{00000000-0005-0000-0000-000070750000}"/>
    <cellStyle name="Table  - Style6 4 5 3" xfId="30886" xr:uid="{00000000-0005-0000-0000-000071750000}"/>
    <cellStyle name="Table  - Style6 4 5 4" xfId="30887" xr:uid="{00000000-0005-0000-0000-000072750000}"/>
    <cellStyle name="Table  - Style6 4 5 5" xfId="30888" xr:uid="{00000000-0005-0000-0000-000073750000}"/>
    <cellStyle name="Table  - Style6 4 5 6" xfId="30889" xr:uid="{00000000-0005-0000-0000-000074750000}"/>
    <cellStyle name="Table  - Style6 4 5 7" xfId="30890" xr:uid="{00000000-0005-0000-0000-000075750000}"/>
    <cellStyle name="Table  - Style6 4 5 8" xfId="30891" xr:uid="{00000000-0005-0000-0000-000076750000}"/>
    <cellStyle name="Table  - Style6 4 5 9" xfId="30892" xr:uid="{00000000-0005-0000-0000-000077750000}"/>
    <cellStyle name="Table  - Style6 4 6" xfId="30893" xr:uid="{00000000-0005-0000-0000-000078750000}"/>
    <cellStyle name="Table  - Style6 4 6 10" xfId="30894" xr:uid="{00000000-0005-0000-0000-000079750000}"/>
    <cellStyle name="Table  - Style6 4 6 11" xfId="30895" xr:uid="{00000000-0005-0000-0000-00007A750000}"/>
    <cellStyle name="Table  - Style6 4 6 12" xfId="30896" xr:uid="{00000000-0005-0000-0000-00007B750000}"/>
    <cellStyle name="Table  - Style6 4 6 13" xfId="30897" xr:uid="{00000000-0005-0000-0000-00007C750000}"/>
    <cellStyle name="Table  - Style6 4 6 14" xfId="30898" xr:uid="{00000000-0005-0000-0000-00007D750000}"/>
    <cellStyle name="Table  - Style6 4 6 15" xfId="30899" xr:uid="{00000000-0005-0000-0000-00007E750000}"/>
    <cellStyle name="Table  - Style6 4 6 16" xfId="30900" xr:uid="{00000000-0005-0000-0000-00007F750000}"/>
    <cellStyle name="Table  - Style6 4 6 17" xfId="30901" xr:uid="{00000000-0005-0000-0000-000080750000}"/>
    <cellStyle name="Table  - Style6 4 6 2" xfId="30902" xr:uid="{00000000-0005-0000-0000-000081750000}"/>
    <cellStyle name="Table  - Style6 4 6 2 10" xfId="30903" xr:uid="{00000000-0005-0000-0000-000082750000}"/>
    <cellStyle name="Table  - Style6 4 6 2 11" xfId="30904" xr:uid="{00000000-0005-0000-0000-000083750000}"/>
    <cellStyle name="Table  - Style6 4 6 2 12" xfId="30905" xr:uid="{00000000-0005-0000-0000-000084750000}"/>
    <cellStyle name="Table  - Style6 4 6 2 13" xfId="30906" xr:uid="{00000000-0005-0000-0000-000085750000}"/>
    <cellStyle name="Table  - Style6 4 6 2 14" xfId="30907" xr:uid="{00000000-0005-0000-0000-000086750000}"/>
    <cellStyle name="Table  - Style6 4 6 2 15" xfId="30908" xr:uid="{00000000-0005-0000-0000-000087750000}"/>
    <cellStyle name="Table  - Style6 4 6 2 16" xfId="30909" xr:uid="{00000000-0005-0000-0000-000088750000}"/>
    <cellStyle name="Table  - Style6 4 6 2 2" xfId="30910" xr:uid="{00000000-0005-0000-0000-000089750000}"/>
    <cellStyle name="Table  - Style6 4 6 2 3" xfId="30911" xr:uid="{00000000-0005-0000-0000-00008A750000}"/>
    <cellStyle name="Table  - Style6 4 6 2 4" xfId="30912" xr:uid="{00000000-0005-0000-0000-00008B750000}"/>
    <cellStyle name="Table  - Style6 4 6 2 5" xfId="30913" xr:uid="{00000000-0005-0000-0000-00008C750000}"/>
    <cellStyle name="Table  - Style6 4 6 2 6" xfId="30914" xr:uid="{00000000-0005-0000-0000-00008D750000}"/>
    <cellStyle name="Table  - Style6 4 6 2 7" xfId="30915" xr:uid="{00000000-0005-0000-0000-00008E750000}"/>
    <cellStyle name="Table  - Style6 4 6 2 8" xfId="30916" xr:uid="{00000000-0005-0000-0000-00008F750000}"/>
    <cellStyle name="Table  - Style6 4 6 2 9" xfId="30917" xr:uid="{00000000-0005-0000-0000-000090750000}"/>
    <cellStyle name="Table  - Style6 4 6 3" xfId="30918" xr:uid="{00000000-0005-0000-0000-000091750000}"/>
    <cellStyle name="Table  - Style6 4 6 4" xfId="30919" xr:uid="{00000000-0005-0000-0000-000092750000}"/>
    <cellStyle name="Table  - Style6 4 6 5" xfId="30920" xr:uid="{00000000-0005-0000-0000-000093750000}"/>
    <cellStyle name="Table  - Style6 4 6 6" xfId="30921" xr:uid="{00000000-0005-0000-0000-000094750000}"/>
    <cellStyle name="Table  - Style6 4 6 7" xfId="30922" xr:uid="{00000000-0005-0000-0000-000095750000}"/>
    <cellStyle name="Table  - Style6 4 6 8" xfId="30923" xr:uid="{00000000-0005-0000-0000-000096750000}"/>
    <cellStyle name="Table  - Style6 4 6 9" xfId="30924" xr:uid="{00000000-0005-0000-0000-000097750000}"/>
    <cellStyle name="Table  - Style6 4 7" xfId="30925" xr:uid="{00000000-0005-0000-0000-000098750000}"/>
    <cellStyle name="Table  - Style6 4 7 10" xfId="30926" xr:uid="{00000000-0005-0000-0000-000099750000}"/>
    <cellStyle name="Table  - Style6 4 7 11" xfId="30927" xr:uid="{00000000-0005-0000-0000-00009A750000}"/>
    <cellStyle name="Table  - Style6 4 7 12" xfId="30928" xr:uid="{00000000-0005-0000-0000-00009B750000}"/>
    <cellStyle name="Table  - Style6 4 7 13" xfId="30929" xr:uid="{00000000-0005-0000-0000-00009C750000}"/>
    <cellStyle name="Table  - Style6 4 7 14" xfId="30930" xr:uid="{00000000-0005-0000-0000-00009D750000}"/>
    <cellStyle name="Table  - Style6 4 7 15" xfId="30931" xr:uid="{00000000-0005-0000-0000-00009E750000}"/>
    <cellStyle name="Table  - Style6 4 7 16" xfId="30932" xr:uid="{00000000-0005-0000-0000-00009F750000}"/>
    <cellStyle name="Table  - Style6 4 7 17" xfId="30933" xr:uid="{00000000-0005-0000-0000-0000A0750000}"/>
    <cellStyle name="Table  - Style6 4 7 2" xfId="30934" xr:uid="{00000000-0005-0000-0000-0000A1750000}"/>
    <cellStyle name="Table  - Style6 4 7 2 10" xfId="30935" xr:uid="{00000000-0005-0000-0000-0000A2750000}"/>
    <cellStyle name="Table  - Style6 4 7 2 11" xfId="30936" xr:uid="{00000000-0005-0000-0000-0000A3750000}"/>
    <cellStyle name="Table  - Style6 4 7 2 12" xfId="30937" xr:uid="{00000000-0005-0000-0000-0000A4750000}"/>
    <cellStyle name="Table  - Style6 4 7 2 13" xfId="30938" xr:uid="{00000000-0005-0000-0000-0000A5750000}"/>
    <cellStyle name="Table  - Style6 4 7 2 14" xfId="30939" xr:uid="{00000000-0005-0000-0000-0000A6750000}"/>
    <cellStyle name="Table  - Style6 4 7 2 15" xfId="30940" xr:uid="{00000000-0005-0000-0000-0000A7750000}"/>
    <cellStyle name="Table  - Style6 4 7 2 16" xfId="30941" xr:uid="{00000000-0005-0000-0000-0000A8750000}"/>
    <cellStyle name="Table  - Style6 4 7 2 2" xfId="30942" xr:uid="{00000000-0005-0000-0000-0000A9750000}"/>
    <cellStyle name="Table  - Style6 4 7 2 3" xfId="30943" xr:uid="{00000000-0005-0000-0000-0000AA750000}"/>
    <cellStyle name="Table  - Style6 4 7 2 4" xfId="30944" xr:uid="{00000000-0005-0000-0000-0000AB750000}"/>
    <cellStyle name="Table  - Style6 4 7 2 5" xfId="30945" xr:uid="{00000000-0005-0000-0000-0000AC750000}"/>
    <cellStyle name="Table  - Style6 4 7 2 6" xfId="30946" xr:uid="{00000000-0005-0000-0000-0000AD750000}"/>
    <cellStyle name="Table  - Style6 4 7 2 7" xfId="30947" xr:uid="{00000000-0005-0000-0000-0000AE750000}"/>
    <cellStyle name="Table  - Style6 4 7 2 8" xfId="30948" xr:uid="{00000000-0005-0000-0000-0000AF750000}"/>
    <cellStyle name="Table  - Style6 4 7 2 9" xfId="30949" xr:uid="{00000000-0005-0000-0000-0000B0750000}"/>
    <cellStyle name="Table  - Style6 4 7 3" xfId="30950" xr:uid="{00000000-0005-0000-0000-0000B1750000}"/>
    <cellStyle name="Table  - Style6 4 7 4" xfId="30951" xr:uid="{00000000-0005-0000-0000-0000B2750000}"/>
    <cellStyle name="Table  - Style6 4 7 5" xfId="30952" xr:uid="{00000000-0005-0000-0000-0000B3750000}"/>
    <cellStyle name="Table  - Style6 4 7 6" xfId="30953" xr:uid="{00000000-0005-0000-0000-0000B4750000}"/>
    <cellStyle name="Table  - Style6 4 7 7" xfId="30954" xr:uid="{00000000-0005-0000-0000-0000B5750000}"/>
    <cellStyle name="Table  - Style6 4 7 8" xfId="30955" xr:uid="{00000000-0005-0000-0000-0000B6750000}"/>
    <cellStyle name="Table  - Style6 4 7 9" xfId="30956" xr:uid="{00000000-0005-0000-0000-0000B7750000}"/>
    <cellStyle name="Table  - Style6 4 8" xfId="30957" xr:uid="{00000000-0005-0000-0000-0000B8750000}"/>
    <cellStyle name="Table  - Style6 4 8 10" xfId="30958" xr:uid="{00000000-0005-0000-0000-0000B9750000}"/>
    <cellStyle name="Table  - Style6 4 8 11" xfId="30959" xr:uid="{00000000-0005-0000-0000-0000BA750000}"/>
    <cellStyle name="Table  - Style6 4 8 12" xfId="30960" xr:uid="{00000000-0005-0000-0000-0000BB750000}"/>
    <cellStyle name="Table  - Style6 4 8 13" xfId="30961" xr:uid="{00000000-0005-0000-0000-0000BC750000}"/>
    <cellStyle name="Table  - Style6 4 8 14" xfId="30962" xr:uid="{00000000-0005-0000-0000-0000BD750000}"/>
    <cellStyle name="Table  - Style6 4 8 15" xfId="30963" xr:uid="{00000000-0005-0000-0000-0000BE750000}"/>
    <cellStyle name="Table  - Style6 4 8 16" xfId="30964" xr:uid="{00000000-0005-0000-0000-0000BF750000}"/>
    <cellStyle name="Table  - Style6 4 8 17" xfId="30965" xr:uid="{00000000-0005-0000-0000-0000C0750000}"/>
    <cellStyle name="Table  - Style6 4 8 2" xfId="30966" xr:uid="{00000000-0005-0000-0000-0000C1750000}"/>
    <cellStyle name="Table  - Style6 4 8 2 10" xfId="30967" xr:uid="{00000000-0005-0000-0000-0000C2750000}"/>
    <cellStyle name="Table  - Style6 4 8 2 11" xfId="30968" xr:uid="{00000000-0005-0000-0000-0000C3750000}"/>
    <cellStyle name="Table  - Style6 4 8 2 12" xfId="30969" xr:uid="{00000000-0005-0000-0000-0000C4750000}"/>
    <cellStyle name="Table  - Style6 4 8 2 13" xfId="30970" xr:uid="{00000000-0005-0000-0000-0000C5750000}"/>
    <cellStyle name="Table  - Style6 4 8 2 14" xfId="30971" xr:uid="{00000000-0005-0000-0000-0000C6750000}"/>
    <cellStyle name="Table  - Style6 4 8 2 15" xfId="30972" xr:uid="{00000000-0005-0000-0000-0000C7750000}"/>
    <cellStyle name="Table  - Style6 4 8 2 16" xfId="30973" xr:uid="{00000000-0005-0000-0000-0000C8750000}"/>
    <cellStyle name="Table  - Style6 4 8 2 2" xfId="30974" xr:uid="{00000000-0005-0000-0000-0000C9750000}"/>
    <cellStyle name="Table  - Style6 4 8 2 3" xfId="30975" xr:uid="{00000000-0005-0000-0000-0000CA750000}"/>
    <cellStyle name="Table  - Style6 4 8 2 4" xfId="30976" xr:uid="{00000000-0005-0000-0000-0000CB750000}"/>
    <cellStyle name="Table  - Style6 4 8 2 5" xfId="30977" xr:uid="{00000000-0005-0000-0000-0000CC750000}"/>
    <cellStyle name="Table  - Style6 4 8 2 6" xfId="30978" xr:uid="{00000000-0005-0000-0000-0000CD750000}"/>
    <cellStyle name="Table  - Style6 4 8 2 7" xfId="30979" xr:uid="{00000000-0005-0000-0000-0000CE750000}"/>
    <cellStyle name="Table  - Style6 4 8 2 8" xfId="30980" xr:uid="{00000000-0005-0000-0000-0000CF750000}"/>
    <cellStyle name="Table  - Style6 4 8 2 9" xfId="30981" xr:uid="{00000000-0005-0000-0000-0000D0750000}"/>
    <cellStyle name="Table  - Style6 4 8 3" xfId="30982" xr:uid="{00000000-0005-0000-0000-0000D1750000}"/>
    <cellStyle name="Table  - Style6 4 8 4" xfId="30983" xr:uid="{00000000-0005-0000-0000-0000D2750000}"/>
    <cellStyle name="Table  - Style6 4 8 5" xfId="30984" xr:uid="{00000000-0005-0000-0000-0000D3750000}"/>
    <cellStyle name="Table  - Style6 4 8 6" xfId="30985" xr:uid="{00000000-0005-0000-0000-0000D4750000}"/>
    <cellStyle name="Table  - Style6 4 8 7" xfId="30986" xr:uid="{00000000-0005-0000-0000-0000D5750000}"/>
    <cellStyle name="Table  - Style6 4 8 8" xfId="30987" xr:uid="{00000000-0005-0000-0000-0000D6750000}"/>
    <cellStyle name="Table  - Style6 4 8 9" xfId="30988" xr:uid="{00000000-0005-0000-0000-0000D7750000}"/>
    <cellStyle name="Table  - Style6 4 9" xfId="30989" xr:uid="{00000000-0005-0000-0000-0000D8750000}"/>
    <cellStyle name="Table  - Style6 4 9 10" xfId="30990" xr:uid="{00000000-0005-0000-0000-0000D9750000}"/>
    <cellStyle name="Table  - Style6 4 9 11" xfId="30991" xr:uid="{00000000-0005-0000-0000-0000DA750000}"/>
    <cellStyle name="Table  - Style6 4 9 12" xfId="30992" xr:uid="{00000000-0005-0000-0000-0000DB750000}"/>
    <cellStyle name="Table  - Style6 4 9 13" xfId="30993" xr:uid="{00000000-0005-0000-0000-0000DC750000}"/>
    <cellStyle name="Table  - Style6 4 9 14" xfId="30994" xr:uid="{00000000-0005-0000-0000-0000DD750000}"/>
    <cellStyle name="Table  - Style6 4 9 15" xfId="30995" xr:uid="{00000000-0005-0000-0000-0000DE750000}"/>
    <cellStyle name="Table  - Style6 4 9 16" xfId="30996" xr:uid="{00000000-0005-0000-0000-0000DF750000}"/>
    <cellStyle name="Table  - Style6 4 9 17" xfId="30997" xr:uid="{00000000-0005-0000-0000-0000E0750000}"/>
    <cellStyle name="Table  - Style6 4 9 2" xfId="30998" xr:uid="{00000000-0005-0000-0000-0000E1750000}"/>
    <cellStyle name="Table  - Style6 4 9 2 10" xfId="30999" xr:uid="{00000000-0005-0000-0000-0000E2750000}"/>
    <cellStyle name="Table  - Style6 4 9 2 11" xfId="31000" xr:uid="{00000000-0005-0000-0000-0000E3750000}"/>
    <cellStyle name="Table  - Style6 4 9 2 12" xfId="31001" xr:uid="{00000000-0005-0000-0000-0000E4750000}"/>
    <cellStyle name="Table  - Style6 4 9 2 13" xfId="31002" xr:uid="{00000000-0005-0000-0000-0000E5750000}"/>
    <cellStyle name="Table  - Style6 4 9 2 14" xfId="31003" xr:uid="{00000000-0005-0000-0000-0000E6750000}"/>
    <cellStyle name="Table  - Style6 4 9 2 15" xfId="31004" xr:uid="{00000000-0005-0000-0000-0000E7750000}"/>
    <cellStyle name="Table  - Style6 4 9 2 16" xfId="31005" xr:uid="{00000000-0005-0000-0000-0000E8750000}"/>
    <cellStyle name="Table  - Style6 4 9 2 2" xfId="31006" xr:uid="{00000000-0005-0000-0000-0000E9750000}"/>
    <cellStyle name="Table  - Style6 4 9 2 3" xfId="31007" xr:uid="{00000000-0005-0000-0000-0000EA750000}"/>
    <cellStyle name="Table  - Style6 4 9 2 4" xfId="31008" xr:uid="{00000000-0005-0000-0000-0000EB750000}"/>
    <cellStyle name="Table  - Style6 4 9 2 5" xfId="31009" xr:uid="{00000000-0005-0000-0000-0000EC750000}"/>
    <cellStyle name="Table  - Style6 4 9 2 6" xfId="31010" xr:uid="{00000000-0005-0000-0000-0000ED750000}"/>
    <cellStyle name="Table  - Style6 4 9 2 7" xfId="31011" xr:uid="{00000000-0005-0000-0000-0000EE750000}"/>
    <cellStyle name="Table  - Style6 4 9 2 8" xfId="31012" xr:uid="{00000000-0005-0000-0000-0000EF750000}"/>
    <cellStyle name="Table  - Style6 4 9 2 9" xfId="31013" xr:uid="{00000000-0005-0000-0000-0000F0750000}"/>
    <cellStyle name="Table  - Style6 4 9 3" xfId="31014" xr:uid="{00000000-0005-0000-0000-0000F1750000}"/>
    <cellStyle name="Table  - Style6 4 9 4" xfId="31015" xr:uid="{00000000-0005-0000-0000-0000F2750000}"/>
    <cellStyle name="Table  - Style6 4 9 5" xfId="31016" xr:uid="{00000000-0005-0000-0000-0000F3750000}"/>
    <cellStyle name="Table  - Style6 4 9 6" xfId="31017" xr:uid="{00000000-0005-0000-0000-0000F4750000}"/>
    <cellStyle name="Table  - Style6 4 9 7" xfId="31018" xr:uid="{00000000-0005-0000-0000-0000F5750000}"/>
    <cellStyle name="Table  - Style6 4 9 8" xfId="31019" xr:uid="{00000000-0005-0000-0000-0000F6750000}"/>
    <cellStyle name="Table  - Style6 4 9 9" xfId="31020" xr:uid="{00000000-0005-0000-0000-0000F7750000}"/>
    <cellStyle name="Table  - Style6 5" xfId="31021" xr:uid="{00000000-0005-0000-0000-0000F8750000}"/>
    <cellStyle name="Table  - Style6 5 10" xfId="31022" xr:uid="{00000000-0005-0000-0000-0000F9750000}"/>
    <cellStyle name="Table  - Style6 5 10 10" xfId="31023" xr:uid="{00000000-0005-0000-0000-0000FA750000}"/>
    <cellStyle name="Table  - Style6 5 10 11" xfId="31024" xr:uid="{00000000-0005-0000-0000-0000FB750000}"/>
    <cellStyle name="Table  - Style6 5 10 12" xfId="31025" xr:uid="{00000000-0005-0000-0000-0000FC750000}"/>
    <cellStyle name="Table  - Style6 5 10 13" xfId="31026" xr:uid="{00000000-0005-0000-0000-0000FD750000}"/>
    <cellStyle name="Table  - Style6 5 10 14" xfId="31027" xr:uid="{00000000-0005-0000-0000-0000FE750000}"/>
    <cellStyle name="Table  - Style6 5 10 15" xfId="31028" xr:uid="{00000000-0005-0000-0000-0000FF750000}"/>
    <cellStyle name="Table  - Style6 5 10 16" xfId="31029" xr:uid="{00000000-0005-0000-0000-000000760000}"/>
    <cellStyle name="Table  - Style6 5 10 17" xfId="31030" xr:uid="{00000000-0005-0000-0000-000001760000}"/>
    <cellStyle name="Table  - Style6 5 10 2" xfId="31031" xr:uid="{00000000-0005-0000-0000-000002760000}"/>
    <cellStyle name="Table  - Style6 5 10 2 10" xfId="31032" xr:uid="{00000000-0005-0000-0000-000003760000}"/>
    <cellStyle name="Table  - Style6 5 10 2 11" xfId="31033" xr:uid="{00000000-0005-0000-0000-000004760000}"/>
    <cellStyle name="Table  - Style6 5 10 2 12" xfId="31034" xr:uid="{00000000-0005-0000-0000-000005760000}"/>
    <cellStyle name="Table  - Style6 5 10 2 13" xfId="31035" xr:uid="{00000000-0005-0000-0000-000006760000}"/>
    <cellStyle name="Table  - Style6 5 10 2 14" xfId="31036" xr:uid="{00000000-0005-0000-0000-000007760000}"/>
    <cellStyle name="Table  - Style6 5 10 2 15" xfId="31037" xr:uid="{00000000-0005-0000-0000-000008760000}"/>
    <cellStyle name="Table  - Style6 5 10 2 16" xfId="31038" xr:uid="{00000000-0005-0000-0000-000009760000}"/>
    <cellStyle name="Table  - Style6 5 10 2 2" xfId="31039" xr:uid="{00000000-0005-0000-0000-00000A760000}"/>
    <cellStyle name="Table  - Style6 5 10 2 3" xfId="31040" xr:uid="{00000000-0005-0000-0000-00000B760000}"/>
    <cellStyle name="Table  - Style6 5 10 2 4" xfId="31041" xr:uid="{00000000-0005-0000-0000-00000C760000}"/>
    <cellStyle name="Table  - Style6 5 10 2 5" xfId="31042" xr:uid="{00000000-0005-0000-0000-00000D760000}"/>
    <cellStyle name="Table  - Style6 5 10 2 6" xfId="31043" xr:uid="{00000000-0005-0000-0000-00000E760000}"/>
    <cellStyle name="Table  - Style6 5 10 2 7" xfId="31044" xr:uid="{00000000-0005-0000-0000-00000F760000}"/>
    <cellStyle name="Table  - Style6 5 10 2 8" xfId="31045" xr:uid="{00000000-0005-0000-0000-000010760000}"/>
    <cellStyle name="Table  - Style6 5 10 2 9" xfId="31046" xr:uid="{00000000-0005-0000-0000-000011760000}"/>
    <cellStyle name="Table  - Style6 5 10 3" xfId="31047" xr:uid="{00000000-0005-0000-0000-000012760000}"/>
    <cellStyle name="Table  - Style6 5 10 4" xfId="31048" xr:uid="{00000000-0005-0000-0000-000013760000}"/>
    <cellStyle name="Table  - Style6 5 10 5" xfId="31049" xr:uid="{00000000-0005-0000-0000-000014760000}"/>
    <cellStyle name="Table  - Style6 5 10 6" xfId="31050" xr:uid="{00000000-0005-0000-0000-000015760000}"/>
    <cellStyle name="Table  - Style6 5 10 7" xfId="31051" xr:uid="{00000000-0005-0000-0000-000016760000}"/>
    <cellStyle name="Table  - Style6 5 10 8" xfId="31052" xr:uid="{00000000-0005-0000-0000-000017760000}"/>
    <cellStyle name="Table  - Style6 5 10 9" xfId="31053" xr:uid="{00000000-0005-0000-0000-000018760000}"/>
    <cellStyle name="Table  - Style6 5 11" xfId="31054" xr:uid="{00000000-0005-0000-0000-000019760000}"/>
    <cellStyle name="Table  - Style6 5 11 10" xfId="31055" xr:uid="{00000000-0005-0000-0000-00001A760000}"/>
    <cellStyle name="Table  - Style6 5 11 11" xfId="31056" xr:uid="{00000000-0005-0000-0000-00001B760000}"/>
    <cellStyle name="Table  - Style6 5 11 12" xfId="31057" xr:uid="{00000000-0005-0000-0000-00001C760000}"/>
    <cellStyle name="Table  - Style6 5 11 13" xfId="31058" xr:uid="{00000000-0005-0000-0000-00001D760000}"/>
    <cellStyle name="Table  - Style6 5 11 14" xfId="31059" xr:uid="{00000000-0005-0000-0000-00001E760000}"/>
    <cellStyle name="Table  - Style6 5 11 15" xfId="31060" xr:uid="{00000000-0005-0000-0000-00001F760000}"/>
    <cellStyle name="Table  - Style6 5 11 16" xfId="31061" xr:uid="{00000000-0005-0000-0000-000020760000}"/>
    <cellStyle name="Table  - Style6 5 11 2" xfId="31062" xr:uid="{00000000-0005-0000-0000-000021760000}"/>
    <cellStyle name="Table  - Style6 5 11 3" xfId="31063" xr:uid="{00000000-0005-0000-0000-000022760000}"/>
    <cellStyle name="Table  - Style6 5 11 4" xfId="31064" xr:uid="{00000000-0005-0000-0000-000023760000}"/>
    <cellStyle name="Table  - Style6 5 11 5" xfId="31065" xr:uid="{00000000-0005-0000-0000-000024760000}"/>
    <cellStyle name="Table  - Style6 5 11 6" xfId="31066" xr:uid="{00000000-0005-0000-0000-000025760000}"/>
    <cellStyle name="Table  - Style6 5 11 7" xfId="31067" xr:uid="{00000000-0005-0000-0000-000026760000}"/>
    <cellStyle name="Table  - Style6 5 11 8" xfId="31068" xr:uid="{00000000-0005-0000-0000-000027760000}"/>
    <cellStyle name="Table  - Style6 5 11 9" xfId="31069" xr:uid="{00000000-0005-0000-0000-000028760000}"/>
    <cellStyle name="Table  - Style6 5 12" xfId="31070" xr:uid="{00000000-0005-0000-0000-000029760000}"/>
    <cellStyle name="Table  - Style6 5 13" xfId="31071" xr:uid="{00000000-0005-0000-0000-00002A760000}"/>
    <cellStyle name="Table  - Style6 5 14" xfId="31072" xr:uid="{00000000-0005-0000-0000-00002B760000}"/>
    <cellStyle name="Table  - Style6 5 15" xfId="31073" xr:uid="{00000000-0005-0000-0000-00002C760000}"/>
    <cellStyle name="Table  - Style6 5 16" xfId="31074" xr:uid="{00000000-0005-0000-0000-00002D760000}"/>
    <cellStyle name="Table  - Style6 5 17" xfId="31075" xr:uid="{00000000-0005-0000-0000-00002E760000}"/>
    <cellStyle name="Table  - Style6 5 18" xfId="31076" xr:uid="{00000000-0005-0000-0000-00002F760000}"/>
    <cellStyle name="Table  - Style6 5 19" xfId="31077" xr:uid="{00000000-0005-0000-0000-000030760000}"/>
    <cellStyle name="Table  - Style6 5 2" xfId="31078" xr:uid="{00000000-0005-0000-0000-000031760000}"/>
    <cellStyle name="Table  - Style6 5 2 10" xfId="31079" xr:uid="{00000000-0005-0000-0000-000032760000}"/>
    <cellStyle name="Table  - Style6 5 2 11" xfId="31080" xr:uid="{00000000-0005-0000-0000-000033760000}"/>
    <cellStyle name="Table  - Style6 5 2 12" xfId="31081" xr:uid="{00000000-0005-0000-0000-000034760000}"/>
    <cellStyle name="Table  - Style6 5 2 13" xfId="31082" xr:uid="{00000000-0005-0000-0000-000035760000}"/>
    <cellStyle name="Table  - Style6 5 2 14" xfId="31083" xr:uid="{00000000-0005-0000-0000-000036760000}"/>
    <cellStyle name="Table  - Style6 5 2 15" xfId="31084" xr:uid="{00000000-0005-0000-0000-000037760000}"/>
    <cellStyle name="Table  - Style6 5 2 16" xfId="31085" xr:uid="{00000000-0005-0000-0000-000038760000}"/>
    <cellStyle name="Table  - Style6 5 2 17" xfId="31086" xr:uid="{00000000-0005-0000-0000-000039760000}"/>
    <cellStyle name="Table  - Style6 5 2 2" xfId="31087" xr:uid="{00000000-0005-0000-0000-00003A760000}"/>
    <cellStyle name="Table  - Style6 5 2 2 10" xfId="31088" xr:uid="{00000000-0005-0000-0000-00003B760000}"/>
    <cellStyle name="Table  - Style6 5 2 2 11" xfId="31089" xr:uid="{00000000-0005-0000-0000-00003C760000}"/>
    <cellStyle name="Table  - Style6 5 2 2 12" xfId="31090" xr:uid="{00000000-0005-0000-0000-00003D760000}"/>
    <cellStyle name="Table  - Style6 5 2 2 13" xfId="31091" xr:uid="{00000000-0005-0000-0000-00003E760000}"/>
    <cellStyle name="Table  - Style6 5 2 2 14" xfId="31092" xr:uid="{00000000-0005-0000-0000-00003F760000}"/>
    <cellStyle name="Table  - Style6 5 2 2 15" xfId="31093" xr:uid="{00000000-0005-0000-0000-000040760000}"/>
    <cellStyle name="Table  - Style6 5 2 2 16" xfId="31094" xr:uid="{00000000-0005-0000-0000-000041760000}"/>
    <cellStyle name="Table  - Style6 5 2 2 2" xfId="31095" xr:uid="{00000000-0005-0000-0000-000042760000}"/>
    <cellStyle name="Table  - Style6 5 2 2 3" xfId="31096" xr:uid="{00000000-0005-0000-0000-000043760000}"/>
    <cellStyle name="Table  - Style6 5 2 2 4" xfId="31097" xr:uid="{00000000-0005-0000-0000-000044760000}"/>
    <cellStyle name="Table  - Style6 5 2 2 5" xfId="31098" xr:uid="{00000000-0005-0000-0000-000045760000}"/>
    <cellStyle name="Table  - Style6 5 2 2 6" xfId="31099" xr:uid="{00000000-0005-0000-0000-000046760000}"/>
    <cellStyle name="Table  - Style6 5 2 2 7" xfId="31100" xr:uid="{00000000-0005-0000-0000-000047760000}"/>
    <cellStyle name="Table  - Style6 5 2 2 8" xfId="31101" xr:uid="{00000000-0005-0000-0000-000048760000}"/>
    <cellStyle name="Table  - Style6 5 2 2 9" xfId="31102" xr:uid="{00000000-0005-0000-0000-000049760000}"/>
    <cellStyle name="Table  - Style6 5 2 3" xfId="31103" xr:uid="{00000000-0005-0000-0000-00004A760000}"/>
    <cellStyle name="Table  - Style6 5 2 4" xfId="31104" xr:uid="{00000000-0005-0000-0000-00004B760000}"/>
    <cellStyle name="Table  - Style6 5 2 5" xfId="31105" xr:uid="{00000000-0005-0000-0000-00004C760000}"/>
    <cellStyle name="Table  - Style6 5 2 6" xfId="31106" xr:uid="{00000000-0005-0000-0000-00004D760000}"/>
    <cellStyle name="Table  - Style6 5 2 7" xfId="31107" xr:uid="{00000000-0005-0000-0000-00004E760000}"/>
    <cellStyle name="Table  - Style6 5 2 8" xfId="31108" xr:uid="{00000000-0005-0000-0000-00004F760000}"/>
    <cellStyle name="Table  - Style6 5 2 9" xfId="31109" xr:uid="{00000000-0005-0000-0000-000050760000}"/>
    <cellStyle name="Table  - Style6 5 20" xfId="31110" xr:uid="{00000000-0005-0000-0000-000051760000}"/>
    <cellStyle name="Table  - Style6 5 21" xfId="31111" xr:uid="{00000000-0005-0000-0000-000052760000}"/>
    <cellStyle name="Table  - Style6 5 22" xfId="31112" xr:uid="{00000000-0005-0000-0000-000053760000}"/>
    <cellStyle name="Table  - Style6 5 23" xfId="31113" xr:uid="{00000000-0005-0000-0000-000054760000}"/>
    <cellStyle name="Table  - Style6 5 24" xfId="31114" xr:uid="{00000000-0005-0000-0000-000055760000}"/>
    <cellStyle name="Table  - Style6 5 25" xfId="31115" xr:uid="{00000000-0005-0000-0000-000056760000}"/>
    <cellStyle name="Table  - Style6 5 26" xfId="31116" xr:uid="{00000000-0005-0000-0000-000057760000}"/>
    <cellStyle name="Table  - Style6 5 3" xfId="31117" xr:uid="{00000000-0005-0000-0000-000058760000}"/>
    <cellStyle name="Table  - Style6 5 3 10" xfId="31118" xr:uid="{00000000-0005-0000-0000-000059760000}"/>
    <cellStyle name="Table  - Style6 5 3 11" xfId="31119" xr:uid="{00000000-0005-0000-0000-00005A760000}"/>
    <cellStyle name="Table  - Style6 5 3 12" xfId="31120" xr:uid="{00000000-0005-0000-0000-00005B760000}"/>
    <cellStyle name="Table  - Style6 5 3 13" xfId="31121" xr:uid="{00000000-0005-0000-0000-00005C760000}"/>
    <cellStyle name="Table  - Style6 5 3 14" xfId="31122" xr:uid="{00000000-0005-0000-0000-00005D760000}"/>
    <cellStyle name="Table  - Style6 5 3 15" xfId="31123" xr:uid="{00000000-0005-0000-0000-00005E760000}"/>
    <cellStyle name="Table  - Style6 5 3 16" xfId="31124" xr:uid="{00000000-0005-0000-0000-00005F760000}"/>
    <cellStyle name="Table  - Style6 5 3 17" xfId="31125" xr:uid="{00000000-0005-0000-0000-000060760000}"/>
    <cellStyle name="Table  - Style6 5 3 2" xfId="31126" xr:uid="{00000000-0005-0000-0000-000061760000}"/>
    <cellStyle name="Table  - Style6 5 3 2 10" xfId="31127" xr:uid="{00000000-0005-0000-0000-000062760000}"/>
    <cellStyle name="Table  - Style6 5 3 2 11" xfId="31128" xr:uid="{00000000-0005-0000-0000-000063760000}"/>
    <cellStyle name="Table  - Style6 5 3 2 12" xfId="31129" xr:uid="{00000000-0005-0000-0000-000064760000}"/>
    <cellStyle name="Table  - Style6 5 3 2 13" xfId="31130" xr:uid="{00000000-0005-0000-0000-000065760000}"/>
    <cellStyle name="Table  - Style6 5 3 2 14" xfId="31131" xr:uid="{00000000-0005-0000-0000-000066760000}"/>
    <cellStyle name="Table  - Style6 5 3 2 15" xfId="31132" xr:uid="{00000000-0005-0000-0000-000067760000}"/>
    <cellStyle name="Table  - Style6 5 3 2 16" xfId="31133" xr:uid="{00000000-0005-0000-0000-000068760000}"/>
    <cellStyle name="Table  - Style6 5 3 2 2" xfId="31134" xr:uid="{00000000-0005-0000-0000-000069760000}"/>
    <cellStyle name="Table  - Style6 5 3 2 3" xfId="31135" xr:uid="{00000000-0005-0000-0000-00006A760000}"/>
    <cellStyle name="Table  - Style6 5 3 2 4" xfId="31136" xr:uid="{00000000-0005-0000-0000-00006B760000}"/>
    <cellStyle name="Table  - Style6 5 3 2 5" xfId="31137" xr:uid="{00000000-0005-0000-0000-00006C760000}"/>
    <cellStyle name="Table  - Style6 5 3 2 6" xfId="31138" xr:uid="{00000000-0005-0000-0000-00006D760000}"/>
    <cellStyle name="Table  - Style6 5 3 2 7" xfId="31139" xr:uid="{00000000-0005-0000-0000-00006E760000}"/>
    <cellStyle name="Table  - Style6 5 3 2 8" xfId="31140" xr:uid="{00000000-0005-0000-0000-00006F760000}"/>
    <cellStyle name="Table  - Style6 5 3 2 9" xfId="31141" xr:uid="{00000000-0005-0000-0000-000070760000}"/>
    <cellStyle name="Table  - Style6 5 3 3" xfId="31142" xr:uid="{00000000-0005-0000-0000-000071760000}"/>
    <cellStyle name="Table  - Style6 5 3 4" xfId="31143" xr:uid="{00000000-0005-0000-0000-000072760000}"/>
    <cellStyle name="Table  - Style6 5 3 5" xfId="31144" xr:uid="{00000000-0005-0000-0000-000073760000}"/>
    <cellStyle name="Table  - Style6 5 3 6" xfId="31145" xr:uid="{00000000-0005-0000-0000-000074760000}"/>
    <cellStyle name="Table  - Style6 5 3 7" xfId="31146" xr:uid="{00000000-0005-0000-0000-000075760000}"/>
    <cellStyle name="Table  - Style6 5 3 8" xfId="31147" xr:uid="{00000000-0005-0000-0000-000076760000}"/>
    <cellStyle name="Table  - Style6 5 3 9" xfId="31148" xr:uid="{00000000-0005-0000-0000-000077760000}"/>
    <cellStyle name="Table  - Style6 5 4" xfId="31149" xr:uid="{00000000-0005-0000-0000-000078760000}"/>
    <cellStyle name="Table  - Style6 5 4 10" xfId="31150" xr:uid="{00000000-0005-0000-0000-000079760000}"/>
    <cellStyle name="Table  - Style6 5 4 11" xfId="31151" xr:uid="{00000000-0005-0000-0000-00007A760000}"/>
    <cellStyle name="Table  - Style6 5 4 12" xfId="31152" xr:uid="{00000000-0005-0000-0000-00007B760000}"/>
    <cellStyle name="Table  - Style6 5 4 13" xfId="31153" xr:uid="{00000000-0005-0000-0000-00007C760000}"/>
    <cellStyle name="Table  - Style6 5 4 14" xfId="31154" xr:uid="{00000000-0005-0000-0000-00007D760000}"/>
    <cellStyle name="Table  - Style6 5 4 15" xfId="31155" xr:uid="{00000000-0005-0000-0000-00007E760000}"/>
    <cellStyle name="Table  - Style6 5 4 16" xfId="31156" xr:uid="{00000000-0005-0000-0000-00007F760000}"/>
    <cellStyle name="Table  - Style6 5 4 17" xfId="31157" xr:uid="{00000000-0005-0000-0000-000080760000}"/>
    <cellStyle name="Table  - Style6 5 4 2" xfId="31158" xr:uid="{00000000-0005-0000-0000-000081760000}"/>
    <cellStyle name="Table  - Style6 5 4 2 10" xfId="31159" xr:uid="{00000000-0005-0000-0000-000082760000}"/>
    <cellStyle name="Table  - Style6 5 4 2 11" xfId="31160" xr:uid="{00000000-0005-0000-0000-000083760000}"/>
    <cellStyle name="Table  - Style6 5 4 2 12" xfId="31161" xr:uid="{00000000-0005-0000-0000-000084760000}"/>
    <cellStyle name="Table  - Style6 5 4 2 13" xfId="31162" xr:uid="{00000000-0005-0000-0000-000085760000}"/>
    <cellStyle name="Table  - Style6 5 4 2 14" xfId="31163" xr:uid="{00000000-0005-0000-0000-000086760000}"/>
    <cellStyle name="Table  - Style6 5 4 2 15" xfId="31164" xr:uid="{00000000-0005-0000-0000-000087760000}"/>
    <cellStyle name="Table  - Style6 5 4 2 16" xfId="31165" xr:uid="{00000000-0005-0000-0000-000088760000}"/>
    <cellStyle name="Table  - Style6 5 4 2 2" xfId="31166" xr:uid="{00000000-0005-0000-0000-000089760000}"/>
    <cellStyle name="Table  - Style6 5 4 2 3" xfId="31167" xr:uid="{00000000-0005-0000-0000-00008A760000}"/>
    <cellStyle name="Table  - Style6 5 4 2 4" xfId="31168" xr:uid="{00000000-0005-0000-0000-00008B760000}"/>
    <cellStyle name="Table  - Style6 5 4 2 5" xfId="31169" xr:uid="{00000000-0005-0000-0000-00008C760000}"/>
    <cellStyle name="Table  - Style6 5 4 2 6" xfId="31170" xr:uid="{00000000-0005-0000-0000-00008D760000}"/>
    <cellStyle name="Table  - Style6 5 4 2 7" xfId="31171" xr:uid="{00000000-0005-0000-0000-00008E760000}"/>
    <cellStyle name="Table  - Style6 5 4 2 8" xfId="31172" xr:uid="{00000000-0005-0000-0000-00008F760000}"/>
    <cellStyle name="Table  - Style6 5 4 2 9" xfId="31173" xr:uid="{00000000-0005-0000-0000-000090760000}"/>
    <cellStyle name="Table  - Style6 5 4 3" xfId="31174" xr:uid="{00000000-0005-0000-0000-000091760000}"/>
    <cellStyle name="Table  - Style6 5 4 4" xfId="31175" xr:uid="{00000000-0005-0000-0000-000092760000}"/>
    <cellStyle name="Table  - Style6 5 4 5" xfId="31176" xr:uid="{00000000-0005-0000-0000-000093760000}"/>
    <cellStyle name="Table  - Style6 5 4 6" xfId="31177" xr:uid="{00000000-0005-0000-0000-000094760000}"/>
    <cellStyle name="Table  - Style6 5 4 7" xfId="31178" xr:uid="{00000000-0005-0000-0000-000095760000}"/>
    <cellStyle name="Table  - Style6 5 4 8" xfId="31179" xr:uid="{00000000-0005-0000-0000-000096760000}"/>
    <cellStyle name="Table  - Style6 5 4 9" xfId="31180" xr:uid="{00000000-0005-0000-0000-000097760000}"/>
    <cellStyle name="Table  - Style6 5 5" xfId="31181" xr:uid="{00000000-0005-0000-0000-000098760000}"/>
    <cellStyle name="Table  - Style6 5 5 10" xfId="31182" xr:uid="{00000000-0005-0000-0000-000099760000}"/>
    <cellStyle name="Table  - Style6 5 5 11" xfId="31183" xr:uid="{00000000-0005-0000-0000-00009A760000}"/>
    <cellStyle name="Table  - Style6 5 5 12" xfId="31184" xr:uid="{00000000-0005-0000-0000-00009B760000}"/>
    <cellStyle name="Table  - Style6 5 5 13" xfId="31185" xr:uid="{00000000-0005-0000-0000-00009C760000}"/>
    <cellStyle name="Table  - Style6 5 5 14" xfId="31186" xr:uid="{00000000-0005-0000-0000-00009D760000}"/>
    <cellStyle name="Table  - Style6 5 5 15" xfId="31187" xr:uid="{00000000-0005-0000-0000-00009E760000}"/>
    <cellStyle name="Table  - Style6 5 5 16" xfId="31188" xr:uid="{00000000-0005-0000-0000-00009F760000}"/>
    <cellStyle name="Table  - Style6 5 5 17" xfId="31189" xr:uid="{00000000-0005-0000-0000-0000A0760000}"/>
    <cellStyle name="Table  - Style6 5 5 2" xfId="31190" xr:uid="{00000000-0005-0000-0000-0000A1760000}"/>
    <cellStyle name="Table  - Style6 5 5 2 10" xfId="31191" xr:uid="{00000000-0005-0000-0000-0000A2760000}"/>
    <cellStyle name="Table  - Style6 5 5 2 11" xfId="31192" xr:uid="{00000000-0005-0000-0000-0000A3760000}"/>
    <cellStyle name="Table  - Style6 5 5 2 12" xfId="31193" xr:uid="{00000000-0005-0000-0000-0000A4760000}"/>
    <cellStyle name="Table  - Style6 5 5 2 13" xfId="31194" xr:uid="{00000000-0005-0000-0000-0000A5760000}"/>
    <cellStyle name="Table  - Style6 5 5 2 14" xfId="31195" xr:uid="{00000000-0005-0000-0000-0000A6760000}"/>
    <cellStyle name="Table  - Style6 5 5 2 15" xfId="31196" xr:uid="{00000000-0005-0000-0000-0000A7760000}"/>
    <cellStyle name="Table  - Style6 5 5 2 16" xfId="31197" xr:uid="{00000000-0005-0000-0000-0000A8760000}"/>
    <cellStyle name="Table  - Style6 5 5 2 2" xfId="31198" xr:uid="{00000000-0005-0000-0000-0000A9760000}"/>
    <cellStyle name="Table  - Style6 5 5 2 3" xfId="31199" xr:uid="{00000000-0005-0000-0000-0000AA760000}"/>
    <cellStyle name="Table  - Style6 5 5 2 4" xfId="31200" xr:uid="{00000000-0005-0000-0000-0000AB760000}"/>
    <cellStyle name="Table  - Style6 5 5 2 5" xfId="31201" xr:uid="{00000000-0005-0000-0000-0000AC760000}"/>
    <cellStyle name="Table  - Style6 5 5 2 6" xfId="31202" xr:uid="{00000000-0005-0000-0000-0000AD760000}"/>
    <cellStyle name="Table  - Style6 5 5 2 7" xfId="31203" xr:uid="{00000000-0005-0000-0000-0000AE760000}"/>
    <cellStyle name="Table  - Style6 5 5 2 8" xfId="31204" xr:uid="{00000000-0005-0000-0000-0000AF760000}"/>
    <cellStyle name="Table  - Style6 5 5 2 9" xfId="31205" xr:uid="{00000000-0005-0000-0000-0000B0760000}"/>
    <cellStyle name="Table  - Style6 5 5 3" xfId="31206" xr:uid="{00000000-0005-0000-0000-0000B1760000}"/>
    <cellStyle name="Table  - Style6 5 5 4" xfId="31207" xr:uid="{00000000-0005-0000-0000-0000B2760000}"/>
    <cellStyle name="Table  - Style6 5 5 5" xfId="31208" xr:uid="{00000000-0005-0000-0000-0000B3760000}"/>
    <cellStyle name="Table  - Style6 5 5 6" xfId="31209" xr:uid="{00000000-0005-0000-0000-0000B4760000}"/>
    <cellStyle name="Table  - Style6 5 5 7" xfId="31210" xr:uid="{00000000-0005-0000-0000-0000B5760000}"/>
    <cellStyle name="Table  - Style6 5 5 8" xfId="31211" xr:uid="{00000000-0005-0000-0000-0000B6760000}"/>
    <cellStyle name="Table  - Style6 5 5 9" xfId="31212" xr:uid="{00000000-0005-0000-0000-0000B7760000}"/>
    <cellStyle name="Table  - Style6 5 6" xfId="31213" xr:uid="{00000000-0005-0000-0000-0000B8760000}"/>
    <cellStyle name="Table  - Style6 5 6 10" xfId="31214" xr:uid="{00000000-0005-0000-0000-0000B9760000}"/>
    <cellStyle name="Table  - Style6 5 6 11" xfId="31215" xr:uid="{00000000-0005-0000-0000-0000BA760000}"/>
    <cellStyle name="Table  - Style6 5 6 12" xfId="31216" xr:uid="{00000000-0005-0000-0000-0000BB760000}"/>
    <cellStyle name="Table  - Style6 5 6 13" xfId="31217" xr:uid="{00000000-0005-0000-0000-0000BC760000}"/>
    <cellStyle name="Table  - Style6 5 6 14" xfId="31218" xr:uid="{00000000-0005-0000-0000-0000BD760000}"/>
    <cellStyle name="Table  - Style6 5 6 15" xfId="31219" xr:uid="{00000000-0005-0000-0000-0000BE760000}"/>
    <cellStyle name="Table  - Style6 5 6 16" xfId="31220" xr:uid="{00000000-0005-0000-0000-0000BF760000}"/>
    <cellStyle name="Table  - Style6 5 6 17" xfId="31221" xr:uid="{00000000-0005-0000-0000-0000C0760000}"/>
    <cellStyle name="Table  - Style6 5 6 2" xfId="31222" xr:uid="{00000000-0005-0000-0000-0000C1760000}"/>
    <cellStyle name="Table  - Style6 5 6 2 10" xfId="31223" xr:uid="{00000000-0005-0000-0000-0000C2760000}"/>
    <cellStyle name="Table  - Style6 5 6 2 11" xfId="31224" xr:uid="{00000000-0005-0000-0000-0000C3760000}"/>
    <cellStyle name="Table  - Style6 5 6 2 12" xfId="31225" xr:uid="{00000000-0005-0000-0000-0000C4760000}"/>
    <cellStyle name="Table  - Style6 5 6 2 13" xfId="31226" xr:uid="{00000000-0005-0000-0000-0000C5760000}"/>
    <cellStyle name="Table  - Style6 5 6 2 14" xfId="31227" xr:uid="{00000000-0005-0000-0000-0000C6760000}"/>
    <cellStyle name="Table  - Style6 5 6 2 15" xfId="31228" xr:uid="{00000000-0005-0000-0000-0000C7760000}"/>
    <cellStyle name="Table  - Style6 5 6 2 16" xfId="31229" xr:uid="{00000000-0005-0000-0000-0000C8760000}"/>
    <cellStyle name="Table  - Style6 5 6 2 2" xfId="31230" xr:uid="{00000000-0005-0000-0000-0000C9760000}"/>
    <cellStyle name="Table  - Style6 5 6 2 3" xfId="31231" xr:uid="{00000000-0005-0000-0000-0000CA760000}"/>
    <cellStyle name="Table  - Style6 5 6 2 4" xfId="31232" xr:uid="{00000000-0005-0000-0000-0000CB760000}"/>
    <cellStyle name="Table  - Style6 5 6 2 5" xfId="31233" xr:uid="{00000000-0005-0000-0000-0000CC760000}"/>
    <cellStyle name="Table  - Style6 5 6 2 6" xfId="31234" xr:uid="{00000000-0005-0000-0000-0000CD760000}"/>
    <cellStyle name="Table  - Style6 5 6 2 7" xfId="31235" xr:uid="{00000000-0005-0000-0000-0000CE760000}"/>
    <cellStyle name="Table  - Style6 5 6 2 8" xfId="31236" xr:uid="{00000000-0005-0000-0000-0000CF760000}"/>
    <cellStyle name="Table  - Style6 5 6 2 9" xfId="31237" xr:uid="{00000000-0005-0000-0000-0000D0760000}"/>
    <cellStyle name="Table  - Style6 5 6 3" xfId="31238" xr:uid="{00000000-0005-0000-0000-0000D1760000}"/>
    <cellStyle name="Table  - Style6 5 6 4" xfId="31239" xr:uid="{00000000-0005-0000-0000-0000D2760000}"/>
    <cellStyle name="Table  - Style6 5 6 5" xfId="31240" xr:uid="{00000000-0005-0000-0000-0000D3760000}"/>
    <cellStyle name="Table  - Style6 5 6 6" xfId="31241" xr:uid="{00000000-0005-0000-0000-0000D4760000}"/>
    <cellStyle name="Table  - Style6 5 6 7" xfId="31242" xr:uid="{00000000-0005-0000-0000-0000D5760000}"/>
    <cellStyle name="Table  - Style6 5 6 8" xfId="31243" xr:uid="{00000000-0005-0000-0000-0000D6760000}"/>
    <cellStyle name="Table  - Style6 5 6 9" xfId="31244" xr:uid="{00000000-0005-0000-0000-0000D7760000}"/>
    <cellStyle name="Table  - Style6 5 7" xfId="31245" xr:uid="{00000000-0005-0000-0000-0000D8760000}"/>
    <cellStyle name="Table  - Style6 5 7 10" xfId="31246" xr:uid="{00000000-0005-0000-0000-0000D9760000}"/>
    <cellStyle name="Table  - Style6 5 7 11" xfId="31247" xr:uid="{00000000-0005-0000-0000-0000DA760000}"/>
    <cellStyle name="Table  - Style6 5 7 12" xfId="31248" xr:uid="{00000000-0005-0000-0000-0000DB760000}"/>
    <cellStyle name="Table  - Style6 5 7 13" xfId="31249" xr:uid="{00000000-0005-0000-0000-0000DC760000}"/>
    <cellStyle name="Table  - Style6 5 7 14" xfId="31250" xr:uid="{00000000-0005-0000-0000-0000DD760000}"/>
    <cellStyle name="Table  - Style6 5 7 15" xfId="31251" xr:uid="{00000000-0005-0000-0000-0000DE760000}"/>
    <cellStyle name="Table  - Style6 5 7 16" xfId="31252" xr:uid="{00000000-0005-0000-0000-0000DF760000}"/>
    <cellStyle name="Table  - Style6 5 7 17" xfId="31253" xr:uid="{00000000-0005-0000-0000-0000E0760000}"/>
    <cellStyle name="Table  - Style6 5 7 2" xfId="31254" xr:uid="{00000000-0005-0000-0000-0000E1760000}"/>
    <cellStyle name="Table  - Style6 5 7 2 10" xfId="31255" xr:uid="{00000000-0005-0000-0000-0000E2760000}"/>
    <cellStyle name="Table  - Style6 5 7 2 11" xfId="31256" xr:uid="{00000000-0005-0000-0000-0000E3760000}"/>
    <cellStyle name="Table  - Style6 5 7 2 12" xfId="31257" xr:uid="{00000000-0005-0000-0000-0000E4760000}"/>
    <cellStyle name="Table  - Style6 5 7 2 13" xfId="31258" xr:uid="{00000000-0005-0000-0000-0000E5760000}"/>
    <cellStyle name="Table  - Style6 5 7 2 14" xfId="31259" xr:uid="{00000000-0005-0000-0000-0000E6760000}"/>
    <cellStyle name="Table  - Style6 5 7 2 15" xfId="31260" xr:uid="{00000000-0005-0000-0000-0000E7760000}"/>
    <cellStyle name="Table  - Style6 5 7 2 16" xfId="31261" xr:uid="{00000000-0005-0000-0000-0000E8760000}"/>
    <cellStyle name="Table  - Style6 5 7 2 2" xfId="31262" xr:uid="{00000000-0005-0000-0000-0000E9760000}"/>
    <cellStyle name="Table  - Style6 5 7 2 3" xfId="31263" xr:uid="{00000000-0005-0000-0000-0000EA760000}"/>
    <cellStyle name="Table  - Style6 5 7 2 4" xfId="31264" xr:uid="{00000000-0005-0000-0000-0000EB760000}"/>
    <cellStyle name="Table  - Style6 5 7 2 5" xfId="31265" xr:uid="{00000000-0005-0000-0000-0000EC760000}"/>
    <cellStyle name="Table  - Style6 5 7 2 6" xfId="31266" xr:uid="{00000000-0005-0000-0000-0000ED760000}"/>
    <cellStyle name="Table  - Style6 5 7 2 7" xfId="31267" xr:uid="{00000000-0005-0000-0000-0000EE760000}"/>
    <cellStyle name="Table  - Style6 5 7 2 8" xfId="31268" xr:uid="{00000000-0005-0000-0000-0000EF760000}"/>
    <cellStyle name="Table  - Style6 5 7 2 9" xfId="31269" xr:uid="{00000000-0005-0000-0000-0000F0760000}"/>
    <cellStyle name="Table  - Style6 5 7 3" xfId="31270" xr:uid="{00000000-0005-0000-0000-0000F1760000}"/>
    <cellStyle name="Table  - Style6 5 7 4" xfId="31271" xr:uid="{00000000-0005-0000-0000-0000F2760000}"/>
    <cellStyle name="Table  - Style6 5 7 5" xfId="31272" xr:uid="{00000000-0005-0000-0000-0000F3760000}"/>
    <cellStyle name="Table  - Style6 5 7 6" xfId="31273" xr:uid="{00000000-0005-0000-0000-0000F4760000}"/>
    <cellStyle name="Table  - Style6 5 7 7" xfId="31274" xr:uid="{00000000-0005-0000-0000-0000F5760000}"/>
    <cellStyle name="Table  - Style6 5 7 8" xfId="31275" xr:uid="{00000000-0005-0000-0000-0000F6760000}"/>
    <cellStyle name="Table  - Style6 5 7 9" xfId="31276" xr:uid="{00000000-0005-0000-0000-0000F7760000}"/>
    <cellStyle name="Table  - Style6 5 8" xfId="31277" xr:uid="{00000000-0005-0000-0000-0000F8760000}"/>
    <cellStyle name="Table  - Style6 5 8 10" xfId="31278" xr:uid="{00000000-0005-0000-0000-0000F9760000}"/>
    <cellStyle name="Table  - Style6 5 8 11" xfId="31279" xr:uid="{00000000-0005-0000-0000-0000FA760000}"/>
    <cellStyle name="Table  - Style6 5 8 12" xfId="31280" xr:uid="{00000000-0005-0000-0000-0000FB760000}"/>
    <cellStyle name="Table  - Style6 5 8 13" xfId="31281" xr:uid="{00000000-0005-0000-0000-0000FC760000}"/>
    <cellStyle name="Table  - Style6 5 8 14" xfId="31282" xr:uid="{00000000-0005-0000-0000-0000FD760000}"/>
    <cellStyle name="Table  - Style6 5 8 15" xfId="31283" xr:uid="{00000000-0005-0000-0000-0000FE760000}"/>
    <cellStyle name="Table  - Style6 5 8 16" xfId="31284" xr:uid="{00000000-0005-0000-0000-0000FF760000}"/>
    <cellStyle name="Table  - Style6 5 8 17" xfId="31285" xr:uid="{00000000-0005-0000-0000-000000770000}"/>
    <cellStyle name="Table  - Style6 5 8 2" xfId="31286" xr:uid="{00000000-0005-0000-0000-000001770000}"/>
    <cellStyle name="Table  - Style6 5 8 2 10" xfId="31287" xr:uid="{00000000-0005-0000-0000-000002770000}"/>
    <cellStyle name="Table  - Style6 5 8 2 11" xfId="31288" xr:uid="{00000000-0005-0000-0000-000003770000}"/>
    <cellStyle name="Table  - Style6 5 8 2 12" xfId="31289" xr:uid="{00000000-0005-0000-0000-000004770000}"/>
    <cellStyle name="Table  - Style6 5 8 2 13" xfId="31290" xr:uid="{00000000-0005-0000-0000-000005770000}"/>
    <cellStyle name="Table  - Style6 5 8 2 14" xfId="31291" xr:uid="{00000000-0005-0000-0000-000006770000}"/>
    <cellStyle name="Table  - Style6 5 8 2 15" xfId="31292" xr:uid="{00000000-0005-0000-0000-000007770000}"/>
    <cellStyle name="Table  - Style6 5 8 2 16" xfId="31293" xr:uid="{00000000-0005-0000-0000-000008770000}"/>
    <cellStyle name="Table  - Style6 5 8 2 2" xfId="31294" xr:uid="{00000000-0005-0000-0000-000009770000}"/>
    <cellStyle name="Table  - Style6 5 8 2 3" xfId="31295" xr:uid="{00000000-0005-0000-0000-00000A770000}"/>
    <cellStyle name="Table  - Style6 5 8 2 4" xfId="31296" xr:uid="{00000000-0005-0000-0000-00000B770000}"/>
    <cellStyle name="Table  - Style6 5 8 2 5" xfId="31297" xr:uid="{00000000-0005-0000-0000-00000C770000}"/>
    <cellStyle name="Table  - Style6 5 8 2 6" xfId="31298" xr:uid="{00000000-0005-0000-0000-00000D770000}"/>
    <cellStyle name="Table  - Style6 5 8 2 7" xfId="31299" xr:uid="{00000000-0005-0000-0000-00000E770000}"/>
    <cellStyle name="Table  - Style6 5 8 2 8" xfId="31300" xr:uid="{00000000-0005-0000-0000-00000F770000}"/>
    <cellStyle name="Table  - Style6 5 8 2 9" xfId="31301" xr:uid="{00000000-0005-0000-0000-000010770000}"/>
    <cellStyle name="Table  - Style6 5 8 3" xfId="31302" xr:uid="{00000000-0005-0000-0000-000011770000}"/>
    <cellStyle name="Table  - Style6 5 8 4" xfId="31303" xr:uid="{00000000-0005-0000-0000-000012770000}"/>
    <cellStyle name="Table  - Style6 5 8 5" xfId="31304" xr:uid="{00000000-0005-0000-0000-000013770000}"/>
    <cellStyle name="Table  - Style6 5 8 6" xfId="31305" xr:uid="{00000000-0005-0000-0000-000014770000}"/>
    <cellStyle name="Table  - Style6 5 8 7" xfId="31306" xr:uid="{00000000-0005-0000-0000-000015770000}"/>
    <cellStyle name="Table  - Style6 5 8 8" xfId="31307" xr:uid="{00000000-0005-0000-0000-000016770000}"/>
    <cellStyle name="Table  - Style6 5 8 9" xfId="31308" xr:uid="{00000000-0005-0000-0000-000017770000}"/>
    <cellStyle name="Table  - Style6 5 9" xfId="31309" xr:uid="{00000000-0005-0000-0000-000018770000}"/>
    <cellStyle name="Table  - Style6 5 9 10" xfId="31310" xr:uid="{00000000-0005-0000-0000-000019770000}"/>
    <cellStyle name="Table  - Style6 5 9 11" xfId="31311" xr:uid="{00000000-0005-0000-0000-00001A770000}"/>
    <cellStyle name="Table  - Style6 5 9 12" xfId="31312" xr:uid="{00000000-0005-0000-0000-00001B770000}"/>
    <cellStyle name="Table  - Style6 5 9 13" xfId="31313" xr:uid="{00000000-0005-0000-0000-00001C770000}"/>
    <cellStyle name="Table  - Style6 5 9 14" xfId="31314" xr:uid="{00000000-0005-0000-0000-00001D770000}"/>
    <cellStyle name="Table  - Style6 5 9 15" xfId="31315" xr:uid="{00000000-0005-0000-0000-00001E770000}"/>
    <cellStyle name="Table  - Style6 5 9 16" xfId="31316" xr:uid="{00000000-0005-0000-0000-00001F770000}"/>
    <cellStyle name="Table  - Style6 5 9 17" xfId="31317" xr:uid="{00000000-0005-0000-0000-000020770000}"/>
    <cellStyle name="Table  - Style6 5 9 2" xfId="31318" xr:uid="{00000000-0005-0000-0000-000021770000}"/>
    <cellStyle name="Table  - Style6 5 9 2 10" xfId="31319" xr:uid="{00000000-0005-0000-0000-000022770000}"/>
    <cellStyle name="Table  - Style6 5 9 2 11" xfId="31320" xr:uid="{00000000-0005-0000-0000-000023770000}"/>
    <cellStyle name="Table  - Style6 5 9 2 12" xfId="31321" xr:uid="{00000000-0005-0000-0000-000024770000}"/>
    <cellStyle name="Table  - Style6 5 9 2 13" xfId="31322" xr:uid="{00000000-0005-0000-0000-000025770000}"/>
    <cellStyle name="Table  - Style6 5 9 2 14" xfId="31323" xr:uid="{00000000-0005-0000-0000-000026770000}"/>
    <cellStyle name="Table  - Style6 5 9 2 15" xfId="31324" xr:uid="{00000000-0005-0000-0000-000027770000}"/>
    <cellStyle name="Table  - Style6 5 9 2 16" xfId="31325" xr:uid="{00000000-0005-0000-0000-000028770000}"/>
    <cellStyle name="Table  - Style6 5 9 2 2" xfId="31326" xr:uid="{00000000-0005-0000-0000-000029770000}"/>
    <cellStyle name="Table  - Style6 5 9 2 3" xfId="31327" xr:uid="{00000000-0005-0000-0000-00002A770000}"/>
    <cellStyle name="Table  - Style6 5 9 2 4" xfId="31328" xr:uid="{00000000-0005-0000-0000-00002B770000}"/>
    <cellStyle name="Table  - Style6 5 9 2 5" xfId="31329" xr:uid="{00000000-0005-0000-0000-00002C770000}"/>
    <cellStyle name="Table  - Style6 5 9 2 6" xfId="31330" xr:uid="{00000000-0005-0000-0000-00002D770000}"/>
    <cellStyle name="Table  - Style6 5 9 2 7" xfId="31331" xr:uid="{00000000-0005-0000-0000-00002E770000}"/>
    <cellStyle name="Table  - Style6 5 9 2 8" xfId="31332" xr:uid="{00000000-0005-0000-0000-00002F770000}"/>
    <cellStyle name="Table  - Style6 5 9 2 9" xfId="31333" xr:uid="{00000000-0005-0000-0000-000030770000}"/>
    <cellStyle name="Table  - Style6 5 9 3" xfId="31334" xr:uid="{00000000-0005-0000-0000-000031770000}"/>
    <cellStyle name="Table  - Style6 5 9 4" xfId="31335" xr:uid="{00000000-0005-0000-0000-000032770000}"/>
    <cellStyle name="Table  - Style6 5 9 5" xfId="31336" xr:uid="{00000000-0005-0000-0000-000033770000}"/>
    <cellStyle name="Table  - Style6 5 9 6" xfId="31337" xr:uid="{00000000-0005-0000-0000-000034770000}"/>
    <cellStyle name="Table  - Style6 5 9 7" xfId="31338" xr:uid="{00000000-0005-0000-0000-000035770000}"/>
    <cellStyle name="Table  - Style6 5 9 8" xfId="31339" xr:uid="{00000000-0005-0000-0000-000036770000}"/>
    <cellStyle name="Table  - Style6 5 9 9" xfId="31340" xr:uid="{00000000-0005-0000-0000-000037770000}"/>
    <cellStyle name="Table  - Style6 6" xfId="31341" xr:uid="{00000000-0005-0000-0000-000038770000}"/>
    <cellStyle name="Table  - Style6 6 10" xfId="31342" xr:uid="{00000000-0005-0000-0000-000039770000}"/>
    <cellStyle name="Table  - Style6 6 10 10" xfId="31343" xr:uid="{00000000-0005-0000-0000-00003A770000}"/>
    <cellStyle name="Table  - Style6 6 10 11" xfId="31344" xr:uid="{00000000-0005-0000-0000-00003B770000}"/>
    <cellStyle name="Table  - Style6 6 10 12" xfId="31345" xr:uid="{00000000-0005-0000-0000-00003C770000}"/>
    <cellStyle name="Table  - Style6 6 10 13" xfId="31346" xr:uid="{00000000-0005-0000-0000-00003D770000}"/>
    <cellStyle name="Table  - Style6 6 10 14" xfId="31347" xr:uid="{00000000-0005-0000-0000-00003E770000}"/>
    <cellStyle name="Table  - Style6 6 10 15" xfId="31348" xr:uid="{00000000-0005-0000-0000-00003F770000}"/>
    <cellStyle name="Table  - Style6 6 10 16" xfId="31349" xr:uid="{00000000-0005-0000-0000-000040770000}"/>
    <cellStyle name="Table  - Style6 6 10 17" xfId="31350" xr:uid="{00000000-0005-0000-0000-000041770000}"/>
    <cellStyle name="Table  - Style6 6 10 2" xfId="31351" xr:uid="{00000000-0005-0000-0000-000042770000}"/>
    <cellStyle name="Table  - Style6 6 10 2 10" xfId="31352" xr:uid="{00000000-0005-0000-0000-000043770000}"/>
    <cellStyle name="Table  - Style6 6 10 2 11" xfId="31353" xr:uid="{00000000-0005-0000-0000-000044770000}"/>
    <cellStyle name="Table  - Style6 6 10 2 12" xfId="31354" xr:uid="{00000000-0005-0000-0000-000045770000}"/>
    <cellStyle name="Table  - Style6 6 10 2 13" xfId="31355" xr:uid="{00000000-0005-0000-0000-000046770000}"/>
    <cellStyle name="Table  - Style6 6 10 2 14" xfId="31356" xr:uid="{00000000-0005-0000-0000-000047770000}"/>
    <cellStyle name="Table  - Style6 6 10 2 15" xfId="31357" xr:uid="{00000000-0005-0000-0000-000048770000}"/>
    <cellStyle name="Table  - Style6 6 10 2 16" xfId="31358" xr:uid="{00000000-0005-0000-0000-000049770000}"/>
    <cellStyle name="Table  - Style6 6 10 2 2" xfId="31359" xr:uid="{00000000-0005-0000-0000-00004A770000}"/>
    <cellStyle name="Table  - Style6 6 10 2 3" xfId="31360" xr:uid="{00000000-0005-0000-0000-00004B770000}"/>
    <cellStyle name="Table  - Style6 6 10 2 4" xfId="31361" xr:uid="{00000000-0005-0000-0000-00004C770000}"/>
    <cellStyle name="Table  - Style6 6 10 2 5" xfId="31362" xr:uid="{00000000-0005-0000-0000-00004D770000}"/>
    <cellStyle name="Table  - Style6 6 10 2 6" xfId="31363" xr:uid="{00000000-0005-0000-0000-00004E770000}"/>
    <cellStyle name="Table  - Style6 6 10 2 7" xfId="31364" xr:uid="{00000000-0005-0000-0000-00004F770000}"/>
    <cellStyle name="Table  - Style6 6 10 2 8" xfId="31365" xr:uid="{00000000-0005-0000-0000-000050770000}"/>
    <cellStyle name="Table  - Style6 6 10 2 9" xfId="31366" xr:uid="{00000000-0005-0000-0000-000051770000}"/>
    <cellStyle name="Table  - Style6 6 10 3" xfId="31367" xr:uid="{00000000-0005-0000-0000-000052770000}"/>
    <cellStyle name="Table  - Style6 6 10 4" xfId="31368" xr:uid="{00000000-0005-0000-0000-000053770000}"/>
    <cellStyle name="Table  - Style6 6 10 5" xfId="31369" xr:uid="{00000000-0005-0000-0000-000054770000}"/>
    <cellStyle name="Table  - Style6 6 10 6" xfId="31370" xr:uid="{00000000-0005-0000-0000-000055770000}"/>
    <cellStyle name="Table  - Style6 6 10 7" xfId="31371" xr:uid="{00000000-0005-0000-0000-000056770000}"/>
    <cellStyle name="Table  - Style6 6 10 8" xfId="31372" xr:uid="{00000000-0005-0000-0000-000057770000}"/>
    <cellStyle name="Table  - Style6 6 10 9" xfId="31373" xr:uid="{00000000-0005-0000-0000-000058770000}"/>
    <cellStyle name="Table  - Style6 6 11" xfId="31374" xr:uid="{00000000-0005-0000-0000-000059770000}"/>
    <cellStyle name="Table  - Style6 6 11 10" xfId="31375" xr:uid="{00000000-0005-0000-0000-00005A770000}"/>
    <cellStyle name="Table  - Style6 6 11 11" xfId="31376" xr:uid="{00000000-0005-0000-0000-00005B770000}"/>
    <cellStyle name="Table  - Style6 6 11 12" xfId="31377" xr:uid="{00000000-0005-0000-0000-00005C770000}"/>
    <cellStyle name="Table  - Style6 6 11 13" xfId="31378" xr:uid="{00000000-0005-0000-0000-00005D770000}"/>
    <cellStyle name="Table  - Style6 6 11 14" xfId="31379" xr:uid="{00000000-0005-0000-0000-00005E770000}"/>
    <cellStyle name="Table  - Style6 6 11 15" xfId="31380" xr:uid="{00000000-0005-0000-0000-00005F770000}"/>
    <cellStyle name="Table  - Style6 6 11 16" xfId="31381" xr:uid="{00000000-0005-0000-0000-000060770000}"/>
    <cellStyle name="Table  - Style6 6 11 2" xfId="31382" xr:uid="{00000000-0005-0000-0000-000061770000}"/>
    <cellStyle name="Table  - Style6 6 11 3" xfId="31383" xr:uid="{00000000-0005-0000-0000-000062770000}"/>
    <cellStyle name="Table  - Style6 6 11 4" xfId="31384" xr:uid="{00000000-0005-0000-0000-000063770000}"/>
    <cellStyle name="Table  - Style6 6 11 5" xfId="31385" xr:uid="{00000000-0005-0000-0000-000064770000}"/>
    <cellStyle name="Table  - Style6 6 11 6" xfId="31386" xr:uid="{00000000-0005-0000-0000-000065770000}"/>
    <cellStyle name="Table  - Style6 6 11 7" xfId="31387" xr:uid="{00000000-0005-0000-0000-000066770000}"/>
    <cellStyle name="Table  - Style6 6 11 8" xfId="31388" xr:uid="{00000000-0005-0000-0000-000067770000}"/>
    <cellStyle name="Table  - Style6 6 11 9" xfId="31389" xr:uid="{00000000-0005-0000-0000-000068770000}"/>
    <cellStyle name="Table  - Style6 6 12" xfId="31390" xr:uid="{00000000-0005-0000-0000-000069770000}"/>
    <cellStyle name="Table  - Style6 6 13" xfId="31391" xr:uid="{00000000-0005-0000-0000-00006A770000}"/>
    <cellStyle name="Table  - Style6 6 14" xfId="31392" xr:uid="{00000000-0005-0000-0000-00006B770000}"/>
    <cellStyle name="Table  - Style6 6 15" xfId="31393" xr:uid="{00000000-0005-0000-0000-00006C770000}"/>
    <cellStyle name="Table  - Style6 6 16" xfId="31394" xr:uid="{00000000-0005-0000-0000-00006D770000}"/>
    <cellStyle name="Table  - Style6 6 17" xfId="31395" xr:uid="{00000000-0005-0000-0000-00006E770000}"/>
    <cellStyle name="Table  - Style6 6 18" xfId="31396" xr:uid="{00000000-0005-0000-0000-00006F770000}"/>
    <cellStyle name="Table  - Style6 6 19" xfId="31397" xr:uid="{00000000-0005-0000-0000-000070770000}"/>
    <cellStyle name="Table  - Style6 6 2" xfId="31398" xr:uid="{00000000-0005-0000-0000-000071770000}"/>
    <cellStyle name="Table  - Style6 6 2 10" xfId="31399" xr:uid="{00000000-0005-0000-0000-000072770000}"/>
    <cellStyle name="Table  - Style6 6 2 11" xfId="31400" xr:uid="{00000000-0005-0000-0000-000073770000}"/>
    <cellStyle name="Table  - Style6 6 2 12" xfId="31401" xr:uid="{00000000-0005-0000-0000-000074770000}"/>
    <cellStyle name="Table  - Style6 6 2 13" xfId="31402" xr:uid="{00000000-0005-0000-0000-000075770000}"/>
    <cellStyle name="Table  - Style6 6 2 14" xfId="31403" xr:uid="{00000000-0005-0000-0000-000076770000}"/>
    <cellStyle name="Table  - Style6 6 2 15" xfId="31404" xr:uid="{00000000-0005-0000-0000-000077770000}"/>
    <cellStyle name="Table  - Style6 6 2 16" xfId="31405" xr:uid="{00000000-0005-0000-0000-000078770000}"/>
    <cellStyle name="Table  - Style6 6 2 17" xfId="31406" xr:uid="{00000000-0005-0000-0000-000079770000}"/>
    <cellStyle name="Table  - Style6 6 2 2" xfId="31407" xr:uid="{00000000-0005-0000-0000-00007A770000}"/>
    <cellStyle name="Table  - Style6 6 2 2 10" xfId="31408" xr:uid="{00000000-0005-0000-0000-00007B770000}"/>
    <cellStyle name="Table  - Style6 6 2 2 11" xfId="31409" xr:uid="{00000000-0005-0000-0000-00007C770000}"/>
    <cellStyle name="Table  - Style6 6 2 2 12" xfId="31410" xr:uid="{00000000-0005-0000-0000-00007D770000}"/>
    <cellStyle name="Table  - Style6 6 2 2 13" xfId="31411" xr:uid="{00000000-0005-0000-0000-00007E770000}"/>
    <cellStyle name="Table  - Style6 6 2 2 14" xfId="31412" xr:uid="{00000000-0005-0000-0000-00007F770000}"/>
    <cellStyle name="Table  - Style6 6 2 2 15" xfId="31413" xr:uid="{00000000-0005-0000-0000-000080770000}"/>
    <cellStyle name="Table  - Style6 6 2 2 16" xfId="31414" xr:uid="{00000000-0005-0000-0000-000081770000}"/>
    <cellStyle name="Table  - Style6 6 2 2 2" xfId="31415" xr:uid="{00000000-0005-0000-0000-000082770000}"/>
    <cellStyle name="Table  - Style6 6 2 2 3" xfId="31416" xr:uid="{00000000-0005-0000-0000-000083770000}"/>
    <cellStyle name="Table  - Style6 6 2 2 4" xfId="31417" xr:uid="{00000000-0005-0000-0000-000084770000}"/>
    <cellStyle name="Table  - Style6 6 2 2 5" xfId="31418" xr:uid="{00000000-0005-0000-0000-000085770000}"/>
    <cellStyle name="Table  - Style6 6 2 2 6" xfId="31419" xr:uid="{00000000-0005-0000-0000-000086770000}"/>
    <cellStyle name="Table  - Style6 6 2 2 7" xfId="31420" xr:uid="{00000000-0005-0000-0000-000087770000}"/>
    <cellStyle name="Table  - Style6 6 2 2 8" xfId="31421" xr:uid="{00000000-0005-0000-0000-000088770000}"/>
    <cellStyle name="Table  - Style6 6 2 2 9" xfId="31422" xr:uid="{00000000-0005-0000-0000-000089770000}"/>
    <cellStyle name="Table  - Style6 6 2 3" xfId="31423" xr:uid="{00000000-0005-0000-0000-00008A770000}"/>
    <cellStyle name="Table  - Style6 6 2 4" xfId="31424" xr:uid="{00000000-0005-0000-0000-00008B770000}"/>
    <cellStyle name="Table  - Style6 6 2 5" xfId="31425" xr:uid="{00000000-0005-0000-0000-00008C770000}"/>
    <cellStyle name="Table  - Style6 6 2 6" xfId="31426" xr:uid="{00000000-0005-0000-0000-00008D770000}"/>
    <cellStyle name="Table  - Style6 6 2 7" xfId="31427" xr:uid="{00000000-0005-0000-0000-00008E770000}"/>
    <cellStyle name="Table  - Style6 6 2 8" xfId="31428" xr:uid="{00000000-0005-0000-0000-00008F770000}"/>
    <cellStyle name="Table  - Style6 6 2 9" xfId="31429" xr:uid="{00000000-0005-0000-0000-000090770000}"/>
    <cellStyle name="Table  - Style6 6 20" xfId="31430" xr:uid="{00000000-0005-0000-0000-000091770000}"/>
    <cellStyle name="Table  - Style6 6 21" xfId="31431" xr:uid="{00000000-0005-0000-0000-000092770000}"/>
    <cellStyle name="Table  - Style6 6 22" xfId="31432" xr:uid="{00000000-0005-0000-0000-000093770000}"/>
    <cellStyle name="Table  - Style6 6 23" xfId="31433" xr:uid="{00000000-0005-0000-0000-000094770000}"/>
    <cellStyle name="Table  - Style6 6 24" xfId="31434" xr:uid="{00000000-0005-0000-0000-000095770000}"/>
    <cellStyle name="Table  - Style6 6 25" xfId="31435" xr:uid="{00000000-0005-0000-0000-000096770000}"/>
    <cellStyle name="Table  - Style6 6 26" xfId="31436" xr:uid="{00000000-0005-0000-0000-000097770000}"/>
    <cellStyle name="Table  - Style6 6 3" xfId="31437" xr:uid="{00000000-0005-0000-0000-000098770000}"/>
    <cellStyle name="Table  - Style6 6 3 10" xfId="31438" xr:uid="{00000000-0005-0000-0000-000099770000}"/>
    <cellStyle name="Table  - Style6 6 3 11" xfId="31439" xr:uid="{00000000-0005-0000-0000-00009A770000}"/>
    <cellStyle name="Table  - Style6 6 3 12" xfId="31440" xr:uid="{00000000-0005-0000-0000-00009B770000}"/>
    <cellStyle name="Table  - Style6 6 3 13" xfId="31441" xr:uid="{00000000-0005-0000-0000-00009C770000}"/>
    <cellStyle name="Table  - Style6 6 3 14" xfId="31442" xr:uid="{00000000-0005-0000-0000-00009D770000}"/>
    <cellStyle name="Table  - Style6 6 3 15" xfId="31443" xr:uid="{00000000-0005-0000-0000-00009E770000}"/>
    <cellStyle name="Table  - Style6 6 3 16" xfId="31444" xr:uid="{00000000-0005-0000-0000-00009F770000}"/>
    <cellStyle name="Table  - Style6 6 3 17" xfId="31445" xr:uid="{00000000-0005-0000-0000-0000A0770000}"/>
    <cellStyle name="Table  - Style6 6 3 2" xfId="31446" xr:uid="{00000000-0005-0000-0000-0000A1770000}"/>
    <cellStyle name="Table  - Style6 6 3 2 10" xfId="31447" xr:uid="{00000000-0005-0000-0000-0000A2770000}"/>
    <cellStyle name="Table  - Style6 6 3 2 11" xfId="31448" xr:uid="{00000000-0005-0000-0000-0000A3770000}"/>
    <cellStyle name="Table  - Style6 6 3 2 12" xfId="31449" xr:uid="{00000000-0005-0000-0000-0000A4770000}"/>
    <cellStyle name="Table  - Style6 6 3 2 13" xfId="31450" xr:uid="{00000000-0005-0000-0000-0000A5770000}"/>
    <cellStyle name="Table  - Style6 6 3 2 14" xfId="31451" xr:uid="{00000000-0005-0000-0000-0000A6770000}"/>
    <cellStyle name="Table  - Style6 6 3 2 15" xfId="31452" xr:uid="{00000000-0005-0000-0000-0000A7770000}"/>
    <cellStyle name="Table  - Style6 6 3 2 16" xfId="31453" xr:uid="{00000000-0005-0000-0000-0000A8770000}"/>
    <cellStyle name="Table  - Style6 6 3 2 2" xfId="31454" xr:uid="{00000000-0005-0000-0000-0000A9770000}"/>
    <cellStyle name="Table  - Style6 6 3 2 3" xfId="31455" xr:uid="{00000000-0005-0000-0000-0000AA770000}"/>
    <cellStyle name="Table  - Style6 6 3 2 4" xfId="31456" xr:uid="{00000000-0005-0000-0000-0000AB770000}"/>
    <cellStyle name="Table  - Style6 6 3 2 5" xfId="31457" xr:uid="{00000000-0005-0000-0000-0000AC770000}"/>
    <cellStyle name="Table  - Style6 6 3 2 6" xfId="31458" xr:uid="{00000000-0005-0000-0000-0000AD770000}"/>
    <cellStyle name="Table  - Style6 6 3 2 7" xfId="31459" xr:uid="{00000000-0005-0000-0000-0000AE770000}"/>
    <cellStyle name="Table  - Style6 6 3 2 8" xfId="31460" xr:uid="{00000000-0005-0000-0000-0000AF770000}"/>
    <cellStyle name="Table  - Style6 6 3 2 9" xfId="31461" xr:uid="{00000000-0005-0000-0000-0000B0770000}"/>
    <cellStyle name="Table  - Style6 6 3 3" xfId="31462" xr:uid="{00000000-0005-0000-0000-0000B1770000}"/>
    <cellStyle name="Table  - Style6 6 3 4" xfId="31463" xr:uid="{00000000-0005-0000-0000-0000B2770000}"/>
    <cellStyle name="Table  - Style6 6 3 5" xfId="31464" xr:uid="{00000000-0005-0000-0000-0000B3770000}"/>
    <cellStyle name="Table  - Style6 6 3 6" xfId="31465" xr:uid="{00000000-0005-0000-0000-0000B4770000}"/>
    <cellStyle name="Table  - Style6 6 3 7" xfId="31466" xr:uid="{00000000-0005-0000-0000-0000B5770000}"/>
    <cellStyle name="Table  - Style6 6 3 8" xfId="31467" xr:uid="{00000000-0005-0000-0000-0000B6770000}"/>
    <cellStyle name="Table  - Style6 6 3 9" xfId="31468" xr:uid="{00000000-0005-0000-0000-0000B7770000}"/>
    <cellStyle name="Table  - Style6 6 4" xfId="31469" xr:uid="{00000000-0005-0000-0000-0000B8770000}"/>
    <cellStyle name="Table  - Style6 6 4 10" xfId="31470" xr:uid="{00000000-0005-0000-0000-0000B9770000}"/>
    <cellStyle name="Table  - Style6 6 4 11" xfId="31471" xr:uid="{00000000-0005-0000-0000-0000BA770000}"/>
    <cellStyle name="Table  - Style6 6 4 12" xfId="31472" xr:uid="{00000000-0005-0000-0000-0000BB770000}"/>
    <cellStyle name="Table  - Style6 6 4 13" xfId="31473" xr:uid="{00000000-0005-0000-0000-0000BC770000}"/>
    <cellStyle name="Table  - Style6 6 4 14" xfId="31474" xr:uid="{00000000-0005-0000-0000-0000BD770000}"/>
    <cellStyle name="Table  - Style6 6 4 15" xfId="31475" xr:uid="{00000000-0005-0000-0000-0000BE770000}"/>
    <cellStyle name="Table  - Style6 6 4 16" xfId="31476" xr:uid="{00000000-0005-0000-0000-0000BF770000}"/>
    <cellStyle name="Table  - Style6 6 4 17" xfId="31477" xr:uid="{00000000-0005-0000-0000-0000C0770000}"/>
    <cellStyle name="Table  - Style6 6 4 2" xfId="31478" xr:uid="{00000000-0005-0000-0000-0000C1770000}"/>
    <cellStyle name="Table  - Style6 6 4 2 10" xfId="31479" xr:uid="{00000000-0005-0000-0000-0000C2770000}"/>
    <cellStyle name="Table  - Style6 6 4 2 11" xfId="31480" xr:uid="{00000000-0005-0000-0000-0000C3770000}"/>
    <cellStyle name="Table  - Style6 6 4 2 12" xfId="31481" xr:uid="{00000000-0005-0000-0000-0000C4770000}"/>
    <cellStyle name="Table  - Style6 6 4 2 13" xfId="31482" xr:uid="{00000000-0005-0000-0000-0000C5770000}"/>
    <cellStyle name="Table  - Style6 6 4 2 14" xfId="31483" xr:uid="{00000000-0005-0000-0000-0000C6770000}"/>
    <cellStyle name="Table  - Style6 6 4 2 15" xfId="31484" xr:uid="{00000000-0005-0000-0000-0000C7770000}"/>
    <cellStyle name="Table  - Style6 6 4 2 16" xfId="31485" xr:uid="{00000000-0005-0000-0000-0000C8770000}"/>
    <cellStyle name="Table  - Style6 6 4 2 2" xfId="31486" xr:uid="{00000000-0005-0000-0000-0000C9770000}"/>
    <cellStyle name="Table  - Style6 6 4 2 3" xfId="31487" xr:uid="{00000000-0005-0000-0000-0000CA770000}"/>
    <cellStyle name="Table  - Style6 6 4 2 4" xfId="31488" xr:uid="{00000000-0005-0000-0000-0000CB770000}"/>
    <cellStyle name="Table  - Style6 6 4 2 5" xfId="31489" xr:uid="{00000000-0005-0000-0000-0000CC770000}"/>
    <cellStyle name="Table  - Style6 6 4 2 6" xfId="31490" xr:uid="{00000000-0005-0000-0000-0000CD770000}"/>
    <cellStyle name="Table  - Style6 6 4 2 7" xfId="31491" xr:uid="{00000000-0005-0000-0000-0000CE770000}"/>
    <cellStyle name="Table  - Style6 6 4 2 8" xfId="31492" xr:uid="{00000000-0005-0000-0000-0000CF770000}"/>
    <cellStyle name="Table  - Style6 6 4 2 9" xfId="31493" xr:uid="{00000000-0005-0000-0000-0000D0770000}"/>
    <cellStyle name="Table  - Style6 6 4 3" xfId="31494" xr:uid="{00000000-0005-0000-0000-0000D1770000}"/>
    <cellStyle name="Table  - Style6 6 4 4" xfId="31495" xr:uid="{00000000-0005-0000-0000-0000D2770000}"/>
    <cellStyle name="Table  - Style6 6 4 5" xfId="31496" xr:uid="{00000000-0005-0000-0000-0000D3770000}"/>
    <cellStyle name="Table  - Style6 6 4 6" xfId="31497" xr:uid="{00000000-0005-0000-0000-0000D4770000}"/>
    <cellStyle name="Table  - Style6 6 4 7" xfId="31498" xr:uid="{00000000-0005-0000-0000-0000D5770000}"/>
    <cellStyle name="Table  - Style6 6 4 8" xfId="31499" xr:uid="{00000000-0005-0000-0000-0000D6770000}"/>
    <cellStyle name="Table  - Style6 6 4 9" xfId="31500" xr:uid="{00000000-0005-0000-0000-0000D7770000}"/>
    <cellStyle name="Table  - Style6 6 5" xfId="31501" xr:uid="{00000000-0005-0000-0000-0000D8770000}"/>
    <cellStyle name="Table  - Style6 6 5 10" xfId="31502" xr:uid="{00000000-0005-0000-0000-0000D9770000}"/>
    <cellStyle name="Table  - Style6 6 5 11" xfId="31503" xr:uid="{00000000-0005-0000-0000-0000DA770000}"/>
    <cellStyle name="Table  - Style6 6 5 12" xfId="31504" xr:uid="{00000000-0005-0000-0000-0000DB770000}"/>
    <cellStyle name="Table  - Style6 6 5 13" xfId="31505" xr:uid="{00000000-0005-0000-0000-0000DC770000}"/>
    <cellStyle name="Table  - Style6 6 5 14" xfId="31506" xr:uid="{00000000-0005-0000-0000-0000DD770000}"/>
    <cellStyle name="Table  - Style6 6 5 15" xfId="31507" xr:uid="{00000000-0005-0000-0000-0000DE770000}"/>
    <cellStyle name="Table  - Style6 6 5 16" xfId="31508" xr:uid="{00000000-0005-0000-0000-0000DF770000}"/>
    <cellStyle name="Table  - Style6 6 5 17" xfId="31509" xr:uid="{00000000-0005-0000-0000-0000E0770000}"/>
    <cellStyle name="Table  - Style6 6 5 2" xfId="31510" xr:uid="{00000000-0005-0000-0000-0000E1770000}"/>
    <cellStyle name="Table  - Style6 6 5 2 10" xfId="31511" xr:uid="{00000000-0005-0000-0000-0000E2770000}"/>
    <cellStyle name="Table  - Style6 6 5 2 11" xfId="31512" xr:uid="{00000000-0005-0000-0000-0000E3770000}"/>
    <cellStyle name="Table  - Style6 6 5 2 12" xfId="31513" xr:uid="{00000000-0005-0000-0000-0000E4770000}"/>
    <cellStyle name="Table  - Style6 6 5 2 13" xfId="31514" xr:uid="{00000000-0005-0000-0000-0000E5770000}"/>
    <cellStyle name="Table  - Style6 6 5 2 14" xfId="31515" xr:uid="{00000000-0005-0000-0000-0000E6770000}"/>
    <cellStyle name="Table  - Style6 6 5 2 15" xfId="31516" xr:uid="{00000000-0005-0000-0000-0000E7770000}"/>
    <cellStyle name="Table  - Style6 6 5 2 16" xfId="31517" xr:uid="{00000000-0005-0000-0000-0000E8770000}"/>
    <cellStyle name="Table  - Style6 6 5 2 2" xfId="31518" xr:uid="{00000000-0005-0000-0000-0000E9770000}"/>
    <cellStyle name="Table  - Style6 6 5 2 3" xfId="31519" xr:uid="{00000000-0005-0000-0000-0000EA770000}"/>
    <cellStyle name="Table  - Style6 6 5 2 4" xfId="31520" xr:uid="{00000000-0005-0000-0000-0000EB770000}"/>
    <cellStyle name="Table  - Style6 6 5 2 5" xfId="31521" xr:uid="{00000000-0005-0000-0000-0000EC770000}"/>
    <cellStyle name="Table  - Style6 6 5 2 6" xfId="31522" xr:uid="{00000000-0005-0000-0000-0000ED770000}"/>
    <cellStyle name="Table  - Style6 6 5 2 7" xfId="31523" xr:uid="{00000000-0005-0000-0000-0000EE770000}"/>
    <cellStyle name="Table  - Style6 6 5 2 8" xfId="31524" xr:uid="{00000000-0005-0000-0000-0000EF770000}"/>
    <cellStyle name="Table  - Style6 6 5 2 9" xfId="31525" xr:uid="{00000000-0005-0000-0000-0000F0770000}"/>
    <cellStyle name="Table  - Style6 6 5 3" xfId="31526" xr:uid="{00000000-0005-0000-0000-0000F1770000}"/>
    <cellStyle name="Table  - Style6 6 5 4" xfId="31527" xr:uid="{00000000-0005-0000-0000-0000F2770000}"/>
    <cellStyle name="Table  - Style6 6 5 5" xfId="31528" xr:uid="{00000000-0005-0000-0000-0000F3770000}"/>
    <cellStyle name="Table  - Style6 6 5 6" xfId="31529" xr:uid="{00000000-0005-0000-0000-0000F4770000}"/>
    <cellStyle name="Table  - Style6 6 5 7" xfId="31530" xr:uid="{00000000-0005-0000-0000-0000F5770000}"/>
    <cellStyle name="Table  - Style6 6 5 8" xfId="31531" xr:uid="{00000000-0005-0000-0000-0000F6770000}"/>
    <cellStyle name="Table  - Style6 6 5 9" xfId="31532" xr:uid="{00000000-0005-0000-0000-0000F7770000}"/>
    <cellStyle name="Table  - Style6 6 6" xfId="31533" xr:uid="{00000000-0005-0000-0000-0000F8770000}"/>
    <cellStyle name="Table  - Style6 6 6 10" xfId="31534" xr:uid="{00000000-0005-0000-0000-0000F9770000}"/>
    <cellStyle name="Table  - Style6 6 6 11" xfId="31535" xr:uid="{00000000-0005-0000-0000-0000FA770000}"/>
    <cellStyle name="Table  - Style6 6 6 12" xfId="31536" xr:uid="{00000000-0005-0000-0000-0000FB770000}"/>
    <cellStyle name="Table  - Style6 6 6 13" xfId="31537" xr:uid="{00000000-0005-0000-0000-0000FC770000}"/>
    <cellStyle name="Table  - Style6 6 6 14" xfId="31538" xr:uid="{00000000-0005-0000-0000-0000FD770000}"/>
    <cellStyle name="Table  - Style6 6 6 15" xfId="31539" xr:uid="{00000000-0005-0000-0000-0000FE770000}"/>
    <cellStyle name="Table  - Style6 6 6 16" xfId="31540" xr:uid="{00000000-0005-0000-0000-0000FF770000}"/>
    <cellStyle name="Table  - Style6 6 6 17" xfId="31541" xr:uid="{00000000-0005-0000-0000-000000780000}"/>
    <cellStyle name="Table  - Style6 6 6 2" xfId="31542" xr:uid="{00000000-0005-0000-0000-000001780000}"/>
    <cellStyle name="Table  - Style6 6 6 2 10" xfId="31543" xr:uid="{00000000-0005-0000-0000-000002780000}"/>
    <cellStyle name="Table  - Style6 6 6 2 11" xfId="31544" xr:uid="{00000000-0005-0000-0000-000003780000}"/>
    <cellStyle name="Table  - Style6 6 6 2 12" xfId="31545" xr:uid="{00000000-0005-0000-0000-000004780000}"/>
    <cellStyle name="Table  - Style6 6 6 2 13" xfId="31546" xr:uid="{00000000-0005-0000-0000-000005780000}"/>
    <cellStyle name="Table  - Style6 6 6 2 14" xfId="31547" xr:uid="{00000000-0005-0000-0000-000006780000}"/>
    <cellStyle name="Table  - Style6 6 6 2 15" xfId="31548" xr:uid="{00000000-0005-0000-0000-000007780000}"/>
    <cellStyle name="Table  - Style6 6 6 2 16" xfId="31549" xr:uid="{00000000-0005-0000-0000-000008780000}"/>
    <cellStyle name="Table  - Style6 6 6 2 2" xfId="31550" xr:uid="{00000000-0005-0000-0000-000009780000}"/>
    <cellStyle name="Table  - Style6 6 6 2 3" xfId="31551" xr:uid="{00000000-0005-0000-0000-00000A780000}"/>
    <cellStyle name="Table  - Style6 6 6 2 4" xfId="31552" xr:uid="{00000000-0005-0000-0000-00000B780000}"/>
    <cellStyle name="Table  - Style6 6 6 2 5" xfId="31553" xr:uid="{00000000-0005-0000-0000-00000C780000}"/>
    <cellStyle name="Table  - Style6 6 6 2 6" xfId="31554" xr:uid="{00000000-0005-0000-0000-00000D780000}"/>
    <cellStyle name="Table  - Style6 6 6 2 7" xfId="31555" xr:uid="{00000000-0005-0000-0000-00000E780000}"/>
    <cellStyle name="Table  - Style6 6 6 2 8" xfId="31556" xr:uid="{00000000-0005-0000-0000-00000F780000}"/>
    <cellStyle name="Table  - Style6 6 6 2 9" xfId="31557" xr:uid="{00000000-0005-0000-0000-000010780000}"/>
    <cellStyle name="Table  - Style6 6 6 3" xfId="31558" xr:uid="{00000000-0005-0000-0000-000011780000}"/>
    <cellStyle name="Table  - Style6 6 6 4" xfId="31559" xr:uid="{00000000-0005-0000-0000-000012780000}"/>
    <cellStyle name="Table  - Style6 6 6 5" xfId="31560" xr:uid="{00000000-0005-0000-0000-000013780000}"/>
    <cellStyle name="Table  - Style6 6 6 6" xfId="31561" xr:uid="{00000000-0005-0000-0000-000014780000}"/>
    <cellStyle name="Table  - Style6 6 6 7" xfId="31562" xr:uid="{00000000-0005-0000-0000-000015780000}"/>
    <cellStyle name="Table  - Style6 6 6 8" xfId="31563" xr:uid="{00000000-0005-0000-0000-000016780000}"/>
    <cellStyle name="Table  - Style6 6 6 9" xfId="31564" xr:uid="{00000000-0005-0000-0000-000017780000}"/>
    <cellStyle name="Table  - Style6 6 7" xfId="31565" xr:uid="{00000000-0005-0000-0000-000018780000}"/>
    <cellStyle name="Table  - Style6 6 7 10" xfId="31566" xr:uid="{00000000-0005-0000-0000-000019780000}"/>
    <cellStyle name="Table  - Style6 6 7 11" xfId="31567" xr:uid="{00000000-0005-0000-0000-00001A780000}"/>
    <cellStyle name="Table  - Style6 6 7 12" xfId="31568" xr:uid="{00000000-0005-0000-0000-00001B780000}"/>
    <cellStyle name="Table  - Style6 6 7 13" xfId="31569" xr:uid="{00000000-0005-0000-0000-00001C780000}"/>
    <cellStyle name="Table  - Style6 6 7 14" xfId="31570" xr:uid="{00000000-0005-0000-0000-00001D780000}"/>
    <cellStyle name="Table  - Style6 6 7 15" xfId="31571" xr:uid="{00000000-0005-0000-0000-00001E780000}"/>
    <cellStyle name="Table  - Style6 6 7 16" xfId="31572" xr:uid="{00000000-0005-0000-0000-00001F780000}"/>
    <cellStyle name="Table  - Style6 6 7 17" xfId="31573" xr:uid="{00000000-0005-0000-0000-000020780000}"/>
    <cellStyle name="Table  - Style6 6 7 2" xfId="31574" xr:uid="{00000000-0005-0000-0000-000021780000}"/>
    <cellStyle name="Table  - Style6 6 7 2 10" xfId="31575" xr:uid="{00000000-0005-0000-0000-000022780000}"/>
    <cellStyle name="Table  - Style6 6 7 2 11" xfId="31576" xr:uid="{00000000-0005-0000-0000-000023780000}"/>
    <cellStyle name="Table  - Style6 6 7 2 12" xfId="31577" xr:uid="{00000000-0005-0000-0000-000024780000}"/>
    <cellStyle name="Table  - Style6 6 7 2 13" xfId="31578" xr:uid="{00000000-0005-0000-0000-000025780000}"/>
    <cellStyle name="Table  - Style6 6 7 2 14" xfId="31579" xr:uid="{00000000-0005-0000-0000-000026780000}"/>
    <cellStyle name="Table  - Style6 6 7 2 15" xfId="31580" xr:uid="{00000000-0005-0000-0000-000027780000}"/>
    <cellStyle name="Table  - Style6 6 7 2 16" xfId="31581" xr:uid="{00000000-0005-0000-0000-000028780000}"/>
    <cellStyle name="Table  - Style6 6 7 2 2" xfId="31582" xr:uid="{00000000-0005-0000-0000-000029780000}"/>
    <cellStyle name="Table  - Style6 6 7 2 3" xfId="31583" xr:uid="{00000000-0005-0000-0000-00002A780000}"/>
    <cellStyle name="Table  - Style6 6 7 2 4" xfId="31584" xr:uid="{00000000-0005-0000-0000-00002B780000}"/>
    <cellStyle name="Table  - Style6 6 7 2 5" xfId="31585" xr:uid="{00000000-0005-0000-0000-00002C780000}"/>
    <cellStyle name="Table  - Style6 6 7 2 6" xfId="31586" xr:uid="{00000000-0005-0000-0000-00002D780000}"/>
    <cellStyle name="Table  - Style6 6 7 2 7" xfId="31587" xr:uid="{00000000-0005-0000-0000-00002E780000}"/>
    <cellStyle name="Table  - Style6 6 7 2 8" xfId="31588" xr:uid="{00000000-0005-0000-0000-00002F780000}"/>
    <cellStyle name="Table  - Style6 6 7 2 9" xfId="31589" xr:uid="{00000000-0005-0000-0000-000030780000}"/>
    <cellStyle name="Table  - Style6 6 7 3" xfId="31590" xr:uid="{00000000-0005-0000-0000-000031780000}"/>
    <cellStyle name="Table  - Style6 6 7 4" xfId="31591" xr:uid="{00000000-0005-0000-0000-000032780000}"/>
    <cellStyle name="Table  - Style6 6 7 5" xfId="31592" xr:uid="{00000000-0005-0000-0000-000033780000}"/>
    <cellStyle name="Table  - Style6 6 7 6" xfId="31593" xr:uid="{00000000-0005-0000-0000-000034780000}"/>
    <cellStyle name="Table  - Style6 6 7 7" xfId="31594" xr:uid="{00000000-0005-0000-0000-000035780000}"/>
    <cellStyle name="Table  - Style6 6 7 8" xfId="31595" xr:uid="{00000000-0005-0000-0000-000036780000}"/>
    <cellStyle name="Table  - Style6 6 7 9" xfId="31596" xr:uid="{00000000-0005-0000-0000-000037780000}"/>
    <cellStyle name="Table  - Style6 6 8" xfId="31597" xr:uid="{00000000-0005-0000-0000-000038780000}"/>
    <cellStyle name="Table  - Style6 6 8 10" xfId="31598" xr:uid="{00000000-0005-0000-0000-000039780000}"/>
    <cellStyle name="Table  - Style6 6 8 11" xfId="31599" xr:uid="{00000000-0005-0000-0000-00003A780000}"/>
    <cellStyle name="Table  - Style6 6 8 12" xfId="31600" xr:uid="{00000000-0005-0000-0000-00003B780000}"/>
    <cellStyle name="Table  - Style6 6 8 13" xfId="31601" xr:uid="{00000000-0005-0000-0000-00003C780000}"/>
    <cellStyle name="Table  - Style6 6 8 14" xfId="31602" xr:uid="{00000000-0005-0000-0000-00003D780000}"/>
    <cellStyle name="Table  - Style6 6 8 15" xfId="31603" xr:uid="{00000000-0005-0000-0000-00003E780000}"/>
    <cellStyle name="Table  - Style6 6 8 16" xfId="31604" xr:uid="{00000000-0005-0000-0000-00003F780000}"/>
    <cellStyle name="Table  - Style6 6 8 17" xfId="31605" xr:uid="{00000000-0005-0000-0000-000040780000}"/>
    <cellStyle name="Table  - Style6 6 8 2" xfId="31606" xr:uid="{00000000-0005-0000-0000-000041780000}"/>
    <cellStyle name="Table  - Style6 6 8 2 10" xfId="31607" xr:uid="{00000000-0005-0000-0000-000042780000}"/>
    <cellStyle name="Table  - Style6 6 8 2 11" xfId="31608" xr:uid="{00000000-0005-0000-0000-000043780000}"/>
    <cellStyle name="Table  - Style6 6 8 2 12" xfId="31609" xr:uid="{00000000-0005-0000-0000-000044780000}"/>
    <cellStyle name="Table  - Style6 6 8 2 13" xfId="31610" xr:uid="{00000000-0005-0000-0000-000045780000}"/>
    <cellStyle name="Table  - Style6 6 8 2 14" xfId="31611" xr:uid="{00000000-0005-0000-0000-000046780000}"/>
    <cellStyle name="Table  - Style6 6 8 2 15" xfId="31612" xr:uid="{00000000-0005-0000-0000-000047780000}"/>
    <cellStyle name="Table  - Style6 6 8 2 16" xfId="31613" xr:uid="{00000000-0005-0000-0000-000048780000}"/>
    <cellStyle name="Table  - Style6 6 8 2 2" xfId="31614" xr:uid="{00000000-0005-0000-0000-000049780000}"/>
    <cellStyle name="Table  - Style6 6 8 2 3" xfId="31615" xr:uid="{00000000-0005-0000-0000-00004A780000}"/>
    <cellStyle name="Table  - Style6 6 8 2 4" xfId="31616" xr:uid="{00000000-0005-0000-0000-00004B780000}"/>
    <cellStyle name="Table  - Style6 6 8 2 5" xfId="31617" xr:uid="{00000000-0005-0000-0000-00004C780000}"/>
    <cellStyle name="Table  - Style6 6 8 2 6" xfId="31618" xr:uid="{00000000-0005-0000-0000-00004D780000}"/>
    <cellStyle name="Table  - Style6 6 8 2 7" xfId="31619" xr:uid="{00000000-0005-0000-0000-00004E780000}"/>
    <cellStyle name="Table  - Style6 6 8 2 8" xfId="31620" xr:uid="{00000000-0005-0000-0000-00004F780000}"/>
    <cellStyle name="Table  - Style6 6 8 2 9" xfId="31621" xr:uid="{00000000-0005-0000-0000-000050780000}"/>
    <cellStyle name="Table  - Style6 6 8 3" xfId="31622" xr:uid="{00000000-0005-0000-0000-000051780000}"/>
    <cellStyle name="Table  - Style6 6 8 4" xfId="31623" xr:uid="{00000000-0005-0000-0000-000052780000}"/>
    <cellStyle name="Table  - Style6 6 8 5" xfId="31624" xr:uid="{00000000-0005-0000-0000-000053780000}"/>
    <cellStyle name="Table  - Style6 6 8 6" xfId="31625" xr:uid="{00000000-0005-0000-0000-000054780000}"/>
    <cellStyle name="Table  - Style6 6 8 7" xfId="31626" xr:uid="{00000000-0005-0000-0000-000055780000}"/>
    <cellStyle name="Table  - Style6 6 8 8" xfId="31627" xr:uid="{00000000-0005-0000-0000-000056780000}"/>
    <cellStyle name="Table  - Style6 6 8 9" xfId="31628" xr:uid="{00000000-0005-0000-0000-000057780000}"/>
    <cellStyle name="Table  - Style6 6 9" xfId="31629" xr:uid="{00000000-0005-0000-0000-000058780000}"/>
    <cellStyle name="Table  - Style6 6 9 10" xfId="31630" xr:uid="{00000000-0005-0000-0000-000059780000}"/>
    <cellStyle name="Table  - Style6 6 9 11" xfId="31631" xr:uid="{00000000-0005-0000-0000-00005A780000}"/>
    <cellStyle name="Table  - Style6 6 9 12" xfId="31632" xr:uid="{00000000-0005-0000-0000-00005B780000}"/>
    <cellStyle name="Table  - Style6 6 9 13" xfId="31633" xr:uid="{00000000-0005-0000-0000-00005C780000}"/>
    <cellStyle name="Table  - Style6 6 9 14" xfId="31634" xr:uid="{00000000-0005-0000-0000-00005D780000}"/>
    <cellStyle name="Table  - Style6 6 9 15" xfId="31635" xr:uid="{00000000-0005-0000-0000-00005E780000}"/>
    <cellStyle name="Table  - Style6 6 9 16" xfId="31636" xr:uid="{00000000-0005-0000-0000-00005F780000}"/>
    <cellStyle name="Table  - Style6 6 9 17" xfId="31637" xr:uid="{00000000-0005-0000-0000-000060780000}"/>
    <cellStyle name="Table  - Style6 6 9 2" xfId="31638" xr:uid="{00000000-0005-0000-0000-000061780000}"/>
    <cellStyle name="Table  - Style6 6 9 2 10" xfId="31639" xr:uid="{00000000-0005-0000-0000-000062780000}"/>
    <cellStyle name="Table  - Style6 6 9 2 11" xfId="31640" xr:uid="{00000000-0005-0000-0000-000063780000}"/>
    <cellStyle name="Table  - Style6 6 9 2 12" xfId="31641" xr:uid="{00000000-0005-0000-0000-000064780000}"/>
    <cellStyle name="Table  - Style6 6 9 2 13" xfId="31642" xr:uid="{00000000-0005-0000-0000-000065780000}"/>
    <cellStyle name="Table  - Style6 6 9 2 14" xfId="31643" xr:uid="{00000000-0005-0000-0000-000066780000}"/>
    <cellStyle name="Table  - Style6 6 9 2 15" xfId="31644" xr:uid="{00000000-0005-0000-0000-000067780000}"/>
    <cellStyle name="Table  - Style6 6 9 2 16" xfId="31645" xr:uid="{00000000-0005-0000-0000-000068780000}"/>
    <cellStyle name="Table  - Style6 6 9 2 2" xfId="31646" xr:uid="{00000000-0005-0000-0000-000069780000}"/>
    <cellStyle name="Table  - Style6 6 9 2 3" xfId="31647" xr:uid="{00000000-0005-0000-0000-00006A780000}"/>
    <cellStyle name="Table  - Style6 6 9 2 4" xfId="31648" xr:uid="{00000000-0005-0000-0000-00006B780000}"/>
    <cellStyle name="Table  - Style6 6 9 2 5" xfId="31649" xr:uid="{00000000-0005-0000-0000-00006C780000}"/>
    <cellStyle name="Table  - Style6 6 9 2 6" xfId="31650" xr:uid="{00000000-0005-0000-0000-00006D780000}"/>
    <cellStyle name="Table  - Style6 6 9 2 7" xfId="31651" xr:uid="{00000000-0005-0000-0000-00006E780000}"/>
    <cellStyle name="Table  - Style6 6 9 2 8" xfId="31652" xr:uid="{00000000-0005-0000-0000-00006F780000}"/>
    <cellStyle name="Table  - Style6 6 9 2 9" xfId="31653" xr:uid="{00000000-0005-0000-0000-000070780000}"/>
    <cellStyle name="Table  - Style6 6 9 3" xfId="31654" xr:uid="{00000000-0005-0000-0000-000071780000}"/>
    <cellStyle name="Table  - Style6 6 9 4" xfId="31655" xr:uid="{00000000-0005-0000-0000-000072780000}"/>
    <cellStyle name="Table  - Style6 6 9 5" xfId="31656" xr:uid="{00000000-0005-0000-0000-000073780000}"/>
    <cellStyle name="Table  - Style6 6 9 6" xfId="31657" xr:uid="{00000000-0005-0000-0000-000074780000}"/>
    <cellStyle name="Table  - Style6 6 9 7" xfId="31658" xr:uid="{00000000-0005-0000-0000-000075780000}"/>
    <cellStyle name="Table  - Style6 6 9 8" xfId="31659" xr:uid="{00000000-0005-0000-0000-000076780000}"/>
    <cellStyle name="Table  - Style6 6 9 9" xfId="31660" xr:uid="{00000000-0005-0000-0000-000077780000}"/>
    <cellStyle name="Table  - Style6 7" xfId="31661" xr:uid="{00000000-0005-0000-0000-000078780000}"/>
    <cellStyle name="Table  - Style6 7 10" xfId="31662" xr:uid="{00000000-0005-0000-0000-000079780000}"/>
    <cellStyle name="Table  - Style6 7 10 10" xfId="31663" xr:uid="{00000000-0005-0000-0000-00007A780000}"/>
    <cellStyle name="Table  - Style6 7 10 11" xfId="31664" xr:uid="{00000000-0005-0000-0000-00007B780000}"/>
    <cellStyle name="Table  - Style6 7 10 12" xfId="31665" xr:uid="{00000000-0005-0000-0000-00007C780000}"/>
    <cellStyle name="Table  - Style6 7 10 13" xfId="31666" xr:uid="{00000000-0005-0000-0000-00007D780000}"/>
    <cellStyle name="Table  - Style6 7 10 14" xfId="31667" xr:uid="{00000000-0005-0000-0000-00007E780000}"/>
    <cellStyle name="Table  - Style6 7 10 15" xfId="31668" xr:uid="{00000000-0005-0000-0000-00007F780000}"/>
    <cellStyle name="Table  - Style6 7 10 16" xfId="31669" xr:uid="{00000000-0005-0000-0000-000080780000}"/>
    <cellStyle name="Table  - Style6 7 10 17" xfId="31670" xr:uid="{00000000-0005-0000-0000-000081780000}"/>
    <cellStyle name="Table  - Style6 7 10 2" xfId="31671" xr:uid="{00000000-0005-0000-0000-000082780000}"/>
    <cellStyle name="Table  - Style6 7 10 2 10" xfId="31672" xr:uid="{00000000-0005-0000-0000-000083780000}"/>
    <cellStyle name="Table  - Style6 7 10 2 11" xfId="31673" xr:uid="{00000000-0005-0000-0000-000084780000}"/>
    <cellStyle name="Table  - Style6 7 10 2 12" xfId="31674" xr:uid="{00000000-0005-0000-0000-000085780000}"/>
    <cellStyle name="Table  - Style6 7 10 2 13" xfId="31675" xr:uid="{00000000-0005-0000-0000-000086780000}"/>
    <cellStyle name="Table  - Style6 7 10 2 14" xfId="31676" xr:uid="{00000000-0005-0000-0000-000087780000}"/>
    <cellStyle name="Table  - Style6 7 10 2 15" xfId="31677" xr:uid="{00000000-0005-0000-0000-000088780000}"/>
    <cellStyle name="Table  - Style6 7 10 2 16" xfId="31678" xr:uid="{00000000-0005-0000-0000-000089780000}"/>
    <cellStyle name="Table  - Style6 7 10 2 2" xfId="31679" xr:uid="{00000000-0005-0000-0000-00008A780000}"/>
    <cellStyle name="Table  - Style6 7 10 2 3" xfId="31680" xr:uid="{00000000-0005-0000-0000-00008B780000}"/>
    <cellStyle name="Table  - Style6 7 10 2 4" xfId="31681" xr:uid="{00000000-0005-0000-0000-00008C780000}"/>
    <cellStyle name="Table  - Style6 7 10 2 5" xfId="31682" xr:uid="{00000000-0005-0000-0000-00008D780000}"/>
    <cellStyle name="Table  - Style6 7 10 2 6" xfId="31683" xr:uid="{00000000-0005-0000-0000-00008E780000}"/>
    <cellStyle name="Table  - Style6 7 10 2 7" xfId="31684" xr:uid="{00000000-0005-0000-0000-00008F780000}"/>
    <cellStyle name="Table  - Style6 7 10 2 8" xfId="31685" xr:uid="{00000000-0005-0000-0000-000090780000}"/>
    <cellStyle name="Table  - Style6 7 10 2 9" xfId="31686" xr:uid="{00000000-0005-0000-0000-000091780000}"/>
    <cellStyle name="Table  - Style6 7 10 3" xfId="31687" xr:uid="{00000000-0005-0000-0000-000092780000}"/>
    <cellStyle name="Table  - Style6 7 10 4" xfId="31688" xr:uid="{00000000-0005-0000-0000-000093780000}"/>
    <cellStyle name="Table  - Style6 7 10 5" xfId="31689" xr:uid="{00000000-0005-0000-0000-000094780000}"/>
    <cellStyle name="Table  - Style6 7 10 6" xfId="31690" xr:uid="{00000000-0005-0000-0000-000095780000}"/>
    <cellStyle name="Table  - Style6 7 10 7" xfId="31691" xr:uid="{00000000-0005-0000-0000-000096780000}"/>
    <cellStyle name="Table  - Style6 7 10 8" xfId="31692" xr:uid="{00000000-0005-0000-0000-000097780000}"/>
    <cellStyle name="Table  - Style6 7 10 9" xfId="31693" xr:uid="{00000000-0005-0000-0000-000098780000}"/>
    <cellStyle name="Table  - Style6 7 11" xfId="31694" xr:uid="{00000000-0005-0000-0000-000099780000}"/>
    <cellStyle name="Table  - Style6 7 11 10" xfId="31695" xr:uid="{00000000-0005-0000-0000-00009A780000}"/>
    <cellStyle name="Table  - Style6 7 11 11" xfId="31696" xr:uid="{00000000-0005-0000-0000-00009B780000}"/>
    <cellStyle name="Table  - Style6 7 11 12" xfId="31697" xr:uid="{00000000-0005-0000-0000-00009C780000}"/>
    <cellStyle name="Table  - Style6 7 11 13" xfId="31698" xr:uid="{00000000-0005-0000-0000-00009D780000}"/>
    <cellStyle name="Table  - Style6 7 11 14" xfId="31699" xr:uid="{00000000-0005-0000-0000-00009E780000}"/>
    <cellStyle name="Table  - Style6 7 11 15" xfId="31700" xr:uid="{00000000-0005-0000-0000-00009F780000}"/>
    <cellStyle name="Table  - Style6 7 11 16" xfId="31701" xr:uid="{00000000-0005-0000-0000-0000A0780000}"/>
    <cellStyle name="Table  - Style6 7 11 2" xfId="31702" xr:uid="{00000000-0005-0000-0000-0000A1780000}"/>
    <cellStyle name="Table  - Style6 7 11 3" xfId="31703" xr:uid="{00000000-0005-0000-0000-0000A2780000}"/>
    <cellStyle name="Table  - Style6 7 11 4" xfId="31704" xr:uid="{00000000-0005-0000-0000-0000A3780000}"/>
    <cellStyle name="Table  - Style6 7 11 5" xfId="31705" xr:uid="{00000000-0005-0000-0000-0000A4780000}"/>
    <cellStyle name="Table  - Style6 7 11 6" xfId="31706" xr:uid="{00000000-0005-0000-0000-0000A5780000}"/>
    <cellStyle name="Table  - Style6 7 11 7" xfId="31707" xr:uid="{00000000-0005-0000-0000-0000A6780000}"/>
    <cellStyle name="Table  - Style6 7 11 8" xfId="31708" xr:uid="{00000000-0005-0000-0000-0000A7780000}"/>
    <cellStyle name="Table  - Style6 7 11 9" xfId="31709" xr:uid="{00000000-0005-0000-0000-0000A8780000}"/>
    <cellStyle name="Table  - Style6 7 12" xfId="31710" xr:uid="{00000000-0005-0000-0000-0000A9780000}"/>
    <cellStyle name="Table  - Style6 7 13" xfId="31711" xr:uid="{00000000-0005-0000-0000-0000AA780000}"/>
    <cellStyle name="Table  - Style6 7 14" xfId="31712" xr:uid="{00000000-0005-0000-0000-0000AB780000}"/>
    <cellStyle name="Table  - Style6 7 15" xfId="31713" xr:uid="{00000000-0005-0000-0000-0000AC780000}"/>
    <cellStyle name="Table  - Style6 7 16" xfId="31714" xr:uid="{00000000-0005-0000-0000-0000AD780000}"/>
    <cellStyle name="Table  - Style6 7 17" xfId="31715" xr:uid="{00000000-0005-0000-0000-0000AE780000}"/>
    <cellStyle name="Table  - Style6 7 18" xfId="31716" xr:uid="{00000000-0005-0000-0000-0000AF780000}"/>
    <cellStyle name="Table  - Style6 7 19" xfId="31717" xr:uid="{00000000-0005-0000-0000-0000B0780000}"/>
    <cellStyle name="Table  - Style6 7 2" xfId="31718" xr:uid="{00000000-0005-0000-0000-0000B1780000}"/>
    <cellStyle name="Table  - Style6 7 2 10" xfId="31719" xr:uid="{00000000-0005-0000-0000-0000B2780000}"/>
    <cellStyle name="Table  - Style6 7 2 11" xfId="31720" xr:uid="{00000000-0005-0000-0000-0000B3780000}"/>
    <cellStyle name="Table  - Style6 7 2 12" xfId="31721" xr:uid="{00000000-0005-0000-0000-0000B4780000}"/>
    <cellStyle name="Table  - Style6 7 2 13" xfId="31722" xr:uid="{00000000-0005-0000-0000-0000B5780000}"/>
    <cellStyle name="Table  - Style6 7 2 14" xfId="31723" xr:uid="{00000000-0005-0000-0000-0000B6780000}"/>
    <cellStyle name="Table  - Style6 7 2 15" xfId="31724" xr:uid="{00000000-0005-0000-0000-0000B7780000}"/>
    <cellStyle name="Table  - Style6 7 2 16" xfId="31725" xr:uid="{00000000-0005-0000-0000-0000B8780000}"/>
    <cellStyle name="Table  - Style6 7 2 17" xfId="31726" xr:uid="{00000000-0005-0000-0000-0000B9780000}"/>
    <cellStyle name="Table  - Style6 7 2 2" xfId="31727" xr:uid="{00000000-0005-0000-0000-0000BA780000}"/>
    <cellStyle name="Table  - Style6 7 2 2 10" xfId="31728" xr:uid="{00000000-0005-0000-0000-0000BB780000}"/>
    <cellStyle name="Table  - Style6 7 2 2 11" xfId="31729" xr:uid="{00000000-0005-0000-0000-0000BC780000}"/>
    <cellStyle name="Table  - Style6 7 2 2 12" xfId="31730" xr:uid="{00000000-0005-0000-0000-0000BD780000}"/>
    <cellStyle name="Table  - Style6 7 2 2 13" xfId="31731" xr:uid="{00000000-0005-0000-0000-0000BE780000}"/>
    <cellStyle name="Table  - Style6 7 2 2 14" xfId="31732" xr:uid="{00000000-0005-0000-0000-0000BF780000}"/>
    <cellStyle name="Table  - Style6 7 2 2 15" xfId="31733" xr:uid="{00000000-0005-0000-0000-0000C0780000}"/>
    <cellStyle name="Table  - Style6 7 2 2 16" xfId="31734" xr:uid="{00000000-0005-0000-0000-0000C1780000}"/>
    <cellStyle name="Table  - Style6 7 2 2 2" xfId="31735" xr:uid="{00000000-0005-0000-0000-0000C2780000}"/>
    <cellStyle name="Table  - Style6 7 2 2 3" xfId="31736" xr:uid="{00000000-0005-0000-0000-0000C3780000}"/>
    <cellStyle name="Table  - Style6 7 2 2 4" xfId="31737" xr:uid="{00000000-0005-0000-0000-0000C4780000}"/>
    <cellStyle name="Table  - Style6 7 2 2 5" xfId="31738" xr:uid="{00000000-0005-0000-0000-0000C5780000}"/>
    <cellStyle name="Table  - Style6 7 2 2 6" xfId="31739" xr:uid="{00000000-0005-0000-0000-0000C6780000}"/>
    <cellStyle name="Table  - Style6 7 2 2 7" xfId="31740" xr:uid="{00000000-0005-0000-0000-0000C7780000}"/>
    <cellStyle name="Table  - Style6 7 2 2 8" xfId="31741" xr:uid="{00000000-0005-0000-0000-0000C8780000}"/>
    <cellStyle name="Table  - Style6 7 2 2 9" xfId="31742" xr:uid="{00000000-0005-0000-0000-0000C9780000}"/>
    <cellStyle name="Table  - Style6 7 2 3" xfId="31743" xr:uid="{00000000-0005-0000-0000-0000CA780000}"/>
    <cellStyle name="Table  - Style6 7 2 4" xfId="31744" xr:uid="{00000000-0005-0000-0000-0000CB780000}"/>
    <cellStyle name="Table  - Style6 7 2 5" xfId="31745" xr:uid="{00000000-0005-0000-0000-0000CC780000}"/>
    <cellStyle name="Table  - Style6 7 2 6" xfId="31746" xr:uid="{00000000-0005-0000-0000-0000CD780000}"/>
    <cellStyle name="Table  - Style6 7 2 7" xfId="31747" xr:uid="{00000000-0005-0000-0000-0000CE780000}"/>
    <cellStyle name="Table  - Style6 7 2 8" xfId="31748" xr:uid="{00000000-0005-0000-0000-0000CF780000}"/>
    <cellStyle name="Table  - Style6 7 2 9" xfId="31749" xr:uid="{00000000-0005-0000-0000-0000D0780000}"/>
    <cellStyle name="Table  - Style6 7 20" xfId="31750" xr:uid="{00000000-0005-0000-0000-0000D1780000}"/>
    <cellStyle name="Table  - Style6 7 21" xfId="31751" xr:uid="{00000000-0005-0000-0000-0000D2780000}"/>
    <cellStyle name="Table  - Style6 7 22" xfId="31752" xr:uid="{00000000-0005-0000-0000-0000D3780000}"/>
    <cellStyle name="Table  - Style6 7 23" xfId="31753" xr:uid="{00000000-0005-0000-0000-0000D4780000}"/>
    <cellStyle name="Table  - Style6 7 24" xfId="31754" xr:uid="{00000000-0005-0000-0000-0000D5780000}"/>
    <cellStyle name="Table  - Style6 7 25" xfId="31755" xr:uid="{00000000-0005-0000-0000-0000D6780000}"/>
    <cellStyle name="Table  - Style6 7 26" xfId="31756" xr:uid="{00000000-0005-0000-0000-0000D7780000}"/>
    <cellStyle name="Table  - Style6 7 3" xfId="31757" xr:uid="{00000000-0005-0000-0000-0000D8780000}"/>
    <cellStyle name="Table  - Style6 7 3 10" xfId="31758" xr:uid="{00000000-0005-0000-0000-0000D9780000}"/>
    <cellStyle name="Table  - Style6 7 3 11" xfId="31759" xr:uid="{00000000-0005-0000-0000-0000DA780000}"/>
    <cellStyle name="Table  - Style6 7 3 12" xfId="31760" xr:uid="{00000000-0005-0000-0000-0000DB780000}"/>
    <cellStyle name="Table  - Style6 7 3 13" xfId="31761" xr:uid="{00000000-0005-0000-0000-0000DC780000}"/>
    <cellStyle name="Table  - Style6 7 3 14" xfId="31762" xr:uid="{00000000-0005-0000-0000-0000DD780000}"/>
    <cellStyle name="Table  - Style6 7 3 15" xfId="31763" xr:uid="{00000000-0005-0000-0000-0000DE780000}"/>
    <cellStyle name="Table  - Style6 7 3 16" xfId="31764" xr:uid="{00000000-0005-0000-0000-0000DF780000}"/>
    <cellStyle name="Table  - Style6 7 3 17" xfId="31765" xr:uid="{00000000-0005-0000-0000-0000E0780000}"/>
    <cellStyle name="Table  - Style6 7 3 2" xfId="31766" xr:uid="{00000000-0005-0000-0000-0000E1780000}"/>
    <cellStyle name="Table  - Style6 7 3 2 10" xfId="31767" xr:uid="{00000000-0005-0000-0000-0000E2780000}"/>
    <cellStyle name="Table  - Style6 7 3 2 11" xfId="31768" xr:uid="{00000000-0005-0000-0000-0000E3780000}"/>
    <cellStyle name="Table  - Style6 7 3 2 12" xfId="31769" xr:uid="{00000000-0005-0000-0000-0000E4780000}"/>
    <cellStyle name="Table  - Style6 7 3 2 13" xfId="31770" xr:uid="{00000000-0005-0000-0000-0000E5780000}"/>
    <cellStyle name="Table  - Style6 7 3 2 14" xfId="31771" xr:uid="{00000000-0005-0000-0000-0000E6780000}"/>
    <cellStyle name="Table  - Style6 7 3 2 15" xfId="31772" xr:uid="{00000000-0005-0000-0000-0000E7780000}"/>
    <cellStyle name="Table  - Style6 7 3 2 16" xfId="31773" xr:uid="{00000000-0005-0000-0000-0000E8780000}"/>
    <cellStyle name="Table  - Style6 7 3 2 2" xfId="31774" xr:uid="{00000000-0005-0000-0000-0000E9780000}"/>
    <cellStyle name="Table  - Style6 7 3 2 3" xfId="31775" xr:uid="{00000000-0005-0000-0000-0000EA780000}"/>
    <cellStyle name="Table  - Style6 7 3 2 4" xfId="31776" xr:uid="{00000000-0005-0000-0000-0000EB780000}"/>
    <cellStyle name="Table  - Style6 7 3 2 5" xfId="31777" xr:uid="{00000000-0005-0000-0000-0000EC780000}"/>
    <cellStyle name="Table  - Style6 7 3 2 6" xfId="31778" xr:uid="{00000000-0005-0000-0000-0000ED780000}"/>
    <cellStyle name="Table  - Style6 7 3 2 7" xfId="31779" xr:uid="{00000000-0005-0000-0000-0000EE780000}"/>
    <cellStyle name="Table  - Style6 7 3 2 8" xfId="31780" xr:uid="{00000000-0005-0000-0000-0000EF780000}"/>
    <cellStyle name="Table  - Style6 7 3 2 9" xfId="31781" xr:uid="{00000000-0005-0000-0000-0000F0780000}"/>
    <cellStyle name="Table  - Style6 7 3 3" xfId="31782" xr:uid="{00000000-0005-0000-0000-0000F1780000}"/>
    <cellStyle name="Table  - Style6 7 3 4" xfId="31783" xr:uid="{00000000-0005-0000-0000-0000F2780000}"/>
    <cellStyle name="Table  - Style6 7 3 5" xfId="31784" xr:uid="{00000000-0005-0000-0000-0000F3780000}"/>
    <cellStyle name="Table  - Style6 7 3 6" xfId="31785" xr:uid="{00000000-0005-0000-0000-0000F4780000}"/>
    <cellStyle name="Table  - Style6 7 3 7" xfId="31786" xr:uid="{00000000-0005-0000-0000-0000F5780000}"/>
    <cellStyle name="Table  - Style6 7 3 8" xfId="31787" xr:uid="{00000000-0005-0000-0000-0000F6780000}"/>
    <cellStyle name="Table  - Style6 7 3 9" xfId="31788" xr:uid="{00000000-0005-0000-0000-0000F7780000}"/>
    <cellStyle name="Table  - Style6 7 4" xfId="31789" xr:uid="{00000000-0005-0000-0000-0000F8780000}"/>
    <cellStyle name="Table  - Style6 7 4 10" xfId="31790" xr:uid="{00000000-0005-0000-0000-0000F9780000}"/>
    <cellStyle name="Table  - Style6 7 4 11" xfId="31791" xr:uid="{00000000-0005-0000-0000-0000FA780000}"/>
    <cellStyle name="Table  - Style6 7 4 12" xfId="31792" xr:uid="{00000000-0005-0000-0000-0000FB780000}"/>
    <cellStyle name="Table  - Style6 7 4 13" xfId="31793" xr:uid="{00000000-0005-0000-0000-0000FC780000}"/>
    <cellStyle name="Table  - Style6 7 4 14" xfId="31794" xr:uid="{00000000-0005-0000-0000-0000FD780000}"/>
    <cellStyle name="Table  - Style6 7 4 15" xfId="31795" xr:uid="{00000000-0005-0000-0000-0000FE780000}"/>
    <cellStyle name="Table  - Style6 7 4 16" xfId="31796" xr:uid="{00000000-0005-0000-0000-0000FF780000}"/>
    <cellStyle name="Table  - Style6 7 4 17" xfId="31797" xr:uid="{00000000-0005-0000-0000-000000790000}"/>
    <cellStyle name="Table  - Style6 7 4 2" xfId="31798" xr:uid="{00000000-0005-0000-0000-000001790000}"/>
    <cellStyle name="Table  - Style6 7 4 2 10" xfId="31799" xr:uid="{00000000-0005-0000-0000-000002790000}"/>
    <cellStyle name="Table  - Style6 7 4 2 11" xfId="31800" xr:uid="{00000000-0005-0000-0000-000003790000}"/>
    <cellStyle name="Table  - Style6 7 4 2 12" xfId="31801" xr:uid="{00000000-0005-0000-0000-000004790000}"/>
    <cellStyle name="Table  - Style6 7 4 2 13" xfId="31802" xr:uid="{00000000-0005-0000-0000-000005790000}"/>
    <cellStyle name="Table  - Style6 7 4 2 14" xfId="31803" xr:uid="{00000000-0005-0000-0000-000006790000}"/>
    <cellStyle name="Table  - Style6 7 4 2 15" xfId="31804" xr:uid="{00000000-0005-0000-0000-000007790000}"/>
    <cellStyle name="Table  - Style6 7 4 2 16" xfId="31805" xr:uid="{00000000-0005-0000-0000-000008790000}"/>
    <cellStyle name="Table  - Style6 7 4 2 2" xfId="31806" xr:uid="{00000000-0005-0000-0000-000009790000}"/>
    <cellStyle name="Table  - Style6 7 4 2 3" xfId="31807" xr:uid="{00000000-0005-0000-0000-00000A790000}"/>
    <cellStyle name="Table  - Style6 7 4 2 4" xfId="31808" xr:uid="{00000000-0005-0000-0000-00000B790000}"/>
    <cellStyle name="Table  - Style6 7 4 2 5" xfId="31809" xr:uid="{00000000-0005-0000-0000-00000C790000}"/>
    <cellStyle name="Table  - Style6 7 4 2 6" xfId="31810" xr:uid="{00000000-0005-0000-0000-00000D790000}"/>
    <cellStyle name="Table  - Style6 7 4 2 7" xfId="31811" xr:uid="{00000000-0005-0000-0000-00000E790000}"/>
    <cellStyle name="Table  - Style6 7 4 2 8" xfId="31812" xr:uid="{00000000-0005-0000-0000-00000F790000}"/>
    <cellStyle name="Table  - Style6 7 4 2 9" xfId="31813" xr:uid="{00000000-0005-0000-0000-000010790000}"/>
    <cellStyle name="Table  - Style6 7 4 3" xfId="31814" xr:uid="{00000000-0005-0000-0000-000011790000}"/>
    <cellStyle name="Table  - Style6 7 4 4" xfId="31815" xr:uid="{00000000-0005-0000-0000-000012790000}"/>
    <cellStyle name="Table  - Style6 7 4 5" xfId="31816" xr:uid="{00000000-0005-0000-0000-000013790000}"/>
    <cellStyle name="Table  - Style6 7 4 6" xfId="31817" xr:uid="{00000000-0005-0000-0000-000014790000}"/>
    <cellStyle name="Table  - Style6 7 4 7" xfId="31818" xr:uid="{00000000-0005-0000-0000-000015790000}"/>
    <cellStyle name="Table  - Style6 7 4 8" xfId="31819" xr:uid="{00000000-0005-0000-0000-000016790000}"/>
    <cellStyle name="Table  - Style6 7 4 9" xfId="31820" xr:uid="{00000000-0005-0000-0000-000017790000}"/>
    <cellStyle name="Table  - Style6 7 5" xfId="31821" xr:uid="{00000000-0005-0000-0000-000018790000}"/>
    <cellStyle name="Table  - Style6 7 5 10" xfId="31822" xr:uid="{00000000-0005-0000-0000-000019790000}"/>
    <cellStyle name="Table  - Style6 7 5 11" xfId="31823" xr:uid="{00000000-0005-0000-0000-00001A790000}"/>
    <cellStyle name="Table  - Style6 7 5 12" xfId="31824" xr:uid="{00000000-0005-0000-0000-00001B790000}"/>
    <cellStyle name="Table  - Style6 7 5 13" xfId="31825" xr:uid="{00000000-0005-0000-0000-00001C790000}"/>
    <cellStyle name="Table  - Style6 7 5 14" xfId="31826" xr:uid="{00000000-0005-0000-0000-00001D790000}"/>
    <cellStyle name="Table  - Style6 7 5 15" xfId="31827" xr:uid="{00000000-0005-0000-0000-00001E790000}"/>
    <cellStyle name="Table  - Style6 7 5 16" xfId="31828" xr:uid="{00000000-0005-0000-0000-00001F790000}"/>
    <cellStyle name="Table  - Style6 7 5 17" xfId="31829" xr:uid="{00000000-0005-0000-0000-000020790000}"/>
    <cellStyle name="Table  - Style6 7 5 2" xfId="31830" xr:uid="{00000000-0005-0000-0000-000021790000}"/>
    <cellStyle name="Table  - Style6 7 5 2 10" xfId="31831" xr:uid="{00000000-0005-0000-0000-000022790000}"/>
    <cellStyle name="Table  - Style6 7 5 2 11" xfId="31832" xr:uid="{00000000-0005-0000-0000-000023790000}"/>
    <cellStyle name="Table  - Style6 7 5 2 12" xfId="31833" xr:uid="{00000000-0005-0000-0000-000024790000}"/>
    <cellStyle name="Table  - Style6 7 5 2 13" xfId="31834" xr:uid="{00000000-0005-0000-0000-000025790000}"/>
    <cellStyle name="Table  - Style6 7 5 2 14" xfId="31835" xr:uid="{00000000-0005-0000-0000-000026790000}"/>
    <cellStyle name="Table  - Style6 7 5 2 15" xfId="31836" xr:uid="{00000000-0005-0000-0000-000027790000}"/>
    <cellStyle name="Table  - Style6 7 5 2 16" xfId="31837" xr:uid="{00000000-0005-0000-0000-000028790000}"/>
    <cellStyle name="Table  - Style6 7 5 2 2" xfId="31838" xr:uid="{00000000-0005-0000-0000-000029790000}"/>
    <cellStyle name="Table  - Style6 7 5 2 3" xfId="31839" xr:uid="{00000000-0005-0000-0000-00002A790000}"/>
    <cellStyle name="Table  - Style6 7 5 2 4" xfId="31840" xr:uid="{00000000-0005-0000-0000-00002B790000}"/>
    <cellStyle name="Table  - Style6 7 5 2 5" xfId="31841" xr:uid="{00000000-0005-0000-0000-00002C790000}"/>
    <cellStyle name="Table  - Style6 7 5 2 6" xfId="31842" xr:uid="{00000000-0005-0000-0000-00002D790000}"/>
    <cellStyle name="Table  - Style6 7 5 2 7" xfId="31843" xr:uid="{00000000-0005-0000-0000-00002E790000}"/>
    <cellStyle name="Table  - Style6 7 5 2 8" xfId="31844" xr:uid="{00000000-0005-0000-0000-00002F790000}"/>
    <cellStyle name="Table  - Style6 7 5 2 9" xfId="31845" xr:uid="{00000000-0005-0000-0000-000030790000}"/>
    <cellStyle name="Table  - Style6 7 5 3" xfId="31846" xr:uid="{00000000-0005-0000-0000-000031790000}"/>
    <cellStyle name="Table  - Style6 7 5 4" xfId="31847" xr:uid="{00000000-0005-0000-0000-000032790000}"/>
    <cellStyle name="Table  - Style6 7 5 5" xfId="31848" xr:uid="{00000000-0005-0000-0000-000033790000}"/>
    <cellStyle name="Table  - Style6 7 5 6" xfId="31849" xr:uid="{00000000-0005-0000-0000-000034790000}"/>
    <cellStyle name="Table  - Style6 7 5 7" xfId="31850" xr:uid="{00000000-0005-0000-0000-000035790000}"/>
    <cellStyle name="Table  - Style6 7 5 8" xfId="31851" xr:uid="{00000000-0005-0000-0000-000036790000}"/>
    <cellStyle name="Table  - Style6 7 5 9" xfId="31852" xr:uid="{00000000-0005-0000-0000-000037790000}"/>
    <cellStyle name="Table  - Style6 7 6" xfId="31853" xr:uid="{00000000-0005-0000-0000-000038790000}"/>
    <cellStyle name="Table  - Style6 7 6 10" xfId="31854" xr:uid="{00000000-0005-0000-0000-000039790000}"/>
    <cellStyle name="Table  - Style6 7 6 11" xfId="31855" xr:uid="{00000000-0005-0000-0000-00003A790000}"/>
    <cellStyle name="Table  - Style6 7 6 12" xfId="31856" xr:uid="{00000000-0005-0000-0000-00003B790000}"/>
    <cellStyle name="Table  - Style6 7 6 13" xfId="31857" xr:uid="{00000000-0005-0000-0000-00003C790000}"/>
    <cellStyle name="Table  - Style6 7 6 14" xfId="31858" xr:uid="{00000000-0005-0000-0000-00003D790000}"/>
    <cellStyle name="Table  - Style6 7 6 15" xfId="31859" xr:uid="{00000000-0005-0000-0000-00003E790000}"/>
    <cellStyle name="Table  - Style6 7 6 16" xfId="31860" xr:uid="{00000000-0005-0000-0000-00003F790000}"/>
    <cellStyle name="Table  - Style6 7 6 17" xfId="31861" xr:uid="{00000000-0005-0000-0000-000040790000}"/>
    <cellStyle name="Table  - Style6 7 6 2" xfId="31862" xr:uid="{00000000-0005-0000-0000-000041790000}"/>
    <cellStyle name="Table  - Style6 7 6 2 10" xfId="31863" xr:uid="{00000000-0005-0000-0000-000042790000}"/>
    <cellStyle name="Table  - Style6 7 6 2 11" xfId="31864" xr:uid="{00000000-0005-0000-0000-000043790000}"/>
    <cellStyle name="Table  - Style6 7 6 2 12" xfId="31865" xr:uid="{00000000-0005-0000-0000-000044790000}"/>
    <cellStyle name="Table  - Style6 7 6 2 13" xfId="31866" xr:uid="{00000000-0005-0000-0000-000045790000}"/>
    <cellStyle name="Table  - Style6 7 6 2 14" xfId="31867" xr:uid="{00000000-0005-0000-0000-000046790000}"/>
    <cellStyle name="Table  - Style6 7 6 2 15" xfId="31868" xr:uid="{00000000-0005-0000-0000-000047790000}"/>
    <cellStyle name="Table  - Style6 7 6 2 16" xfId="31869" xr:uid="{00000000-0005-0000-0000-000048790000}"/>
    <cellStyle name="Table  - Style6 7 6 2 2" xfId="31870" xr:uid="{00000000-0005-0000-0000-000049790000}"/>
    <cellStyle name="Table  - Style6 7 6 2 3" xfId="31871" xr:uid="{00000000-0005-0000-0000-00004A790000}"/>
    <cellStyle name="Table  - Style6 7 6 2 4" xfId="31872" xr:uid="{00000000-0005-0000-0000-00004B790000}"/>
    <cellStyle name="Table  - Style6 7 6 2 5" xfId="31873" xr:uid="{00000000-0005-0000-0000-00004C790000}"/>
    <cellStyle name="Table  - Style6 7 6 2 6" xfId="31874" xr:uid="{00000000-0005-0000-0000-00004D790000}"/>
    <cellStyle name="Table  - Style6 7 6 2 7" xfId="31875" xr:uid="{00000000-0005-0000-0000-00004E790000}"/>
    <cellStyle name="Table  - Style6 7 6 2 8" xfId="31876" xr:uid="{00000000-0005-0000-0000-00004F790000}"/>
    <cellStyle name="Table  - Style6 7 6 2 9" xfId="31877" xr:uid="{00000000-0005-0000-0000-000050790000}"/>
    <cellStyle name="Table  - Style6 7 6 3" xfId="31878" xr:uid="{00000000-0005-0000-0000-000051790000}"/>
    <cellStyle name="Table  - Style6 7 6 4" xfId="31879" xr:uid="{00000000-0005-0000-0000-000052790000}"/>
    <cellStyle name="Table  - Style6 7 6 5" xfId="31880" xr:uid="{00000000-0005-0000-0000-000053790000}"/>
    <cellStyle name="Table  - Style6 7 6 6" xfId="31881" xr:uid="{00000000-0005-0000-0000-000054790000}"/>
    <cellStyle name="Table  - Style6 7 6 7" xfId="31882" xr:uid="{00000000-0005-0000-0000-000055790000}"/>
    <cellStyle name="Table  - Style6 7 6 8" xfId="31883" xr:uid="{00000000-0005-0000-0000-000056790000}"/>
    <cellStyle name="Table  - Style6 7 6 9" xfId="31884" xr:uid="{00000000-0005-0000-0000-000057790000}"/>
    <cellStyle name="Table  - Style6 7 7" xfId="31885" xr:uid="{00000000-0005-0000-0000-000058790000}"/>
    <cellStyle name="Table  - Style6 7 7 10" xfId="31886" xr:uid="{00000000-0005-0000-0000-000059790000}"/>
    <cellStyle name="Table  - Style6 7 7 11" xfId="31887" xr:uid="{00000000-0005-0000-0000-00005A790000}"/>
    <cellStyle name="Table  - Style6 7 7 12" xfId="31888" xr:uid="{00000000-0005-0000-0000-00005B790000}"/>
    <cellStyle name="Table  - Style6 7 7 13" xfId="31889" xr:uid="{00000000-0005-0000-0000-00005C790000}"/>
    <cellStyle name="Table  - Style6 7 7 14" xfId="31890" xr:uid="{00000000-0005-0000-0000-00005D790000}"/>
    <cellStyle name="Table  - Style6 7 7 15" xfId="31891" xr:uid="{00000000-0005-0000-0000-00005E790000}"/>
    <cellStyle name="Table  - Style6 7 7 16" xfId="31892" xr:uid="{00000000-0005-0000-0000-00005F790000}"/>
    <cellStyle name="Table  - Style6 7 7 17" xfId="31893" xr:uid="{00000000-0005-0000-0000-000060790000}"/>
    <cellStyle name="Table  - Style6 7 7 2" xfId="31894" xr:uid="{00000000-0005-0000-0000-000061790000}"/>
    <cellStyle name="Table  - Style6 7 7 2 10" xfId="31895" xr:uid="{00000000-0005-0000-0000-000062790000}"/>
    <cellStyle name="Table  - Style6 7 7 2 11" xfId="31896" xr:uid="{00000000-0005-0000-0000-000063790000}"/>
    <cellStyle name="Table  - Style6 7 7 2 12" xfId="31897" xr:uid="{00000000-0005-0000-0000-000064790000}"/>
    <cellStyle name="Table  - Style6 7 7 2 13" xfId="31898" xr:uid="{00000000-0005-0000-0000-000065790000}"/>
    <cellStyle name="Table  - Style6 7 7 2 14" xfId="31899" xr:uid="{00000000-0005-0000-0000-000066790000}"/>
    <cellStyle name="Table  - Style6 7 7 2 15" xfId="31900" xr:uid="{00000000-0005-0000-0000-000067790000}"/>
    <cellStyle name="Table  - Style6 7 7 2 16" xfId="31901" xr:uid="{00000000-0005-0000-0000-000068790000}"/>
    <cellStyle name="Table  - Style6 7 7 2 2" xfId="31902" xr:uid="{00000000-0005-0000-0000-000069790000}"/>
    <cellStyle name="Table  - Style6 7 7 2 3" xfId="31903" xr:uid="{00000000-0005-0000-0000-00006A790000}"/>
    <cellStyle name="Table  - Style6 7 7 2 4" xfId="31904" xr:uid="{00000000-0005-0000-0000-00006B790000}"/>
    <cellStyle name="Table  - Style6 7 7 2 5" xfId="31905" xr:uid="{00000000-0005-0000-0000-00006C790000}"/>
    <cellStyle name="Table  - Style6 7 7 2 6" xfId="31906" xr:uid="{00000000-0005-0000-0000-00006D790000}"/>
    <cellStyle name="Table  - Style6 7 7 2 7" xfId="31907" xr:uid="{00000000-0005-0000-0000-00006E790000}"/>
    <cellStyle name="Table  - Style6 7 7 2 8" xfId="31908" xr:uid="{00000000-0005-0000-0000-00006F790000}"/>
    <cellStyle name="Table  - Style6 7 7 2 9" xfId="31909" xr:uid="{00000000-0005-0000-0000-000070790000}"/>
    <cellStyle name="Table  - Style6 7 7 3" xfId="31910" xr:uid="{00000000-0005-0000-0000-000071790000}"/>
    <cellStyle name="Table  - Style6 7 7 4" xfId="31911" xr:uid="{00000000-0005-0000-0000-000072790000}"/>
    <cellStyle name="Table  - Style6 7 7 5" xfId="31912" xr:uid="{00000000-0005-0000-0000-000073790000}"/>
    <cellStyle name="Table  - Style6 7 7 6" xfId="31913" xr:uid="{00000000-0005-0000-0000-000074790000}"/>
    <cellStyle name="Table  - Style6 7 7 7" xfId="31914" xr:uid="{00000000-0005-0000-0000-000075790000}"/>
    <cellStyle name="Table  - Style6 7 7 8" xfId="31915" xr:uid="{00000000-0005-0000-0000-000076790000}"/>
    <cellStyle name="Table  - Style6 7 7 9" xfId="31916" xr:uid="{00000000-0005-0000-0000-000077790000}"/>
    <cellStyle name="Table  - Style6 7 8" xfId="31917" xr:uid="{00000000-0005-0000-0000-000078790000}"/>
    <cellStyle name="Table  - Style6 7 8 10" xfId="31918" xr:uid="{00000000-0005-0000-0000-000079790000}"/>
    <cellStyle name="Table  - Style6 7 8 11" xfId="31919" xr:uid="{00000000-0005-0000-0000-00007A790000}"/>
    <cellStyle name="Table  - Style6 7 8 12" xfId="31920" xr:uid="{00000000-0005-0000-0000-00007B790000}"/>
    <cellStyle name="Table  - Style6 7 8 13" xfId="31921" xr:uid="{00000000-0005-0000-0000-00007C790000}"/>
    <cellStyle name="Table  - Style6 7 8 14" xfId="31922" xr:uid="{00000000-0005-0000-0000-00007D790000}"/>
    <cellStyle name="Table  - Style6 7 8 15" xfId="31923" xr:uid="{00000000-0005-0000-0000-00007E790000}"/>
    <cellStyle name="Table  - Style6 7 8 16" xfId="31924" xr:uid="{00000000-0005-0000-0000-00007F790000}"/>
    <cellStyle name="Table  - Style6 7 8 17" xfId="31925" xr:uid="{00000000-0005-0000-0000-000080790000}"/>
    <cellStyle name="Table  - Style6 7 8 2" xfId="31926" xr:uid="{00000000-0005-0000-0000-000081790000}"/>
    <cellStyle name="Table  - Style6 7 8 2 10" xfId="31927" xr:uid="{00000000-0005-0000-0000-000082790000}"/>
    <cellStyle name="Table  - Style6 7 8 2 11" xfId="31928" xr:uid="{00000000-0005-0000-0000-000083790000}"/>
    <cellStyle name="Table  - Style6 7 8 2 12" xfId="31929" xr:uid="{00000000-0005-0000-0000-000084790000}"/>
    <cellStyle name="Table  - Style6 7 8 2 13" xfId="31930" xr:uid="{00000000-0005-0000-0000-000085790000}"/>
    <cellStyle name="Table  - Style6 7 8 2 14" xfId="31931" xr:uid="{00000000-0005-0000-0000-000086790000}"/>
    <cellStyle name="Table  - Style6 7 8 2 15" xfId="31932" xr:uid="{00000000-0005-0000-0000-000087790000}"/>
    <cellStyle name="Table  - Style6 7 8 2 16" xfId="31933" xr:uid="{00000000-0005-0000-0000-000088790000}"/>
    <cellStyle name="Table  - Style6 7 8 2 2" xfId="31934" xr:uid="{00000000-0005-0000-0000-000089790000}"/>
    <cellStyle name="Table  - Style6 7 8 2 3" xfId="31935" xr:uid="{00000000-0005-0000-0000-00008A790000}"/>
    <cellStyle name="Table  - Style6 7 8 2 4" xfId="31936" xr:uid="{00000000-0005-0000-0000-00008B790000}"/>
    <cellStyle name="Table  - Style6 7 8 2 5" xfId="31937" xr:uid="{00000000-0005-0000-0000-00008C790000}"/>
    <cellStyle name="Table  - Style6 7 8 2 6" xfId="31938" xr:uid="{00000000-0005-0000-0000-00008D790000}"/>
    <cellStyle name="Table  - Style6 7 8 2 7" xfId="31939" xr:uid="{00000000-0005-0000-0000-00008E790000}"/>
    <cellStyle name="Table  - Style6 7 8 2 8" xfId="31940" xr:uid="{00000000-0005-0000-0000-00008F790000}"/>
    <cellStyle name="Table  - Style6 7 8 2 9" xfId="31941" xr:uid="{00000000-0005-0000-0000-000090790000}"/>
    <cellStyle name="Table  - Style6 7 8 3" xfId="31942" xr:uid="{00000000-0005-0000-0000-000091790000}"/>
    <cellStyle name="Table  - Style6 7 8 4" xfId="31943" xr:uid="{00000000-0005-0000-0000-000092790000}"/>
    <cellStyle name="Table  - Style6 7 8 5" xfId="31944" xr:uid="{00000000-0005-0000-0000-000093790000}"/>
    <cellStyle name="Table  - Style6 7 8 6" xfId="31945" xr:uid="{00000000-0005-0000-0000-000094790000}"/>
    <cellStyle name="Table  - Style6 7 8 7" xfId="31946" xr:uid="{00000000-0005-0000-0000-000095790000}"/>
    <cellStyle name="Table  - Style6 7 8 8" xfId="31947" xr:uid="{00000000-0005-0000-0000-000096790000}"/>
    <cellStyle name="Table  - Style6 7 8 9" xfId="31948" xr:uid="{00000000-0005-0000-0000-000097790000}"/>
    <cellStyle name="Table  - Style6 7 9" xfId="31949" xr:uid="{00000000-0005-0000-0000-000098790000}"/>
    <cellStyle name="Table  - Style6 7 9 10" xfId="31950" xr:uid="{00000000-0005-0000-0000-000099790000}"/>
    <cellStyle name="Table  - Style6 7 9 11" xfId="31951" xr:uid="{00000000-0005-0000-0000-00009A790000}"/>
    <cellStyle name="Table  - Style6 7 9 12" xfId="31952" xr:uid="{00000000-0005-0000-0000-00009B790000}"/>
    <cellStyle name="Table  - Style6 7 9 13" xfId="31953" xr:uid="{00000000-0005-0000-0000-00009C790000}"/>
    <cellStyle name="Table  - Style6 7 9 14" xfId="31954" xr:uid="{00000000-0005-0000-0000-00009D790000}"/>
    <cellStyle name="Table  - Style6 7 9 15" xfId="31955" xr:uid="{00000000-0005-0000-0000-00009E790000}"/>
    <cellStyle name="Table  - Style6 7 9 16" xfId="31956" xr:uid="{00000000-0005-0000-0000-00009F790000}"/>
    <cellStyle name="Table  - Style6 7 9 17" xfId="31957" xr:uid="{00000000-0005-0000-0000-0000A0790000}"/>
    <cellStyle name="Table  - Style6 7 9 2" xfId="31958" xr:uid="{00000000-0005-0000-0000-0000A1790000}"/>
    <cellStyle name="Table  - Style6 7 9 2 10" xfId="31959" xr:uid="{00000000-0005-0000-0000-0000A2790000}"/>
    <cellStyle name="Table  - Style6 7 9 2 11" xfId="31960" xr:uid="{00000000-0005-0000-0000-0000A3790000}"/>
    <cellStyle name="Table  - Style6 7 9 2 12" xfId="31961" xr:uid="{00000000-0005-0000-0000-0000A4790000}"/>
    <cellStyle name="Table  - Style6 7 9 2 13" xfId="31962" xr:uid="{00000000-0005-0000-0000-0000A5790000}"/>
    <cellStyle name="Table  - Style6 7 9 2 14" xfId="31963" xr:uid="{00000000-0005-0000-0000-0000A6790000}"/>
    <cellStyle name="Table  - Style6 7 9 2 15" xfId="31964" xr:uid="{00000000-0005-0000-0000-0000A7790000}"/>
    <cellStyle name="Table  - Style6 7 9 2 16" xfId="31965" xr:uid="{00000000-0005-0000-0000-0000A8790000}"/>
    <cellStyle name="Table  - Style6 7 9 2 2" xfId="31966" xr:uid="{00000000-0005-0000-0000-0000A9790000}"/>
    <cellStyle name="Table  - Style6 7 9 2 3" xfId="31967" xr:uid="{00000000-0005-0000-0000-0000AA790000}"/>
    <cellStyle name="Table  - Style6 7 9 2 4" xfId="31968" xr:uid="{00000000-0005-0000-0000-0000AB790000}"/>
    <cellStyle name="Table  - Style6 7 9 2 5" xfId="31969" xr:uid="{00000000-0005-0000-0000-0000AC790000}"/>
    <cellStyle name="Table  - Style6 7 9 2 6" xfId="31970" xr:uid="{00000000-0005-0000-0000-0000AD790000}"/>
    <cellStyle name="Table  - Style6 7 9 2 7" xfId="31971" xr:uid="{00000000-0005-0000-0000-0000AE790000}"/>
    <cellStyle name="Table  - Style6 7 9 2 8" xfId="31972" xr:uid="{00000000-0005-0000-0000-0000AF790000}"/>
    <cellStyle name="Table  - Style6 7 9 2 9" xfId="31973" xr:uid="{00000000-0005-0000-0000-0000B0790000}"/>
    <cellStyle name="Table  - Style6 7 9 3" xfId="31974" xr:uid="{00000000-0005-0000-0000-0000B1790000}"/>
    <cellStyle name="Table  - Style6 7 9 4" xfId="31975" xr:uid="{00000000-0005-0000-0000-0000B2790000}"/>
    <cellStyle name="Table  - Style6 7 9 5" xfId="31976" xr:uid="{00000000-0005-0000-0000-0000B3790000}"/>
    <cellStyle name="Table  - Style6 7 9 6" xfId="31977" xr:uid="{00000000-0005-0000-0000-0000B4790000}"/>
    <cellStyle name="Table  - Style6 7 9 7" xfId="31978" xr:uid="{00000000-0005-0000-0000-0000B5790000}"/>
    <cellStyle name="Table  - Style6 7 9 8" xfId="31979" xr:uid="{00000000-0005-0000-0000-0000B6790000}"/>
    <cellStyle name="Table  - Style6 7 9 9" xfId="31980" xr:uid="{00000000-0005-0000-0000-0000B7790000}"/>
    <cellStyle name="Table  - Style6 8" xfId="31981" xr:uid="{00000000-0005-0000-0000-0000B8790000}"/>
    <cellStyle name="Table  - Style6 8 10" xfId="31982" xr:uid="{00000000-0005-0000-0000-0000B9790000}"/>
    <cellStyle name="Table  - Style6 8 11" xfId="31983" xr:uid="{00000000-0005-0000-0000-0000BA790000}"/>
    <cellStyle name="Table  - Style6 8 12" xfId="31984" xr:uid="{00000000-0005-0000-0000-0000BB790000}"/>
    <cellStyle name="Table  - Style6 8 13" xfId="31985" xr:uid="{00000000-0005-0000-0000-0000BC790000}"/>
    <cellStyle name="Table  - Style6 8 14" xfId="31986" xr:uid="{00000000-0005-0000-0000-0000BD790000}"/>
    <cellStyle name="Table  - Style6 8 15" xfId="31987" xr:uid="{00000000-0005-0000-0000-0000BE790000}"/>
    <cellStyle name="Table  - Style6 8 16" xfId="31988" xr:uid="{00000000-0005-0000-0000-0000BF790000}"/>
    <cellStyle name="Table  - Style6 8 17" xfId="31989" xr:uid="{00000000-0005-0000-0000-0000C0790000}"/>
    <cellStyle name="Table  - Style6 8 2" xfId="31990" xr:uid="{00000000-0005-0000-0000-0000C1790000}"/>
    <cellStyle name="Table  - Style6 8 2 10" xfId="31991" xr:uid="{00000000-0005-0000-0000-0000C2790000}"/>
    <cellStyle name="Table  - Style6 8 2 11" xfId="31992" xr:uid="{00000000-0005-0000-0000-0000C3790000}"/>
    <cellStyle name="Table  - Style6 8 2 12" xfId="31993" xr:uid="{00000000-0005-0000-0000-0000C4790000}"/>
    <cellStyle name="Table  - Style6 8 2 13" xfId="31994" xr:uid="{00000000-0005-0000-0000-0000C5790000}"/>
    <cellStyle name="Table  - Style6 8 2 14" xfId="31995" xr:uid="{00000000-0005-0000-0000-0000C6790000}"/>
    <cellStyle name="Table  - Style6 8 2 15" xfId="31996" xr:uid="{00000000-0005-0000-0000-0000C7790000}"/>
    <cellStyle name="Table  - Style6 8 2 16" xfId="31997" xr:uid="{00000000-0005-0000-0000-0000C8790000}"/>
    <cellStyle name="Table  - Style6 8 2 2" xfId="31998" xr:uid="{00000000-0005-0000-0000-0000C9790000}"/>
    <cellStyle name="Table  - Style6 8 2 3" xfId="31999" xr:uid="{00000000-0005-0000-0000-0000CA790000}"/>
    <cellStyle name="Table  - Style6 8 2 4" xfId="32000" xr:uid="{00000000-0005-0000-0000-0000CB790000}"/>
    <cellStyle name="Table  - Style6 8 2 5" xfId="32001" xr:uid="{00000000-0005-0000-0000-0000CC790000}"/>
    <cellStyle name="Table  - Style6 8 2 6" xfId="32002" xr:uid="{00000000-0005-0000-0000-0000CD790000}"/>
    <cellStyle name="Table  - Style6 8 2 7" xfId="32003" xr:uid="{00000000-0005-0000-0000-0000CE790000}"/>
    <cellStyle name="Table  - Style6 8 2 8" xfId="32004" xr:uid="{00000000-0005-0000-0000-0000CF790000}"/>
    <cellStyle name="Table  - Style6 8 2 9" xfId="32005" xr:uid="{00000000-0005-0000-0000-0000D0790000}"/>
    <cellStyle name="Table  - Style6 8 3" xfId="32006" xr:uid="{00000000-0005-0000-0000-0000D1790000}"/>
    <cellStyle name="Table  - Style6 8 4" xfId="32007" xr:uid="{00000000-0005-0000-0000-0000D2790000}"/>
    <cellStyle name="Table  - Style6 8 5" xfId="32008" xr:uid="{00000000-0005-0000-0000-0000D3790000}"/>
    <cellStyle name="Table  - Style6 8 6" xfId="32009" xr:uid="{00000000-0005-0000-0000-0000D4790000}"/>
    <cellStyle name="Table  - Style6 8 7" xfId="32010" xr:uid="{00000000-0005-0000-0000-0000D5790000}"/>
    <cellStyle name="Table  - Style6 8 8" xfId="32011" xr:uid="{00000000-0005-0000-0000-0000D6790000}"/>
    <cellStyle name="Table  - Style6 8 9" xfId="32012" xr:uid="{00000000-0005-0000-0000-0000D7790000}"/>
    <cellStyle name="Table  - Style6 9" xfId="32013" xr:uid="{00000000-0005-0000-0000-0000D8790000}"/>
    <cellStyle name="Table  - Style6 9 10" xfId="32014" xr:uid="{00000000-0005-0000-0000-0000D9790000}"/>
    <cellStyle name="Table  - Style6 9 11" xfId="32015" xr:uid="{00000000-0005-0000-0000-0000DA790000}"/>
    <cellStyle name="Table  - Style6 9 12" xfId="32016" xr:uid="{00000000-0005-0000-0000-0000DB790000}"/>
    <cellStyle name="Table  - Style6 9 13" xfId="32017" xr:uid="{00000000-0005-0000-0000-0000DC790000}"/>
    <cellStyle name="Table  - Style6 9 14" xfId="32018" xr:uid="{00000000-0005-0000-0000-0000DD790000}"/>
    <cellStyle name="Table  - Style6 9 15" xfId="32019" xr:uid="{00000000-0005-0000-0000-0000DE790000}"/>
    <cellStyle name="Table  - Style6 9 16" xfId="32020" xr:uid="{00000000-0005-0000-0000-0000DF790000}"/>
    <cellStyle name="Table  - Style6 9 17" xfId="32021" xr:uid="{00000000-0005-0000-0000-0000E0790000}"/>
    <cellStyle name="Table  - Style6 9 2" xfId="32022" xr:uid="{00000000-0005-0000-0000-0000E1790000}"/>
    <cellStyle name="Table  - Style6 9 2 10" xfId="32023" xr:uid="{00000000-0005-0000-0000-0000E2790000}"/>
    <cellStyle name="Table  - Style6 9 2 11" xfId="32024" xr:uid="{00000000-0005-0000-0000-0000E3790000}"/>
    <cellStyle name="Table  - Style6 9 2 12" xfId="32025" xr:uid="{00000000-0005-0000-0000-0000E4790000}"/>
    <cellStyle name="Table  - Style6 9 2 13" xfId="32026" xr:uid="{00000000-0005-0000-0000-0000E5790000}"/>
    <cellStyle name="Table  - Style6 9 2 14" xfId="32027" xr:uid="{00000000-0005-0000-0000-0000E6790000}"/>
    <cellStyle name="Table  - Style6 9 2 15" xfId="32028" xr:uid="{00000000-0005-0000-0000-0000E7790000}"/>
    <cellStyle name="Table  - Style6 9 2 16" xfId="32029" xr:uid="{00000000-0005-0000-0000-0000E8790000}"/>
    <cellStyle name="Table  - Style6 9 2 2" xfId="32030" xr:uid="{00000000-0005-0000-0000-0000E9790000}"/>
    <cellStyle name="Table  - Style6 9 2 3" xfId="32031" xr:uid="{00000000-0005-0000-0000-0000EA790000}"/>
    <cellStyle name="Table  - Style6 9 2 4" xfId="32032" xr:uid="{00000000-0005-0000-0000-0000EB790000}"/>
    <cellStyle name="Table  - Style6 9 2 5" xfId="32033" xr:uid="{00000000-0005-0000-0000-0000EC790000}"/>
    <cellStyle name="Table  - Style6 9 2 6" xfId="32034" xr:uid="{00000000-0005-0000-0000-0000ED790000}"/>
    <cellStyle name="Table  - Style6 9 2 7" xfId="32035" xr:uid="{00000000-0005-0000-0000-0000EE790000}"/>
    <cellStyle name="Table  - Style6 9 2 8" xfId="32036" xr:uid="{00000000-0005-0000-0000-0000EF790000}"/>
    <cellStyle name="Table  - Style6 9 2 9" xfId="32037" xr:uid="{00000000-0005-0000-0000-0000F0790000}"/>
    <cellStyle name="Table  - Style6 9 3" xfId="32038" xr:uid="{00000000-0005-0000-0000-0000F1790000}"/>
    <cellStyle name="Table  - Style6 9 4" xfId="32039" xr:uid="{00000000-0005-0000-0000-0000F2790000}"/>
    <cellStyle name="Table  - Style6 9 5" xfId="32040" xr:uid="{00000000-0005-0000-0000-0000F3790000}"/>
    <cellStyle name="Table  - Style6 9 6" xfId="32041" xr:uid="{00000000-0005-0000-0000-0000F4790000}"/>
    <cellStyle name="Table  - Style6 9 7" xfId="32042" xr:uid="{00000000-0005-0000-0000-0000F5790000}"/>
    <cellStyle name="Table  - Style6 9 8" xfId="32043" xr:uid="{00000000-0005-0000-0000-0000F6790000}"/>
    <cellStyle name="Table  - Style6 9 9" xfId="32044" xr:uid="{00000000-0005-0000-0000-0000F7790000}"/>
    <cellStyle name="tahoma" xfId="32045" xr:uid="{00000000-0005-0000-0000-0000F8790000}"/>
    <cellStyle name="tahoma 10" xfId="32046" xr:uid="{00000000-0005-0000-0000-0000F9790000}"/>
    <cellStyle name="tahoma 11" xfId="32047" xr:uid="{00000000-0005-0000-0000-0000FA790000}"/>
    <cellStyle name="tahoma 12" xfId="32048" xr:uid="{00000000-0005-0000-0000-0000FB790000}"/>
    <cellStyle name="tahoma 13" xfId="32049" xr:uid="{00000000-0005-0000-0000-0000FC790000}"/>
    <cellStyle name="tahoma 14" xfId="32050" xr:uid="{00000000-0005-0000-0000-0000FD790000}"/>
    <cellStyle name="tahoma 15" xfId="32051" xr:uid="{00000000-0005-0000-0000-0000FE790000}"/>
    <cellStyle name="tahoma 16" xfId="32052" xr:uid="{00000000-0005-0000-0000-0000FF790000}"/>
    <cellStyle name="tahoma 2" xfId="32053" xr:uid="{00000000-0005-0000-0000-0000007A0000}"/>
    <cellStyle name="tahoma 3" xfId="32054" xr:uid="{00000000-0005-0000-0000-0000017A0000}"/>
    <cellStyle name="tahoma 4" xfId="32055" xr:uid="{00000000-0005-0000-0000-0000027A0000}"/>
    <cellStyle name="tahoma 5" xfId="32056" xr:uid="{00000000-0005-0000-0000-0000037A0000}"/>
    <cellStyle name="tahoma 6" xfId="32057" xr:uid="{00000000-0005-0000-0000-0000047A0000}"/>
    <cellStyle name="tahoma 7" xfId="32058" xr:uid="{00000000-0005-0000-0000-0000057A0000}"/>
    <cellStyle name="tahoma 8" xfId="32059" xr:uid="{00000000-0005-0000-0000-0000067A0000}"/>
    <cellStyle name="tahoma 9" xfId="32060" xr:uid="{00000000-0005-0000-0000-0000077A0000}"/>
    <cellStyle name="Times New Roman" xfId="32061" xr:uid="{00000000-0005-0000-0000-0000087A0000}"/>
    <cellStyle name="Times New Roman 10" xfId="32062" xr:uid="{00000000-0005-0000-0000-0000097A0000}"/>
    <cellStyle name="Times New Roman 11" xfId="32063" xr:uid="{00000000-0005-0000-0000-00000A7A0000}"/>
    <cellStyle name="Times New Roman 12" xfId="32064" xr:uid="{00000000-0005-0000-0000-00000B7A0000}"/>
    <cellStyle name="Times New Roman 13" xfId="32065" xr:uid="{00000000-0005-0000-0000-00000C7A0000}"/>
    <cellStyle name="Times New Roman 14" xfId="32066" xr:uid="{00000000-0005-0000-0000-00000D7A0000}"/>
    <cellStyle name="Times New Roman 15" xfId="32067" xr:uid="{00000000-0005-0000-0000-00000E7A0000}"/>
    <cellStyle name="Times New Roman 16" xfId="32068" xr:uid="{00000000-0005-0000-0000-00000F7A0000}"/>
    <cellStyle name="Times New Roman 2" xfId="32069" xr:uid="{00000000-0005-0000-0000-0000107A0000}"/>
    <cellStyle name="Times New Roman 3" xfId="32070" xr:uid="{00000000-0005-0000-0000-0000117A0000}"/>
    <cellStyle name="Times New Roman 4" xfId="32071" xr:uid="{00000000-0005-0000-0000-0000127A0000}"/>
    <cellStyle name="Times New Roman 5" xfId="32072" xr:uid="{00000000-0005-0000-0000-0000137A0000}"/>
    <cellStyle name="Times New Roman 6" xfId="32073" xr:uid="{00000000-0005-0000-0000-0000147A0000}"/>
    <cellStyle name="Times New Roman 7" xfId="32074" xr:uid="{00000000-0005-0000-0000-0000157A0000}"/>
    <cellStyle name="Times New Roman 8" xfId="32075" xr:uid="{00000000-0005-0000-0000-0000167A0000}"/>
    <cellStyle name="Times New Roman 9" xfId="32076" xr:uid="{00000000-0005-0000-0000-0000177A0000}"/>
    <cellStyle name="Title" xfId="3" builtinId="15"/>
    <cellStyle name="Title  - Style1" xfId="32077" xr:uid="{00000000-0005-0000-0000-0000187A0000}"/>
    <cellStyle name="Title  - Style1 10" xfId="32078" xr:uid="{00000000-0005-0000-0000-0000197A0000}"/>
    <cellStyle name="Title  - Style1 11" xfId="32079" xr:uid="{00000000-0005-0000-0000-00001A7A0000}"/>
    <cellStyle name="Title  - Style1 12" xfId="32080" xr:uid="{00000000-0005-0000-0000-00001B7A0000}"/>
    <cellStyle name="Title  - Style1 13" xfId="32081" xr:uid="{00000000-0005-0000-0000-00001C7A0000}"/>
    <cellStyle name="Title  - Style1 14" xfId="32082" xr:uid="{00000000-0005-0000-0000-00001D7A0000}"/>
    <cellStyle name="Title  - Style1 15" xfId="32083" xr:uid="{00000000-0005-0000-0000-00001E7A0000}"/>
    <cellStyle name="Title  - Style1 16" xfId="32084" xr:uid="{00000000-0005-0000-0000-00001F7A0000}"/>
    <cellStyle name="Title  - Style1 2" xfId="32085" xr:uid="{00000000-0005-0000-0000-0000207A0000}"/>
    <cellStyle name="Title  - Style1 3" xfId="32086" xr:uid="{00000000-0005-0000-0000-0000217A0000}"/>
    <cellStyle name="Title  - Style1 4" xfId="32087" xr:uid="{00000000-0005-0000-0000-0000227A0000}"/>
    <cellStyle name="Title  - Style1 5" xfId="32088" xr:uid="{00000000-0005-0000-0000-0000237A0000}"/>
    <cellStyle name="Title  - Style1 6" xfId="32089" xr:uid="{00000000-0005-0000-0000-0000247A0000}"/>
    <cellStyle name="Title  - Style1 7" xfId="32090" xr:uid="{00000000-0005-0000-0000-0000257A0000}"/>
    <cellStyle name="Title  - Style1 8" xfId="32091" xr:uid="{00000000-0005-0000-0000-0000267A0000}"/>
    <cellStyle name="Title  - Style1 9" xfId="32092" xr:uid="{00000000-0005-0000-0000-0000277A0000}"/>
    <cellStyle name="Title 2" xfId="167" xr:uid="{00000000-0005-0000-0000-000083030000}"/>
    <cellStyle name="Title 2 10" xfId="32093" xr:uid="{00000000-0005-0000-0000-0000297A0000}"/>
    <cellStyle name="Title 2 11" xfId="32094" xr:uid="{00000000-0005-0000-0000-00002A7A0000}"/>
    <cellStyle name="Title 2 12" xfId="32095" xr:uid="{00000000-0005-0000-0000-00002B7A0000}"/>
    <cellStyle name="Title 2 13" xfId="32096" xr:uid="{00000000-0005-0000-0000-00002C7A0000}"/>
    <cellStyle name="Title 2 14" xfId="32097" xr:uid="{00000000-0005-0000-0000-00002D7A0000}"/>
    <cellStyle name="Title 2 15" xfId="32098" xr:uid="{00000000-0005-0000-0000-00002E7A0000}"/>
    <cellStyle name="Title 2 16" xfId="32099" xr:uid="{00000000-0005-0000-0000-00002F7A0000}"/>
    <cellStyle name="Title 2 17" xfId="32100" xr:uid="{00000000-0005-0000-0000-0000307A0000}"/>
    <cellStyle name="Title 2 2" xfId="32101" xr:uid="{00000000-0005-0000-0000-0000317A0000}"/>
    <cellStyle name="Title 2 2 10" xfId="32102" xr:uid="{00000000-0005-0000-0000-0000327A0000}"/>
    <cellStyle name="Title 2 2 11" xfId="32103" xr:uid="{00000000-0005-0000-0000-0000337A0000}"/>
    <cellStyle name="Title 2 2 12" xfId="32104" xr:uid="{00000000-0005-0000-0000-0000347A0000}"/>
    <cellStyle name="Title 2 2 13" xfId="32105" xr:uid="{00000000-0005-0000-0000-0000357A0000}"/>
    <cellStyle name="Title 2 2 14" xfId="32106" xr:uid="{00000000-0005-0000-0000-0000367A0000}"/>
    <cellStyle name="Title 2 2 15" xfId="32107" xr:uid="{00000000-0005-0000-0000-0000377A0000}"/>
    <cellStyle name="Title 2 2 16" xfId="32108" xr:uid="{00000000-0005-0000-0000-0000387A0000}"/>
    <cellStyle name="Title 2 2 2" xfId="32109" xr:uid="{00000000-0005-0000-0000-0000397A0000}"/>
    <cellStyle name="Title 2 2 2 10" xfId="32110" xr:uid="{00000000-0005-0000-0000-00003A7A0000}"/>
    <cellStyle name="Title 2 2 2 11" xfId="32111" xr:uid="{00000000-0005-0000-0000-00003B7A0000}"/>
    <cellStyle name="Title 2 2 2 12" xfId="32112" xr:uid="{00000000-0005-0000-0000-00003C7A0000}"/>
    <cellStyle name="Title 2 2 2 13" xfId="32113" xr:uid="{00000000-0005-0000-0000-00003D7A0000}"/>
    <cellStyle name="Title 2 2 2 14" xfId="32114" xr:uid="{00000000-0005-0000-0000-00003E7A0000}"/>
    <cellStyle name="Title 2 2 2 2" xfId="32115" xr:uid="{00000000-0005-0000-0000-00003F7A0000}"/>
    <cellStyle name="Title 2 2 2 3" xfId="32116" xr:uid="{00000000-0005-0000-0000-0000407A0000}"/>
    <cellStyle name="Title 2 2 2 4" xfId="32117" xr:uid="{00000000-0005-0000-0000-0000417A0000}"/>
    <cellStyle name="Title 2 2 2 5" xfId="32118" xr:uid="{00000000-0005-0000-0000-0000427A0000}"/>
    <cellStyle name="Title 2 2 2 6" xfId="32119" xr:uid="{00000000-0005-0000-0000-0000437A0000}"/>
    <cellStyle name="Title 2 2 2 7" xfId="32120" xr:uid="{00000000-0005-0000-0000-0000447A0000}"/>
    <cellStyle name="Title 2 2 2 8" xfId="32121" xr:uid="{00000000-0005-0000-0000-0000457A0000}"/>
    <cellStyle name="Title 2 2 2 9" xfId="32122" xr:uid="{00000000-0005-0000-0000-0000467A0000}"/>
    <cellStyle name="Title 2 2 3" xfId="32123" xr:uid="{00000000-0005-0000-0000-0000477A0000}"/>
    <cellStyle name="Title 2 2 4" xfId="32124" xr:uid="{00000000-0005-0000-0000-0000487A0000}"/>
    <cellStyle name="Title 2 2 5" xfId="32125" xr:uid="{00000000-0005-0000-0000-0000497A0000}"/>
    <cellStyle name="Title 2 2 6" xfId="32126" xr:uid="{00000000-0005-0000-0000-00004A7A0000}"/>
    <cellStyle name="Title 2 2 7" xfId="32127" xr:uid="{00000000-0005-0000-0000-00004B7A0000}"/>
    <cellStyle name="Title 2 2 8" xfId="32128" xr:uid="{00000000-0005-0000-0000-00004C7A0000}"/>
    <cellStyle name="Title 2 2 9" xfId="32129" xr:uid="{00000000-0005-0000-0000-00004D7A0000}"/>
    <cellStyle name="Title 2 3" xfId="32130" xr:uid="{00000000-0005-0000-0000-00004E7A0000}"/>
    <cellStyle name="Title 2 4" xfId="32131" xr:uid="{00000000-0005-0000-0000-00004F7A0000}"/>
    <cellStyle name="Title 2 5" xfId="32132" xr:uid="{00000000-0005-0000-0000-0000507A0000}"/>
    <cellStyle name="Title 2 6" xfId="32133" xr:uid="{00000000-0005-0000-0000-0000517A0000}"/>
    <cellStyle name="Title 2 7" xfId="32134" xr:uid="{00000000-0005-0000-0000-0000527A0000}"/>
    <cellStyle name="Title 2 8" xfId="32135" xr:uid="{00000000-0005-0000-0000-0000537A0000}"/>
    <cellStyle name="Title 2 9" xfId="32136" xr:uid="{00000000-0005-0000-0000-0000547A0000}"/>
    <cellStyle name="Title 3" xfId="32137" xr:uid="{00000000-0005-0000-0000-0000557A0000}"/>
    <cellStyle name="Title 4" xfId="32138" xr:uid="{00000000-0005-0000-0000-0000567A0000}"/>
    <cellStyle name="Title 5" xfId="32139" xr:uid="{00000000-0005-0000-0000-0000577A0000}"/>
    <cellStyle name="Title Row" xfId="32140" xr:uid="{00000000-0005-0000-0000-0000587A0000}"/>
    <cellStyle name="Title Row 10" xfId="32141" xr:uid="{00000000-0005-0000-0000-0000597A0000}"/>
    <cellStyle name="Title Row 11" xfId="32142" xr:uid="{00000000-0005-0000-0000-00005A7A0000}"/>
    <cellStyle name="Title Row 12" xfId="32143" xr:uid="{00000000-0005-0000-0000-00005B7A0000}"/>
    <cellStyle name="Title Row 13" xfId="32144" xr:uid="{00000000-0005-0000-0000-00005C7A0000}"/>
    <cellStyle name="Title Row 14" xfId="32145" xr:uid="{00000000-0005-0000-0000-00005D7A0000}"/>
    <cellStyle name="Title Row 15" xfId="32146" xr:uid="{00000000-0005-0000-0000-00005E7A0000}"/>
    <cellStyle name="Title Row 16" xfId="32147" xr:uid="{00000000-0005-0000-0000-00005F7A0000}"/>
    <cellStyle name="Title Row 2" xfId="32148" xr:uid="{00000000-0005-0000-0000-0000607A0000}"/>
    <cellStyle name="Title Row 3" xfId="32149" xr:uid="{00000000-0005-0000-0000-0000617A0000}"/>
    <cellStyle name="Title Row 4" xfId="32150" xr:uid="{00000000-0005-0000-0000-0000627A0000}"/>
    <cellStyle name="Title Row 5" xfId="32151" xr:uid="{00000000-0005-0000-0000-0000637A0000}"/>
    <cellStyle name="Title Row 6" xfId="32152" xr:uid="{00000000-0005-0000-0000-0000647A0000}"/>
    <cellStyle name="Title Row 7" xfId="32153" xr:uid="{00000000-0005-0000-0000-0000657A0000}"/>
    <cellStyle name="Title Row 8" xfId="32154" xr:uid="{00000000-0005-0000-0000-0000667A0000}"/>
    <cellStyle name="Title Row 9" xfId="32155" xr:uid="{00000000-0005-0000-0000-0000677A0000}"/>
    <cellStyle name="Total 2" xfId="168" xr:uid="{00000000-0005-0000-0000-000084030000}"/>
    <cellStyle name="Total 2 10" xfId="32157" xr:uid="{00000000-0005-0000-0000-0000697A0000}"/>
    <cellStyle name="Total 2 10 10" xfId="32158" xr:uid="{00000000-0005-0000-0000-00006A7A0000}"/>
    <cellStyle name="Total 2 10 11" xfId="32159" xr:uid="{00000000-0005-0000-0000-00006B7A0000}"/>
    <cellStyle name="Total 2 10 12" xfId="32160" xr:uid="{00000000-0005-0000-0000-00006C7A0000}"/>
    <cellStyle name="Total 2 10 13" xfId="32161" xr:uid="{00000000-0005-0000-0000-00006D7A0000}"/>
    <cellStyle name="Total 2 10 14" xfId="32162" xr:uid="{00000000-0005-0000-0000-00006E7A0000}"/>
    <cellStyle name="Total 2 10 15" xfId="32163" xr:uid="{00000000-0005-0000-0000-00006F7A0000}"/>
    <cellStyle name="Total 2 10 16" xfId="32164" xr:uid="{00000000-0005-0000-0000-0000707A0000}"/>
    <cellStyle name="Total 2 10 17" xfId="32165" xr:uid="{00000000-0005-0000-0000-0000717A0000}"/>
    <cellStyle name="Total 2 10 18" xfId="32166" xr:uid="{00000000-0005-0000-0000-0000727A0000}"/>
    <cellStyle name="Total 2 10 19" xfId="32167" xr:uid="{00000000-0005-0000-0000-0000737A0000}"/>
    <cellStyle name="Total 2 10 2" xfId="32168" xr:uid="{00000000-0005-0000-0000-0000747A0000}"/>
    <cellStyle name="Total 2 10 2 10" xfId="32169" xr:uid="{00000000-0005-0000-0000-0000757A0000}"/>
    <cellStyle name="Total 2 10 2 11" xfId="32170" xr:uid="{00000000-0005-0000-0000-0000767A0000}"/>
    <cellStyle name="Total 2 10 2 12" xfId="32171" xr:uid="{00000000-0005-0000-0000-0000777A0000}"/>
    <cellStyle name="Total 2 10 2 13" xfId="32172" xr:uid="{00000000-0005-0000-0000-0000787A0000}"/>
    <cellStyle name="Total 2 10 2 14" xfId="32173" xr:uid="{00000000-0005-0000-0000-0000797A0000}"/>
    <cellStyle name="Total 2 10 2 15" xfId="32174" xr:uid="{00000000-0005-0000-0000-00007A7A0000}"/>
    <cellStyle name="Total 2 10 2 16" xfId="32175" xr:uid="{00000000-0005-0000-0000-00007B7A0000}"/>
    <cellStyle name="Total 2 10 2 17" xfId="32176" xr:uid="{00000000-0005-0000-0000-00007C7A0000}"/>
    <cellStyle name="Total 2 10 2 18" xfId="32177" xr:uid="{00000000-0005-0000-0000-00007D7A0000}"/>
    <cellStyle name="Total 2 10 2 19" xfId="32178" xr:uid="{00000000-0005-0000-0000-00007E7A0000}"/>
    <cellStyle name="Total 2 10 2 2" xfId="32179" xr:uid="{00000000-0005-0000-0000-00007F7A0000}"/>
    <cellStyle name="Total 2 10 2 2 10" xfId="32180" xr:uid="{00000000-0005-0000-0000-0000807A0000}"/>
    <cellStyle name="Total 2 10 2 2 11" xfId="32181" xr:uid="{00000000-0005-0000-0000-0000817A0000}"/>
    <cellStyle name="Total 2 10 2 2 12" xfId="32182" xr:uid="{00000000-0005-0000-0000-0000827A0000}"/>
    <cellStyle name="Total 2 10 2 2 13" xfId="32183" xr:uid="{00000000-0005-0000-0000-0000837A0000}"/>
    <cellStyle name="Total 2 10 2 2 14" xfId="32184" xr:uid="{00000000-0005-0000-0000-0000847A0000}"/>
    <cellStyle name="Total 2 10 2 2 15" xfId="32185" xr:uid="{00000000-0005-0000-0000-0000857A0000}"/>
    <cellStyle name="Total 2 10 2 2 16" xfId="32186" xr:uid="{00000000-0005-0000-0000-0000867A0000}"/>
    <cellStyle name="Total 2 10 2 2 2" xfId="32187" xr:uid="{00000000-0005-0000-0000-0000877A0000}"/>
    <cellStyle name="Total 2 10 2 2 3" xfId="32188" xr:uid="{00000000-0005-0000-0000-0000887A0000}"/>
    <cellStyle name="Total 2 10 2 2 4" xfId="32189" xr:uid="{00000000-0005-0000-0000-0000897A0000}"/>
    <cellStyle name="Total 2 10 2 2 5" xfId="32190" xr:uid="{00000000-0005-0000-0000-00008A7A0000}"/>
    <cellStyle name="Total 2 10 2 2 6" xfId="32191" xr:uid="{00000000-0005-0000-0000-00008B7A0000}"/>
    <cellStyle name="Total 2 10 2 2 7" xfId="32192" xr:uid="{00000000-0005-0000-0000-00008C7A0000}"/>
    <cellStyle name="Total 2 10 2 2 8" xfId="32193" xr:uid="{00000000-0005-0000-0000-00008D7A0000}"/>
    <cellStyle name="Total 2 10 2 2 9" xfId="32194" xr:uid="{00000000-0005-0000-0000-00008E7A0000}"/>
    <cellStyle name="Total 2 10 2 3" xfId="32195" xr:uid="{00000000-0005-0000-0000-00008F7A0000}"/>
    <cellStyle name="Total 2 10 2 3 10" xfId="32196" xr:uid="{00000000-0005-0000-0000-0000907A0000}"/>
    <cellStyle name="Total 2 10 2 3 11" xfId="32197" xr:uid="{00000000-0005-0000-0000-0000917A0000}"/>
    <cellStyle name="Total 2 10 2 3 12" xfId="32198" xr:uid="{00000000-0005-0000-0000-0000927A0000}"/>
    <cellStyle name="Total 2 10 2 3 13" xfId="32199" xr:uid="{00000000-0005-0000-0000-0000937A0000}"/>
    <cellStyle name="Total 2 10 2 3 14" xfId="32200" xr:uid="{00000000-0005-0000-0000-0000947A0000}"/>
    <cellStyle name="Total 2 10 2 3 15" xfId="32201" xr:uid="{00000000-0005-0000-0000-0000957A0000}"/>
    <cellStyle name="Total 2 10 2 3 16" xfId="32202" xr:uid="{00000000-0005-0000-0000-0000967A0000}"/>
    <cellStyle name="Total 2 10 2 3 2" xfId="32203" xr:uid="{00000000-0005-0000-0000-0000977A0000}"/>
    <cellStyle name="Total 2 10 2 3 3" xfId="32204" xr:uid="{00000000-0005-0000-0000-0000987A0000}"/>
    <cellStyle name="Total 2 10 2 3 4" xfId="32205" xr:uid="{00000000-0005-0000-0000-0000997A0000}"/>
    <cellStyle name="Total 2 10 2 3 5" xfId="32206" xr:uid="{00000000-0005-0000-0000-00009A7A0000}"/>
    <cellStyle name="Total 2 10 2 3 6" xfId="32207" xr:uid="{00000000-0005-0000-0000-00009B7A0000}"/>
    <cellStyle name="Total 2 10 2 3 7" xfId="32208" xr:uid="{00000000-0005-0000-0000-00009C7A0000}"/>
    <cellStyle name="Total 2 10 2 3 8" xfId="32209" xr:uid="{00000000-0005-0000-0000-00009D7A0000}"/>
    <cellStyle name="Total 2 10 2 3 9" xfId="32210" xr:uid="{00000000-0005-0000-0000-00009E7A0000}"/>
    <cellStyle name="Total 2 10 2 4" xfId="32211" xr:uid="{00000000-0005-0000-0000-00009F7A0000}"/>
    <cellStyle name="Total 2 10 2 4 10" xfId="32212" xr:uid="{00000000-0005-0000-0000-0000A07A0000}"/>
    <cellStyle name="Total 2 10 2 4 11" xfId="32213" xr:uid="{00000000-0005-0000-0000-0000A17A0000}"/>
    <cellStyle name="Total 2 10 2 4 12" xfId="32214" xr:uid="{00000000-0005-0000-0000-0000A27A0000}"/>
    <cellStyle name="Total 2 10 2 4 13" xfId="32215" xr:uid="{00000000-0005-0000-0000-0000A37A0000}"/>
    <cellStyle name="Total 2 10 2 4 14" xfId="32216" xr:uid="{00000000-0005-0000-0000-0000A47A0000}"/>
    <cellStyle name="Total 2 10 2 4 15" xfId="32217" xr:uid="{00000000-0005-0000-0000-0000A57A0000}"/>
    <cellStyle name="Total 2 10 2 4 16" xfId="32218" xr:uid="{00000000-0005-0000-0000-0000A67A0000}"/>
    <cellStyle name="Total 2 10 2 4 2" xfId="32219" xr:uid="{00000000-0005-0000-0000-0000A77A0000}"/>
    <cellStyle name="Total 2 10 2 4 3" xfId="32220" xr:uid="{00000000-0005-0000-0000-0000A87A0000}"/>
    <cellStyle name="Total 2 10 2 4 4" xfId="32221" xr:uid="{00000000-0005-0000-0000-0000A97A0000}"/>
    <cellStyle name="Total 2 10 2 4 5" xfId="32222" xr:uid="{00000000-0005-0000-0000-0000AA7A0000}"/>
    <cellStyle name="Total 2 10 2 4 6" xfId="32223" xr:uid="{00000000-0005-0000-0000-0000AB7A0000}"/>
    <cellStyle name="Total 2 10 2 4 7" xfId="32224" xr:uid="{00000000-0005-0000-0000-0000AC7A0000}"/>
    <cellStyle name="Total 2 10 2 4 8" xfId="32225" xr:uid="{00000000-0005-0000-0000-0000AD7A0000}"/>
    <cellStyle name="Total 2 10 2 4 9" xfId="32226" xr:uid="{00000000-0005-0000-0000-0000AE7A0000}"/>
    <cellStyle name="Total 2 10 2 5" xfId="32227" xr:uid="{00000000-0005-0000-0000-0000AF7A0000}"/>
    <cellStyle name="Total 2 10 2 6" xfId="32228" xr:uid="{00000000-0005-0000-0000-0000B07A0000}"/>
    <cellStyle name="Total 2 10 2 7" xfId="32229" xr:uid="{00000000-0005-0000-0000-0000B17A0000}"/>
    <cellStyle name="Total 2 10 2 8" xfId="32230" xr:uid="{00000000-0005-0000-0000-0000B27A0000}"/>
    <cellStyle name="Total 2 10 2 9" xfId="32231" xr:uid="{00000000-0005-0000-0000-0000B37A0000}"/>
    <cellStyle name="Total 2 10 20" xfId="32232" xr:uid="{00000000-0005-0000-0000-0000B47A0000}"/>
    <cellStyle name="Total 2 10 3" xfId="32233" xr:uid="{00000000-0005-0000-0000-0000B57A0000}"/>
    <cellStyle name="Total 2 10 3 10" xfId="32234" xr:uid="{00000000-0005-0000-0000-0000B67A0000}"/>
    <cellStyle name="Total 2 10 3 11" xfId="32235" xr:uid="{00000000-0005-0000-0000-0000B77A0000}"/>
    <cellStyle name="Total 2 10 3 12" xfId="32236" xr:uid="{00000000-0005-0000-0000-0000B87A0000}"/>
    <cellStyle name="Total 2 10 3 13" xfId="32237" xr:uid="{00000000-0005-0000-0000-0000B97A0000}"/>
    <cellStyle name="Total 2 10 3 14" xfId="32238" xr:uid="{00000000-0005-0000-0000-0000BA7A0000}"/>
    <cellStyle name="Total 2 10 3 15" xfId="32239" xr:uid="{00000000-0005-0000-0000-0000BB7A0000}"/>
    <cellStyle name="Total 2 10 3 16" xfId="32240" xr:uid="{00000000-0005-0000-0000-0000BC7A0000}"/>
    <cellStyle name="Total 2 10 3 2" xfId="32241" xr:uid="{00000000-0005-0000-0000-0000BD7A0000}"/>
    <cellStyle name="Total 2 10 3 3" xfId="32242" xr:uid="{00000000-0005-0000-0000-0000BE7A0000}"/>
    <cellStyle name="Total 2 10 3 4" xfId="32243" xr:uid="{00000000-0005-0000-0000-0000BF7A0000}"/>
    <cellStyle name="Total 2 10 3 5" xfId="32244" xr:uid="{00000000-0005-0000-0000-0000C07A0000}"/>
    <cellStyle name="Total 2 10 3 6" xfId="32245" xr:uid="{00000000-0005-0000-0000-0000C17A0000}"/>
    <cellStyle name="Total 2 10 3 7" xfId="32246" xr:uid="{00000000-0005-0000-0000-0000C27A0000}"/>
    <cellStyle name="Total 2 10 3 8" xfId="32247" xr:uid="{00000000-0005-0000-0000-0000C37A0000}"/>
    <cellStyle name="Total 2 10 3 9" xfId="32248" xr:uid="{00000000-0005-0000-0000-0000C47A0000}"/>
    <cellStyle name="Total 2 10 4" xfId="32249" xr:uid="{00000000-0005-0000-0000-0000C57A0000}"/>
    <cellStyle name="Total 2 10 4 10" xfId="32250" xr:uid="{00000000-0005-0000-0000-0000C67A0000}"/>
    <cellStyle name="Total 2 10 4 11" xfId="32251" xr:uid="{00000000-0005-0000-0000-0000C77A0000}"/>
    <cellStyle name="Total 2 10 4 12" xfId="32252" xr:uid="{00000000-0005-0000-0000-0000C87A0000}"/>
    <cellStyle name="Total 2 10 4 13" xfId="32253" xr:uid="{00000000-0005-0000-0000-0000C97A0000}"/>
    <cellStyle name="Total 2 10 4 14" xfId="32254" xr:uid="{00000000-0005-0000-0000-0000CA7A0000}"/>
    <cellStyle name="Total 2 10 4 15" xfId="32255" xr:uid="{00000000-0005-0000-0000-0000CB7A0000}"/>
    <cellStyle name="Total 2 10 4 16" xfId="32256" xr:uid="{00000000-0005-0000-0000-0000CC7A0000}"/>
    <cellStyle name="Total 2 10 4 2" xfId="32257" xr:uid="{00000000-0005-0000-0000-0000CD7A0000}"/>
    <cellStyle name="Total 2 10 4 3" xfId="32258" xr:uid="{00000000-0005-0000-0000-0000CE7A0000}"/>
    <cellStyle name="Total 2 10 4 4" xfId="32259" xr:uid="{00000000-0005-0000-0000-0000CF7A0000}"/>
    <cellStyle name="Total 2 10 4 5" xfId="32260" xr:uid="{00000000-0005-0000-0000-0000D07A0000}"/>
    <cellStyle name="Total 2 10 4 6" xfId="32261" xr:uid="{00000000-0005-0000-0000-0000D17A0000}"/>
    <cellStyle name="Total 2 10 4 7" xfId="32262" xr:uid="{00000000-0005-0000-0000-0000D27A0000}"/>
    <cellStyle name="Total 2 10 4 8" xfId="32263" xr:uid="{00000000-0005-0000-0000-0000D37A0000}"/>
    <cellStyle name="Total 2 10 4 9" xfId="32264" xr:uid="{00000000-0005-0000-0000-0000D47A0000}"/>
    <cellStyle name="Total 2 10 5" xfId="32265" xr:uid="{00000000-0005-0000-0000-0000D57A0000}"/>
    <cellStyle name="Total 2 10 5 10" xfId="32266" xr:uid="{00000000-0005-0000-0000-0000D67A0000}"/>
    <cellStyle name="Total 2 10 5 11" xfId="32267" xr:uid="{00000000-0005-0000-0000-0000D77A0000}"/>
    <cellStyle name="Total 2 10 5 12" xfId="32268" xr:uid="{00000000-0005-0000-0000-0000D87A0000}"/>
    <cellStyle name="Total 2 10 5 13" xfId="32269" xr:uid="{00000000-0005-0000-0000-0000D97A0000}"/>
    <cellStyle name="Total 2 10 5 14" xfId="32270" xr:uid="{00000000-0005-0000-0000-0000DA7A0000}"/>
    <cellStyle name="Total 2 10 5 15" xfId="32271" xr:uid="{00000000-0005-0000-0000-0000DB7A0000}"/>
    <cellStyle name="Total 2 10 5 16" xfId="32272" xr:uid="{00000000-0005-0000-0000-0000DC7A0000}"/>
    <cellStyle name="Total 2 10 5 2" xfId="32273" xr:uid="{00000000-0005-0000-0000-0000DD7A0000}"/>
    <cellStyle name="Total 2 10 5 3" xfId="32274" xr:uid="{00000000-0005-0000-0000-0000DE7A0000}"/>
    <cellStyle name="Total 2 10 5 4" xfId="32275" xr:uid="{00000000-0005-0000-0000-0000DF7A0000}"/>
    <cellStyle name="Total 2 10 5 5" xfId="32276" xr:uid="{00000000-0005-0000-0000-0000E07A0000}"/>
    <cellStyle name="Total 2 10 5 6" xfId="32277" xr:uid="{00000000-0005-0000-0000-0000E17A0000}"/>
    <cellStyle name="Total 2 10 5 7" xfId="32278" xr:uid="{00000000-0005-0000-0000-0000E27A0000}"/>
    <cellStyle name="Total 2 10 5 8" xfId="32279" xr:uid="{00000000-0005-0000-0000-0000E37A0000}"/>
    <cellStyle name="Total 2 10 5 9" xfId="32280" xr:uid="{00000000-0005-0000-0000-0000E47A0000}"/>
    <cellStyle name="Total 2 10 6" xfId="32281" xr:uid="{00000000-0005-0000-0000-0000E57A0000}"/>
    <cellStyle name="Total 2 10 7" xfId="32282" xr:uid="{00000000-0005-0000-0000-0000E67A0000}"/>
    <cellStyle name="Total 2 10 8" xfId="32283" xr:uid="{00000000-0005-0000-0000-0000E77A0000}"/>
    <cellStyle name="Total 2 10 9" xfId="32284" xr:uid="{00000000-0005-0000-0000-0000E87A0000}"/>
    <cellStyle name="Total 2 10_CORRECTED COPY OF rA 5" xfId="32285" xr:uid="{00000000-0005-0000-0000-0000E97A0000}"/>
    <cellStyle name="Total 2 11" xfId="32286" xr:uid="{00000000-0005-0000-0000-0000EA7A0000}"/>
    <cellStyle name="Total 2 11 10" xfId="32287" xr:uid="{00000000-0005-0000-0000-0000EB7A0000}"/>
    <cellStyle name="Total 2 11 11" xfId="32288" xr:uid="{00000000-0005-0000-0000-0000EC7A0000}"/>
    <cellStyle name="Total 2 11 12" xfId="32289" xr:uid="{00000000-0005-0000-0000-0000ED7A0000}"/>
    <cellStyle name="Total 2 11 13" xfId="32290" xr:uid="{00000000-0005-0000-0000-0000EE7A0000}"/>
    <cellStyle name="Total 2 11 14" xfId="32291" xr:uid="{00000000-0005-0000-0000-0000EF7A0000}"/>
    <cellStyle name="Total 2 11 15" xfId="32292" xr:uid="{00000000-0005-0000-0000-0000F07A0000}"/>
    <cellStyle name="Total 2 11 16" xfId="32293" xr:uid="{00000000-0005-0000-0000-0000F17A0000}"/>
    <cellStyle name="Total 2 11 17" xfId="32294" xr:uid="{00000000-0005-0000-0000-0000F27A0000}"/>
    <cellStyle name="Total 2 11 18" xfId="32295" xr:uid="{00000000-0005-0000-0000-0000F37A0000}"/>
    <cellStyle name="Total 2 11 19" xfId="32296" xr:uid="{00000000-0005-0000-0000-0000F47A0000}"/>
    <cellStyle name="Total 2 11 2" xfId="32297" xr:uid="{00000000-0005-0000-0000-0000F57A0000}"/>
    <cellStyle name="Total 2 11 2 10" xfId="32298" xr:uid="{00000000-0005-0000-0000-0000F67A0000}"/>
    <cellStyle name="Total 2 11 2 11" xfId="32299" xr:uid="{00000000-0005-0000-0000-0000F77A0000}"/>
    <cellStyle name="Total 2 11 2 12" xfId="32300" xr:uid="{00000000-0005-0000-0000-0000F87A0000}"/>
    <cellStyle name="Total 2 11 2 13" xfId="32301" xr:uid="{00000000-0005-0000-0000-0000F97A0000}"/>
    <cellStyle name="Total 2 11 2 14" xfId="32302" xr:uid="{00000000-0005-0000-0000-0000FA7A0000}"/>
    <cellStyle name="Total 2 11 2 15" xfId="32303" xr:uid="{00000000-0005-0000-0000-0000FB7A0000}"/>
    <cellStyle name="Total 2 11 2 16" xfId="32304" xr:uid="{00000000-0005-0000-0000-0000FC7A0000}"/>
    <cellStyle name="Total 2 11 2 2" xfId="32305" xr:uid="{00000000-0005-0000-0000-0000FD7A0000}"/>
    <cellStyle name="Total 2 11 2 3" xfId="32306" xr:uid="{00000000-0005-0000-0000-0000FE7A0000}"/>
    <cellStyle name="Total 2 11 2 4" xfId="32307" xr:uid="{00000000-0005-0000-0000-0000FF7A0000}"/>
    <cellStyle name="Total 2 11 2 5" xfId="32308" xr:uid="{00000000-0005-0000-0000-0000007B0000}"/>
    <cellStyle name="Total 2 11 2 6" xfId="32309" xr:uid="{00000000-0005-0000-0000-0000017B0000}"/>
    <cellStyle name="Total 2 11 2 7" xfId="32310" xr:uid="{00000000-0005-0000-0000-0000027B0000}"/>
    <cellStyle name="Total 2 11 2 8" xfId="32311" xr:uid="{00000000-0005-0000-0000-0000037B0000}"/>
    <cellStyle name="Total 2 11 2 9" xfId="32312" xr:uid="{00000000-0005-0000-0000-0000047B0000}"/>
    <cellStyle name="Total 2 11 3" xfId="32313" xr:uid="{00000000-0005-0000-0000-0000057B0000}"/>
    <cellStyle name="Total 2 11 3 10" xfId="32314" xr:uid="{00000000-0005-0000-0000-0000067B0000}"/>
    <cellStyle name="Total 2 11 3 11" xfId="32315" xr:uid="{00000000-0005-0000-0000-0000077B0000}"/>
    <cellStyle name="Total 2 11 3 12" xfId="32316" xr:uid="{00000000-0005-0000-0000-0000087B0000}"/>
    <cellStyle name="Total 2 11 3 13" xfId="32317" xr:uid="{00000000-0005-0000-0000-0000097B0000}"/>
    <cellStyle name="Total 2 11 3 14" xfId="32318" xr:uid="{00000000-0005-0000-0000-00000A7B0000}"/>
    <cellStyle name="Total 2 11 3 15" xfId="32319" xr:uid="{00000000-0005-0000-0000-00000B7B0000}"/>
    <cellStyle name="Total 2 11 3 16" xfId="32320" xr:uid="{00000000-0005-0000-0000-00000C7B0000}"/>
    <cellStyle name="Total 2 11 3 2" xfId="32321" xr:uid="{00000000-0005-0000-0000-00000D7B0000}"/>
    <cellStyle name="Total 2 11 3 3" xfId="32322" xr:uid="{00000000-0005-0000-0000-00000E7B0000}"/>
    <cellStyle name="Total 2 11 3 4" xfId="32323" xr:uid="{00000000-0005-0000-0000-00000F7B0000}"/>
    <cellStyle name="Total 2 11 3 5" xfId="32324" xr:uid="{00000000-0005-0000-0000-0000107B0000}"/>
    <cellStyle name="Total 2 11 3 6" xfId="32325" xr:uid="{00000000-0005-0000-0000-0000117B0000}"/>
    <cellStyle name="Total 2 11 3 7" xfId="32326" xr:uid="{00000000-0005-0000-0000-0000127B0000}"/>
    <cellStyle name="Total 2 11 3 8" xfId="32327" xr:uid="{00000000-0005-0000-0000-0000137B0000}"/>
    <cellStyle name="Total 2 11 3 9" xfId="32328" xr:uid="{00000000-0005-0000-0000-0000147B0000}"/>
    <cellStyle name="Total 2 11 4" xfId="32329" xr:uid="{00000000-0005-0000-0000-0000157B0000}"/>
    <cellStyle name="Total 2 11 4 10" xfId="32330" xr:uid="{00000000-0005-0000-0000-0000167B0000}"/>
    <cellStyle name="Total 2 11 4 11" xfId="32331" xr:uid="{00000000-0005-0000-0000-0000177B0000}"/>
    <cellStyle name="Total 2 11 4 12" xfId="32332" xr:uid="{00000000-0005-0000-0000-0000187B0000}"/>
    <cellStyle name="Total 2 11 4 13" xfId="32333" xr:uid="{00000000-0005-0000-0000-0000197B0000}"/>
    <cellStyle name="Total 2 11 4 14" xfId="32334" xr:uid="{00000000-0005-0000-0000-00001A7B0000}"/>
    <cellStyle name="Total 2 11 4 15" xfId="32335" xr:uid="{00000000-0005-0000-0000-00001B7B0000}"/>
    <cellStyle name="Total 2 11 4 16" xfId="32336" xr:uid="{00000000-0005-0000-0000-00001C7B0000}"/>
    <cellStyle name="Total 2 11 4 2" xfId="32337" xr:uid="{00000000-0005-0000-0000-00001D7B0000}"/>
    <cellStyle name="Total 2 11 4 3" xfId="32338" xr:uid="{00000000-0005-0000-0000-00001E7B0000}"/>
    <cellStyle name="Total 2 11 4 4" xfId="32339" xr:uid="{00000000-0005-0000-0000-00001F7B0000}"/>
    <cellStyle name="Total 2 11 4 5" xfId="32340" xr:uid="{00000000-0005-0000-0000-0000207B0000}"/>
    <cellStyle name="Total 2 11 4 6" xfId="32341" xr:uid="{00000000-0005-0000-0000-0000217B0000}"/>
    <cellStyle name="Total 2 11 4 7" xfId="32342" xr:uid="{00000000-0005-0000-0000-0000227B0000}"/>
    <cellStyle name="Total 2 11 4 8" xfId="32343" xr:uid="{00000000-0005-0000-0000-0000237B0000}"/>
    <cellStyle name="Total 2 11 4 9" xfId="32344" xr:uid="{00000000-0005-0000-0000-0000247B0000}"/>
    <cellStyle name="Total 2 11 5" xfId="32345" xr:uid="{00000000-0005-0000-0000-0000257B0000}"/>
    <cellStyle name="Total 2 11 6" xfId="32346" xr:uid="{00000000-0005-0000-0000-0000267B0000}"/>
    <cellStyle name="Total 2 11 7" xfId="32347" xr:uid="{00000000-0005-0000-0000-0000277B0000}"/>
    <cellStyle name="Total 2 11 8" xfId="32348" xr:uid="{00000000-0005-0000-0000-0000287B0000}"/>
    <cellStyle name="Total 2 11 9" xfId="32349" xr:uid="{00000000-0005-0000-0000-0000297B0000}"/>
    <cellStyle name="Total 2 12" xfId="32350" xr:uid="{00000000-0005-0000-0000-00002A7B0000}"/>
    <cellStyle name="Total 2 12 10" xfId="32351" xr:uid="{00000000-0005-0000-0000-00002B7B0000}"/>
    <cellStyle name="Total 2 12 11" xfId="32352" xr:uid="{00000000-0005-0000-0000-00002C7B0000}"/>
    <cellStyle name="Total 2 12 12" xfId="32353" xr:uid="{00000000-0005-0000-0000-00002D7B0000}"/>
    <cellStyle name="Total 2 12 13" xfId="32354" xr:uid="{00000000-0005-0000-0000-00002E7B0000}"/>
    <cellStyle name="Total 2 12 14" xfId="32355" xr:uid="{00000000-0005-0000-0000-00002F7B0000}"/>
    <cellStyle name="Total 2 12 15" xfId="32356" xr:uid="{00000000-0005-0000-0000-0000307B0000}"/>
    <cellStyle name="Total 2 12 16" xfId="32357" xr:uid="{00000000-0005-0000-0000-0000317B0000}"/>
    <cellStyle name="Total 2 12 2" xfId="32358" xr:uid="{00000000-0005-0000-0000-0000327B0000}"/>
    <cellStyle name="Total 2 12 3" xfId="32359" xr:uid="{00000000-0005-0000-0000-0000337B0000}"/>
    <cellStyle name="Total 2 12 4" xfId="32360" xr:uid="{00000000-0005-0000-0000-0000347B0000}"/>
    <cellStyle name="Total 2 12 5" xfId="32361" xr:uid="{00000000-0005-0000-0000-0000357B0000}"/>
    <cellStyle name="Total 2 12 6" xfId="32362" xr:uid="{00000000-0005-0000-0000-0000367B0000}"/>
    <cellStyle name="Total 2 12 7" xfId="32363" xr:uid="{00000000-0005-0000-0000-0000377B0000}"/>
    <cellStyle name="Total 2 12 8" xfId="32364" xr:uid="{00000000-0005-0000-0000-0000387B0000}"/>
    <cellStyle name="Total 2 12 9" xfId="32365" xr:uid="{00000000-0005-0000-0000-0000397B0000}"/>
    <cellStyle name="Total 2 13" xfId="32366" xr:uid="{00000000-0005-0000-0000-00003A7B0000}"/>
    <cellStyle name="Total 2 13 10" xfId="32367" xr:uid="{00000000-0005-0000-0000-00003B7B0000}"/>
    <cellStyle name="Total 2 13 11" xfId="32368" xr:uid="{00000000-0005-0000-0000-00003C7B0000}"/>
    <cellStyle name="Total 2 13 12" xfId="32369" xr:uid="{00000000-0005-0000-0000-00003D7B0000}"/>
    <cellStyle name="Total 2 13 13" xfId="32370" xr:uid="{00000000-0005-0000-0000-00003E7B0000}"/>
    <cellStyle name="Total 2 13 14" xfId="32371" xr:uid="{00000000-0005-0000-0000-00003F7B0000}"/>
    <cellStyle name="Total 2 13 15" xfId="32372" xr:uid="{00000000-0005-0000-0000-0000407B0000}"/>
    <cellStyle name="Total 2 13 16" xfId="32373" xr:uid="{00000000-0005-0000-0000-0000417B0000}"/>
    <cellStyle name="Total 2 13 2" xfId="32374" xr:uid="{00000000-0005-0000-0000-0000427B0000}"/>
    <cellStyle name="Total 2 13 3" xfId="32375" xr:uid="{00000000-0005-0000-0000-0000437B0000}"/>
    <cellStyle name="Total 2 13 4" xfId="32376" xr:uid="{00000000-0005-0000-0000-0000447B0000}"/>
    <cellStyle name="Total 2 13 5" xfId="32377" xr:uid="{00000000-0005-0000-0000-0000457B0000}"/>
    <cellStyle name="Total 2 13 6" xfId="32378" xr:uid="{00000000-0005-0000-0000-0000467B0000}"/>
    <cellStyle name="Total 2 13 7" xfId="32379" xr:uid="{00000000-0005-0000-0000-0000477B0000}"/>
    <cellStyle name="Total 2 13 8" xfId="32380" xr:uid="{00000000-0005-0000-0000-0000487B0000}"/>
    <cellStyle name="Total 2 13 9" xfId="32381" xr:uid="{00000000-0005-0000-0000-0000497B0000}"/>
    <cellStyle name="Total 2 14" xfId="32382" xr:uid="{00000000-0005-0000-0000-00004A7B0000}"/>
    <cellStyle name="Total 2 14 10" xfId="32383" xr:uid="{00000000-0005-0000-0000-00004B7B0000}"/>
    <cellStyle name="Total 2 14 11" xfId="32384" xr:uid="{00000000-0005-0000-0000-00004C7B0000}"/>
    <cellStyle name="Total 2 14 12" xfId="32385" xr:uid="{00000000-0005-0000-0000-00004D7B0000}"/>
    <cellStyle name="Total 2 14 13" xfId="32386" xr:uid="{00000000-0005-0000-0000-00004E7B0000}"/>
    <cellStyle name="Total 2 14 14" xfId="32387" xr:uid="{00000000-0005-0000-0000-00004F7B0000}"/>
    <cellStyle name="Total 2 14 15" xfId="32388" xr:uid="{00000000-0005-0000-0000-0000507B0000}"/>
    <cellStyle name="Total 2 14 16" xfId="32389" xr:uid="{00000000-0005-0000-0000-0000517B0000}"/>
    <cellStyle name="Total 2 14 2" xfId="32390" xr:uid="{00000000-0005-0000-0000-0000527B0000}"/>
    <cellStyle name="Total 2 14 3" xfId="32391" xr:uid="{00000000-0005-0000-0000-0000537B0000}"/>
    <cellStyle name="Total 2 14 4" xfId="32392" xr:uid="{00000000-0005-0000-0000-0000547B0000}"/>
    <cellStyle name="Total 2 14 5" xfId="32393" xr:uid="{00000000-0005-0000-0000-0000557B0000}"/>
    <cellStyle name="Total 2 14 6" xfId="32394" xr:uid="{00000000-0005-0000-0000-0000567B0000}"/>
    <cellStyle name="Total 2 14 7" xfId="32395" xr:uid="{00000000-0005-0000-0000-0000577B0000}"/>
    <cellStyle name="Total 2 14 8" xfId="32396" xr:uid="{00000000-0005-0000-0000-0000587B0000}"/>
    <cellStyle name="Total 2 14 9" xfId="32397" xr:uid="{00000000-0005-0000-0000-0000597B0000}"/>
    <cellStyle name="Total 2 15" xfId="32398" xr:uid="{00000000-0005-0000-0000-00005A7B0000}"/>
    <cellStyle name="Total 2 15 2" xfId="32399" xr:uid="{00000000-0005-0000-0000-00005B7B0000}"/>
    <cellStyle name="Total 2 15 3" xfId="32400" xr:uid="{00000000-0005-0000-0000-00005C7B0000}"/>
    <cellStyle name="Total 2 16" xfId="32401" xr:uid="{00000000-0005-0000-0000-00005D7B0000}"/>
    <cellStyle name="Total 2 17" xfId="32402" xr:uid="{00000000-0005-0000-0000-00005E7B0000}"/>
    <cellStyle name="Total 2 18" xfId="32403" xr:uid="{00000000-0005-0000-0000-00005F7B0000}"/>
    <cellStyle name="Total 2 19" xfId="32404" xr:uid="{00000000-0005-0000-0000-0000607B0000}"/>
    <cellStyle name="Total 2 2" xfId="32405" xr:uid="{00000000-0005-0000-0000-0000617B0000}"/>
    <cellStyle name="Total 2 2 10" xfId="32406" xr:uid="{00000000-0005-0000-0000-0000627B0000}"/>
    <cellStyle name="Total 2 2 11" xfId="32407" xr:uid="{00000000-0005-0000-0000-0000637B0000}"/>
    <cellStyle name="Total 2 2 12" xfId="32408" xr:uid="{00000000-0005-0000-0000-0000647B0000}"/>
    <cellStyle name="Total 2 2 13" xfId="32409" xr:uid="{00000000-0005-0000-0000-0000657B0000}"/>
    <cellStyle name="Total 2 2 14" xfId="32410" xr:uid="{00000000-0005-0000-0000-0000667B0000}"/>
    <cellStyle name="Total 2 2 15" xfId="32411" xr:uid="{00000000-0005-0000-0000-0000677B0000}"/>
    <cellStyle name="Total 2 2 16" xfId="32412" xr:uid="{00000000-0005-0000-0000-0000687B0000}"/>
    <cellStyle name="Total 2 2 17" xfId="32413" xr:uid="{00000000-0005-0000-0000-0000697B0000}"/>
    <cellStyle name="Total 2 2 18" xfId="32414" xr:uid="{00000000-0005-0000-0000-00006A7B0000}"/>
    <cellStyle name="Total 2 2 19" xfId="32415" xr:uid="{00000000-0005-0000-0000-00006B7B0000}"/>
    <cellStyle name="Total 2 2 2" xfId="32416" xr:uid="{00000000-0005-0000-0000-00006C7B0000}"/>
    <cellStyle name="Total 2 2 2 10" xfId="32417" xr:uid="{00000000-0005-0000-0000-00006D7B0000}"/>
    <cellStyle name="Total 2 2 2 11" xfId="32418" xr:uid="{00000000-0005-0000-0000-00006E7B0000}"/>
    <cellStyle name="Total 2 2 2 12" xfId="32419" xr:uid="{00000000-0005-0000-0000-00006F7B0000}"/>
    <cellStyle name="Total 2 2 2 13" xfId="32420" xr:uid="{00000000-0005-0000-0000-0000707B0000}"/>
    <cellStyle name="Total 2 2 2 14" xfId="32421" xr:uid="{00000000-0005-0000-0000-0000717B0000}"/>
    <cellStyle name="Total 2 2 2 15" xfId="32422" xr:uid="{00000000-0005-0000-0000-0000727B0000}"/>
    <cellStyle name="Total 2 2 2 16" xfId="32423" xr:uid="{00000000-0005-0000-0000-0000737B0000}"/>
    <cellStyle name="Total 2 2 2 17" xfId="32424" xr:uid="{00000000-0005-0000-0000-0000747B0000}"/>
    <cellStyle name="Total 2 2 2 18" xfId="32425" xr:uid="{00000000-0005-0000-0000-0000757B0000}"/>
    <cellStyle name="Total 2 2 2 19" xfId="32426" xr:uid="{00000000-0005-0000-0000-0000767B0000}"/>
    <cellStyle name="Total 2 2 2 2" xfId="32427" xr:uid="{00000000-0005-0000-0000-0000777B0000}"/>
    <cellStyle name="Total 2 2 2 2 10" xfId="32428" xr:uid="{00000000-0005-0000-0000-0000787B0000}"/>
    <cellStyle name="Total 2 2 2 2 11" xfId="32429" xr:uid="{00000000-0005-0000-0000-0000797B0000}"/>
    <cellStyle name="Total 2 2 2 2 12" xfId="32430" xr:uid="{00000000-0005-0000-0000-00007A7B0000}"/>
    <cellStyle name="Total 2 2 2 2 13" xfId="32431" xr:uid="{00000000-0005-0000-0000-00007B7B0000}"/>
    <cellStyle name="Total 2 2 2 2 14" xfId="32432" xr:uid="{00000000-0005-0000-0000-00007C7B0000}"/>
    <cellStyle name="Total 2 2 2 2 15" xfId="32433" xr:uid="{00000000-0005-0000-0000-00007D7B0000}"/>
    <cellStyle name="Total 2 2 2 2 16" xfId="32434" xr:uid="{00000000-0005-0000-0000-00007E7B0000}"/>
    <cellStyle name="Total 2 2 2 2 2" xfId="32435" xr:uid="{00000000-0005-0000-0000-00007F7B0000}"/>
    <cellStyle name="Total 2 2 2 2 3" xfId="32436" xr:uid="{00000000-0005-0000-0000-0000807B0000}"/>
    <cellStyle name="Total 2 2 2 2 4" xfId="32437" xr:uid="{00000000-0005-0000-0000-0000817B0000}"/>
    <cellStyle name="Total 2 2 2 2 5" xfId="32438" xr:uid="{00000000-0005-0000-0000-0000827B0000}"/>
    <cellStyle name="Total 2 2 2 2 6" xfId="32439" xr:uid="{00000000-0005-0000-0000-0000837B0000}"/>
    <cellStyle name="Total 2 2 2 2 7" xfId="32440" xr:uid="{00000000-0005-0000-0000-0000847B0000}"/>
    <cellStyle name="Total 2 2 2 2 8" xfId="32441" xr:uid="{00000000-0005-0000-0000-0000857B0000}"/>
    <cellStyle name="Total 2 2 2 2 9" xfId="32442" xr:uid="{00000000-0005-0000-0000-0000867B0000}"/>
    <cellStyle name="Total 2 2 2 3" xfId="32443" xr:uid="{00000000-0005-0000-0000-0000877B0000}"/>
    <cellStyle name="Total 2 2 2 3 10" xfId="32444" xr:uid="{00000000-0005-0000-0000-0000887B0000}"/>
    <cellStyle name="Total 2 2 2 3 11" xfId="32445" xr:uid="{00000000-0005-0000-0000-0000897B0000}"/>
    <cellStyle name="Total 2 2 2 3 12" xfId="32446" xr:uid="{00000000-0005-0000-0000-00008A7B0000}"/>
    <cellStyle name="Total 2 2 2 3 13" xfId="32447" xr:uid="{00000000-0005-0000-0000-00008B7B0000}"/>
    <cellStyle name="Total 2 2 2 3 14" xfId="32448" xr:uid="{00000000-0005-0000-0000-00008C7B0000}"/>
    <cellStyle name="Total 2 2 2 3 15" xfId="32449" xr:uid="{00000000-0005-0000-0000-00008D7B0000}"/>
    <cellStyle name="Total 2 2 2 3 16" xfId="32450" xr:uid="{00000000-0005-0000-0000-00008E7B0000}"/>
    <cellStyle name="Total 2 2 2 3 2" xfId="32451" xr:uid="{00000000-0005-0000-0000-00008F7B0000}"/>
    <cellStyle name="Total 2 2 2 3 3" xfId="32452" xr:uid="{00000000-0005-0000-0000-0000907B0000}"/>
    <cellStyle name="Total 2 2 2 3 4" xfId="32453" xr:uid="{00000000-0005-0000-0000-0000917B0000}"/>
    <cellStyle name="Total 2 2 2 3 5" xfId="32454" xr:uid="{00000000-0005-0000-0000-0000927B0000}"/>
    <cellStyle name="Total 2 2 2 3 6" xfId="32455" xr:uid="{00000000-0005-0000-0000-0000937B0000}"/>
    <cellStyle name="Total 2 2 2 3 7" xfId="32456" xr:uid="{00000000-0005-0000-0000-0000947B0000}"/>
    <cellStyle name="Total 2 2 2 3 8" xfId="32457" xr:uid="{00000000-0005-0000-0000-0000957B0000}"/>
    <cellStyle name="Total 2 2 2 3 9" xfId="32458" xr:uid="{00000000-0005-0000-0000-0000967B0000}"/>
    <cellStyle name="Total 2 2 2 4" xfId="32459" xr:uid="{00000000-0005-0000-0000-0000977B0000}"/>
    <cellStyle name="Total 2 2 2 4 10" xfId="32460" xr:uid="{00000000-0005-0000-0000-0000987B0000}"/>
    <cellStyle name="Total 2 2 2 4 11" xfId="32461" xr:uid="{00000000-0005-0000-0000-0000997B0000}"/>
    <cellStyle name="Total 2 2 2 4 12" xfId="32462" xr:uid="{00000000-0005-0000-0000-00009A7B0000}"/>
    <cellStyle name="Total 2 2 2 4 13" xfId="32463" xr:uid="{00000000-0005-0000-0000-00009B7B0000}"/>
    <cellStyle name="Total 2 2 2 4 14" xfId="32464" xr:uid="{00000000-0005-0000-0000-00009C7B0000}"/>
    <cellStyle name="Total 2 2 2 4 15" xfId="32465" xr:uid="{00000000-0005-0000-0000-00009D7B0000}"/>
    <cellStyle name="Total 2 2 2 4 16" xfId="32466" xr:uid="{00000000-0005-0000-0000-00009E7B0000}"/>
    <cellStyle name="Total 2 2 2 4 2" xfId="32467" xr:uid="{00000000-0005-0000-0000-00009F7B0000}"/>
    <cellStyle name="Total 2 2 2 4 3" xfId="32468" xr:uid="{00000000-0005-0000-0000-0000A07B0000}"/>
    <cellStyle name="Total 2 2 2 4 4" xfId="32469" xr:uid="{00000000-0005-0000-0000-0000A17B0000}"/>
    <cellStyle name="Total 2 2 2 4 5" xfId="32470" xr:uid="{00000000-0005-0000-0000-0000A27B0000}"/>
    <cellStyle name="Total 2 2 2 4 6" xfId="32471" xr:uid="{00000000-0005-0000-0000-0000A37B0000}"/>
    <cellStyle name="Total 2 2 2 4 7" xfId="32472" xr:uid="{00000000-0005-0000-0000-0000A47B0000}"/>
    <cellStyle name="Total 2 2 2 4 8" xfId="32473" xr:uid="{00000000-0005-0000-0000-0000A57B0000}"/>
    <cellStyle name="Total 2 2 2 4 9" xfId="32474" xr:uid="{00000000-0005-0000-0000-0000A67B0000}"/>
    <cellStyle name="Total 2 2 2 5" xfId="32475" xr:uid="{00000000-0005-0000-0000-0000A77B0000}"/>
    <cellStyle name="Total 2 2 2 6" xfId="32476" xr:uid="{00000000-0005-0000-0000-0000A87B0000}"/>
    <cellStyle name="Total 2 2 2 7" xfId="32477" xr:uid="{00000000-0005-0000-0000-0000A97B0000}"/>
    <cellStyle name="Total 2 2 2 8" xfId="32478" xr:uid="{00000000-0005-0000-0000-0000AA7B0000}"/>
    <cellStyle name="Total 2 2 2 9" xfId="32479" xr:uid="{00000000-0005-0000-0000-0000AB7B0000}"/>
    <cellStyle name="Total 2 2 20" xfId="32480" xr:uid="{00000000-0005-0000-0000-0000AC7B0000}"/>
    <cellStyle name="Total 2 2 3" xfId="32481" xr:uid="{00000000-0005-0000-0000-0000AD7B0000}"/>
    <cellStyle name="Total 2 2 3 10" xfId="32482" xr:uid="{00000000-0005-0000-0000-0000AE7B0000}"/>
    <cellStyle name="Total 2 2 3 11" xfId="32483" xr:uid="{00000000-0005-0000-0000-0000AF7B0000}"/>
    <cellStyle name="Total 2 2 3 12" xfId="32484" xr:uid="{00000000-0005-0000-0000-0000B07B0000}"/>
    <cellStyle name="Total 2 2 3 13" xfId="32485" xr:uid="{00000000-0005-0000-0000-0000B17B0000}"/>
    <cellStyle name="Total 2 2 3 14" xfId="32486" xr:uid="{00000000-0005-0000-0000-0000B27B0000}"/>
    <cellStyle name="Total 2 2 3 15" xfId="32487" xr:uid="{00000000-0005-0000-0000-0000B37B0000}"/>
    <cellStyle name="Total 2 2 3 16" xfId="32488" xr:uid="{00000000-0005-0000-0000-0000B47B0000}"/>
    <cellStyle name="Total 2 2 3 2" xfId="32489" xr:uid="{00000000-0005-0000-0000-0000B57B0000}"/>
    <cellStyle name="Total 2 2 3 3" xfId="32490" xr:uid="{00000000-0005-0000-0000-0000B67B0000}"/>
    <cellStyle name="Total 2 2 3 4" xfId="32491" xr:uid="{00000000-0005-0000-0000-0000B77B0000}"/>
    <cellStyle name="Total 2 2 3 5" xfId="32492" xr:uid="{00000000-0005-0000-0000-0000B87B0000}"/>
    <cellStyle name="Total 2 2 3 6" xfId="32493" xr:uid="{00000000-0005-0000-0000-0000B97B0000}"/>
    <cellStyle name="Total 2 2 3 7" xfId="32494" xr:uid="{00000000-0005-0000-0000-0000BA7B0000}"/>
    <cellStyle name="Total 2 2 3 8" xfId="32495" xr:uid="{00000000-0005-0000-0000-0000BB7B0000}"/>
    <cellStyle name="Total 2 2 3 9" xfId="32496" xr:uid="{00000000-0005-0000-0000-0000BC7B0000}"/>
    <cellStyle name="Total 2 2 4" xfId="32497" xr:uid="{00000000-0005-0000-0000-0000BD7B0000}"/>
    <cellStyle name="Total 2 2 4 10" xfId="32498" xr:uid="{00000000-0005-0000-0000-0000BE7B0000}"/>
    <cellStyle name="Total 2 2 4 11" xfId="32499" xr:uid="{00000000-0005-0000-0000-0000BF7B0000}"/>
    <cellStyle name="Total 2 2 4 12" xfId="32500" xr:uid="{00000000-0005-0000-0000-0000C07B0000}"/>
    <cellStyle name="Total 2 2 4 13" xfId="32501" xr:uid="{00000000-0005-0000-0000-0000C17B0000}"/>
    <cellStyle name="Total 2 2 4 14" xfId="32502" xr:uid="{00000000-0005-0000-0000-0000C27B0000}"/>
    <cellStyle name="Total 2 2 4 15" xfId="32503" xr:uid="{00000000-0005-0000-0000-0000C37B0000}"/>
    <cellStyle name="Total 2 2 4 16" xfId="32504" xr:uid="{00000000-0005-0000-0000-0000C47B0000}"/>
    <cellStyle name="Total 2 2 4 2" xfId="32505" xr:uid="{00000000-0005-0000-0000-0000C57B0000}"/>
    <cellStyle name="Total 2 2 4 3" xfId="32506" xr:uid="{00000000-0005-0000-0000-0000C67B0000}"/>
    <cellStyle name="Total 2 2 4 4" xfId="32507" xr:uid="{00000000-0005-0000-0000-0000C77B0000}"/>
    <cellStyle name="Total 2 2 4 5" xfId="32508" xr:uid="{00000000-0005-0000-0000-0000C87B0000}"/>
    <cellStyle name="Total 2 2 4 6" xfId="32509" xr:uid="{00000000-0005-0000-0000-0000C97B0000}"/>
    <cellStyle name="Total 2 2 4 7" xfId="32510" xr:uid="{00000000-0005-0000-0000-0000CA7B0000}"/>
    <cellStyle name="Total 2 2 4 8" xfId="32511" xr:uid="{00000000-0005-0000-0000-0000CB7B0000}"/>
    <cellStyle name="Total 2 2 4 9" xfId="32512" xr:uid="{00000000-0005-0000-0000-0000CC7B0000}"/>
    <cellStyle name="Total 2 2 5" xfId="32513" xr:uid="{00000000-0005-0000-0000-0000CD7B0000}"/>
    <cellStyle name="Total 2 2 5 10" xfId="32514" xr:uid="{00000000-0005-0000-0000-0000CE7B0000}"/>
    <cellStyle name="Total 2 2 5 11" xfId="32515" xr:uid="{00000000-0005-0000-0000-0000CF7B0000}"/>
    <cellStyle name="Total 2 2 5 12" xfId="32516" xr:uid="{00000000-0005-0000-0000-0000D07B0000}"/>
    <cellStyle name="Total 2 2 5 13" xfId="32517" xr:uid="{00000000-0005-0000-0000-0000D17B0000}"/>
    <cellStyle name="Total 2 2 5 14" xfId="32518" xr:uid="{00000000-0005-0000-0000-0000D27B0000}"/>
    <cellStyle name="Total 2 2 5 15" xfId="32519" xr:uid="{00000000-0005-0000-0000-0000D37B0000}"/>
    <cellStyle name="Total 2 2 5 16" xfId="32520" xr:uid="{00000000-0005-0000-0000-0000D47B0000}"/>
    <cellStyle name="Total 2 2 5 2" xfId="32521" xr:uid="{00000000-0005-0000-0000-0000D57B0000}"/>
    <cellStyle name="Total 2 2 5 3" xfId="32522" xr:uid="{00000000-0005-0000-0000-0000D67B0000}"/>
    <cellStyle name="Total 2 2 5 4" xfId="32523" xr:uid="{00000000-0005-0000-0000-0000D77B0000}"/>
    <cellStyle name="Total 2 2 5 5" xfId="32524" xr:uid="{00000000-0005-0000-0000-0000D87B0000}"/>
    <cellStyle name="Total 2 2 5 6" xfId="32525" xr:uid="{00000000-0005-0000-0000-0000D97B0000}"/>
    <cellStyle name="Total 2 2 5 7" xfId="32526" xr:uid="{00000000-0005-0000-0000-0000DA7B0000}"/>
    <cellStyle name="Total 2 2 5 8" xfId="32527" xr:uid="{00000000-0005-0000-0000-0000DB7B0000}"/>
    <cellStyle name="Total 2 2 5 9" xfId="32528" xr:uid="{00000000-0005-0000-0000-0000DC7B0000}"/>
    <cellStyle name="Total 2 2 6" xfId="32529" xr:uid="{00000000-0005-0000-0000-0000DD7B0000}"/>
    <cellStyle name="Total 2 2 7" xfId="32530" xr:uid="{00000000-0005-0000-0000-0000DE7B0000}"/>
    <cellStyle name="Total 2 2 8" xfId="32531" xr:uid="{00000000-0005-0000-0000-0000DF7B0000}"/>
    <cellStyle name="Total 2 2 9" xfId="32532" xr:uid="{00000000-0005-0000-0000-0000E07B0000}"/>
    <cellStyle name="Total 2 2_CORRECTED COPY OF rA 5" xfId="32533" xr:uid="{00000000-0005-0000-0000-0000E17B0000}"/>
    <cellStyle name="Total 2 20" xfId="32534" xr:uid="{00000000-0005-0000-0000-0000E27B0000}"/>
    <cellStyle name="Total 2 21" xfId="32535" xr:uid="{00000000-0005-0000-0000-0000E37B0000}"/>
    <cellStyle name="Total 2 22" xfId="32536" xr:uid="{00000000-0005-0000-0000-0000E47B0000}"/>
    <cellStyle name="Total 2 23" xfId="32537" xr:uid="{00000000-0005-0000-0000-0000E57B0000}"/>
    <cellStyle name="Total 2 24" xfId="32538" xr:uid="{00000000-0005-0000-0000-0000E67B0000}"/>
    <cellStyle name="Total 2 25" xfId="32539" xr:uid="{00000000-0005-0000-0000-0000E77B0000}"/>
    <cellStyle name="Total 2 26" xfId="32540" xr:uid="{00000000-0005-0000-0000-0000E87B0000}"/>
    <cellStyle name="Total 2 27" xfId="32541" xr:uid="{00000000-0005-0000-0000-0000E97B0000}"/>
    <cellStyle name="Total 2 28" xfId="32542" xr:uid="{00000000-0005-0000-0000-0000EA7B0000}"/>
    <cellStyle name="Total 2 29" xfId="32543" xr:uid="{00000000-0005-0000-0000-0000EB7B0000}"/>
    <cellStyle name="Total 2 3" xfId="32544" xr:uid="{00000000-0005-0000-0000-0000EC7B0000}"/>
    <cellStyle name="Total 2 3 10" xfId="32545" xr:uid="{00000000-0005-0000-0000-0000ED7B0000}"/>
    <cellStyle name="Total 2 3 11" xfId="32546" xr:uid="{00000000-0005-0000-0000-0000EE7B0000}"/>
    <cellStyle name="Total 2 3 12" xfId="32547" xr:uid="{00000000-0005-0000-0000-0000EF7B0000}"/>
    <cellStyle name="Total 2 3 13" xfId="32548" xr:uid="{00000000-0005-0000-0000-0000F07B0000}"/>
    <cellStyle name="Total 2 3 14" xfId="32549" xr:uid="{00000000-0005-0000-0000-0000F17B0000}"/>
    <cellStyle name="Total 2 3 15" xfId="32550" xr:uid="{00000000-0005-0000-0000-0000F27B0000}"/>
    <cellStyle name="Total 2 3 16" xfId="32551" xr:uid="{00000000-0005-0000-0000-0000F37B0000}"/>
    <cellStyle name="Total 2 3 17" xfId="32552" xr:uid="{00000000-0005-0000-0000-0000F47B0000}"/>
    <cellStyle name="Total 2 3 18" xfId="32553" xr:uid="{00000000-0005-0000-0000-0000F57B0000}"/>
    <cellStyle name="Total 2 3 19" xfId="32554" xr:uid="{00000000-0005-0000-0000-0000F67B0000}"/>
    <cellStyle name="Total 2 3 2" xfId="32555" xr:uid="{00000000-0005-0000-0000-0000F77B0000}"/>
    <cellStyle name="Total 2 3 2 10" xfId="32556" xr:uid="{00000000-0005-0000-0000-0000F87B0000}"/>
    <cellStyle name="Total 2 3 2 11" xfId="32557" xr:uid="{00000000-0005-0000-0000-0000F97B0000}"/>
    <cellStyle name="Total 2 3 2 12" xfId="32558" xr:uid="{00000000-0005-0000-0000-0000FA7B0000}"/>
    <cellStyle name="Total 2 3 2 13" xfId="32559" xr:uid="{00000000-0005-0000-0000-0000FB7B0000}"/>
    <cellStyle name="Total 2 3 2 14" xfId="32560" xr:uid="{00000000-0005-0000-0000-0000FC7B0000}"/>
    <cellStyle name="Total 2 3 2 15" xfId="32561" xr:uid="{00000000-0005-0000-0000-0000FD7B0000}"/>
    <cellStyle name="Total 2 3 2 16" xfId="32562" xr:uid="{00000000-0005-0000-0000-0000FE7B0000}"/>
    <cellStyle name="Total 2 3 2 17" xfId="32563" xr:uid="{00000000-0005-0000-0000-0000FF7B0000}"/>
    <cellStyle name="Total 2 3 2 18" xfId="32564" xr:uid="{00000000-0005-0000-0000-0000007C0000}"/>
    <cellStyle name="Total 2 3 2 19" xfId="32565" xr:uid="{00000000-0005-0000-0000-0000017C0000}"/>
    <cellStyle name="Total 2 3 2 2" xfId="32566" xr:uid="{00000000-0005-0000-0000-0000027C0000}"/>
    <cellStyle name="Total 2 3 2 2 10" xfId="32567" xr:uid="{00000000-0005-0000-0000-0000037C0000}"/>
    <cellStyle name="Total 2 3 2 2 11" xfId="32568" xr:uid="{00000000-0005-0000-0000-0000047C0000}"/>
    <cellStyle name="Total 2 3 2 2 12" xfId="32569" xr:uid="{00000000-0005-0000-0000-0000057C0000}"/>
    <cellStyle name="Total 2 3 2 2 13" xfId="32570" xr:uid="{00000000-0005-0000-0000-0000067C0000}"/>
    <cellStyle name="Total 2 3 2 2 14" xfId="32571" xr:uid="{00000000-0005-0000-0000-0000077C0000}"/>
    <cellStyle name="Total 2 3 2 2 15" xfId="32572" xr:uid="{00000000-0005-0000-0000-0000087C0000}"/>
    <cellStyle name="Total 2 3 2 2 16" xfId="32573" xr:uid="{00000000-0005-0000-0000-0000097C0000}"/>
    <cellStyle name="Total 2 3 2 2 2" xfId="32574" xr:uid="{00000000-0005-0000-0000-00000A7C0000}"/>
    <cellStyle name="Total 2 3 2 2 3" xfId="32575" xr:uid="{00000000-0005-0000-0000-00000B7C0000}"/>
    <cellStyle name="Total 2 3 2 2 4" xfId="32576" xr:uid="{00000000-0005-0000-0000-00000C7C0000}"/>
    <cellStyle name="Total 2 3 2 2 5" xfId="32577" xr:uid="{00000000-0005-0000-0000-00000D7C0000}"/>
    <cellStyle name="Total 2 3 2 2 6" xfId="32578" xr:uid="{00000000-0005-0000-0000-00000E7C0000}"/>
    <cellStyle name="Total 2 3 2 2 7" xfId="32579" xr:uid="{00000000-0005-0000-0000-00000F7C0000}"/>
    <cellStyle name="Total 2 3 2 2 8" xfId="32580" xr:uid="{00000000-0005-0000-0000-0000107C0000}"/>
    <cellStyle name="Total 2 3 2 2 9" xfId="32581" xr:uid="{00000000-0005-0000-0000-0000117C0000}"/>
    <cellStyle name="Total 2 3 2 3" xfId="32582" xr:uid="{00000000-0005-0000-0000-0000127C0000}"/>
    <cellStyle name="Total 2 3 2 3 10" xfId="32583" xr:uid="{00000000-0005-0000-0000-0000137C0000}"/>
    <cellStyle name="Total 2 3 2 3 11" xfId="32584" xr:uid="{00000000-0005-0000-0000-0000147C0000}"/>
    <cellStyle name="Total 2 3 2 3 12" xfId="32585" xr:uid="{00000000-0005-0000-0000-0000157C0000}"/>
    <cellStyle name="Total 2 3 2 3 13" xfId="32586" xr:uid="{00000000-0005-0000-0000-0000167C0000}"/>
    <cellStyle name="Total 2 3 2 3 14" xfId="32587" xr:uid="{00000000-0005-0000-0000-0000177C0000}"/>
    <cellStyle name="Total 2 3 2 3 15" xfId="32588" xr:uid="{00000000-0005-0000-0000-0000187C0000}"/>
    <cellStyle name="Total 2 3 2 3 16" xfId="32589" xr:uid="{00000000-0005-0000-0000-0000197C0000}"/>
    <cellStyle name="Total 2 3 2 3 2" xfId="32590" xr:uid="{00000000-0005-0000-0000-00001A7C0000}"/>
    <cellStyle name="Total 2 3 2 3 3" xfId="32591" xr:uid="{00000000-0005-0000-0000-00001B7C0000}"/>
    <cellStyle name="Total 2 3 2 3 4" xfId="32592" xr:uid="{00000000-0005-0000-0000-00001C7C0000}"/>
    <cellStyle name="Total 2 3 2 3 5" xfId="32593" xr:uid="{00000000-0005-0000-0000-00001D7C0000}"/>
    <cellStyle name="Total 2 3 2 3 6" xfId="32594" xr:uid="{00000000-0005-0000-0000-00001E7C0000}"/>
    <cellStyle name="Total 2 3 2 3 7" xfId="32595" xr:uid="{00000000-0005-0000-0000-00001F7C0000}"/>
    <cellStyle name="Total 2 3 2 3 8" xfId="32596" xr:uid="{00000000-0005-0000-0000-0000207C0000}"/>
    <cellStyle name="Total 2 3 2 3 9" xfId="32597" xr:uid="{00000000-0005-0000-0000-0000217C0000}"/>
    <cellStyle name="Total 2 3 2 4" xfId="32598" xr:uid="{00000000-0005-0000-0000-0000227C0000}"/>
    <cellStyle name="Total 2 3 2 4 10" xfId="32599" xr:uid="{00000000-0005-0000-0000-0000237C0000}"/>
    <cellStyle name="Total 2 3 2 4 11" xfId="32600" xr:uid="{00000000-0005-0000-0000-0000247C0000}"/>
    <cellStyle name="Total 2 3 2 4 12" xfId="32601" xr:uid="{00000000-0005-0000-0000-0000257C0000}"/>
    <cellStyle name="Total 2 3 2 4 13" xfId="32602" xr:uid="{00000000-0005-0000-0000-0000267C0000}"/>
    <cellStyle name="Total 2 3 2 4 14" xfId="32603" xr:uid="{00000000-0005-0000-0000-0000277C0000}"/>
    <cellStyle name="Total 2 3 2 4 15" xfId="32604" xr:uid="{00000000-0005-0000-0000-0000287C0000}"/>
    <cellStyle name="Total 2 3 2 4 16" xfId="32605" xr:uid="{00000000-0005-0000-0000-0000297C0000}"/>
    <cellStyle name="Total 2 3 2 4 2" xfId="32606" xr:uid="{00000000-0005-0000-0000-00002A7C0000}"/>
    <cellStyle name="Total 2 3 2 4 3" xfId="32607" xr:uid="{00000000-0005-0000-0000-00002B7C0000}"/>
    <cellStyle name="Total 2 3 2 4 4" xfId="32608" xr:uid="{00000000-0005-0000-0000-00002C7C0000}"/>
    <cellStyle name="Total 2 3 2 4 5" xfId="32609" xr:uid="{00000000-0005-0000-0000-00002D7C0000}"/>
    <cellStyle name="Total 2 3 2 4 6" xfId="32610" xr:uid="{00000000-0005-0000-0000-00002E7C0000}"/>
    <cellStyle name="Total 2 3 2 4 7" xfId="32611" xr:uid="{00000000-0005-0000-0000-00002F7C0000}"/>
    <cellStyle name="Total 2 3 2 4 8" xfId="32612" xr:uid="{00000000-0005-0000-0000-0000307C0000}"/>
    <cellStyle name="Total 2 3 2 4 9" xfId="32613" xr:uid="{00000000-0005-0000-0000-0000317C0000}"/>
    <cellStyle name="Total 2 3 2 5" xfId="32614" xr:uid="{00000000-0005-0000-0000-0000327C0000}"/>
    <cellStyle name="Total 2 3 2 6" xfId="32615" xr:uid="{00000000-0005-0000-0000-0000337C0000}"/>
    <cellStyle name="Total 2 3 2 7" xfId="32616" xr:uid="{00000000-0005-0000-0000-0000347C0000}"/>
    <cellStyle name="Total 2 3 2 8" xfId="32617" xr:uid="{00000000-0005-0000-0000-0000357C0000}"/>
    <cellStyle name="Total 2 3 2 9" xfId="32618" xr:uid="{00000000-0005-0000-0000-0000367C0000}"/>
    <cellStyle name="Total 2 3 20" xfId="32619" xr:uid="{00000000-0005-0000-0000-0000377C0000}"/>
    <cellStyle name="Total 2 3 3" xfId="32620" xr:uid="{00000000-0005-0000-0000-0000387C0000}"/>
    <cellStyle name="Total 2 3 3 10" xfId="32621" xr:uid="{00000000-0005-0000-0000-0000397C0000}"/>
    <cellStyle name="Total 2 3 3 11" xfId="32622" xr:uid="{00000000-0005-0000-0000-00003A7C0000}"/>
    <cellStyle name="Total 2 3 3 12" xfId="32623" xr:uid="{00000000-0005-0000-0000-00003B7C0000}"/>
    <cellStyle name="Total 2 3 3 13" xfId="32624" xr:uid="{00000000-0005-0000-0000-00003C7C0000}"/>
    <cellStyle name="Total 2 3 3 14" xfId="32625" xr:uid="{00000000-0005-0000-0000-00003D7C0000}"/>
    <cellStyle name="Total 2 3 3 15" xfId="32626" xr:uid="{00000000-0005-0000-0000-00003E7C0000}"/>
    <cellStyle name="Total 2 3 3 16" xfId="32627" xr:uid="{00000000-0005-0000-0000-00003F7C0000}"/>
    <cellStyle name="Total 2 3 3 2" xfId="32628" xr:uid="{00000000-0005-0000-0000-0000407C0000}"/>
    <cellStyle name="Total 2 3 3 3" xfId="32629" xr:uid="{00000000-0005-0000-0000-0000417C0000}"/>
    <cellStyle name="Total 2 3 3 4" xfId="32630" xr:uid="{00000000-0005-0000-0000-0000427C0000}"/>
    <cellStyle name="Total 2 3 3 5" xfId="32631" xr:uid="{00000000-0005-0000-0000-0000437C0000}"/>
    <cellStyle name="Total 2 3 3 6" xfId="32632" xr:uid="{00000000-0005-0000-0000-0000447C0000}"/>
    <cellStyle name="Total 2 3 3 7" xfId="32633" xr:uid="{00000000-0005-0000-0000-0000457C0000}"/>
    <cellStyle name="Total 2 3 3 8" xfId="32634" xr:uid="{00000000-0005-0000-0000-0000467C0000}"/>
    <cellStyle name="Total 2 3 3 9" xfId="32635" xr:uid="{00000000-0005-0000-0000-0000477C0000}"/>
    <cellStyle name="Total 2 3 4" xfId="32636" xr:uid="{00000000-0005-0000-0000-0000487C0000}"/>
    <cellStyle name="Total 2 3 4 10" xfId="32637" xr:uid="{00000000-0005-0000-0000-0000497C0000}"/>
    <cellStyle name="Total 2 3 4 11" xfId="32638" xr:uid="{00000000-0005-0000-0000-00004A7C0000}"/>
    <cellStyle name="Total 2 3 4 12" xfId="32639" xr:uid="{00000000-0005-0000-0000-00004B7C0000}"/>
    <cellStyle name="Total 2 3 4 13" xfId="32640" xr:uid="{00000000-0005-0000-0000-00004C7C0000}"/>
    <cellStyle name="Total 2 3 4 14" xfId="32641" xr:uid="{00000000-0005-0000-0000-00004D7C0000}"/>
    <cellStyle name="Total 2 3 4 15" xfId="32642" xr:uid="{00000000-0005-0000-0000-00004E7C0000}"/>
    <cellStyle name="Total 2 3 4 16" xfId="32643" xr:uid="{00000000-0005-0000-0000-00004F7C0000}"/>
    <cellStyle name="Total 2 3 4 2" xfId="32644" xr:uid="{00000000-0005-0000-0000-0000507C0000}"/>
    <cellStyle name="Total 2 3 4 3" xfId="32645" xr:uid="{00000000-0005-0000-0000-0000517C0000}"/>
    <cellStyle name="Total 2 3 4 4" xfId="32646" xr:uid="{00000000-0005-0000-0000-0000527C0000}"/>
    <cellStyle name="Total 2 3 4 5" xfId="32647" xr:uid="{00000000-0005-0000-0000-0000537C0000}"/>
    <cellStyle name="Total 2 3 4 6" xfId="32648" xr:uid="{00000000-0005-0000-0000-0000547C0000}"/>
    <cellStyle name="Total 2 3 4 7" xfId="32649" xr:uid="{00000000-0005-0000-0000-0000557C0000}"/>
    <cellStyle name="Total 2 3 4 8" xfId="32650" xr:uid="{00000000-0005-0000-0000-0000567C0000}"/>
    <cellStyle name="Total 2 3 4 9" xfId="32651" xr:uid="{00000000-0005-0000-0000-0000577C0000}"/>
    <cellStyle name="Total 2 3 5" xfId="32652" xr:uid="{00000000-0005-0000-0000-0000587C0000}"/>
    <cellStyle name="Total 2 3 5 10" xfId="32653" xr:uid="{00000000-0005-0000-0000-0000597C0000}"/>
    <cellStyle name="Total 2 3 5 11" xfId="32654" xr:uid="{00000000-0005-0000-0000-00005A7C0000}"/>
    <cellStyle name="Total 2 3 5 12" xfId="32655" xr:uid="{00000000-0005-0000-0000-00005B7C0000}"/>
    <cellStyle name="Total 2 3 5 13" xfId="32656" xr:uid="{00000000-0005-0000-0000-00005C7C0000}"/>
    <cellStyle name="Total 2 3 5 14" xfId="32657" xr:uid="{00000000-0005-0000-0000-00005D7C0000}"/>
    <cellStyle name="Total 2 3 5 15" xfId="32658" xr:uid="{00000000-0005-0000-0000-00005E7C0000}"/>
    <cellStyle name="Total 2 3 5 16" xfId="32659" xr:uid="{00000000-0005-0000-0000-00005F7C0000}"/>
    <cellStyle name="Total 2 3 5 2" xfId="32660" xr:uid="{00000000-0005-0000-0000-0000607C0000}"/>
    <cellStyle name="Total 2 3 5 3" xfId="32661" xr:uid="{00000000-0005-0000-0000-0000617C0000}"/>
    <cellStyle name="Total 2 3 5 4" xfId="32662" xr:uid="{00000000-0005-0000-0000-0000627C0000}"/>
    <cellStyle name="Total 2 3 5 5" xfId="32663" xr:uid="{00000000-0005-0000-0000-0000637C0000}"/>
    <cellStyle name="Total 2 3 5 6" xfId="32664" xr:uid="{00000000-0005-0000-0000-0000647C0000}"/>
    <cellStyle name="Total 2 3 5 7" xfId="32665" xr:uid="{00000000-0005-0000-0000-0000657C0000}"/>
    <cellStyle name="Total 2 3 5 8" xfId="32666" xr:uid="{00000000-0005-0000-0000-0000667C0000}"/>
    <cellStyle name="Total 2 3 5 9" xfId="32667" xr:uid="{00000000-0005-0000-0000-0000677C0000}"/>
    <cellStyle name="Total 2 3 6" xfId="32668" xr:uid="{00000000-0005-0000-0000-0000687C0000}"/>
    <cellStyle name="Total 2 3 7" xfId="32669" xr:uid="{00000000-0005-0000-0000-0000697C0000}"/>
    <cellStyle name="Total 2 3 8" xfId="32670" xr:uid="{00000000-0005-0000-0000-00006A7C0000}"/>
    <cellStyle name="Total 2 3 9" xfId="32671" xr:uid="{00000000-0005-0000-0000-00006B7C0000}"/>
    <cellStyle name="Total 2 3_CORRECTED COPY OF rA 5" xfId="32672" xr:uid="{00000000-0005-0000-0000-00006C7C0000}"/>
    <cellStyle name="Total 2 30" xfId="32673" xr:uid="{00000000-0005-0000-0000-00006D7C0000}"/>
    <cellStyle name="Total 2 31" xfId="32674" xr:uid="{00000000-0005-0000-0000-00006E7C0000}"/>
    <cellStyle name="Total 2 32" xfId="32156" xr:uid="{00000000-0005-0000-0000-00006F7C0000}"/>
    <cellStyle name="Total 2 33" xfId="37264" xr:uid="{00000000-0005-0000-0000-0000707C0000}"/>
    <cellStyle name="Total 2 4" xfId="32675" xr:uid="{00000000-0005-0000-0000-0000717C0000}"/>
    <cellStyle name="Total 2 4 10" xfId="32676" xr:uid="{00000000-0005-0000-0000-0000727C0000}"/>
    <cellStyle name="Total 2 4 11" xfId="32677" xr:uid="{00000000-0005-0000-0000-0000737C0000}"/>
    <cellStyle name="Total 2 4 12" xfId="32678" xr:uid="{00000000-0005-0000-0000-0000747C0000}"/>
    <cellStyle name="Total 2 4 13" xfId="32679" xr:uid="{00000000-0005-0000-0000-0000757C0000}"/>
    <cellStyle name="Total 2 4 14" xfId="32680" xr:uid="{00000000-0005-0000-0000-0000767C0000}"/>
    <cellStyle name="Total 2 4 15" xfId="32681" xr:uid="{00000000-0005-0000-0000-0000777C0000}"/>
    <cellStyle name="Total 2 4 16" xfId="32682" xr:uid="{00000000-0005-0000-0000-0000787C0000}"/>
    <cellStyle name="Total 2 4 17" xfId="32683" xr:uid="{00000000-0005-0000-0000-0000797C0000}"/>
    <cellStyle name="Total 2 4 18" xfId="32684" xr:uid="{00000000-0005-0000-0000-00007A7C0000}"/>
    <cellStyle name="Total 2 4 19" xfId="32685" xr:uid="{00000000-0005-0000-0000-00007B7C0000}"/>
    <cellStyle name="Total 2 4 2" xfId="32686" xr:uid="{00000000-0005-0000-0000-00007C7C0000}"/>
    <cellStyle name="Total 2 4 2 10" xfId="32687" xr:uid="{00000000-0005-0000-0000-00007D7C0000}"/>
    <cellStyle name="Total 2 4 2 11" xfId="32688" xr:uid="{00000000-0005-0000-0000-00007E7C0000}"/>
    <cellStyle name="Total 2 4 2 12" xfId="32689" xr:uid="{00000000-0005-0000-0000-00007F7C0000}"/>
    <cellStyle name="Total 2 4 2 13" xfId="32690" xr:uid="{00000000-0005-0000-0000-0000807C0000}"/>
    <cellStyle name="Total 2 4 2 14" xfId="32691" xr:uid="{00000000-0005-0000-0000-0000817C0000}"/>
    <cellStyle name="Total 2 4 2 15" xfId="32692" xr:uid="{00000000-0005-0000-0000-0000827C0000}"/>
    <cellStyle name="Total 2 4 2 16" xfId="32693" xr:uid="{00000000-0005-0000-0000-0000837C0000}"/>
    <cellStyle name="Total 2 4 2 17" xfId="32694" xr:uid="{00000000-0005-0000-0000-0000847C0000}"/>
    <cellStyle name="Total 2 4 2 18" xfId="32695" xr:uid="{00000000-0005-0000-0000-0000857C0000}"/>
    <cellStyle name="Total 2 4 2 19" xfId="32696" xr:uid="{00000000-0005-0000-0000-0000867C0000}"/>
    <cellStyle name="Total 2 4 2 2" xfId="32697" xr:uid="{00000000-0005-0000-0000-0000877C0000}"/>
    <cellStyle name="Total 2 4 2 2 10" xfId="32698" xr:uid="{00000000-0005-0000-0000-0000887C0000}"/>
    <cellStyle name="Total 2 4 2 2 11" xfId="32699" xr:uid="{00000000-0005-0000-0000-0000897C0000}"/>
    <cellStyle name="Total 2 4 2 2 12" xfId="32700" xr:uid="{00000000-0005-0000-0000-00008A7C0000}"/>
    <cellStyle name="Total 2 4 2 2 13" xfId="32701" xr:uid="{00000000-0005-0000-0000-00008B7C0000}"/>
    <cellStyle name="Total 2 4 2 2 14" xfId="32702" xr:uid="{00000000-0005-0000-0000-00008C7C0000}"/>
    <cellStyle name="Total 2 4 2 2 15" xfId="32703" xr:uid="{00000000-0005-0000-0000-00008D7C0000}"/>
    <cellStyle name="Total 2 4 2 2 16" xfId="32704" xr:uid="{00000000-0005-0000-0000-00008E7C0000}"/>
    <cellStyle name="Total 2 4 2 2 2" xfId="32705" xr:uid="{00000000-0005-0000-0000-00008F7C0000}"/>
    <cellStyle name="Total 2 4 2 2 3" xfId="32706" xr:uid="{00000000-0005-0000-0000-0000907C0000}"/>
    <cellStyle name="Total 2 4 2 2 4" xfId="32707" xr:uid="{00000000-0005-0000-0000-0000917C0000}"/>
    <cellStyle name="Total 2 4 2 2 5" xfId="32708" xr:uid="{00000000-0005-0000-0000-0000927C0000}"/>
    <cellStyle name="Total 2 4 2 2 6" xfId="32709" xr:uid="{00000000-0005-0000-0000-0000937C0000}"/>
    <cellStyle name="Total 2 4 2 2 7" xfId="32710" xr:uid="{00000000-0005-0000-0000-0000947C0000}"/>
    <cellStyle name="Total 2 4 2 2 8" xfId="32711" xr:uid="{00000000-0005-0000-0000-0000957C0000}"/>
    <cellStyle name="Total 2 4 2 2 9" xfId="32712" xr:uid="{00000000-0005-0000-0000-0000967C0000}"/>
    <cellStyle name="Total 2 4 2 3" xfId="32713" xr:uid="{00000000-0005-0000-0000-0000977C0000}"/>
    <cellStyle name="Total 2 4 2 3 10" xfId="32714" xr:uid="{00000000-0005-0000-0000-0000987C0000}"/>
    <cellStyle name="Total 2 4 2 3 11" xfId="32715" xr:uid="{00000000-0005-0000-0000-0000997C0000}"/>
    <cellStyle name="Total 2 4 2 3 12" xfId="32716" xr:uid="{00000000-0005-0000-0000-00009A7C0000}"/>
    <cellStyle name="Total 2 4 2 3 13" xfId="32717" xr:uid="{00000000-0005-0000-0000-00009B7C0000}"/>
    <cellStyle name="Total 2 4 2 3 14" xfId="32718" xr:uid="{00000000-0005-0000-0000-00009C7C0000}"/>
    <cellStyle name="Total 2 4 2 3 15" xfId="32719" xr:uid="{00000000-0005-0000-0000-00009D7C0000}"/>
    <cellStyle name="Total 2 4 2 3 16" xfId="32720" xr:uid="{00000000-0005-0000-0000-00009E7C0000}"/>
    <cellStyle name="Total 2 4 2 3 2" xfId="32721" xr:uid="{00000000-0005-0000-0000-00009F7C0000}"/>
    <cellStyle name="Total 2 4 2 3 3" xfId="32722" xr:uid="{00000000-0005-0000-0000-0000A07C0000}"/>
    <cellStyle name="Total 2 4 2 3 4" xfId="32723" xr:uid="{00000000-0005-0000-0000-0000A17C0000}"/>
    <cellStyle name="Total 2 4 2 3 5" xfId="32724" xr:uid="{00000000-0005-0000-0000-0000A27C0000}"/>
    <cellStyle name="Total 2 4 2 3 6" xfId="32725" xr:uid="{00000000-0005-0000-0000-0000A37C0000}"/>
    <cellStyle name="Total 2 4 2 3 7" xfId="32726" xr:uid="{00000000-0005-0000-0000-0000A47C0000}"/>
    <cellStyle name="Total 2 4 2 3 8" xfId="32727" xr:uid="{00000000-0005-0000-0000-0000A57C0000}"/>
    <cellStyle name="Total 2 4 2 3 9" xfId="32728" xr:uid="{00000000-0005-0000-0000-0000A67C0000}"/>
    <cellStyle name="Total 2 4 2 4" xfId="32729" xr:uid="{00000000-0005-0000-0000-0000A77C0000}"/>
    <cellStyle name="Total 2 4 2 4 10" xfId="32730" xr:uid="{00000000-0005-0000-0000-0000A87C0000}"/>
    <cellStyle name="Total 2 4 2 4 11" xfId="32731" xr:uid="{00000000-0005-0000-0000-0000A97C0000}"/>
    <cellStyle name="Total 2 4 2 4 12" xfId="32732" xr:uid="{00000000-0005-0000-0000-0000AA7C0000}"/>
    <cellStyle name="Total 2 4 2 4 13" xfId="32733" xr:uid="{00000000-0005-0000-0000-0000AB7C0000}"/>
    <cellStyle name="Total 2 4 2 4 14" xfId="32734" xr:uid="{00000000-0005-0000-0000-0000AC7C0000}"/>
    <cellStyle name="Total 2 4 2 4 15" xfId="32735" xr:uid="{00000000-0005-0000-0000-0000AD7C0000}"/>
    <cellStyle name="Total 2 4 2 4 16" xfId="32736" xr:uid="{00000000-0005-0000-0000-0000AE7C0000}"/>
    <cellStyle name="Total 2 4 2 4 2" xfId="32737" xr:uid="{00000000-0005-0000-0000-0000AF7C0000}"/>
    <cellStyle name="Total 2 4 2 4 3" xfId="32738" xr:uid="{00000000-0005-0000-0000-0000B07C0000}"/>
    <cellStyle name="Total 2 4 2 4 4" xfId="32739" xr:uid="{00000000-0005-0000-0000-0000B17C0000}"/>
    <cellStyle name="Total 2 4 2 4 5" xfId="32740" xr:uid="{00000000-0005-0000-0000-0000B27C0000}"/>
    <cellStyle name="Total 2 4 2 4 6" xfId="32741" xr:uid="{00000000-0005-0000-0000-0000B37C0000}"/>
    <cellStyle name="Total 2 4 2 4 7" xfId="32742" xr:uid="{00000000-0005-0000-0000-0000B47C0000}"/>
    <cellStyle name="Total 2 4 2 4 8" xfId="32743" xr:uid="{00000000-0005-0000-0000-0000B57C0000}"/>
    <cellStyle name="Total 2 4 2 4 9" xfId="32744" xr:uid="{00000000-0005-0000-0000-0000B67C0000}"/>
    <cellStyle name="Total 2 4 2 5" xfId="32745" xr:uid="{00000000-0005-0000-0000-0000B77C0000}"/>
    <cellStyle name="Total 2 4 2 6" xfId="32746" xr:uid="{00000000-0005-0000-0000-0000B87C0000}"/>
    <cellStyle name="Total 2 4 2 7" xfId="32747" xr:uid="{00000000-0005-0000-0000-0000B97C0000}"/>
    <cellStyle name="Total 2 4 2 8" xfId="32748" xr:uid="{00000000-0005-0000-0000-0000BA7C0000}"/>
    <cellStyle name="Total 2 4 2 9" xfId="32749" xr:uid="{00000000-0005-0000-0000-0000BB7C0000}"/>
    <cellStyle name="Total 2 4 20" xfId="32750" xr:uid="{00000000-0005-0000-0000-0000BC7C0000}"/>
    <cellStyle name="Total 2 4 3" xfId="32751" xr:uid="{00000000-0005-0000-0000-0000BD7C0000}"/>
    <cellStyle name="Total 2 4 3 10" xfId="32752" xr:uid="{00000000-0005-0000-0000-0000BE7C0000}"/>
    <cellStyle name="Total 2 4 3 11" xfId="32753" xr:uid="{00000000-0005-0000-0000-0000BF7C0000}"/>
    <cellStyle name="Total 2 4 3 12" xfId="32754" xr:uid="{00000000-0005-0000-0000-0000C07C0000}"/>
    <cellStyle name="Total 2 4 3 13" xfId="32755" xr:uid="{00000000-0005-0000-0000-0000C17C0000}"/>
    <cellStyle name="Total 2 4 3 14" xfId="32756" xr:uid="{00000000-0005-0000-0000-0000C27C0000}"/>
    <cellStyle name="Total 2 4 3 15" xfId="32757" xr:uid="{00000000-0005-0000-0000-0000C37C0000}"/>
    <cellStyle name="Total 2 4 3 16" xfId="32758" xr:uid="{00000000-0005-0000-0000-0000C47C0000}"/>
    <cellStyle name="Total 2 4 3 2" xfId="32759" xr:uid="{00000000-0005-0000-0000-0000C57C0000}"/>
    <cellStyle name="Total 2 4 3 3" xfId="32760" xr:uid="{00000000-0005-0000-0000-0000C67C0000}"/>
    <cellStyle name="Total 2 4 3 4" xfId="32761" xr:uid="{00000000-0005-0000-0000-0000C77C0000}"/>
    <cellStyle name="Total 2 4 3 5" xfId="32762" xr:uid="{00000000-0005-0000-0000-0000C87C0000}"/>
    <cellStyle name="Total 2 4 3 6" xfId="32763" xr:uid="{00000000-0005-0000-0000-0000C97C0000}"/>
    <cellStyle name="Total 2 4 3 7" xfId="32764" xr:uid="{00000000-0005-0000-0000-0000CA7C0000}"/>
    <cellStyle name="Total 2 4 3 8" xfId="32765" xr:uid="{00000000-0005-0000-0000-0000CB7C0000}"/>
    <cellStyle name="Total 2 4 3 9" xfId="32766" xr:uid="{00000000-0005-0000-0000-0000CC7C0000}"/>
    <cellStyle name="Total 2 4 4" xfId="32767" xr:uid="{00000000-0005-0000-0000-0000CD7C0000}"/>
    <cellStyle name="Total 2 4 4 10" xfId="32768" xr:uid="{00000000-0005-0000-0000-0000CE7C0000}"/>
    <cellStyle name="Total 2 4 4 11" xfId="32769" xr:uid="{00000000-0005-0000-0000-0000CF7C0000}"/>
    <cellStyle name="Total 2 4 4 12" xfId="32770" xr:uid="{00000000-0005-0000-0000-0000D07C0000}"/>
    <cellStyle name="Total 2 4 4 13" xfId="32771" xr:uid="{00000000-0005-0000-0000-0000D17C0000}"/>
    <cellStyle name="Total 2 4 4 14" xfId="32772" xr:uid="{00000000-0005-0000-0000-0000D27C0000}"/>
    <cellStyle name="Total 2 4 4 15" xfId="32773" xr:uid="{00000000-0005-0000-0000-0000D37C0000}"/>
    <cellStyle name="Total 2 4 4 16" xfId="32774" xr:uid="{00000000-0005-0000-0000-0000D47C0000}"/>
    <cellStyle name="Total 2 4 4 2" xfId="32775" xr:uid="{00000000-0005-0000-0000-0000D57C0000}"/>
    <cellStyle name="Total 2 4 4 3" xfId="32776" xr:uid="{00000000-0005-0000-0000-0000D67C0000}"/>
    <cellStyle name="Total 2 4 4 4" xfId="32777" xr:uid="{00000000-0005-0000-0000-0000D77C0000}"/>
    <cellStyle name="Total 2 4 4 5" xfId="32778" xr:uid="{00000000-0005-0000-0000-0000D87C0000}"/>
    <cellStyle name="Total 2 4 4 6" xfId="32779" xr:uid="{00000000-0005-0000-0000-0000D97C0000}"/>
    <cellStyle name="Total 2 4 4 7" xfId="32780" xr:uid="{00000000-0005-0000-0000-0000DA7C0000}"/>
    <cellStyle name="Total 2 4 4 8" xfId="32781" xr:uid="{00000000-0005-0000-0000-0000DB7C0000}"/>
    <cellStyle name="Total 2 4 4 9" xfId="32782" xr:uid="{00000000-0005-0000-0000-0000DC7C0000}"/>
    <cellStyle name="Total 2 4 5" xfId="32783" xr:uid="{00000000-0005-0000-0000-0000DD7C0000}"/>
    <cellStyle name="Total 2 4 5 10" xfId="32784" xr:uid="{00000000-0005-0000-0000-0000DE7C0000}"/>
    <cellStyle name="Total 2 4 5 11" xfId="32785" xr:uid="{00000000-0005-0000-0000-0000DF7C0000}"/>
    <cellStyle name="Total 2 4 5 12" xfId="32786" xr:uid="{00000000-0005-0000-0000-0000E07C0000}"/>
    <cellStyle name="Total 2 4 5 13" xfId="32787" xr:uid="{00000000-0005-0000-0000-0000E17C0000}"/>
    <cellStyle name="Total 2 4 5 14" xfId="32788" xr:uid="{00000000-0005-0000-0000-0000E27C0000}"/>
    <cellStyle name="Total 2 4 5 15" xfId="32789" xr:uid="{00000000-0005-0000-0000-0000E37C0000}"/>
    <cellStyle name="Total 2 4 5 16" xfId="32790" xr:uid="{00000000-0005-0000-0000-0000E47C0000}"/>
    <cellStyle name="Total 2 4 5 2" xfId="32791" xr:uid="{00000000-0005-0000-0000-0000E57C0000}"/>
    <cellStyle name="Total 2 4 5 3" xfId="32792" xr:uid="{00000000-0005-0000-0000-0000E67C0000}"/>
    <cellStyle name="Total 2 4 5 4" xfId="32793" xr:uid="{00000000-0005-0000-0000-0000E77C0000}"/>
    <cellStyle name="Total 2 4 5 5" xfId="32794" xr:uid="{00000000-0005-0000-0000-0000E87C0000}"/>
    <cellStyle name="Total 2 4 5 6" xfId="32795" xr:uid="{00000000-0005-0000-0000-0000E97C0000}"/>
    <cellStyle name="Total 2 4 5 7" xfId="32796" xr:uid="{00000000-0005-0000-0000-0000EA7C0000}"/>
    <cellStyle name="Total 2 4 5 8" xfId="32797" xr:uid="{00000000-0005-0000-0000-0000EB7C0000}"/>
    <cellStyle name="Total 2 4 5 9" xfId="32798" xr:uid="{00000000-0005-0000-0000-0000EC7C0000}"/>
    <cellStyle name="Total 2 4 6" xfId="32799" xr:uid="{00000000-0005-0000-0000-0000ED7C0000}"/>
    <cellStyle name="Total 2 4 7" xfId="32800" xr:uid="{00000000-0005-0000-0000-0000EE7C0000}"/>
    <cellStyle name="Total 2 4 8" xfId="32801" xr:uid="{00000000-0005-0000-0000-0000EF7C0000}"/>
    <cellStyle name="Total 2 4 9" xfId="32802" xr:uid="{00000000-0005-0000-0000-0000F07C0000}"/>
    <cellStyle name="Total 2 4_CORRECTED COPY OF rA 5" xfId="32803" xr:uid="{00000000-0005-0000-0000-0000F17C0000}"/>
    <cellStyle name="Total 2 5" xfId="32804" xr:uid="{00000000-0005-0000-0000-0000F27C0000}"/>
    <cellStyle name="Total 2 5 10" xfId="32805" xr:uid="{00000000-0005-0000-0000-0000F37C0000}"/>
    <cellStyle name="Total 2 5 11" xfId="32806" xr:uid="{00000000-0005-0000-0000-0000F47C0000}"/>
    <cellStyle name="Total 2 5 12" xfId="32807" xr:uid="{00000000-0005-0000-0000-0000F57C0000}"/>
    <cellStyle name="Total 2 5 13" xfId="32808" xr:uid="{00000000-0005-0000-0000-0000F67C0000}"/>
    <cellStyle name="Total 2 5 14" xfId="32809" xr:uid="{00000000-0005-0000-0000-0000F77C0000}"/>
    <cellStyle name="Total 2 5 15" xfId="32810" xr:uid="{00000000-0005-0000-0000-0000F87C0000}"/>
    <cellStyle name="Total 2 5 16" xfId="32811" xr:uid="{00000000-0005-0000-0000-0000F97C0000}"/>
    <cellStyle name="Total 2 5 17" xfId="32812" xr:uid="{00000000-0005-0000-0000-0000FA7C0000}"/>
    <cellStyle name="Total 2 5 18" xfId="32813" xr:uid="{00000000-0005-0000-0000-0000FB7C0000}"/>
    <cellStyle name="Total 2 5 19" xfId="32814" xr:uid="{00000000-0005-0000-0000-0000FC7C0000}"/>
    <cellStyle name="Total 2 5 2" xfId="32815" xr:uid="{00000000-0005-0000-0000-0000FD7C0000}"/>
    <cellStyle name="Total 2 5 2 10" xfId="32816" xr:uid="{00000000-0005-0000-0000-0000FE7C0000}"/>
    <cellStyle name="Total 2 5 2 11" xfId="32817" xr:uid="{00000000-0005-0000-0000-0000FF7C0000}"/>
    <cellStyle name="Total 2 5 2 12" xfId="32818" xr:uid="{00000000-0005-0000-0000-0000007D0000}"/>
    <cellStyle name="Total 2 5 2 13" xfId="32819" xr:uid="{00000000-0005-0000-0000-0000017D0000}"/>
    <cellStyle name="Total 2 5 2 14" xfId="32820" xr:uid="{00000000-0005-0000-0000-0000027D0000}"/>
    <cellStyle name="Total 2 5 2 15" xfId="32821" xr:uid="{00000000-0005-0000-0000-0000037D0000}"/>
    <cellStyle name="Total 2 5 2 16" xfId="32822" xr:uid="{00000000-0005-0000-0000-0000047D0000}"/>
    <cellStyle name="Total 2 5 2 17" xfId="32823" xr:uid="{00000000-0005-0000-0000-0000057D0000}"/>
    <cellStyle name="Total 2 5 2 18" xfId="32824" xr:uid="{00000000-0005-0000-0000-0000067D0000}"/>
    <cellStyle name="Total 2 5 2 19" xfId="32825" xr:uid="{00000000-0005-0000-0000-0000077D0000}"/>
    <cellStyle name="Total 2 5 2 2" xfId="32826" xr:uid="{00000000-0005-0000-0000-0000087D0000}"/>
    <cellStyle name="Total 2 5 2 2 10" xfId="32827" xr:uid="{00000000-0005-0000-0000-0000097D0000}"/>
    <cellStyle name="Total 2 5 2 2 11" xfId="32828" xr:uid="{00000000-0005-0000-0000-00000A7D0000}"/>
    <cellStyle name="Total 2 5 2 2 12" xfId="32829" xr:uid="{00000000-0005-0000-0000-00000B7D0000}"/>
    <cellStyle name="Total 2 5 2 2 13" xfId="32830" xr:uid="{00000000-0005-0000-0000-00000C7D0000}"/>
    <cellStyle name="Total 2 5 2 2 14" xfId="32831" xr:uid="{00000000-0005-0000-0000-00000D7D0000}"/>
    <cellStyle name="Total 2 5 2 2 15" xfId="32832" xr:uid="{00000000-0005-0000-0000-00000E7D0000}"/>
    <cellStyle name="Total 2 5 2 2 16" xfId="32833" xr:uid="{00000000-0005-0000-0000-00000F7D0000}"/>
    <cellStyle name="Total 2 5 2 2 2" xfId="32834" xr:uid="{00000000-0005-0000-0000-0000107D0000}"/>
    <cellStyle name="Total 2 5 2 2 3" xfId="32835" xr:uid="{00000000-0005-0000-0000-0000117D0000}"/>
    <cellStyle name="Total 2 5 2 2 4" xfId="32836" xr:uid="{00000000-0005-0000-0000-0000127D0000}"/>
    <cellStyle name="Total 2 5 2 2 5" xfId="32837" xr:uid="{00000000-0005-0000-0000-0000137D0000}"/>
    <cellStyle name="Total 2 5 2 2 6" xfId="32838" xr:uid="{00000000-0005-0000-0000-0000147D0000}"/>
    <cellStyle name="Total 2 5 2 2 7" xfId="32839" xr:uid="{00000000-0005-0000-0000-0000157D0000}"/>
    <cellStyle name="Total 2 5 2 2 8" xfId="32840" xr:uid="{00000000-0005-0000-0000-0000167D0000}"/>
    <cellStyle name="Total 2 5 2 2 9" xfId="32841" xr:uid="{00000000-0005-0000-0000-0000177D0000}"/>
    <cellStyle name="Total 2 5 2 3" xfId="32842" xr:uid="{00000000-0005-0000-0000-0000187D0000}"/>
    <cellStyle name="Total 2 5 2 3 10" xfId="32843" xr:uid="{00000000-0005-0000-0000-0000197D0000}"/>
    <cellStyle name="Total 2 5 2 3 11" xfId="32844" xr:uid="{00000000-0005-0000-0000-00001A7D0000}"/>
    <cellStyle name="Total 2 5 2 3 12" xfId="32845" xr:uid="{00000000-0005-0000-0000-00001B7D0000}"/>
    <cellStyle name="Total 2 5 2 3 13" xfId="32846" xr:uid="{00000000-0005-0000-0000-00001C7D0000}"/>
    <cellStyle name="Total 2 5 2 3 14" xfId="32847" xr:uid="{00000000-0005-0000-0000-00001D7D0000}"/>
    <cellStyle name="Total 2 5 2 3 15" xfId="32848" xr:uid="{00000000-0005-0000-0000-00001E7D0000}"/>
    <cellStyle name="Total 2 5 2 3 16" xfId="32849" xr:uid="{00000000-0005-0000-0000-00001F7D0000}"/>
    <cellStyle name="Total 2 5 2 3 2" xfId="32850" xr:uid="{00000000-0005-0000-0000-0000207D0000}"/>
    <cellStyle name="Total 2 5 2 3 3" xfId="32851" xr:uid="{00000000-0005-0000-0000-0000217D0000}"/>
    <cellStyle name="Total 2 5 2 3 4" xfId="32852" xr:uid="{00000000-0005-0000-0000-0000227D0000}"/>
    <cellStyle name="Total 2 5 2 3 5" xfId="32853" xr:uid="{00000000-0005-0000-0000-0000237D0000}"/>
    <cellStyle name="Total 2 5 2 3 6" xfId="32854" xr:uid="{00000000-0005-0000-0000-0000247D0000}"/>
    <cellStyle name="Total 2 5 2 3 7" xfId="32855" xr:uid="{00000000-0005-0000-0000-0000257D0000}"/>
    <cellStyle name="Total 2 5 2 3 8" xfId="32856" xr:uid="{00000000-0005-0000-0000-0000267D0000}"/>
    <cellStyle name="Total 2 5 2 3 9" xfId="32857" xr:uid="{00000000-0005-0000-0000-0000277D0000}"/>
    <cellStyle name="Total 2 5 2 4" xfId="32858" xr:uid="{00000000-0005-0000-0000-0000287D0000}"/>
    <cellStyle name="Total 2 5 2 4 10" xfId="32859" xr:uid="{00000000-0005-0000-0000-0000297D0000}"/>
    <cellStyle name="Total 2 5 2 4 11" xfId="32860" xr:uid="{00000000-0005-0000-0000-00002A7D0000}"/>
    <cellStyle name="Total 2 5 2 4 12" xfId="32861" xr:uid="{00000000-0005-0000-0000-00002B7D0000}"/>
    <cellStyle name="Total 2 5 2 4 13" xfId="32862" xr:uid="{00000000-0005-0000-0000-00002C7D0000}"/>
    <cellStyle name="Total 2 5 2 4 14" xfId="32863" xr:uid="{00000000-0005-0000-0000-00002D7D0000}"/>
    <cellStyle name="Total 2 5 2 4 15" xfId="32864" xr:uid="{00000000-0005-0000-0000-00002E7D0000}"/>
    <cellStyle name="Total 2 5 2 4 16" xfId="32865" xr:uid="{00000000-0005-0000-0000-00002F7D0000}"/>
    <cellStyle name="Total 2 5 2 4 2" xfId="32866" xr:uid="{00000000-0005-0000-0000-0000307D0000}"/>
    <cellStyle name="Total 2 5 2 4 3" xfId="32867" xr:uid="{00000000-0005-0000-0000-0000317D0000}"/>
    <cellStyle name="Total 2 5 2 4 4" xfId="32868" xr:uid="{00000000-0005-0000-0000-0000327D0000}"/>
    <cellStyle name="Total 2 5 2 4 5" xfId="32869" xr:uid="{00000000-0005-0000-0000-0000337D0000}"/>
    <cellStyle name="Total 2 5 2 4 6" xfId="32870" xr:uid="{00000000-0005-0000-0000-0000347D0000}"/>
    <cellStyle name="Total 2 5 2 4 7" xfId="32871" xr:uid="{00000000-0005-0000-0000-0000357D0000}"/>
    <cellStyle name="Total 2 5 2 4 8" xfId="32872" xr:uid="{00000000-0005-0000-0000-0000367D0000}"/>
    <cellStyle name="Total 2 5 2 4 9" xfId="32873" xr:uid="{00000000-0005-0000-0000-0000377D0000}"/>
    <cellStyle name="Total 2 5 2 5" xfId="32874" xr:uid="{00000000-0005-0000-0000-0000387D0000}"/>
    <cellStyle name="Total 2 5 2 6" xfId="32875" xr:uid="{00000000-0005-0000-0000-0000397D0000}"/>
    <cellStyle name="Total 2 5 2 7" xfId="32876" xr:uid="{00000000-0005-0000-0000-00003A7D0000}"/>
    <cellStyle name="Total 2 5 2 8" xfId="32877" xr:uid="{00000000-0005-0000-0000-00003B7D0000}"/>
    <cellStyle name="Total 2 5 2 9" xfId="32878" xr:uid="{00000000-0005-0000-0000-00003C7D0000}"/>
    <cellStyle name="Total 2 5 20" xfId="32879" xr:uid="{00000000-0005-0000-0000-00003D7D0000}"/>
    <cellStyle name="Total 2 5 3" xfId="32880" xr:uid="{00000000-0005-0000-0000-00003E7D0000}"/>
    <cellStyle name="Total 2 5 3 10" xfId="32881" xr:uid="{00000000-0005-0000-0000-00003F7D0000}"/>
    <cellStyle name="Total 2 5 3 11" xfId="32882" xr:uid="{00000000-0005-0000-0000-0000407D0000}"/>
    <cellStyle name="Total 2 5 3 12" xfId="32883" xr:uid="{00000000-0005-0000-0000-0000417D0000}"/>
    <cellStyle name="Total 2 5 3 13" xfId="32884" xr:uid="{00000000-0005-0000-0000-0000427D0000}"/>
    <cellStyle name="Total 2 5 3 14" xfId="32885" xr:uid="{00000000-0005-0000-0000-0000437D0000}"/>
    <cellStyle name="Total 2 5 3 15" xfId="32886" xr:uid="{00000000-0005-0000-0000-0000447D0000}"/>
    <cellStyle name="Total 2 5 3 16" xfId="32887" xr:uid="{00000000-0005-0000-0000-0000457D0000}"/>
    <cellStyle name="Total 2 5 3 2" xfId="32888" xr:uid="{00000000-0005-0000-0000-0000467D0000}"/>
    <cellStyle name="Total 2 5 3 3" xfId="32889" xr:uid="{00000000-0005-0000-0000-0000477D0000}"/>
    <cellStyle name="Total 2 5 3 4" xfId="32890" xr:uid="{00000000-0005-0000-0000-0000487D0000}"/>
    <cellStyle name="Total 2 5 3 5" xfId="32891" xr:uid="{00000000-0005-0000-0000-0000497D0000}"/>
    <cellStyle name="Total 2 5 3 6" xfId="32892" xr:uid="{00000000-0005-0000-0000-00004A7D0000}"/>
    <cellStyle name="Total 2 5 3 7" xfId="32893" xr:uid="{00000000-0005-0000-0000-00004B7D0000}"/>
    <cellStyle name="Total 2 5 3 8" xfId="32894" xr:uid="{00000000-0005-0000-0000-00004C7D0000}"/>
    <cellStyle name="Total 2 5 3 9" xfId="32895" xr:uid="{00000000-0005-0000-0000-00004D7D0000}"/>
    <cellStyle name="Total 2 5 4" xfId="32896" xr:uid="{00000000-0005-0000-0000-00004E7D0000}"/>
    <cellStyle name="Total 2 5 4 10" xfId="32897" xr:uid="{00000000-0005-0000-0000-00004F7D0000}"/>
    <cellStyle name="Total 2 5 4 11" xfId="32898" xr:uid="{00000000-0005-0000-0000-0000507D0000}"/>
    <cellStyle name="Total 2 5 4 12" xfId="32899" xr:uid="{00000000-0005-0000-0000-0000517D0000}"/>
    <cellStyle name="Total 2 5 4 13" xfId="32900" xr:uid="{00000000-0005-0000-0000-0000527D0000}"/>
    <cellStyle name="Total 2 5 4 14" xfId="32901" xr:uid="{00000000-0005-0000-0000-0000537D0000}"/>
    <cellStyle name="Total 2 5 4 15" xfId="32902" xr:uid="{00000000-0005-0000-0000-0000547D0000}"/>
    <cellStyle name="Total 2 5 4 16" xfId="32903" xr:uid="{00000000-0005-0000-0000-0000557D0000}"/>
    <cellStyle name="Total 2 5 4 2" xfId="32904" xr:uid="{00000000-0005-0000-0000-0000567D0000}"/>
    <cellStyle name="Total 2 5 4 3" xfId="32905" xr:uid="{00000000-0005-0000-0000-0000577D0000}"/>
    <cellStyle name="Total 2 5 4 4" xfId="32906" xr:uid="{00000000-0005-0000-0000-0000587D0000}"/>
    <cellStyle name="Total 2 5 4 5" xfId="32907" xr:uid="{00000000-0005-0000-0000-0000597D0000}"/>
    <cellStyle name="Total 2 5 4 6" xfId="32908" xr:uid="{00000000-0005-0000-0000-00005A7D0000}"/>
    <cellStyle name="Total 2 5 4 7" xfId="32909" xr:uid="{00000000-0005-0000-0000-00005B7D0000}"/>
    <cellStyle name="Total 2 5 4 8" xfId="32910" xr:uid="{00000000-0005-0000-0000-00005C7D0000}"/>
    <cellStyle name="Total 2 5 4 9" xfId="32911" xr:uid="{00000000-0005-0000-0000-00005D7D0000}"/>
    <cellStyle name="Total 2 5 5" xfId="32912" xr:uid="{00000000-0005-0000-0000-00005E7D0000}"/>
    <cellStyle name="Total 2 5 5 10" xfId="32913" xr:uid="{00000000-0005-0000-0000-00005F7D0000}"/>
    <cellStyle name="Total 2 5 5 11" xfId="32914" xr:uid="{00000000-0005-0000-0000-0000607D0000}"/>
    <cellStyle name="Total 2 5 5 12" xfId="32915" xr:uid="{00000000-0005-0000-0000-0000617D0000}"/>
    <cellStyle name="Total 2 5 5 13" xfId="32916" xr:uid="{00000000-0005-0000-0000-0000627D0000}"/>
    <cellStyle name="Total 2 5 5 14" xfId="32917" xr:uid="{00000000-0005-0000-0000-0000637D0000}"/>
    <cellStyle name="Total 2 5 5 15" xfId="32918" xr:uid="{00000000-0005-0000-0000-0000647D0000}"/>
    <cellStyle name="Total 2 5 5 16" xfId="32919" xr:uid="{00000000-0005-0000-0000-0000657D0000}"/>
    <cellStyle name="Total 2 5 5 2" xfId="32920" xr:uid="{00000000-0005-0000-0000-0000667D0000}"/>
    <cellStyle name="Total 2 5 5 3" xfId="32921" xr:uid="{00000000-0005-0000-0000-0000677D0000}"/>
    <cellStyle name="Total 2 5 5 4" xfId="32922" xr:uid="{00000000-0005-0000-0000-0000687D0000}"/>
    <cellStyle name="Total 2 5 5 5" xfId="32923" xr:uid="{00000000-0005-0000-0000-0000697D0000}"/>
    <cellStyle name="Total 2 5 5 6" xfId="32924" xr:uid="{00000000-0005-0000-0000-00006A7D0000}"/>
    <cellStyle name="Total 2 5 5 7" xfId="32925" xr:uid="{00000000-0005-0000-0000-00006B7D0000}"/>
    <cellStyle name="Total 2 5 5 8" xfId="32926" xr:uid="{00000000-0005-0000-0000-00006C7D0000}"/>
    <cellStyle name="Total 2 5 5 9" xfId="32927" xr:uid="{00000000-0005-0000-0000-00006D7D0000}"/>
    <cellStyle name="Total 2 5 6" xfId="32928" xr:uid="{00000000-0005-0000-0000-00006E7D0000}"/>
    <cellStyle name="Total 2 5 7" xfId="32929" xr:uid="{00000000-0005-0000-0000-00006F7D0000}"/>
    <cellStyle name="Total 2 5 8" xfId="32930" xr:uid="{00000000-0005-0000-0000-0000707D0000}"/>
    <cellStyle name="Total 2 5 9" xfId="32931" xr:uid="{00000000-0005-0000-0000-0000717D0000}"/>
    <cellStyle name="Total 2 5_CORRECTED COPY OF rA 5" xfId="32932" xr:uid="{00000000-0005-0000-0000-0000727D0000}"/>
    <cellStyle name="Total 2 6" xfId="32933" xr:uid="{00000000-0005-0000-0000-0000737D0000}"/>
    <cellStyle name="Total 2 6 10" xfId="32934" xr:uid="{00000000-0005-0000-0000-0000747D0000}"/>
    <cellStyle name="Total 2 6 11" xfId="32935" xr:uid="{00000000-0005-0000-0000-0000757D0000}"/>
    <cellStyle name="Total 2 6 12" xfId="32936" xr:uid="{00000000-0005-0000-0000-0000767D0000}"/>
    <cellStyle name="Total 2 6 13" xfId="32937" xr:uid="{00000000-0005-0000-0000-0000777D0000}"/>
    <cellStyle name="Total 2 6 14" xfId="32938" xr:uid="{00000000-0005-0000-0000-0000787D0000}"/>
    <cellStyle name="Total 2 6 15" xfId="32939" xr:uid="{00000000-0005-0000-0000-0000797D0000}"/>
    <cellStyle name="Total 2 6 16" xfId="32940" xr:uid="{00000000-0005-0000-0000-00007A7D0000}"/>
    <cellStyle name="Total 2 6 17" xfId="32941" xr:uid="{00000000-0005-0000-0000-00007B7D0000}"/>
    <cellStyle name="Total 2 6 18" xfId="32942" xr:uid="{00000000-0005-0000-0000-00007C7D0000}"/>
    <cellStyle name="Total 2 6 19" xfId="32943" xr:uid="{00000000-0005-0000-0000-00007D7D0000}"/>
    <cellStyle name="Total 2 6 2" xfId="32944" xr:uid="{00000000-0005-0000-0000-00007E7D0000}"/>
    <cellStyle name="Total 2 6 2 10" xfId="32945" xr:uid="{00000000-0005-0000-0000-00007F7D0000}"/>
    <cellStyle name="Total 2 6 2 11" xfId="32946" xr:uid="{00000000-0005-0000-0000-0000807D0000}"/>
    <cellStyle name="Total 2 6 2 12" xfId="32947" xr:uid="{00000000-0005-0000-0000-0000817D0000}"/>
    <cellStyle name="Total 2 6 2 13" xfId="32948" xr:uid="{00000000-0005-0000-0000-0000827D0000}"/>
    <cellStyle name="Total 2 6 2 14" xfId="32949" xr:uid="{00000000-0005-0000-0000-0000837D0000}"/>
    <cellStyle name="Total 2 6 2 15" xfId="32950" xr:uid="{00000000-0005-0000-0000-0000847D0000}"/>
    <cellStyle name="Total 2 6 2 16" xfId="32951" xr:uid="{00000000-0005-0000-0000-0000857D0000}"/>
    <cellStyle name="Total 2 6 2 17" xfId="32952" xr:uid="{00000000-0005-0000-0000-0000867D0000}"/>
    <cellStyle name="Total 2 6 2 18" xfId="32953" xr:uid="{00000000-0005-0000-0000-0000877D0000}"/>
    <cellStyle name="Total 2 6 2 19" xfId="32954" xr:uid="{00000000-0005-0000-0000-0000887D0000}"/>
    <cellStyle name="Total 2 6 2 2" xfId="32955" xr:uid="{00000000-0005-0000-0000-0000897D0000}"/>
    <cellStyle name="Total 2 6 2 2 10" xfId="32956" xr:uid="{00000000-0005-0000-0000-00008A7D0000}"/>
    <cellStyle name="Total 2 6 2 2 11" xfId="32957" xr:uid="{00000000-0005-0000-0000-00008B7D0000}"/>
    <cellStyle name="Total 2 6 2 2 12" xfId="32958" xr:uid="{00000000-0005-0000-0000-00008C7D0000}"/>
    <cellStyle name="Total 2 6 2 2 13" xfId="32959" xr:uid="{00000000-0005-0000-0000-00008D7D0000}"/>
    <cellStyle name="Total 2 6 2 2 14" xfId="32960" xr:uid="{00000000-0005-0000-0000-00008E7D0000}"/>
    <cellStyle name="Total 2 6 2 2 15" xfId="32961" xr:uid="{00000000-0005-0000-0000-00008F7D0000}"/>
    <cellStyle name="Total 2 6 2 2 16" xfId="32962" xr:uid="{00000000-0005-0000-0000-0000907D0000}"/>
    <cellStyle name="Total 2 6 2 2 2" xfId="32963" xr:uid="{00000000-0005-0000-0000-0000917D0000}"/>
    <cellStyle name="Total 2 6 2 2 3" xfId="32964" xr:uid="{00000000-0005-0000-0000-0000927D0000}"/>
    <cellStyle name="Total 2 6 2 2 4" xfId="32965" xr:uid="{00000000-0005-0000-0000-0000937D0000}"/>
    <cellStyle name="Total 2 6 2 2 5" xfId="32966" xr:uid="{00000000-0005-0000-0000-0000947D0000}"/>
    <cellStyle name="Total 2 6 2 2 6" xfId="32967" xr:uid="{00000000-0005-0000-0000-0000957D0000}"/>
    <cellStyle name="Total 2 6 2 2 7" xfId="32968" xr:uid="{00000000-0005-0000-0000-0000967D0000}"/>
    <cellStyle name="Total 2 6 2 2 8" xfId="32969" xr:uid="{00000000-0005-0000-0000-0000977D0000}"/>
    <cellStyle name="Total 2 6 2 2 9" xfId="32970" xr:uid="{00000000-0005-0000-0000-0000987D0000}"/>
    <cellStyle name="Total 2 6 2 3" xfId="32971" xr:uid="{00000000-0005-0000-0000-0000997D0000}"/>
    <cellStyle name="Total 2 6 2 3 10" xfId="32972" xr:uid="{00000000-0005-0000-0000-00009A7D0000}"/>
    <cellStyle name="Total 2 6 2 3 11" xfId="32973" xr:uid="{00000000-0005-0000-0000-00009B7D0000}"/>
    <cellStyle name="Total 2 6 2 3 12" xfId="32974" xr:uid="{00000000-0005-0000-0000-00009C7D0000}"/>
    <cellStyle name="Total 2 6 2 3 13" xfId="32975" xr:uid="{00000000-0005-0000-0000-00009D7D0000}"/>
    <cellStyle name="Total 2 6 2 3 14" xfId="32976" xr:uid="{00000000-0005-0000-0000-00009E7D0000}"/>
    <cellStyle name="Total 2 6 2 3 15" xfId="32977" xr:uid="{00000000-0005-0000-0000-00009F7D0000}"/>
    <cellStyle name="Total 2 6 2 3 16" xfId="32978" xr:uid="{00000000-0005-0000-0000-0000A07D0000}"/>
    <cellStyle name="Total 2 6 2 3 2" xfId="32979" xr:uid="{00000000-0005-0000-0000-0000A17D0000}"/>
    <cellStyle name="Total 2 6 2 3 3" xfId="32980" xr:uid="{00000000-0005-0000-0000-0000A27D0000}"/>
    <cellStyle name="Total 2 6 2 3 4" xfId="32981" xr:uid="{00000000-0005-0000-0000-0000A37D0000}"/>
    <cellStyle name="Total 2 6 2 3 5" xfId="32982" xr:uid="{00000000-0005-0000-0000-0000A47D0000}"/>
    <cellStyle name="Total 2 6 2 3 6" xfId="32983" xr:uid="{00000000-0005-0000-0000-0000A57D0000}"/>
    <cellStyle name="Total 2 6 2 3 7" xfId="32984" xr:uid="{00000000-0005-0000-0000-0000A67D0000}"/>
    <cellStyle name="Total 2 6 2 3 8" xfId="32985" xr:uid="{00000000-0005-0000-0000-0000A77D0000}"/>
    <cellStyle name="Total 2 6 2 3 9" xfId="32986" xr:uid="{00000000-0005-0000-0000-0000A87D0000}"/>
    <cellStyle name="Total 2 6 2 4" xfId="32987" xr:uid="{00000000-0005-0000-0000-0000A97D0000}"/>
    <cellStyle name="Total 2 6 2 4 10" xfId="32988" xr:uid="{00000000-0005-0000-0000-0000AA7D0000}"/>
    <cellStyle name="Total 2 6 2 4 11" xfId="32989" xr:uid="{00000000-0005-0000-0000-0000AB7D0000}"/>
    <cellStyle name="Total 2 6 2 4 12" xfId="32990" xr:uid="{00000000-0005-0000-0000-0000AC7D0000}"/>
    <cellStyle name="Total 2 6 2 4 13" xfId="32991" xr:uid="{00000000-0005-0000-0000-0000AD7D0000}"/>
    <cellStyle name="Total 2 6 2 4 14" xfId="32992" xr:uid="{00000000-0005-0000-0000-0000AE7D0000}"/>
    <cellStyle name="Total 2 6 2 4 15" xfId="32993" xr:uid="{00000000-0005-0000-0000-0000AF7D0000}"/>
    <cellStyle name="Total 2 6 2 4 16" xfId="32994" xr:uid="{00000000-0005-0000-0000-0000B07D0000}"/>
    <cellStyle name="Total 2 6 2 4 2" xfId="32995" xr:uid="{00000000-0005-0000-0000-0000B17D0000}"/>
    <cellStyle name="Total 2 6 2 4 3" xfId="32996" xr:uid="{00000000-0005-0000-0000-0000B27D0000}"/>
    <cellStyle name="Total 2 6 2 4 4" xfId="32997" xr:uid="{00000000-0005-0000-0000-0000B37D0000}"/>
    <cellStyle name="Total 2 6 2 4 5" xfId="32998" xr:uid="{00000000-0005-0000-0000-0000B47D0000}"/>
    <cellStyle name="Total 2 6 2 4 6" xfId="32999" xr:uid="{00000000-0005-0000-0000-0000B57D0000}"/>
    <cellStyle name="Total 2 6 2 4 7" xfId="33000" xr:uid="{00000000-0005-0000-0000-0000B67D0000}"/>
    <cellStyle name="Total 2 6 2 4 8" xfId="33001" xr:uid="{00000000-0005-0000-0000-0000B77D0000}"/>
    <cellStyle name="Total 2 6 2 4 9" xfId="33002" xr:uid="{00000000-0005-0000-0000-0000B87D0000}"/>
    <cellStyle name="Total 2 6 2 5" xfId="33003" xr:uid="{00000000-0005-0000-0000-0000B97D0000}"/>
    <cellStyle name="Total 2 6 2 6" xfId="33004" xr:uid="{00000000-0005-0000-0000-0000BA7D0000}"/>
    <cellStyle name="Total 2 6 2 7" xfId="33005" xr:uid="{00000000-0005-0000-0000-0000BB7D0000}"/>
    <cellStyle name="Total 2 6 2 8" xfId="33006" xr:uid="{00000000-0005-0000-0000-0000BC7D0000}"/>
    <cellStyle name="Total 2 6 2 9" xfId="33007" xr:uid="{00000000-0005-0000-0000-0000BD7D0000}"/>
    <cellStyle name="Total 2 6 20" xfId="33008" xr:uid="{00000000-0005-0000-0000-0000BE7D0000}"/>
    <cellStyle name="Total 2 6 3" xfId="33009" xr:uid="{00000000-0005-0000-0000-0000BF7D0000}"/>
    <cellStyle name="Total 2 6 3 10" xfId="33010" xr:uid="{00000000-0005-0000-0000-0000C07D0000}"/>
    <cellStyle name="Total 2 6 3 11" xfId="33011" xr:uid="{00000000-0005-0000-0000-0000C17D0000}"/>
    <cellStyle name="Total 2 6 3 12" xfId="33012" xr:uid="{00000000-0005-0000-0000-0000C27D0000}"/>
    <cellStyle name="Total 2 6 3 13" xfId="33013" xr:uid="{00000000-0005-0000-0000-0000C37D0000}"/>
    <cellStyle name="Total 2 6 3 14" xfId="33014" xr:uid="{00000000-0005-0000-0000-0000C47D0000}"/>
    <cellStyle name="Total 2 6 3 15" xfId="33015" xr:uid="{00000000-0005-0000-0000-0000C57D0000}"/>
    <cellStyle name="Total 2 6 3 16" xfId="33016" xr:uid="{00000000-0005-0000-0000-0000C67D0000}"/>
    <cellStyle name="Total 2 6 3 2" xfId="33017" xr:uid="{00000000-0005-0000-0000-0000C77D0000}"/>
    <cellStyle name="Total 2 6 3 3" xfId="33018" xr:uid="{00000000-0005-0000-0000-0000C87D0000}"/>
    <cellStyle name="Total 2 6 3 4" xfId="33019" xr:uid="{00000000-0005-0000-0000-0000C97D0000}"/>
    <cellStyle name="Total 2 6 3 5" xfId="33020" xr:uid="{00000000-0005-0000-0000-0000CA7D0000}"/>
    <cellStyle name="Total 2 6 3 6" xfId="33021" xr:uid="{00000000-0005-0000-0000-0000CB7D0000}"/>
    <cellStyle name="Total 2 6 3 7" xfId="33022" xr:uid="{00000000-0005-0000-0000-0000CC7D0000}"/>
    <cellStyle name="Total 2 6 3 8" xfId="33023" xr:uid="{00000000-0005-0000-0000-0000CD7D0000}"/>
    <cellStyle name="Total 2 6 3 9" xfId="33024" xr:uid="{00000000-0005-0000-0000-0000CE7D0000}"/>
    <cellStyle name="Total 2 6 4" xfId="33025" xr:uid="{00000000-0005-0000-0000-0000CF7D0000}"/>
    <cellStyle name="Total 2 6 4 10" xfId="33026" xr:uid="{00000000-0005-0000-0000-0000D07D0000}"/>
    <cellStyle name="Total 2 6 4 11" xfId="33027" xr:uid="{00000000-0005-0000-0000-0000D17D0000}"/>
    <cellStyle name="Total 2 6 4 12" xfId="33028" xr:uid="{00000000-0005-0000-0000-0000D27D0000}"/>
    <cellStyle name="Total 2 6 4 13" xfId="33029" xr:uid="{00000000-0005-0000-0000-0000D37D0000}"/>
    <cellStyle name="Total 2 6 4 14" xfId="33030" xr:uid="{00000000-0005-0000-0000-0000D47D0000}"/>
    <cellStyle name="Total 2 6 4 15" xfId="33031" xr:uid="{00000000-0005-0000-0000-0000D57D0000}"/>
    <cellStyle name="Total 2 6 4 16" xfId="33032" xr:uid="{00000000-0005-0000-0000-0000D67D0000}"/>
    <cellStyle name="Total 2 6 4 2" xfId="33033" xr:uid="{00000000-0005-0000-0000-0000D77D0000}"/>
    <cellStyle name="Total 2 6 4 3" xfId="33034" xr:uid="{00000000-0005-0000-0000-0000D87D0000}"/>
    <cellStyle name="Total 2 6 4 4" xfId="33035" xr:uid="{00000000-0005-0000-0000-0000D97D0000}"/>
    <cellStyle name="Total 2 6 4 5" xfId="33036" xr:uid="{00000000-0005-0000-0000-0000DA7D0000}"/>
    <cellStyle name="Total 2 6 4 6" xfId="33037" xr:uid="{00000000-0005-0000-0000-0000DB7D0000}"/>
    <cellStyle name="Total 2 6 4 7" xfId="33038" xr:uid="{00000000-0005-0000-0000-0000DC7D0000}"/>
    <cellStyle name="Total 2 6 4 8" xfId="33039" xr:uid="{00000000-0005-0000-0000-0000DD7D0000}"/>
    <cellStyle name="Total 2 6 4 9" xfId="33040" xr:uid="{00000000-0005-0000-0000-0000DE7D0000}"/>
    <cellStyle name="Total 2 6 5" xfId="33041" xr:uid="{00000000-0005-0000-0000-0000DF7D0000}"/>
    <cellStyle name="Total 2 6 5 10" xfId="33042" xr:uid="{00000000-0005-0000-0000-0000E07D0000}"/>
    <cellStyle name="Total 2 6 5 11" xfId="33043" xr:uid="{00000000-0005-0000-0000-0000E17D0000}"/>
    <cellStyle name="Total 2 6 5 12" xfId="33044" xr:uid="{00000000-0005-0000-0000-0000E27D0000}"/>
    <cellStyle name="Total 2 6 5 13" xfId="33045" xr:uid="{00000000-0005-0000-0000-0000E37D0000}"/>
    <cellStyle name="Total 2 6 5 14" xfId="33046" xr:uid="{00000000-0005-0000-0000-0000E47D0000}"/>
    <cellStyle name="Total 2 6 5 15" xfId="33047" xr:uid="{00000000-0005-0000-0000-0000E57D0000}"/>
    <cellStyle name="Total 2 6 5 16" xfId="33048" xr:uid="{00000000-0005-0000-0000-0000E67D0000}"/>
    <cellStyle name="Total 2 6 5 2" xfId="33049" xr:uid="{00000000-0005-0000-0000-0000E77D0000}"/>
    <cellStyle name="Total 2 6 5 3" xfId="33050" xr:uid="{00000000-0005-0000-0000-0000E87D0000}"/>
    <cellStyle name="Total 2 6 5 4" xfId="33051" xr:uid="{00000000-0005-0000-0000-0000E97D0000}"/>
    <cellStyle name="Total 2 6 5 5" xfId="33052" xr:uid="{00000000-0005-0000-0000-0000EA7D0000}"/>
    <cellStyle name="Total 2 6 5 6" xfId="33053" xr:uid="{00000000-0005-0000-0000-0000EB7D0000}"/>
    <cellStyle name="Total 2 6 5 7" xfId="33054" xr:uid="{00000000-0005-0000-0000-0000EC7D0000}"/>
    <cellStyle name="Total 2 6 5 8" xfId="33055" xr:uid="{00000000-0005-0000-0000-0000ED7D0000}"/>
    <cellStyle name="Total 2 6 5 9" xfId="33056" xr:uid="{00000000-0005-0000-0000-0000EE7D0000}"/>
    <cellStyle name="Total 2 6 6" xfId="33057" xr:uid="{00000000-0005-0000-0000-0000EF7D0000}"/>
    <cellStyle name="Total 2 6 7" xfId="33058" xr:uid="{00000000-0005-0000-0000-0000F07D0000}"/>
    <cellStyle name="Total 2 6 8" xfId="33059" xr:uid="{00000000-0005-0000-0000-0000F17D0000}"/>
    <cellStyle name="Total 2 6 9" xfId="33060" xr:uid="{00000000-0005-0000-0000-0000F27D0000}"/>
    <cellStyle name="Total 2 6_CORRECTED COPY OF rA 5" xfId="33061" xr:uid="{00000000-0005-0000-0000-0000F37D0000}"/>
    <cellStyle name="Total 2 7" xfId="33062" xr:uid="{00000000-0005-0000-0000-0000F47D0000}"/>
    <cellStyle name="Total 2 7 10" xfId="33063" xr:uid="{00000000-0005-0000-0000-0000F57D0000}"/>
    <cellStyle name="Total 2 7 11" xfId="33064" xr:uid="{00000000-0005-0000-0000-0000F67D0000}"/>
    <cellStyle name="Total 2 7 12" xfId="33065" xr:uid="{00000000-0005-0000-0000-0000F77D0000}"/>
    <cellStyle name="Total 2 7 13" xfId="33066" xr:uid="{00000000-0005-0000-0000-0000F87D0000}"/>
    <cellStyle name="Total 2 7 14" xfId="33067" xr:uid="{00000000-0005-0000-0000-0000F97D0000}"/>
    <cellStyle name="Total 2 7 15" xfId="33068" xr:uid="{00000000-0005-0000-0000-0000FA7D0000}"/>
    <cellStyle name="Total 2 7 16" xfId="33069" xr:uid="{00000000-0005-0000-0000-0000FB7D0000}"/>
    <cellStyle name="Total 2 7 17" xfId="33070" xr:uid="{00000000-0005-0000-0000-0000FC7D0000}"/>
    <cellStyle name="Total 2 7 18" xfId="33071" xr:uid="{00000000-0005-0000-0000-0000FD7D0000}"/>
    <cellStyle name="Total 2 7 19" xfId="33072" xr:uid="{00000000-0005-0000-0000-0000FE7D0000}"/>
    <cellStyle name="Total 2 7 2" xfId="33073" xr:uid="{00000000-0005-0000-0000-0000FF7D0000}"/>
    <cellStyle name="Total 2 7 2 10" xfId="33074" xr:uid="{00000000-0005-0000-0000-0000007E0000}"/>
    <cellStyle name="Total 2 7 2 11" xfId="33075" xr:uid="{00000000-0005-0000-0000-0000017E0000}"/>
    <cellStyle name="Total 2 7 2 12" xfId="33076" xr:uid="{00000000-0005-0000-0000-0000027E0000}"/>
    <cellStyle name="Total 2 7 2 13" xfId="33077" xr:uid="{00000000-0005-0000-0000-0000037E0000}"/>
    <cellStyle name="Total 2 7 2 14" xfId="33078" xr:uid="{00000000-0005-0000-0000-0000047E0000}"/>
    <cellStyle name="Total 2 7 2 15" xfId="33079" xr:uid="{00000000-0005-0000-0000-0000057E0000}"/>
    <cellStyle name="Total 2 7 2 16" xfId="33080" xr:uid="{00000000-0005-0000-0000-0000067E0000}"/>
    <cellStyle name="Total 2 7 2 17" xfId="33081" xr:uid="{00000000-0005-0000-0000-0000077E0000}"/>
    <cellStyle name="Total 2 7 2 18" xfId="33082" xr:uid="{00000000-0005-0000-0000-0000087E0000}"/>
    <cellStyle name="Total 2 7 2 19" xfId="33083" xr:uid="{00000000-0005-0000-0000-0000097E0000}"/>
    <cellStyle name="Total 2 7 2 2" xfId="33084" xr:uid="{00000000-0005-0000-0000-00000A7E0000}"/>
    <cellStyle name="Total 2 7 2 2 10" xfId="33085" xr:uid="{00000000-0005-0000-0000-00000B7E0000}"/>
    <cellStyle name="Total 2 7 2 2 11" xfId="33086" xr:uid="{00000000-0005-0000-0000-00000C7E0000}"/>
    <cellStyle name="Total 2 7 2 2 12" xfId="33087" xr:uid="{00000000-0005-0000-0000-00000D7E0000}"/>
    <cellStyle name="Total 2 7 2 2 13" xfId="33088" xr:uid="{00000000-0005-0000-0000-00000E7E0000}"/>
    <cellStyle name="Total 2 7 2 2 14" xfId="33089" xr:uid="{00000000-0005-0000-0000-00000F7E0000}"/>
    <cellStyle name="Total 2 7 2 2 15" xfId="33090" xr:uid="{00000000-0005-0000-0000-0000107E0000}"/>
    <cellStyle name="Total 2 7 2 2 16" xfId="33091" xr:uid="{00000000-0005-0000-0000-0000117E0000}"/>
    <cellStyle name="Total 2 7 2 2 2" xfId="33092" xr:uid="{00000000-0005-0000-0000-0000127E0000}"/>
    <cellStyle name="Total 2 7 2 2 3" xfId="33093" xr:uid="{00000000-0005-0000-0000-0000137E0000}"/>
    <cellStyle name="Total 2 7 2 2 4" xfId="33094" xr:uid="{00000000-0005-0000-0000-0000147E0000}"/>
    <cellStyle name="Total 2 7 2 2 5" xfId="33095" xr:uid="{00000000-0005-0000-0000-0000157E0000}"/>
    <cellStyle name="Total 2 7 2 2 6" xfId="33096" xr:uid="{00000000-0005-0000-0000-0000167E0000}"/>
    <cellStyle name="Total 2 7 2 2 7" xfId="33097" xr:uid="{00000000-0005-0000-0000-0000177E0000}"/>
    <cellStyle name="Total 2 7 2 2 8" xfId="33098" xr:uid="{00000000-0005-0000-0000-0000187E0000}"/>
    <cellStyle name="Total 2 7 2 2 9" xfId="33099" xr:uid="{00000000-0005-0000-0000-0000197E0000}"/>
    <cellStyle name="Total 2 7 2 3" xfId="33100" xr:uid="{00000000-0005-0000-0000-00001A7E0000}"/>
    <cellStyle name="Total 2 7 2 3 10" xfId="33101" xr:uid="{00000000-0005-0000-0000-00001B7E0000}"/>
    <cellStyle name="Total 2 7 2 3 11" xfId="33102" xr:uid="{00000000-0005-0000-0000-00001C7E0000}"/>
    <cellStyle name="Total 2 7 2 3 12" xfId="33103" xr:uid="{00000000-0005-0000-0000-00001D7E0000}"/>
    <cellStyle name="Total 2 7 2 3 13" xfId="33104" xr:uid="{00000000-0005-0000-0000-00001E7E0000}"/>
    <cellStyle name="Total 2 7 2 3 14" xfId="33105" xr:uid="{00000000-0005-0000-0000-00001F7E0000}"/>
    <cellStyle name="Total 2 7 2 3 15" xfId="33106" xr:uid="{00000000-0005-0000-0000-0000207E0000}"/>
    <cellStyle name="Total 2 7 2 3 16" xfId="33107" xr:uid="{00000000-0005-0000-0000-0000217E0000}"/>
    <cellStyle name="Total 2 7 2 3 2" xfId="33108" xr:uid="{00000000-0005-0000-0000-0000227E0000}"/>
    <cellStyle name="Total 2 7 2 3 3" xfId="33109" xr:uid="{00000000-0005-0000-0000-0000237E0000}"/>
    <cellStyle name="Total 2 7 2 3 4" xfId="33110" xr:uid="{00000000-0005-0000-0000-0000247E0000}"/>
    <cellStyle name="Total 2 7 2 3 5" xfId="33111" xr:uid="{00000000-0005-0000-0000-0000257E0000}"/>
    <cellStyle name="Total 2 7 2 3 6" xfId="33112" xr:uid="{00000000-0005-0000-0000-0000267E0000}"/>
    <cellStyle name="Total 2 7 2 3 7" xfId="33113" xr:uid="{00000000-0005-0000-0000-0000277E0000}"/>
    <cellStyle name="Total 2 7 2 3 8" xfId="33114" xr:uid="{00000000-0005-0000-0000-0000287E0000}"/>
    <cellStyle name="Total 2 7 2 3 9" xfId="33115" xr:uid="{00000000-0005-0000-0000-0000297E0000}"/>
    <cellStyle name="Total 2 7 2 4" xfId="33116" xr:uid="{00000000-0005-0000-0000-00002A7E0000}"/>
    <cellStyle name="Total 2 7 2 4 10" xfId="33117" xr:uid="{00000000-0005-0000-0000-00002B7E0000}"/>
    <cellStyle name="Total 2 7 2 4 11" xfId="33118" xr:uid="{00000000-0005-0000-0000-00002C7E0000}"/>
    <cellStyle name="Total 2 7 2 4 12" xfId="33119" xr:uid="{00000000-0005-0000-0000-00002D7E0000}"/>
    <cellStyle name="Total 2 7 2 4 13" xfId="33120" xr:uid="{00000000-0005-0000-0000-00002E7E0000}"/>
    <cellStyle name="Total 2 7 2 4 14" xfId="33121" xr:uid="{00000000-0005-0000-0000-00002F7E0000}"/>
    <cellStyle name="Total 2 7 2 4 15" xfId="33122" xr:uid="{00000000-0005-0000-0000-0000307E0000}"/>
    <cellStyle name="Total 2 7 2 4 16" xfId="33123" xr:uid="{00000000-0005-0000-0000-0000317E0000}"/>
    <cellStyle name="Total 2 7 2 4 2" xfId="33124" xr:uid="{00000000-0005-0000-0000-0000327E0000}"/>
    <cellStyle name="Total 2 7 2 4 3" xfId="33125" xr:uid="{00000000-0005-0000-0000-0000337E0000}"/>
    <cellStyle name="Total 2 7 2 4 4" xfId="33126" xr:uid="{00000000-0005-0000-0000-0000347E0000}"/>
    <cellStyle name="Total 2 7 2 4 5" xfId="33127" xr:uid="{00000000-0005-0000-0000-0000357E0000}"/>
    <cellStyle name="Total 2 7 2 4 6" xfId="33128" xr:uid="{00000000-0005-0000-0000-0000367E0000}"/>
    <cellStyle name="Total 2 7 2 4 7" xfId="33129" xr:uid="{00000000-0005-0000-0000-0000377E0000}"/>
    <cellStyle name="Total 2 7 2 4 8" xfId="33130" xr:uid="{00000000-0005-0000-0000-0000387E0000}"/>
    <cellStyle name="Total 2 7 2 4 9" xfId="33131" xr:uid="{00000000-0005-0000-0000-0000397E0000}"/>
    <cellStyle name="Total 2 7 2 5" xfId="33132" xr:uid="{00000000-0005-0000-0000-00003A7E0000}"/>
    <cellStyle name="Total 2 7 2 6" xfId="33133" xr:uid="{00000000-0005-0000-0000-00003B7E0000}"/>
    <cellStyle name="Total 2 7 2 7" xfId="33134" xr:uid="{00000000-0005-0000-0000-00003C7E0000}"/>
    <cellStyle name="Total 2 7 2 8" xfId="33135" xr:uid="{00000000-0005-0000-0000-00003D7E0000}"/>
    <cellStyle name="Total 2 7 2 9" xfId="33136" xr:uid="{00000000-0005-0000-0000-00003E7E0000}"/>
    <cellStyle name="Total 2 7 20" xfId="33137" xr:uid="{00000000-0005-0000-0000-00003F7E0000}"/>
    <cellStyle name="Total 2 7 3" xfId="33138" xr:uid="{00000000-0005-0000-0000-0000407E0000}"/>
    <cellStyle name="Total 2 7 3 10" xfId="33139" xr:uid="{00000000-0005-0000-0000-0000417E0000}"/>
    <cellStyle name="Total 2 7 3 11" xfId="33140" xr:uid="{00000000-0005-0000-0000-0000427E0000}"/>
    <cellStyle name="Total 2 7 3 12" xfId="33141" xr:uid="{00000000-0005-0000-0000-0000437E0000}"/>
    <cellStyle name="Total 2 7 3 13" xfId="33142" xr:uid="{00000000-0005-0000-0000-0000447E0000}"/>
    <cellStyle name="Total 2 7 3 14" xfId="33143" xr:uid="{00000000-0005-0000-0000-0000457E0000}"/>
    <cellStyle name="Total 2 7 3 15" xfId="33144" xr:uid="{00000000-0005-0000-0000-0000467E0000}"/>
    <cellStyle name="Total 2 7 3 16" xfId="33145" xr:uid="{00000000-0005-0000-0000-0000477E0000}"/>
    <cellStyle name="Total 2 7 3 2" xfId="33146" xr:uid="{00000000-0005-0000-0000-0000487E0000}"/>
    <cellStyle name="Total 2 7 3 3" xfId="33147" xr:uid="{00000000-0005-0000-0000-0000497E0000}"/>
    <cellStyle name="Total 2 7 3 4" xfId="33148" xr:uid="{00000000-0005-0000-0000-00004A7E0000}"/>
    <cellStyle name="Total 2 7 3 5" xfId="33149" xr:uid="{00000000-0005-0000-0000-00004B7E0000}"/>
    <cellStyle name="Total 2 7 3 6" xfId="33150" xr:uid="{00000000-0005-0000-0000-00004C7E0000}"/>
    <cellStyle name="Total 2 7 3 7" xfId="33151" xr:uid="{00000000-0005-0000-0000-00004D7E0000}"/>
    <cellStyle name="Total 2 7 3 8" xfId="33152" xr:uid="{00000000-0005-0000-0000-00004E7E0000}"/>
    <cellStyle name="Total 2 7 3 9" xfId="33153" xr:uid="{00000000-0005-0000-0000-00004F7E0000}"/>
    <cellStyle name="Total 2 7 4" xfId="33154" xr:uid="{00000000-0005-0000-0000-0000507E0000}"/>
    <cellStyle name="Total 2 7 4 10" xfId="33155" xr:uid="{00000000-0005-0000-0000-0000517E0000}"/>
    <cellStyle name="Total 2 7 4 11" xfId="33156" xr:uid="{00000000-0005-0000-0000-0000527E0000}"/>
    <cellStyle name="Total 2 7 4 12" xfId="33157" xr:uid="{00000000-0005-0000-0000-0000537E0000}"/>
    <cellStyle name="Total 2 7 4 13" xfId="33158" xr:uid="{00000000-0005-0000-0000-0000547E0000}"/>
    <cellStyle name="Total 2 7 4 14" xfId="33159" xr:uid="{00000000-0005-0000-0000-0000557E0000}"/>
    <cellStyle name="Total 2 7 4 15" xfId="33160" xr:uid="{00000000-0005-0000-0000-0000567E0000}"/>
    <cellStyle name="Total 2 7 4 16" xfId="33161" xr:uid="{00000000-0005-0000-0000-0000577E0000}"/>
    <cellStyle name="Total 2 7 4 2" xfId="33162" xr:uid="{00000000-0005-0000-0000-0000587E0000}"/>
    <cellStyle name="Total 2 7 4 3" xfId="33163" xr:uid="{00000000-0005-0000-0000-0000597E0000}"/>
    <cellStyle name="Total 2 7 4 4" xfId="33164" xr:uid="{00000000-0005-0000-0000-00005A7E0000}"/>
    <cellStyle name="Total 2 7 4 5" xfId="33165" xr:uid="{00000000-0005-0000-0000-00005B7E0000}"/>
    <cellStyle name="Total 2 7 4 6" xfId="33166" xr:uid="{00000000-0005-0000-0000-00005C7E0000}"/>
    <cellStyle name="Total 2 7 4 7" xfId="33167" xr:uid="{00000000-0005-0000-0000-00005D7E0000}"/>
    <cellStyle name="Total 2 7 4 8" xfId="33168" xr:uid="{00000000-0005-0000-0000-00005E7E0000}"/>
    <cellStyle name="Total 2 7 4 9" xfId="33169" xr:uid="{00000000-0005-0000-0000-00005F7E0000}"/>
    <cellStyle name="Total 2 7 5" xfId="33170" xr:uid="{00000000-0005-0000-0000-0000607E0000}"/>
    <cellStyle name="Total 2 7 5 10" xfId="33171" xr:uid="{00000000-0005-0000-0000-0000617E0000}"/>
    <cellStyle name="Total 2 7 5 11" xfId="33172" xr:uid="{00000000-0005-0000-0000-0000627E0000}"/>
    <cellStyle name="Total 2 7 5 12" xfId="33173" xr:uid="{00000000-0005-0000-0000-0000637E0000}"/>
    <cellStyle name="Total 2 7 5 13" xfId="33174" xr:uid="{00000000-0005-0000-0000-0000647E0000}"/>
    <cellStyle name="Total 2 7 5 14" xfId="33175" xr:uid="{00000000-0005-0000-0000-0000657E0000}"/>
    <cellStyle name="Total 2 7 5 15" xfId="33176" xr:uid="{00000000-0005-0000-0000-0000667E0000}"/>
    <cellStyle name="Total 2 7 5 16" xfId="33177" xr:uid="{00000000-0005-0000-0000-0000677E0000}"/>
    <cellStyle name="Total 2 7 5 2" xfId="33178" xr:uid="{00000000-0005-0000-0000-0000687E0000}"/>
    <cellStyle name="Total 2 7 5 3" xfId="33179" xr:uid="{00000000-0005-0000-0000-0000697E0000}"/>
    <cellStyle name="Total 2 7 5 4" xfId="33180" xr:uid="{00000000-0005-0000-0000-00006A7E0000}"/>
    <cellStyle name="Total 2 7 5 5" xfId="33181" xr:uid="{00000000-0005-0000-0000-00006B7E0000}"/>
    <cellStyle name="Total 2 7 5 6" xfId="33182" xr:uid="{00000000-0005-0000-0000-00006C7E0000}"/>
    <cellStyle name="Total 2 7 5 7" xfId="33183" xr:uid="{00000000-0005-0000-0000-00006D7E0000}"/>
    <cellStyle name="Total 2 7 5 8" xfId="33184" xr:uid="{00000000-0005-0000-0000-00006E7E0000}"/>
    <cellStyle name="Total 2 7 5 9" xfId="33185" xr:uid="{00000000-0005-0000-0000-00006F7E0000}"/>
    <cellStyle name="Total 2 7 6" xfId="33186" xr:uid="{00000000-0005-0000-0000-0000707E0000}"/>
    <cellStyle name="Total 2 7 7" xfId="33187" xr:uid="{00000000-0005-0000-0000-0000717E0000}"/>
    <cellStyle name="Total 2 7 8" xfId="33188" xr:uid="{00000000-0005-0000-0000-0000727E0000}"/>
    <cellStyle name="Total 2 7 9" xfId="33189" xr:uid="{00000000-0005-0000-0000-0000737E0000}"/>
    <cellStyle name="Total 2 7_CORRECTED COPY OF rA 5" xfId="33190" xr:uid="{00000000-0005-0000-0000-0000747E0000}"/>
    <cellStyle name="Total 2 8" xfId="33191" xr:uid="{00000000-0005-0000-0000-0000757E0000}"/>
    <cellStyle name="Total 2 8 10" xfId="33192" xr:uid="{00000000-0005-0000-0000-0000767E0000}"/>
    <cellStyle name="Total 2 8 11" xfId="33193" xr:uid="{00000000-0005-0000-0000-0000777E0000}"/>
    <cellStyle name="Total 2 8 12" xfId="33194" xr:uid="{00000000-0005-0000-0000-0000787E0000}"/>
    <cellStyle name="Total 2 8 13" xfId="33195" xr:uid="{00000000-0005-0000-0000-0000797E0000}"/>
    <cellStyle name="Total 2 8 14" xfId="33196" xr:uid="{00000000-0005-0000-0000-00007A7E0000}"/>
    <cellStyle name="Total 2 8 15" xfId="33197" xr:uid="{00000000-0005-0000-0000-00007B7E0000}"/>
    <cellStyle name="Total 2 8 16" xfId="33198" xr:uid="{00000000-0005-0000-0000-00007C7E0000}"/>
    <cellStyle name="Total 2 8 17" xfId="33199" xr:uid="{00000000-0005-0000-0000-00007D7E0000}"/>
    <cellStyle name="Total 2 8 18" xfId="33200" xr:uid="{00000000-0005-0000-0000-00007E7E0000}"/>
    <cellStyle name="Total 2 8 19" xfId="33201" xr:uid="{00000000-0005-0000-0000-00007F7E0000}"/>
    <cellStyle name="Total 2 8 2" xfId="33202" xr:uid="{00000000-0005-0000-0000-0000807E0000}"/>
    <cellStyle name="Total 2 8 2 10" xfId="33203" xr:uid="{00000000-0005-0000-0000-0000817E0000}"/>
    <cellStyle name="Total 2 8 2 11" xfId="33204" xr:uid="{00000000-0005-0000-0000-0000827E0000}"/>
    <cellStyle name="Total 2 8 2 12" xfId="33205" xr:uid="{00000000-0005-0000-0000-0000837E0000}"/>
    <cellStyle name="Total 2 8 2 13" xfId="33206" xr:uid="{00000000-0005-0000-0000-0000847E0000}"/>
    <cellStyle name="Total 2 8 2 14" xfId="33207" xr:uid="{00000000-0005-0000-0000-0000857E0000}"/>
    <cellStyle name="Total 2 8 2 15" xfId="33208" xr:uid="{00000000-0005-0000-0000-0000867E0000}"/>
    <cellStyle name="Total 2 8 2 16" xfId="33209" xr:uid="{00000000-0005-0000-0000-0000877E0000}"/>
    <cellStyle name="Total 2 8 2 17" xfId="33210" xr:uid="{00000000-0005-0000-0000-0000887E0000}"/>
    <cellStyle name="Total 2 8 2 18" xfId="33211" xr:uid="{00000000-0005-0000-0000-0000897E0000}"/>
    <cellStyle name="Total 2 8 2 19" xfId="33212" xr:uid="{00000000-0005-0000-0000-00008A7E0000}"/>
    <cellStyle name="Total 2 8 2 2" xfId="33213" xr:uid="{00000000-0005-0000-0000-00008B7E0000}"/>
    <cellStyle name="Total 2 8 2 2 10" xfId="33214" xr:uid="{00000000-0005-0000-0000-00008C7E0000}"/>
    <cellStyle name="Total 2 8 2 2 11" xfId="33215" xr:uid="{00000000-0005-0000-0000-00008D7E0000}"/>
    <cellStyle name="Total 2 8 2 2 12" xfId="33216" xr:uid="{00000000-0005-0000-0000-00008E7E0000}"/>
    <cellStyle name="Total 2 8 2 2 13" xfId="33217" xr:uid="{00000000-0005-0000-0000-00008F7E0000}"/>
    <cellStyle name="Total 2 8 2 2 14" xfId="33218" xr:uid="{00000000-0005-0000-0000-0000907E0000}"/>
    <cellStyle name="Total 2 8 2 2 15" xfId="33219" xr:uid="{00000000-0005-0000-0000-0000917E0000}"/>
    <cellStyle name="Total 2 8 2 2 16" xfId="33220" xr:uid="{00000000-0005-0000-0000-0000927E0000}"/>
    <cellStyle name="Total 2 8 2 2 2" xfId="33221" xr:uid="{00000000-0005-0000-0000-0000937E0000}"/>
    <cellStyle name="Total 2 8 2 2 3" xfId="33222" xr:uid="{00000000-0005-0000-0000-0000947E0000}"/>
    <cellStyle name="Total 2 8 2 2 4" xfId="33223" xr:uid="{00000000-0005-0000-0000-0000957E0000}"/>
    <cellStyle name="Total 2 8 2 2 5" xfId="33224" xr:uid="{00000000-0005-0000-0000-0000967E0000}"/>
    <cellStyle name="Total 2 8 2 2 6" xfId="33225" xr:uid="{00000000-0005-0000-0000-0000977E0000}"/>
    <cellStyle name="Total 2 8 2 2 7" xfId="33226" xr:uid="{00000000-0005-0000-0000-0000987E0000}"/>
    <cellStyle name="Total 2 8 2 2 8" xfId="33227" xr:uid="{00000000-0005-0000-0000-0000997E0000}"/>
    <cellStyle name="Total 2 8 2 2 9" xfId="33228" xr:uid="{00000000-0005-0000-0000-00009A7E0000}"/>
    <cellStyle name="Total 2 8 2 3" xfId="33229" xr:uid="{00000000-0005-0000-0000-00009B7E0000}"/>
    <cellStyle name="Total 2 8 2 3 10" xfId="33230" xr:uid="{00000000-0005-0000-0000-00009C7E0000}"/>
    <cellStyle name="Total 2 8 2 3 11" xfId="33231" xr:uid="{00000000-0005-0000-0000-00009D7E0000}"/>
    <cellStyle name="Total 2 8 2 3 12" xfId="33232" xr:uid="{00000000-0005-0000-0000-00009E7E0000}"/>
    <cellStyle name="Total 2 8 2 3 13" xfId="33233" xr:uid="{00000000-0005-0000-0000-00009F7E0000}"/>
    <cellStyle name="Total 2 8 2 3 14" xfId="33234" xr:uid="{00000000-0005-0000-0000-0000A07E0000}"/>
    <cellStyle name="Total 2 8 2 3 15" xfId="33235" xr:uid="{00000000-0005-0000-0000-0000A17E0000}"/>
    <cellStyle name="Total 2 8 2 3 16" xfId="33236" xr:uid="{00000000-0005-0000-0000-0000A27E0000}"/>
    <cellStyle name="Total 2 8 2 3 2" xfId="33237" xr:uid="{00000000-0005-0000-0000-0000A37E0000}"/>
    <cellStyle name="Total 2 8 2 3 3" xfId="33238" xr:uid="{00000000-0005-0000-0000-0000A47E0000}"/>
    <cellStyle name="Total 2 8 2 3 4" xfId="33239" xr:uid="{00000000-0005-0000-0000-0000A57E0000}"/>
    <cellStyle name="Total 2 8 2 3 5" xfId="33240" xr:uid="{00000000-0005-0000-0000-0000A67E0000}"/>
    <cellStyle name="Total 2 8 2 3 6" xfId="33241" xr:uid="{00000000-0005-0000-0000-0000A77E0000}"/>
    <cellStyle name="Total 2 8 2 3 7" xfId="33242" xr:uid="{00000000-0005-0000-0000-0000A87E0000}"/>
    <cellStyle name="Total 2 8 2 3 8" xfId="33243" xr:uid="{00000000-0005-0000-0000-0000A97E0000}"/>
    <cellStyle name="Total 2 8 2 3 9" xfId="33244" xr:uid="{00000000-0005-0000-0000-0000AA7E0000}"/>
    <cellStyle name="Total 2 8 2 4" xfId="33245" xr:uid="{00000000-0005-0000-0000-0000AB7E0000}"/>
    <cellStyle name="Total 2 8 2 4 10" xfId="33246" xr:uid="{00000000-0005-0000-0000-0000AC7E0000}"/>
    <cellStyle name="Total 2 8 2 4 11" xfId="33247" xr:uid="{00000000-0005-0000-0000-0000AD7E0000}"/>
    <cellStyle name="Total 2 8 2 4 12" xfId="33248" xr:uid="{00000000-0005-0000-0000-0000AE7E0000}"/>
    <cellStyle name="Total 2 8 2 4 13" xfId="33249" xr:uid="{00000000-0005-0000-0000-0000AF7E0000}"/>
    <cellStyle name="Total 2 8 2 4 14" xfId="33250" xr:uid="{00000000-0005-0000-0000-0000B07E0000}"/>
    <cellStyle name="Total 2 8 2 4 15" xfId="33251" xr:uid="{00000000-0005-0000-0000-0000B17E0000}"/>
    <cellStyle name="Total 2 8 2 4 16" xfId="33252" xr:uid="{00000000-0005-0000-0000-0000B27E0000}"/>
    <cellStyle name="Total 2 8 2 4 2" xfId="33253" xr:uid="{00000000-0005-0000-0000-0000B37E0000}"/>
    <cellStyle name="Total 2 8 2 4 3" xfId="33254" xr:uid="{00000000-0005-0000-0000-0000B47E0000}"/>
    <cellStyle name="Total 2 8 2 4 4" xfId="33255" xr:uid="{00000000-0005-0000-0000-0000B57E0000}"/>
    <cellStyle name="Total 2 8 2 4 5" xfId="33256" xr:uid="{00000000-0005-0000-0000-0000B67E0000}"/>
    <cellStyle name="Total 2 8 2 4 6" xfId="33257" xr:uid="{00000000-0005-0000-0000-0000B77E0000}"/>
    <cellStyle name="Total 2 8 2 4 7" xfId="33258" xr:uid="{00000000-0005-0000-0000-0000B87E0000}"/>
    <cellStyle name="Total 2 8 2 4 8" xfId="33259" xr:uid="{00000000-0005-0000-0000-0000B97E0000}"/>
    <cellStyle name="Total 2 8 2 4 9" xfId="33260" xr:uid="{00000000-0005-0000-0000-0000BA7E0000}"/>
    <cellStyle name="Total 2 8 2 5" xfId="33261" xr:uid="{00000000-0005-0000-0000-0000BB7E0000}"/>
    <cellStyle name="Total 2 8 2 6" xfId="33262" xr:uid="{00000000-0005-0000-0000-0000BC7E0000}"/>
    <cellStyle name="Total 2 8 2 7" xfId="33263" xr:uid="{00000000-0005-0000-0000-0000BD7E0000}"/>
    <cellStyle name="Total 2 8 2 8" xfId="33264" xr:uid="{00000000-0005-0000-0000-0000BE7E0000}"/>
    <cellStyle name="Total 2 8 2 9" xfId="33265" xr:uid="{00000000-0005-0000-0000-0000BF7E0000}"/>
    <cellStyle name="Total 2 8 20" xfId="33266" xr:uid="{00000000-0005-0000-0000-0000C07E0000}"/>
    <cellStyle name="Total 2 8 3" xfId="33267" xr:uid="{00000000-0005-0000-0000-0000C17E0000}"/>
    <cellStyle name="Total 2 8 3 10" xfId="33268" xr:uid="{00000000-0005-0000-0000-0000C27E0000}"/>
    <cellStyle name="Total 2 8 3 11" xfId="33269" xr:uid="{00000000-0005-0000-0000-0000C37E0000}"/>
    <cellStyle name="Total 2 8 3 12" xfId="33270" xr:uid="{00000000-0005-0000-0000-0000C47E0000}"/>
    <cellStyle name="Total 2 8 3 13" xfId="33271" xr:uid="{00000000-0005-0000-0000-0000C57E0000}"/>
    <cellStyle name="Total 2 8 3 14" xfId="33272" xr:uid="{00000000-0005-0000-0000-0000C67E0000}"/>
    <cellStyle name="Total 2 8 3 15" xfId="33273" xr:uid="{00000000-0005-0000-0000-0000C77E0000}"/>
    <cellStyle name="Total 2 8 3 16" xfId="33274" xr:uid="{00000000-0005-0000-0000-0000C87E0000}"/>
    <cellStyle name="Total 2 8 3 2" xfId="33275" xr:uid="{00000000-0005-0000-0000-0000C97E0000}"/>
    <cellStyle name="Total 2 8 3 3" xfId="33276" xr:uid="{00000000-0005-0000-0000-0000CA7E0000}"/>
    <cellStyle name="Total 2 8 3 4" xfId="33277" xr:uid="{00000000-0005-0000-0000-0000CB7E0000}"/>
    <cellStyle name="Total 2 8 3 5" xfId="33278" xr:uid="{00000000-0005-0000-0000-0000CC7E0000}"/>
    <cellStyle name="Total 2 8 3 6" xfId="33279" xr:uid="{00000000-0005-0000-0000-0000CD7E0000}"/>
    <cellStyle name="Total 2 8 3 7" xfId="33280" xr:uid="{00000000-0005-0000-0000-0000CE7E0000}"/>
    <cellStyle name="Total 2 8 3 8" xfId="33281" xr:uid="{00000000-0005-0000-0000-0000CF7E0000}"/>
    <cellStyle name="Total 2 8 3 9" xfId="33282" xr:uid="{00000000-0005-0000-0000-0000D07E0000}"/>
    <cellStyle name="Total 2 8 4" xfId="33283" xr:uid="{00000000-0005-0000-0000-0000D17E0000}"/>
    <cellStyle name="Total 2 8 4 10" xfId="33284" xr:uid="{00000000-0005-0000-0000-0000D27E0000}"/>
    <cellStyle name="Total 2 8 4 11" xfId="33285" xr:uid="{00000000-0005-0000-0000-0000D37E0000}"/>
    <cellStyle name="Total 2 8 4 12" xfId="33286" xr:uid="{00000000-0005-0000-0000-0000D47E0000}"/>
    <cellStyle name="Total 2 8 4 13" xfId="33287" xr:uid="{00000000-0005-0000-0000-0000D57E0000}"/>
    <cellStyle name="Total 2 8 4 14" xfId="33288" xr:uid="{00000000-0005-0000-0000-0000D67E0000}"/>
    <cellStyle name="Total 2 8 4 15" xfId="33289" xr:uid="{00000000-0005-0000-0000-0000D77E0000}"/>
    <cellStyle name="Total 2 8 4 16" xfId="33290" xr:uid="{00000000-0005-0000-0000-0000D87E0000}"/>
    <cellStyle name="Total 2 8 4 2" xfId="33291" xr:uid="{00000000-0005-0000-0000-0000D97E0000}"/>
    <cellStyle name="Total 2 8 4 3" xfId="33292" xr:uid="{00000000-0005-0000-0000-0000DA7E0000}"/>
    <cellStyle name="Total 2 8 4 4" xfId="33293" xr:uid="{00000000-0005-0000-0000-0000DB7E0000}"/>
    <cellStyle name="Total 2 8 4 5" xfId="33294" xr:uid="{00000000-0005-0000-0000-0000DC7E0000}"/>
    <cellStyle name="Total 2 8 4 6" xfId="33295" xr:uid="{00000000-0005-0000-0000-0000DD7E0000}"/>
    <cellStyle name="Total 2 8 4 7" xfId="33296" xr:uid="{00000000-0005-0000-0000-0000DE7E0000}"/>
    <cellStyle name="Total 2 8 4 8" xfId="33297" xr:uid="{00000000-0005-0000-0000-0000DF7E0000}"/>
    <cellStyle name="Total 2 8 4 9" xfId="33298" xr:uid="{00000000-0005-0000-0000-0000E07E0000}"/>
    <cellStyle name="Total 2 8 5" xfId="33299" xr:uid="{00000000-0005-0000-0000-0000E17E0000}"/>
    <cellStyle name="Total 2 8 5 10" xfId="33300" xr:uid="{00000000-0005-0000-0000-0000E27E0000}"/>
    <cellStyle name="Total 2 8 5 11" xfId="33301" xr:uid="{00000000-0005-0000-0000-0000E37E0000}"/>
    <cellStyle name="Total 2 8 5 12" xfId="33302" xr:uid="{00000000-0005-0000-0000-0000E47E0000}"/>
    <cellStyle name="Total 2 8 5 13" xfId="33303" xr:uid="{00000000-0005-0000-0000-0000E57E0000}"/>
    <cellStyle name="Total 2 8 5 14" xfId="33304" xr:uid="{00000000-0005-0000-0000-0000E67E0000}"/>
    <cellStyle name="Total 2 8 5 15" xfId="33305" xr:uid="{00000000-0005-0000-0000-0000E77E0000}"/>
    <cellStyle name="Total 2 8 5 16" xfId="33306" xr:uid="{00000000-0005-0000-0000-0000E87E0000}"/>
    <cellStyle name="Total 2 8 5 2" xfId="33307" xr:uid="{00000000-0005-0000-0000-0000E97E0000}"/>
    <cellStyle name="Total 2 8 5 3" xfId="33308" xr:uid="{00000000-0005-0000-0000-0000EA7E0000}"/>
    <cellStyle name="Total 2 8 5 4" xfId="33309" xr:uid="{00000000-0005-0000-0000-0000EB7E0000}"/>
    <cellStyle name="Total 2 8 5 5" xfId="33310" xr:uid="{00000000-0005-0000-0000-0000EC7E0000}"/>
    <cellStyle name="Total 2 8 5 6" xfId="33311" xr:uid="{00000000-0005-0000-0000-0000ED7E0000}"/>
    <cellStyle name="Total 2 8 5 7" xfId="33312" xr:uid="{00000000-0005-0000-0000-0000EE7E0000}"/>
    <cellStyle name="Total 2 8 5 8" xfId="33313" xr:uid="{00000000-0005-0000-0000-0000EF7E0000}"/>
    <cellStyle name="Total 2 8 5 9" xfId="33314" xr:uid="{00000000-0005-0000-0000-0000F07E0000}"/>
    <cellStyle name="Total 2 8 6" xfId="33315" xr:uid="{00000000-0005-0000-0000-0000F17E0000}"/>
    <cellStyle name="Total 2 8 7" xfId="33316" xr:uid="{00000000-0005-0000-0000-0000F27E0000}"/>
    <cellStyle name="Total 2 8 8" xfId="33317" xr:uid="{00000000-0005-0000-0000-0000F37E0000}"/>
    <cellStyle name="Total 2 8 9" xfId="33318" xr:uid="{00000000-0005-0000-0000-0000F47E0000}"/>
    <cellStyle name="Total 2 8_CORRECTED COPY OF rA 5" xfId="33319" xr:uid="{00000000-0005-0000-0000-0000F57E0000}"/>
    <cellStyle name="Total 2 9" xfId="33320" xr:uid="{00000000-0005-0000-0000-0000F67E0000}"/>
    <cellStyle name="Total 2 9 10" xfId="33321" xr:uid="{00000000-0005-0000-0000-0000F77E0000}"/>
    <cellStyle name="Total 2 9 11" xfId="33322" xr:uid="{00000000-0005-0000-0000-0000F87E0000}"/>
    <cellStyle name="Total 2 9 12" xfId="33323" xr:uid="{00000000-0005-0000-0000-0000F97E0000}"/>
    <cellStyle name="Total 2 9 13" xfId="33324" xr:uid="{00000000-0005-0000-0000-0000FA7E0000}"/>
    <cellStyle name="Total 2 9 14" xfId="33325" xr:uid="{00000000-0005-0000-0000-0000FB7E0000}"/>
    <cellStyle name="Total 2 9 15" xfId="33326" xr:uid="{00000000-0005-0000-0000-0000FC7E0000}"/>
    <cellStyle name="Total 2 9 16" xfId="33327" xr:uid="{00000000-0005-0000-0000-0000FD7E0000}"/>
    <cellStyle name="Total 2 9 17" xfId="33328" xr:uid="{00000000-0005-0000-0000-0000FE7E0000}"/>
    <cellStyle name="Total 2 9 18" xfId="33329" xr:uid="{00000000-0005-0000-0000-0000FF7E0000}"/>
    <cellStyle name="Total 2 9 19" xfId="33330" xr:uid="{00000000-0005-0000-0000-0000007F0000}"/>
    <cellStyle name="Total 2 9 2" xfId="33331" xr:uid="{00000000-0005-0000-0000-0000017F0000}"/>
    <cellStyle name="Total 2 9 2 10" xfId="33332" xr:uid="{00000000-0005-0000-0000-0000027F0000}"/>
    <cellStyle name="Total 2 9 2 11" xfId="33333" xr:uid="{00000000-0005-0000-0000-0000037F0000}"/>
    <cellStyle name="Total 2 9 2 12" xfId="33334" xr:uid="{00000000-0005-0000-0000-0000047F0000}"/>
    <cellStyle name="Total 2 9 2 13" xfId="33335" xr:uid="{00000000-0005-0000-0000-0000057F0000}"/>
    <cellStyle name="Total 2 9 2 14" xfId="33336" xr:uid="{00000000-0005-0000-0000-0000067F0000}"/>
    <cellStyle name="Total 2 9 2 15" xfId="33337" xr:uid="{00000000-0005-0000-0000-0000077F0000}"/>
    <cellStyle name="Total 2 9 2 16" xfId="33338" xr:uid="{00000000-0005-0000-0000-0000087F0000}"/>
    <cellStyle name="Total 2 9 2 17" xfId="33339" xr:uid="{00000000-0005-0000-0000-0000097F0000}"/>
    <cellStyle name="Total 2 9 2 18" xfId="33340" xr:uid="{00000000-0005-0000-0000-00000A7F0000}"/>
    <cellStyle name="Total 2 9 2 19" xfId="33341" xr:uid="{00000000-0005-0000-0000-00000B7F0000}"/>
    <cellStyle name="Total 2 9 2 2" xfId="33342" xr:uid="{00000000-0005-0000-0000-00000C7F0000}"/>
    <cellStyle name="Total 2 9 2 2 10" xfId="33343" xr:uid="{00000000-0005-0000-0000-00000D7F0000}"/>
    <cellStyle name="Total 2 9 2 2 11" xfId="33344" xr:uid="{00000000-0005-0000-0000-00000E7F0000}"/>
    <cellStyle name="Total 2 9 2 2 12" xfId="33345" xr:uid="{00000000-0005-0000-0000-00000F7F0000}"/>
    <cellStyle name="Total 2 9 2 2 13" xfId="33346" xr:uid="{00000000-0005-0000-0000-0000107F0000}"/>
    <cellStyle name="Total 2 9 2 2 14" xfId="33347" xr:uid="{00000000-0005-0000-0000-0000117F0000}"/>
    <cellStyle name="Total 2 9 2 2 15" xfId="33348" xr:uid="{00000000-0005-0000-0000-0000127F0000}"/>
    <cellStyle name="Total 2 9 2 2 16" xfId="33349" xr:uid="{00000000-0005-0000-0000-0000137F0000}"/>
    <cellStyle name="Total 2 9 2 2 2" xfId="33350" xr:uid="{00000000-0005-0000-0000-0000147F0000}"/>
    <cellStyle name="Total 2 9 2 2 3" xfId="33351" xr:uid="{00000000-0005-0000-0000-0000157F0000}"/>
    <cellStyle name="Total 2 9 2 2 4" xfId="33352" xr:uid="{00000000-0005-0000-0000-0000167F0000}"/>
    <cellStyle name="Total 2 9 2 2 5" xfId="33353" xr:uid="{00000000-0005-0000-0000-0000177F0000}"/>
    <cellStyle name="Total 2 9 2 2 6" xfId="33354" xr:uid="{00000000-0005-0000-0000-0000187F0000}"/>
    <cellStyle name="Total 2 9 2 2 7" xfId="33355" xr:uid="{00000000-0005-0000-0000-0000197F0000}"/>
    <cellStyle name="Total 2 9 2 2 8" xfId="33356" xr:uid="{00000000-0005-0000-0000-00001A7F0000}"/>
    <cellStyle name="Total 2 9 2 2 9" xfId="33357" xr:uid="{00000000-0005-0000-0000-00001B7F0000}"/>
    <cellStyle name="Total 2 9 2 3" xfId="33358" xr:uid="{00000000-0005-0000-0000-00001C7F0000}"/>
    <cellStyle name="Total 2 9 2 3 10" xfId="33359" xr:uid="{00000000-0005-0000-0000-00001D7F0000}"/>
    <cellStyle name="Total 2 9 2 3 11" xfId="33360" xr:uid="{00000000-0005-0000-0000-00001E7F0000}"/>
    <cellStyle name="Total 2 9 2 3 12" xfId="33361" xr:uid="{00000000-0005-0000-0000-00001F7F0000}"/>
    <cellStyle name="Total 2 9 2 3 13" xfId="33362" xr:uid="{00000000-0005-0000-0000-0000207F0000}"/>
    <cellStyle name="Total 2 9 2 3 14" xfId="33363" xr:uid="{00000000-0005-0000-0000-0000217F0000}"/>
    <cellStyle name="Total 2 9 2 3 15" xfId="33364" xr:uid="{00000000-0005-0000-0000-0000227F0000}"/>
    <cellStyle name="Total 2 9 2 3 16" xfId="33365" xr:uid="{00000000-0005-0000-0000-0000237F0000}"/>
    <cellStyle name="Total 2 9 2 3 2" xfId="33366" xr:uid="{00000000-0005-0000-0000-0000247F0000}"/>
    <cellStyle name="Total 2 9 2 3 3" xfId="33367" xr:uid="{00000000-0005-0000-0000-0000257F0000}"/>
    <cellStyle name="Total 2 9 2 3 4" xfId="33368" xr:uid="{00000000-0005-0000-0000-0000267F0000}"/>
    <cellStyle name="Total 2 9 2 3 5" xfId="33369" xr:uid="{00000000-0005-0000-0000-0000277F0000}"/>
    <cellStyle name="Total 2 9 2 3 6" xfId="33370" xr:uid="{00000000-0005-0000-0000-0000287F0000}"/>
    <cellStyle name="Total 2 9 2 3 7" xfId="33371" xr:uid="{00000000-0005-0000-0000-0000297F0000}"/>
    <cellStyle name="Total 2 9 2 3 8" xfId="33372" xr:uid="{00000000-0005-0000-0000-00002A7F0000}"/>
    <cellStyle name="Total 2 9 2 3 9" xfId="33373" xr:uid="{00000000-0005-0000-0000-00002B7F0000}"/>
    <cellStyle name="Total 2 9 2 4" xfId="33374" xr:uid="{00000000-0005-0000-0000-00002C7F0000}"/>
    <cellStyle name="Total 2 9 2 4 10" xfId="33375" xr:uid="{00000000-0005-0000-0000-00002D7F0000}"/>
    <cellStyle name="Total 2 9 2 4 11" xfId="33376" xr:uid="{00000000-0005-0000-0000-00002E7F0000}"/>
    <cellStyle name="Total 2 9 2 4 12" xfId="33377" xr:uid="{00000000-0005-0000-0000-00002F7F0000}"/>
    <cellStyle name="Total 2 9 2 4 13" xfId="33378" xr:uid="{00000000-0005-0000-0000-0000307F0000}"/>
    <cellStyle name="Total 2 9 2 4 14" xfId="33379" xr:uid="{00000000-0005-0000-0000-0000317F0000}"/>
    <cellStyle name="Total 2 9 2 4 15" xfId="33380" xr:uid="{00000000-0005-0000-0000-0000327F0000}"/>
    <cellStyle name="Total 2 9 2 4 16" xfId="33381" xr:uid="{00000000-0005-0000-0000-0000337F0000}"/>
    <cellStyle name="Total 2 9 2 4 2" xfId="33382" xr:uid="{00000000-0005-0000-0000-0000347F0000}"/>
    <cellStyle name="Total 2 9 2 4 3" xfId="33383" xr:uid="{00000000-0005-0000-0000-0000357F0000}"/>
    <cellStyle name="Total 2 9 2 4 4" xfId="33384" xr:uid="{00000000-0005-0000-0000-0000367F0000}"/>
    <cellStyle name="Total 2 9 2 4 5" xfId="33385" xr:uid="{00000000-0005-0000-0000-0000377F0000}"/>
    <cellStyle name="Total 2 9 2 4 6" xfId="33386" xr:uid="{00000000-0005-0000-0000-0000387F0000}"/>
    <cellStyle name="Total 2 9 2 4 7" xfId="33387" xr:uid="{00000000-0005-0000-0000-0000397F0000}"/>
    <cellStyle name="Total 2 9 2 4 8" xfId="33388" xr:uid="{00000000-0005-0000-0000-00003A7F0000}"/>
    <cellStyle name="Total 2 9 2 4 9" xfId="33389" xr:uid="{00000000-0005-0000-0000-00003B7F0000}"/>
    <cellStyle name="Total 2 9 2 5" xfId="33390" xr:uid="{00000000-0005-0000-0000-00003C7F0000}"/>
    <cellStyle name="Total 2 9 2 6" xfId="33391" xr:uid="{00000000-0005-0000-0000-00003D7F0000}"/>
    <cellStyle name="Total 2 9 2 7" xfId="33392" xr:uid="{00000000-0005-0000-0000-00003E7F0000}"/>
    <cellStyle name="Total 2 9 2 8" xfId="33393" xr:uid="{00000000-0005-0000-0000-00003F7F0000}"/>
    <cellStyle name="Total 2 9 2 9" xfId="33394" xr:uid="{00000000-0005-0000-0000-0000407F0000}"/>
    <cellStyle name="Total 2 9 20" xfId="33395" xr:uid="{00000000-0005-0000-0000-0000417F0000}"/>
    <cellStyle name="Total 2 9 3" xfId="33396" xr:uid="{00000000-0005-0000-0000-0000427F0000}"/>
    <cellStyle name="Total 2 9 3 10" xfId="33397" xr:uid="{00000000-0005-0000-0000-0000437F0000}"/>
    <cellStyle name="Total 2 9 3 11" xfId="33398" xr:uid="{00000000-0005-0000-0000-0000447F0000}"/>
    <cellStyle name="Total 2 9 3 12" xfId="33399" xr:uid="{00000000-0005-0000-0000-0000457F0000}"/>
    <cellStyle name="Total 2 9 3 13" xfId="33400" xr:uid="{00000000-0005-0000-0000-0000467F0000}"/>
    <cellStyle name="Total 2 9 3 14" xfId="33401" xr:uid="{00000000-0005-0000-0000-0000477F0000}"/>
    <cellStyle name="Total 2 9 3 15" xfId="33402" xr:uid="{00000000-0005-0000-0000-0000487F0000}"/>
    <cellStyle name="Total 2 9 3 16" xfId="33403" xr:uid="{00000000-0005-0000-0000-0000497F0000}"/>
    <cellStyle name="Total 2 9 3 2" xfId="33404" xr:uid="{00000000-0005-0000-0000-00004A7F0000}"/>
    <cellStyle name="Total 2 9 3 3" xfId="33405" xr:uid="{00000000-0005-0000-0000-00004B7F0000}"/>
    <cellStyle name="Total 2 9 3 4" xfId="33406" xr:uid="{00000000-0005-0000-0000-00004C7F0000}"/>
    <cellStyle name="Total 2 9 3 5" xfId="33407" xr:uid="{00000000-0005-0000-0000-00004D7F0000}"/>
    <cellStyle name="Total 2 9 3 6" xfId="33408" xr:uid="{00000000-0005-0000-0000-00004E7F0000}"/>
    <cellStyle name="Total 2 9 3 7" xfId="33409" xr:uid="{00000000-0005-0000-0000-00004F7F0000}"/>
    <cellStyle name="Total 2 9 3 8" xfId="33410" xr:uid="{00000000-0005-0000-0000-0000507F0000}"/>
    <cellStyle name="Total 2 9 3 9" xfId="33411" xr:uid="{00000000-0005-0000-0000-0000517F0000}"/>
    <cellStyle name="Total 2 9 4" xfId="33412" xr:uid="{00000000-0005-0000-0000-0000527F0000}"/>
    <cellStyle name="Total 2 9 4 10" xfId="33413" xr:uid="{00000000-0005-0000-0000-0000537F0000}"/>
    <cellStyle name="Total 2 9 4 11" xfId="33414" xr:uid="{00000000-0005-0000-0000-0000547F0000}"/>
    <cellStyle name="Total 2 9 4 12" xfId="33415" xr:uid="{00000000-0005-0000-0000-0000557F0000}"/>
    <cellStyle name="Total 2 9 4 13" xfId="33416" xr:uid="{00000000-0005-0000-0000-0000567F0000}"/>
    <cellStyle name="Total 2 9 4 14" xfId="33417" xr:uid="{00000000-0005-0000-0000-0000577F0000}"/>
    <cellStyle name="Total 2 9 4 15" xfId="33418" xr:uid="{00000000-0005-0000-0000-0000587F0000}"/>
    <cellStyle name="Total 2 9 4 16" xfId="33419" xr:uid="{00000000-0005-0000-0000-0000597F0000}"/>
    <cellStyle name="Total 2 9 4 2" xfId="33420" xr:uid="{00000000-0005-0000-0000-00005A7F0000}"/>
    <cellStyle name="Total 2 9 4 3" xfId="33421" xr:uid="{00000000-0005-0000-0000-00005B7F0000}"/>
    <cellStyle name="Total 2 9 4 4" xfId="33422" xr:uid="{00000000-0005-0000-0000-00005C7F0000}"/>
    <cellStyle name="Total 2 9 4 5" xfId="33423" xr:uid="{00000000-0005-0000-0000-00005D7F0000}"/>
    <cellStyle name="Total 2 9 4 6" xfId="33424" xr:uid="{00000000-0005-0000-0000-00005E7F0000}"/>
    <cellStyle name="Total 2 9 4 7" xfId="33425" xr:uid="{00000000-0005-0000-0000-00005F7F0000}"/>
    <cellStyle name="Total 2 9 4 8" xfId="33426" xr:uid="{00000000-0005-0000-0000-0000607F0000}"/>
    <cellStyle name="Total 2 9 4 9" xfId="33427" xr:uid="{00000000-0005-0000-0000-0000617F0000}"/>
    <cellStyle name="Total 2 9 5" xfId="33428" xr:uid="{00000000-0005-0000-0000-0000627F0000}"/>
    <cellStyle name="Total 2 9 5 10" xfId="33429" xr:uid="{00000000-0005-0000-0000-0000637F0000}"/>
    <cellStyle name="Total 2 9 5 11" xfId="33430" xr:uid="{00000000-0005-0000-0000-0000647F0000}"/>
    <cellStyle name="Total 2 9 5 12" xfId="33431" xr:uid="{00000000-0005-0000-0000-0000657F0000}"/>
    <cellStyle name="Total 2 9 5 13" xfId="33432" xr:uid="{00000000-0005-0000-0000-0000667F0000}"/>
    <cellStyle name="Total 2 9 5 14" xfId="33433" xr:uid="{00000000-0005-0000-0000-0000677F0000}"/>
    <cellStyle name="Total 2 9 5 15" xfId="33434" xr:uid="{00000000-0005-0000-0000-0000687F0000}"/>
    <cellStyle name="Total 2 9 5 16" xfId="33435" xr:uid="{00000000-0005-0000-0000-0000697F0000}"/>
    <cellStyle name="Total 2 9 5 2" xfId="33436" xr:uid="{00000000-0005-0000-0000-00006A7F0000}"/>
    <cellStyle name="Total 2 9 5 3" xfId="33437" xr:uid="{00000000-0005-0000-0000-00006B7F0000}"/>
    <cellStyle name="Total 2 9 5 4" xfId="33438" xr:uid="{00000000-0005-0000-0000-00006C7F0000}"/>
    <cellStyle name="Total 2 9 5 5" xfId="33439" xr:uid="{00000000-0005-0000-0000-00006D7F0000}"/>
    <cellStyle name="Total 2 9 5 6" xfId="33440" xr:uid="{00000000-0005-0000-0000-00006E7F0000}"/>
    <cellStyle name="Total 2 9 5 7" xfId="33441" xr:uid="{00000000-0005-0000-0000-00006F7F0000}"/>
    <cellStyle name="Total 2 9 5 8" xfId="33442" xr:uid="{00000000-0005-0000-0000-0000707F0000}"/>
    <cellStyle name="Total 2 9 5 9" xfId="33443" xr:uid="{00000000-0005-0000-0000-0000717F0000}"/>
    <cellStyle name="Total 2 9 6" xfId="33444" xr:uid="{00000000-0005-0000-0000-0000727F0000}"/>
    <cellStyle name="Total 2 9 7" xfId="33445" xr:uid="{00000000-0005-0000-0000-0000737F0000}"/>
    <cellStyle name="Total 2 9 8" xfId="33446" xr:uid="{00000000-0005-0000-0000-0000747F0000}"/>
    <cellStyle name="Total 2 9 9" xfId="33447" xr:uid="{00000000-0005-0000-0000-0000757F0000}"/>
    <cellStyle name="Total 2 9_CORRECTED COPY OF rA 5" xfId="33448" xr:uid="{00000000-0005-0000-0000-0000767F0000}"/>
    <cellStyle name="Total 2_CORRECTED COPY OF rA 5" xfId="33449" xr:uid="{00000000-0005-0000-0000-0000777F0000}"/>
    <cellStyle name="Total 3" xfId="33450" xr:uid="{00000000-0005-0000-0000-0000787F0000}"/>
    <cellStyle name="Total 4" xfId="33451" xr:uid="{00000000-0005-0000-0000-0000797F0000}"/>
    <cellStyle name="Total 5" xfId="33452" xr:uid="{00000000-0005-0000-0000-00007A7F0000}"/>
    <cellStyle name="totalbold" xfId="33453" xr:uid="{00000000-0005-0000-0000-00007B7F0000}"/>
    <cellStyle name="totalbold 10" xfId="33454" xr:uid="{00000000-0005-0000-0000-00007C7F0000}"/>
    <cellStyle name="totalbold 11" xfId="33455" xr:uid="{00000000-0005-0000-0000-00007D7F0000}"/>
    <cellStyle name="totalbold 12" xfId="33456" xr:uid="{00000000-0005-0000-0000-00007E7F0000}"/>
    <cellStyle name="totalbold 13" xfId="33457" xr:uid="{00000000-0005-0000-0000-00007F7F0000}"/>
    <cellStyle name="totalbold 14" xfId="33458" xr:uid="{00000000-0005-0000-0000-0000807F0000}"/>
    <cellStyle name="totalbold 15" xfId="33459" xr:uid="{00000000-0005-0000-0000-0000817F0000}"/>
    <cellStyle name="totalbold 16" xfId="33460" xr:uid="{00000000-0005-0000-0000-0000827F0000}"/>
    <cellStyle name="totalbold 2" xfId="33461" xr:uid="{00000000-0005-0000-0000-0000837F0000}"/>
    <cellStyle name="totalbold 3" xfId="33462" xr:uid="{00000000-0005-0000-0000-0000847F0000}"/>
    <cellStyle name="totalbold 4" xfId="33463" xr:uid="{00000000-0005-0000-0000-0000857F0000}"/>
    <cellStyle name="totalbold 5" xfId="33464" xr:uid="{00000000-0005-0000-0000-0000867F0000}"/>
    <cellStyle name="totalbold 6" xfId="33465" xr:uid="{00000000-0005-0000-0000-0000877F0000}"/>
    <cellStyle name="totalbold 7" xfId="33466" xr:uid="{00000000-0005-0000-0000-0000887F0000}"/>
    <cellStyle name="totalbold 8" xfId="33467" xr:uid="{00000000-0005-0000-0000-0000897F0000}"/>
    <cellStyle name="totalbold 9" xfId="33468" xr:uid="{00000000-0005-0000-0000-00008A7F0000}"/>
    <cellStyle name="TotCol - Style5" xfId="33469" xr:uid="{00000000-0005-0000-0000-00008B7F0000}"/>
    <cellStyle name="TotCol - Style5 10" xfId="33470" xr:uid="{00000000-0005-0000-0000-00008C7F0000}"/>
    <cellStyle name="TotCol - Style5 11" xfId="33471" xr:uid="{00000000-0005-0000-0000-00008D7F0000}"/>
    <cellStyle name="TotCol - Style5 12" xfId="33472" xr:uid="{00000000-0005-0000-0000-00008E7F0000}"/>
    <cellStyle name="TotCol - Style5 13" xfId="33473" xr:uid="{00000000-0005-0000-0000-00008F7F0000}"/>
    <cellStyle name="TotCol - Style5 14" xfId="33474" xr:uid="{00000000-0005-0000-0000-0000907F0000}"/>
    <cellStyle name="TotCol - Style5 15" xfId="33475" xr:uid="{00000000-0005-0000-0000-0000917F0000}"/>
    <cellStyle name="TotCol - Style5 16" xfId="33476" xr:uid="{00000000-0005-0000-0000-0000927F0000}"/>
    <cellStyle name="TotCol - Style5 2" xfId="33477" xr:uid="{00000000-0005-0000-0000-0000937F0000}"/>
    <cellStyle name="TotCol - Style5 3" xfId="33478" xr:uid="{00000000-0005-0000-0000-0000947F0000}"/>
    <cellStyle name="TotCol - Style5 4" xfId="33479" xr:uid="{00000000-0005-0000-0000-0000957F0000}"/>
    <cellStyle name="TotCol - Style5 5" xfId="33480" xr:uid="{00000000-0005-0000-0000-0000967F0000}"/>
    <cellStyle name="TotCol - Style5 6" xfId="33481" xr:uid="{00000000-0005-0000-0000-0000977F0000}"/>
    <cellStyle name="TotCol - Style5 7" xfId="33482" xr:uid="{00000000-0005-0000-0000-0000987F0000}"/>
    <cellStyle name="TotCol - Style5 8" xfId="33483" xr:uid="{00000000-0005-0000-0000-0000997F0000}"/>
    <cellStyle name="TotCol - Style5 9" xfId="33484" xr:uid="{00000000-0005-0000-0000-00009A7F0000}"/>
    <cellStyle name="TotRow - Style4" xfId="33485" xr:uid="{00000000-0005-0000-0000-00009B7F0000}"/>
    <cellStyle name="TotRow - Style4 10" xfId="33486" xr:uid="{00000000-0005-0000-0000-00009C7F0000}"/>
    <cellStyle name="TotRow - Style4 10 10" xfId="33487" xr:uid="{00000000-0005-0000-0000-00009D7F0000}"/>
    <cellStyle name="TotRow - Style4 10 11" xfId="33488" xr:uid="{00000000-0005-0000-0000-00009E7F0000}"/>
    <cellStyle name="TotRow - Style4 10 12" xfId="33489" xr:uid="{00000000-0005-0000-0000-00009F7F0000}"/>
    <cellStyle name="TotRow - Style4 10 13" xfId="33490" xr:uid="{00000000-0005-0000-0000-0000A07F0000}"/>
    <cellStyle name="TotRow - Style4 10 14" xfId="33491" xr:uid="{00000000-0005-0000-0000-0000A17F0000}"/>
    <cellStyle name="TotRow - Style4 10 15" xfId="33492" xr:uid="{00000000-0005-0000-0000-0000A27F0000}"/>
    <cellStyle name="TotRow - Style4 10 16" xfId="33493" xr:uid="{00000000-0005-0000-0000-0000A37F0000}"/>
    <cellStyle name="TotRow - Style4 10 17" xfId="33494" xr:uid="{00000000-0005-0000-0000-0000A47F0000}"/>
    <cellStyle name="TotRow - Style4 10 2" xfId="33495" xr:uid="{00000000-0005-0000-0000-0000A57F0000}"/>
    <cellStyle name="TotRow - Style4 10 2 10" xfId="33496" xr:uid="{00000000-0005-0000-0000-0000A67F0000}"/>
    <cellStyle name="TotRow - Style4 10 2 11" xfId="33497" xr:uid="{00000000-0005-0000-0000-0000A77F0000}"/>
    <cellStyle name="TotRow - Style4 10 2 12" xfId="33498" xr:uid="{00000000-0005-0000-0000-0000A87F0000}"/>
    <cellStyle name="TotRow - Style4 10 2 13" xfId="33499" xr:uid="{00000000-0005-0000-0000-0000A97F0000}"/>
    <cellStyle name="TotRow - Style4 10 2 14" xfId="33500" xr:uid="{00000000-0005-0000-0000-0000AA7F0000}"/>
    <cellStyle name="TotRow - Style4 10 2 15" xfId="33501" xr:uid="{00000000-0005-0000-0000-0000AB7F0000}"/>
    <cellStyle name="TotRow - Style4 10 2 16" xfId="33502" xr:uid="{00000000-0005-0000-0000-0000AC7F0000}"/>
    <cellStyle name="TotRow - Style4 10 2 2" xfId="33503" xr:uid="{00000000-0005-0000-0000-0000AD7F0000}"/>
    <cellStyle name="TotRow - Style4 10 2 3" xfId="33504" xr:uid="{00000000-0005-0000-0000-0000AE7F0000}"/>
    <cellStyle name="TotRow - Style4 10 2 4" xfId="33505" xr:uid="{00000000-0005-0000-0000-0000AF7F0000}"/>
    <cellStyle name="TotRow - Style4 10 2 5" xfId="33506" xr:uid="{00000000-0005-0000-0000-0000B07F0000}"/>
    <cellStyle name="TotRow - Style4 10 2 6" xfId="33507" xr:uid="{00000000-0005-0000-0000-0000B17F0000}"/>
    <cellStyle name="TotRow - Style4 10 2 7" xfId="33508" xr:uid="{00000000-0005-0000-0000-0000B27F0000}"/>
    <cellStyle name="TotRow - Style4 10 2 8" xfId="33509" xr:uid="{00000000-0005-0000-0000-0000B37F0000}"/>
    <cellStyle name="TotRow - Style4 10 2 9" xfId="33510" xr:uid="{00000000-0005-0000-0000-0000B47F0000}"/>
    <cellStyle name="TotRow - Style4 10 3" xfId="33511" xr:uid="{00000000-0005-0000-0000-0000B57F0000}"/>
    <cellStyle name="TotRow - Style4 10 4" xfId="33512" xr:uid="{00000000-0005-0000-0000-0000B67F0000}"/>
    <cellStyle name="TotRow - Style4 10 5" xfId="33513" xr:uid="{00000000-0005-0000-0000-0000B77F0000}"/>
    <cellStyle name="TotRow - Style4 10 6" xfId="33514" xr:uid="{00000000-0005-0000-0000-0000B87F0000}"/>
    <cellStyle name="TotRow - Style4 10 7" xfId="33515" xr:uid="{00000000-0005-0000-0000-0000B97F0000}"/>
    <cellStyle name="TotRow - Style4 10 8" xfId="33516" xr:uid="{00000000-0005-0000-0000-0000BA7F0000}"/>
    <cellStyle name="TotRow - Style4 10 9" xfId="33517" xr:uid="{00000000-0005-0000-0000-0000BB7F0000}"/>
    <cellStyle name="TotRow - Style4 11" xfId="33518" xr:uid="{00000000-0005-0000-0000-0000BC7F0000}"/>
    <cellStyle name="TotRow - Style4 11 10" xfId="33519" xr:uid="{00000000-0005-0000-0000-0000BD7F0000}"/>
    <cellStyle name="TotRow - Style4 11 11" xfId="33520" xr:uid="{00000000-0005-0000-0000-0000BE7F0000}"/>
    <cellStyle name="TotRow - Style4 11 12" xfId="33521" xr:uid="{00000000-0005-0000-0000-0000BF7F0000}"/>
    <cellStyle name="TotRow - Style4 11 13" xfId="33522" xr:uid="{00000000-0005-0000-0000-0000C07F0000}"/>
    <cellStyle name="TotRow - Style4 11 14" xfId="33523" xr:uid="{00000000-0005-0000-0000-0000C17F0000}"/>
    <cellStyle name="TotRow - Style4 11 15" xfId="33524" xr:uid="{00000000-0005-0000-0000-0000C27F0000}"/>
    <cellStyle name="TotRow - Style4 11 16" xfId="33525" xr:uid="{00000000-0005-0000-0000-0000C37F0000}"/>
    <cellStyle name="TotRow - Style4 11 17" xfId="33526" xr:uid="{00000000-0005-0000-0000-0000C47F0000}"/>
    <cellStyle name="TotRow - Style4 11 2" xfId="33527" xr:uid="{00000000-0005-0000-0000-0000C57F0000}"/>
    <cellStyle name="TotRow - Style4 11 2 10" xfId="33528" xr:uid="{00000000-0005-0000-0000-0000C67F0000}"/>
    <cellStyle name="TotRow - Style4 11 2 11" xfId="33529" xr:uid="{00000000-0005-0000-0000-0000C77F0000}"/>
    <cellStyle name="TotRow - Style4 11 2 12" xfId="33530" xr:uid="{00000000-0005-0000-0000-0000C87F0000}"/>
    <cellStyle name="TotRow - Style4 11 2 13" xfId="33531" xr:uid="{00000000-0005-0000-0000-0000C97F0000}"/>
    <cellStyle name="TotRow - Style4 11 2 14" xfId="33532" xr:uid="{00000000-0005-0000-0000-0000CA7F0000}"/>
    <cellStyle name="TotRow - Style4 11 2 15" xfId="33533" xr:uid="{00000000-0005-0000-0000-0000CB7F0000}"/>
    <cellStyle name="TotRow - Style4 11 2 16" xfId="33534" xr:uid="{00000000-0005-0000-0000-0000CC7F0000}"/>
    <cellStyle name="TotRow - Style4 11 2 2" xfId="33535" xr:uid="{00000000-0005-0000-0000-0000CD7F0000}"/>
    <cellStyle name="TotRow - Style4 11 2 3" xfId="33536" xr:uid="{00000000-0005-0000-0000-0000CE7F0000}"/>
    <cellStyle name="TotRow - Style4 11 2 4" xfId="33537" xr:uid="{00000000-0005-0000-0000-0000CF7F0000}"/>
    <cellStyle name="TotRow - Style4 11 2 5" xfId="33538" xr:uid="{00000000-0005-0000-0000-0000D07F0000}"/>
    <cellStyle name="TotRow - Style4 11 2 6" xfId="33539" xr:uid="{00000000-0005-0000-0000-0000D17F0000}"/>
    <cellStyle name="TotRow - Style4 11 2 7" xfId="33540" xr:uid="{00000000-0005-0000-0000-0000D27F0000}"/>
    <cellStyle name="TotRow - Style4 11 2 8" xfId="33541" xr:uid="{00000000-0005-0000-0000-0000D37F0000}"/>
    <cellStyle name="TotRow - Style4 11 2 9" xfId="33542" xr:uid="{00000000-0005-0000-0000-0000D47F0000}"/>
    <cellStyle name="TotRow - Style4 11 3" xfId="33543" xr:uid="{00000000-0005-0000-0000-0000D57F0000}"/>
    <cellStyle name="TotRow - Style4 11 4" xfId="33544" xr:uid="{00000000-0005-0000-0000-0000D67F0000}"/>
    <cellStyle name="TotRow - Style4 11 5" xfId="33545" xr:uid="{00000000-0005-0000-0000-0000D77F0000}"/>
    <cellStyle name="TotRow - Style4 11 6" xfId="33546" xr:uid="{00000000-0005-0000-0000-0000D87F0000}"/>
    <cellStyle name="TotRow - Style4 11 7" xfId="33547" xr:uid="{00000000-0005-0000-0000-0000D97F0000}"/>
    <cellStyle name="TotRow - Style4 11 8" xfId="33548" xr:uid="{00000000-0005-0000-0000-0000DA7F0000}"/>
    <cellStyle name="TotRow - Style4 11 9" xfId="33549" xr:uid="{00000000-0005-0000-0000-0000DB7F0000}"/>
    <cellStyle name="TotRow - Style4 12" xfId="33550" xr:uid="{00000000-0005-0000-0000-0000DC7F0000}"/>
    <cellStyle name="TotRow - Style4 12 10" xfId="33551" xr:uid="{00000000-0005-0000-0000-0000DD7F0000}"/>
    <cellStyle name="TotRow - Style4 12 11" xfId="33552" xr:uid="{00000000-0005-0000-0000-0000DE7F0000}"/>
    <cellStyle name="TotRow - Style4 12 12" xfId="33553" xr:uid="{00000000-0005-0000-0000-0000DF7F0000}"/>
    <cellStyle name="TotRow - Style4 12 13" xfId="33554" xr:uid="{00000000-0005-0000-0000-0000E07F0000}"/>
    <cellStyle name="TotRow - Style4 12 14" xfId="33555" xr:uid="{00000000-0005-0000-0000-0000E17F0000}"/>
    <cellStyle name="TotRow - Style4 12 15" xfId="33556" xr:uid="{00000000-0005-0000-0000-0000E27F0000}"/>
    <cellStyle name="TotRow - Style4 12 16" xfId="33557" xr:uid="{00000000-0005-0000-0000-0000E37F0000}"/>
    <cellStyle name="TotRow - Style4 12 17" xfId="33558" xr:uid="{00000000-0005-0000-0000-0000E47F0000}"/>
    <cellStyle name="TotRow - Style4 12 2" xfId="33559" xr:uid="{00000000-0005-0000-0000-0000E57F0000}"/>
    <cellStyle name="TotRow - Style4 12 2 10" xfId="33560" xr:uid="{00000000-0005-0000-0000-0000E67F0000}"/>
    <cellStyle name="TotRow - Style4 12 2 11" xfId="33561" xr:uid="{00000000-0005-0000-0000-0000E77F0000}"/>
    <cellStyle name="TotRow - Style4 12 2 12" xfId="33562" xr:uid="{00000000-0005-0000-0000-0000E87F0000}"/>
    <cellStyle name="TotRow - Style4 12 2 13" xfId="33563" xr:uid="{00000000-0005-0000-0000-0000E97F0000}"/>
    <cellStyle name="TotRow - Style4 12 2 14" xfId="33564" xr:uid="{00000000-0005-0000-0000-0000EA7F0000}"/>
    <cellStyle name="TotRow - Style4 12 2 15" xfId="33565" xr:uid="{00000000-0005-0000-0000-0000EB7F0000}"/>
    <cellStyle name="TotRow - Style4 12 2 16" xfId="33566" xr:uid="{00000000-0005-0000-0000-0000EC7F0000}"/>
    <cellStyle name="TotRow - Style4 12 2 2" xfId="33567" xr:uid="{00000000-0005-0000-0000-0000ED7F0000}"/>
    <cellStyle name="TotRow - Style4 12 2 3" xfId="33568" xr:uid="{00000000-0005-0000-0000-0000EE7F0000}"/>
    <cellStyle name="TotRow - Style4 12 2 4" xfId="33569" xr:uid="{00000000-0005-0000-0000-0000EF7F0000}"/>
    <cellStyle name="TotRow - Style4 12 2 5" xfId="33570" xr:uid="{00000000-0005-0000-0000-0000F07F0000}"/>
    <cellStyle name="TotRow - Style4 12 2 6" xfId="33571" xr:uid="{00000000-0005-0000-0000-0000F17F0000}"/>
    <cellStyle name="TotRow - Style4 12 2 7" xfId="33572" xr:uid="{00000000-0005-0000-0000-0000F27F0000}"/>
    <cellStyle name="TotRow - Style4 12 2 8" xfId="33573" xr:uid="{00000000-0005-0000-0000-0000F37F0000}"/>
    <cellStyle name="TotRow - Style4 12 2 9" xfId="33574" xr:uid="{00000000-0005-0000-0000-0000F47F0000}"/>
    <cellStyle name="TotRow - Style4 12 3" xfId="33575" xr:uid="{00000000-0005-0000-0000-0000F57F0000}"/>
    <cellStyle name="TotRow - Style4 12 4" xfId="33576" xr:uid="{00000000-0005-0000-0000-0000F67F0000}"/>
    <cellStyle name="TotRow - Style4 12 5" xfId="33577" xr:uid="{00000000-0005-0000-0000-0000F77F0000}"/>
    <cellStyle name="TotRow - Style4 12 6" xfId="33578" xr:uid="{00000000-0005-0000-0000-0000F87F0000}"/>
    <cellStyle name="TotRow - Style4 12 7" xfId="33579" xr:uid="{00000000-0005-0000-0000-0000F97F0000}"/>
    <cellStyle name="TotRow - Style4 12 8" xfId="33580" xr:uid="{00000000-0005-0000-0000-0000FA7F0000}"/>
    <cellStyle name="TotRow - Style4 12 9" xfId="33581" xr:uid="{00000000-0005-0000-0000-0000FB7F0000}"/>
    <cellStyle name="TotRow - Style4 13" xfId="33582" xr:uid="{00000000-0005-0000-0000-0000FC7F0000}"/>
    <cellStyle name="TotRow - Style4 13 10" xfId="33583" xr:uid="{00000000-0005-0000-0000-0000FD7F0000}"/>
    <cellStyle name="TotRow - Style4 13 11" xfId="33584" xr:uid="{00000000-0005-0000-0000-0000FE7F0000}"/>
    <cellStyle name="TotRow - Style4 13 12" xfId="33585" xr:uid="{00000000-0005-0000-0000-0000FF7F0000}"/>
    <cellStyle name="TotRow - Style4 13 13" xfId="33586" xr:uid="{00000000-0005-0000-0000-000000800000}"/>
    <cellStyle name="TotRow - Style4 13 14" xfId="33587" xr:uid="{00000000-0005-0000-0000-000001800000}"/>
    <cellStyle name="TotRow - Style4 13 15" xfId="33588" xr:uid="{00000000-0005-0000-0000-000002800000}"/>
    <cellStyle name="TotRow - Style4 13 16" xfId="33589" xr:uid="{00000000-0005-0000-0000-000003800000}"/>
    <cellStyle name="TotRow - Style4 13 17" xfId="33590" xr:uid="{00000000-0005-0000-0000-000004800000}"/>
    <cellStyle name="TotRow - Style4 13 2" xfId="33591" xr:uid="{00000000-0005-0000-0000-000005800000}"/>
    <cellStyle name="TotRow - Style4 13 2 10" xfId="33592" xr:uid="{00000000-0005-0000-0000-000006800000}"/>
    <cellStyle name="TotRow - Style4 13 2 11" xfId="33593" xr:uid="{00000000-0005-0000-0000-000007800000}"/>
    <cellStyle name="TotRow - Style4 13 2 12" xfId="33594" xr:uid="{00000000-0005-0000-0000-000008800000}"/>
    <cellStyle name="TotRow - Style4 13 2 13" xfId="33595" xr:uid="{00000000-0005-0000-0000-000009800000}"/>
    <cellStyle name="TotRow - Style4 13 2 14" xfId="33596" xr:uid="{00000000-0005-0000-0000-00000A800000}"/>
    <cellStyle name="TotRow - Style4 13 2 15" xfId="33597" xr:uid="{00000000-0005-0000-0000-00000B800000}"/>
    <cellStyle name="TotRow - Style4 13 2 16" xfId="33598" xr:uid="{00000000-0005-0000-0000-00000C800000}"/>
    <cellStyle name="TotRow - Style4 13 2 2" xfId="33599" xr:uid="{00000000-0005-0000-0000-00000D800000}"/>
    <cellStyle name="TotRow - Style4 13 2 3" xfId="33600" xr:uid="{00000000-0005-0000-0000-00000E800000}"/>
    <cellStyle name="TotRow - Style4 13 2 4" xfId="33601" xr:uid="{00000000-0005-0000-0000-00000F800000}"/>
    <cellStyle name="TotRow - Style4 13 2 5" xfId="33602" xr:uid="{00000000-0005-0000-0000-000010800000}"/>
    <cellStyle name="TotRow - Style4 13 2 6" xfId="33603" xr:uid="{00000000-0005-0000-0000-000011800000}"/>
    <cellStyle name="TotRow - Style4 13 2 7" xfId="33604" xr:uid="{00000000-0005-0000-0000-000012800000}"/>
    <cellStyle name="TotRow - Style4 13 2 8" xfId="33605" xr:uid="{00000000-0005-0000-0000-000013800000}"/>
    <cellStyle name="TotRow - Style4 13 2 9" xfId="33606" xr:uid="{00000000-0005-0000-0000-000014800000}"/>
    <cellStyle name="TotRow - Style4 13 3" xfId="33607" xr:uid="{00000000-0005-0000-0000-000015800000}"/>
    <cellStyle name="TotRow - Style4 13 4" xfId="33608" xr:uid="{00000000-0005-0000-0000-000016800000}"/>
    <cellStyle name="TotRow - Style4 13 5" xfId="33609" xr:uid="{00000000-0005-0000-0000-000017800000}"/>
    <cellStyle name="TotRow - Style4 13 6" xfId="33610" xr:uid="{00000000-0005-0000-0000-000018800000}"/>
    <cellStyle name="TotRow - Style4 13 7" xfId="33611" xr:uid="{00000000-0005-0000-0000-000019800000}"/>
    <cellStyle name="TotRow - Style4 13 8" xfId="33612" xr:uid="{00000000-0005-0000-0000-00001A800000}"/>
    <cellStyle name="TotRow - Style4 13 9" xfId="33613" xr:uid="{00000000-0005-0000-0000-00001B800000}"/>
    <cellStyle name="TotRow - Style4 14" xfId="33614" xr:uid="{00000000-0005-0000-0000-00001C800000}"/>
    <cellStyle name="TotRow - Style4 14 10" xfId="33615" xr:uid="{00000000-0005-0000-0000-00001D800000}"/>
    <cellStyle name="TotRow - Style4 14 11" xfId="33616" xr:uid="{00000000-0005-0000-0000-00001E800000}"/>
    <cellStyle name="TotRow - Style4 14 12" xfId="33617" xr:uid="{00000000-0005-0000-0000-00001F800000}"/>
    <cellStyle name="TotRow - Style4 14 13" xfId="33618" xr:uid="{00000000-0005-0000-0000-000020800000}"/>
    <cellStyle name="TotRow - Style4 14 14" xfId="33619" xr:uid="{00000000-0005-0000-0000-000021800000}"/>
    <cellStyle name="TotRow - Style4 14 15" xfId="33620" xr:uid="{00000000-0005-0000-0000-000022800000}"/>
    <cellStyle name="TotRow - Style4 14 16" xfId="33621" xr:uid="{00000000-0005-0000-0000-000023800000}"/>
    <cellStyle name="TotRow - Style4 14 17" xfId="33622" xr:uid="{00000000-0005-0000-0000-000024800000}"/>
    <cellStyle name="TotRow - Style4 14 2" xfId="33623" xr:uid="{00000000-0005-0000-0000-000025800000}"/>
    <cellStyle name="TotRow - Style4 14 2 10" xfId="33624" xr:uid="{00000000-0005-0000-0000-000026800000}"/>
    <cellStyle name="TotRow - Style4 14 2 11" xfId="33625" xr:uid="{00000000-0005-0000-0000-000027800000}"/>
    <cellStyle name="TotRow - Style4 14 2 12" xfId="33626" xr:uid="{00000000-0005-0000-0000-000028800000}"/>
    <cellStyle name="TotRow - Style4 14 2 13" xfId="33627" xr:uid="{00000000-0005-0000-0000-000029800000}"/>
    <cellStyle name="TotRow - Style4 14 2 14" xfId="33628" xr:uid="{00000000-0005-0000-0000-00002A800000}"/>
    <cellStyle name="TotRow - Style4 14 2 15" xfId="33629" xr:uid="{00000000-0005-0000-0000-00002B800000}"/>
    <cellStyle name="TotRow - Style4 14 2 16" xfId="33630" xr:uid="{00000000-0005-0000-0000-00002C800000}"/>
    <cellStyle name="TotRow - Style4 14 2 2" xfId="33631" xr:uid="{00000000-0005-0000-0000-00002D800000}"/>
    <cellStyle name="TotRow - Style4 14 2 3" xfId="33632" xr:uid="{00000000-0005-0000-0000-00002E800000}"/>
    <cellStyle name="TotRow - Style4 14 2 4" xfId="33633" xr:uid="{00000000-0005-0000-0000-00002F800000}"/>
    <cellStyle name="TotRow - Style4 14 2 5" xfId="33634" xr:uid="{00000000-0005-0000-0000-000030800000}"/>
    <cellStyle name="TotRow - Style4 14 2 6" xfId="33635" xr:uid="{00000000-0005-0000-0000-000031800000}"/>
    <cellStyle name="TotRow - Style4 14 2 7" xfId="33636" xr:uid="{00000000-0005-0000-0000-000032800000}"/>
    <cellStyle name="TotRow - Style4 14 2 8" xfId="33637" xr:uid="{00000000-0005-0000-0000-000033800000}"/>
    <cellStyle name="TotRow - Style4 14 2 9" xfId="33638" xr:uid="{00000000-0005-0000-0000-000034800000}"/>
    <cellStyle name="TotRow - Style4 14 3" xfId="33639" xr:uid="{00000000-0005-0000-0000-000035800000}"/>
    <cellStyle name="TotRow - Style4 14 4" xfId="33640" xr:uid="{00000000-0005-0000-0000-000036800000}"/>
    <cellStyle name="TotRow - Style4 14 5" xfId="33641" xr:uid="{00000000-0005-0000-0000-000037800000}"/>
    <cellStyle name="TotRow - Style4 14 6" xfId="33642" xr:uid="{00000000-0005-0000-0000-000038800000}"/>
    <cellStyle name="TotRow - Style4 14 7" xfId="33643" xr:uid="{00000000-0005-0000-0000-000039800000}"/>
    <cellStyle name="TotRow - Style4 14 8" xfId="33644" xr:uid="{00000000-0005-0000-0000-00003A800000}"/>
    <cellStyle name="TotRow - Style4 14 9" xfId="33645" xr:uid="{00000000-0005-0000-0000-00003B800000}"/>
    <cellStyle name="TotRow - Style4 15" xfId="33646" xr:uid="{00000000-0005-0000-0000-00003C800000}"/>
    <cellStyle name="TotRow - Style4 15 10" xfId="33647" xr:uid="{00000000-0005-0000-0000-00003D800000}"/>
    <cellStyle name="TotRow - Style4 15 11" xfId="33648" xr:uid="{00000000-0005-0000-0000-00003E800000}"/>
    <cellStyle name="TotRow - Style4 15 12" xfId="33649" xr:uid="{00000000-0005-0000-0000-00003F800000}"/>
    <cellStyle name="TotRow - Style4 15 13" xfId="33650" xr:uid="{00000000-0005-0000-0000-000040800000}"/>
    <cellStyle name="TotRow - Style4 15 14" xfId="33651" xr:uid="{00000000-0005-0000-0000-000041800000}"/>
    <cellStyle name="TotRow - Style4 15 15" xfId="33652" xr:uid="{00000000-0005-0000-0000-000042800000}"/>
    <cellStyle name="TotRow - Style4 15 16" xfId="33653" xr:uid="{00000000-0005-0000-0000-000043800000}"/>
    <cellStyle name="TotRow - Style4 15 17" xfId="33654" xr:uid="{00000000-0005-0000-0000-000044800000}"/>
    <cellStyle name="TotRow - Style4 15 2" xfId="33655" xr:uid="{00000000-0005-0000-0000-000045800000}"/>
    <cellStyle name="TotRow - Style4 15 2 10" xfId="33656" xr:uid="{00000000-0005-0000-0000-000046800000}"/>
    <cellStyle name="TotRow - Style4 15 2 11" xfId="33657" xr:uid="{00000000-0005-0000-0000-000047800000}"/>
    <cellStyle name="TotRow - Style4 15 2 12" xfId="33658" xr:uid="{00000000-0005-0000-0000-000048800000}"/>
    <cellStyle name="TotRow - Style4 15 2 13" xfId="33659" xr:uid="{00000000-0005-0000-0000-000049800000}"/>
    <cellStyle name="TotRow - Style4 15 2 14" xfId="33660" xr:uid="{00000000-0005-0000-0000-00004A800000}"/>
    <cellStyle name="TotRow - Style4 15 2 15" xfId="33661" xr:uid="{00000000-0005-0000-0000-00004B800000}"/>
    <cellStyle name="TotRow - Style4 15 2 16" xfId="33662" xr:uid="{00000000-0005-0000-0000-00004C800000}"/>
    <cellStyle name="TotRow - Style4 15 2 2" xfId="33663" xr:uid="{00000000-0005-0000-0000-00004D800000}"/>
    <cellStyle name="TotRow - Style4 15 2 3" xfId="33664" xr:uid="{00000000-0005-0000-0000-00004E800000}"/>
    <cellStyle name="TotRow - Style4 15 2 4" xfId="33665" xr:uid="{00000000-0005-0000-0000-00004F800000}"/>
    <cellStyle name="TotRow - Style4 15 2 5" xfId="33666" xr:uid="{00000000-0005-0000-0000-000050800000}"/>
    <cellStyle name="TotRow - Style4 15 2 6" xfId="33667" xr:uid="{00000000-0005-0000-0000-000051800000}"/>
    <cellStyle name="TotRow - Style4 15 2 7" xfId="33668" xr:uid="{00000000-0005-0000-0000-000052800000}"/>
    <cellStyle name="TotRow - Style4 15 2 8" xfId="33669" xr:uid="{00000000-0005-0000-0000-000053800000}"/>
    <cellStyle name="TotRow - Style4 15 2 9" xfId="33670" xr:uid="{00000000-0005-0000-0000-000054800000}"/>
    <cellStyle name="TotRow - Style4 15 3" xfId="33671" xr:uid="{00000000-0005-0000-0000-000055800000}"/>
    <cellStyle name="TotRow - Style4 15 4" xfId="33672" xr:uid="{00000000-0005-0000-0000-000056800000}"/>
    <cellStyle name="TotRow - Style4 15 5" xfId="33673" xr:uid="{00000000-0005-0000-0000-000057800000}"/>
    <cellStyle name="TotRow - Style4 15 6" xfId="33674" xr:uid="{00000000-0005-0000-0000-000058800000}"/>
    <cellStyle name="TotRow - Style4 15 7" xfId="33675" xr:uid="{00000000-0005-0000-0000-000059800000}"/>
    <cellStyle name="TotRow - Style4 15 8" xfId="33676" xr:uid="{00000000-0005-0000-0000-00005A800000}"/>
    <cellStyle name="TotRow - Style4 15 9" xfId="33677" xr:uid="{00000000-0005-0000-0000-00005B800000}"/>
    <cellStyle name="TotRow - Style4 16" xfId="33678" xr:uid="{00000000-0005-0000-0000-00005C800000}"/>
    <cellStyle name="TotRow - Style4 16 10" xfId="33679" xr:uid="{00000000-0005-0000-0000-00005D800000}"/>
    <cellStyle name="TotRow - Style4 16 11" xfId="33680" xr:uid="{00000000-0005-0000-0000-00005E800000}"/>
    <cellStyle name="TotRow - Style4 16 12" xfId="33681" xr:uid="{00000000-0005-0000-0000-00005F800000}"/>
    <cellStyle name="TotRow - Style4 16 13" xfId="33682" xr:uid="{00000000-0005-0000-0000-000060800000}"/>
    <cellStyle name="TotRow - Style4 16 14" xfId="33683" xr:uid="{00000000-0005-0000-0000-000061800000}"/>
    <cellStyle name="TotRow - Style4 16 15" xfId="33684" xr:uid="{00000000-0005-0000-0000-000062800000}"/>
    <cellStyle name="TotRow - Style4 16 16" xfId="33685" xr:uid="{00000000-0005-0000-0000-000063800000}"/>
    <cellStyle name="TotRow - Style4 16 17" xfId="33686" xr:uid="{00000000-0005-0000-0000-000064800000}"/>
    <cellStyle name="TotRow - Style4 16 2" xfId="33687" xr:uid="{00000000-0005-0000-0000-000065800000}"/>
    <cellStyle name="TotRow - Style4 16 2 10" xfId="33688" xr:uid="{00000000-0005-0000-0000-000066800000}"/>
    <cellStyle name="TotRow - Style4 16 2 11" xfId="33689" xr:uid="{00000000-0005-0000-0000-000067800000}"/>
    <cellStyle name="TotRow - Style4 16 2 12" xfId="33690" xr:uid="{00000000-0005-0000-0000-000068800000}"/>
    <cellStyle name="TotRow - Style4 16 2 13" xfId="33691" xr:uid="{00000000-0005-0000-0000-000069800000}"/>
    <cellStyle name="TotRow - Style4 16 2 14" xfId="33692" xr:uid="{00000000-0005-0000-0000-00006A800000}"/>
    <cellStyle name="TotRow - Style4 16 2 15" xfId="33693" xr:uid="{00000000-0005-0000-0000-00006B800000}"/>
    <cellStyle name="TotRow - Style4 16 2 16" xfId="33694" xr:uid="{00000000-0005-0000-0000-00006C800000}"/>
    <cellStyle name="TotRow - Style4 16 2 2" xfId="33695" xr:uid="{00000000-0005-0000-0000-00006D800000}"/>
    <cellStyle name="TotRow - Style4 16 2 3" xfId="33696" xr:uid="{00000000-0005-0000-0000-00006E800000}"/>
    <cellStyle name="TotRow - Style4 16 2 4" xfId="33697" xr:uid="{00000000-0005-0000-0000-00006F800000}"/>
    <cellStyle name="TotRow - Style4 16 2 5" xfId="33698" xr:uid="{00000000-0005-0000-0000-000070800000}"/>
    <cellStyle name="TotRow - Style4 16 2 6" xfId="33699" xr:uid="{00000000-0005-0000-0000-000071800000}"/>
    <cellStyle name="TotRow - Style4 16 2 7" xfId="33700" xr:uid="{00000000-0005-0000-0000-000072800000}"/>
    <cellStyle name="TotRow - Style4 16 2 8" xfId="33701" xr:uid="{00000000-0005-0000-0000-000073800000}"/>
    <cellStyle name="TotRow - Style4 16 2 9" xfId="33702" xr:uid="{00000000-0005-0000-0000-000074800000}"/>
    <cellStyle name="TotRow - Style4 16 3" xfId="33703" xr:uid="{00000000-0005-0000-0000-000075800000}"/>
    <cellStyle name="TotRow - Style4 16 4" xfId="33704" xr:uid="{00000000-0005-0000-0000-000076800000}"/>
    <cellStyle name="TotRow - Style4 16 5" xfId="33705" xr:uid="{00000000-0005-0000-0000-000077800000}"/>
    <cellStyle name="TotRow - Style4 16 6" xfId="33706" xr:uid="{00000000-0005-0000-0000-000078800000}"/>
    <cellStyle name="TotRow - Style4 16 7" xfId="33707" xr:uid="{00000000-0005-0000-0000-000079800000}"/>
    <cellStyle name="TotRow - Style4 16 8" xfId="33708" xr:uid="{00000000-0005-0000-0000-00007A800000}"/>
    <cellStyle name="TotRow - Style4 16 9" xfId="33709" xr:uid="{00000000-0005-0000-0000-00007B800000}"/>
    <cellStyle name="TotRow - Style4 17" xfId="33710" xr:uid="{00000000-0005-0000-0000-00007C800000}"/>
    <cellStyle name="TotRow - Style4 17 10" xfId="33711" xr:uid="{00000000-0005-0000-0000-00007D800000}"/>
    <cellStyle name="TotRow - Style4 17 11" xfId="33712" xr:uid="{00000000-0005-0000-0000-00007E800000}"/>
    <cellStyle name="TotRow - Style4 17 12" xfId="33713" xr:uid="{00000000-0005-0000-0000-00007F800000}"/>
    <cellStyle name="TotRow - Style4 17 13" xfId="33714" xr:uid="{00000000-0005-0000-0000-000080800000}"/>
    <cellStyle name="TotRow - Style4 17 14" xfId="33715" xr:uid="{00000000-0005-0000-0000-000081800000}"/>
    <cellStyle name="TotRow - Style4 17 15" xfId="33716" xr:uid="{00000000-0005-0000-0000-000082800000}"/>
    <cellStyle name="TotRow - Style4 17 16" xfId="33717" xr:uid="{00000000-0005-0000-0000-000083800000}"/>
    <cellStyle name="TotRow - Style4 17 2" xfId="33718" xr:uid="{00000000-0005-0000-0000-000084800000}"/>
    <cellStyle name="TotRow - Style4 17 3" xfId="33719" xr:uid="{00000000-0005-0000-0000-000085800000}"/>
    <cellStyle name="TotRow - Style4 17 4" xfId="33720" xr:uid="{00000000-0005-0000-0000-000086800000}"/>
    <cellStyle name="TotRow - Style4 17 5" xfId="33721" xr:uid="{00000000-0005-0000-0000-000087800000}"/>
    <cellStyle name="TotRow - Style4 17 6" xfId="33722" xr:uid="{00000000-0005-0000-0000-000088800000}"/>
    <cellStyle name="TotRow - Style4 17 7" xfId="33723" xr:uid="{00000000-0005-0000-0000-000089800000}"/>
    <cellStyle name="TotRow - Style4 17 8" xfId="33724" xr:uid="{00000000-0005-0000-0000-00008A800000}"/>
    <cellStyle name="TotRow - Style4 17 9" xfId="33725" xr:uid="{00000000-0005-0000-0000-00008B800000}"/>
    <cellStyle name="TotRow - Style4 18" xfId="33726" xr:uid="{00000000-0005-0000-0000-00008C800000}"/>
    <cellStyle name="TotRow - Style4 19" xfId="33727" xr:uid="{00000000-0005-0000-0000-00008D800000}"/>
    <cellStyle name="TotRow - Style4 2" xfId="33728" xr:uid="{00000000-0005-0000-0000-00008E800000}"/>
    <cellStyle name="TotRow - Style4 2 10" xfId="33729" xr:uid="{00000000-0005-0000-0000-00008F800000}"/>
    <cellStyle name="TotRow - Style4 2 10 10" xfId="33730" xr:uid="{00000000-0005-0000-0000-000090800000}"/>
    <cellStyle name="TotRow - Style4 2 10 11" xfId="33731" xr:uid="{00000000-0005-0000-0000-000091800000}"/>
    <cellStyle name="TotRow - Style4 2 10 12" xfId="33732" xr:uid="{00000000-0005-0000-0000-000092800000}"/>
    <cellStyle name="TotRow - Style4 2 10 13" xfId="33733" xr:uid="{00000000-0005-0000-0000-000093800000}"/>
    <cellStyle name="TotRow - Style4 2 10 14" xfId="33734" xr:uid="{00000000-0005-0000-0000-000094800000}"/>
    <cellStyle name="TotRow - Style4 2 10 15" xfId="33735" xr:uid="{00000000-0005-0000-0000-000095800000}"/>
    <cellStyle name="TotRow - Style4 2 10 16" xfId="33736" xr:uid="{00000000-0005-0000-0000-000096800000}"/>
    <cellStyle name="TotRow - Style4 2 10 17" xfId="33737" xr:uid="{00000000-0005-0000-0000-000097800000}"/>
    <cellStyle name="TotRow - Style4 2 10 2" xfId="33738" xr:uid="{00000000-0005-0000-0000-000098800000}"/>
    <cellStyle name="TotRow - Style4 2 10 2 10" xfId="33739" xr:uid="{00000000-0005-0000-0000-000099800000}"/>
    <cellStyle name="TotRow - Style4 2 10 2 11" xfId="33740" xr:uid="{00000000-0005-0000-0000-00009A800000}"/>
    <cellStyle name="TotRow - Style4 2 10 2 12" xfId="33741" xr:uid="{00000000-0005-0000-0000-00009B800000}"/>
    <cellStyle name="TotRow - Style4 2 10 2 13" xfId="33742" xr:uid="{00000000-0005-0000-0000-00009C800000}"/>
    <cellStyle name="TotRow - Style4 2 10 2 14" xfId="33743" xr:uid="{00000000-0005-0000-0000-00009D800000}"/>
    <cellStyle name="TotRow - Style4 2 10 2 15" xfId="33744" xr:uid="{00000000-0005-0000-0000-00009E800000}"/>
    <cellStyle name="TotRow - Style4 2 10 2 16" xfId="33745" xr:uid="{00000000-0005-0000-0000-00009F800000}"/>
    <cellStyle name="TotRow - Style4 2 10 2 2" xfId="33746" xr:uid="{00000000-0005-0000-0000-0000A0800000}"/>
    <cellStyle name="TotRow - Style4 2 10 2 3" xfId="33747" xr:uid="{00000000-0005-0000-0000-0000A1800000}"/>
    <cellStyle name="TotRow - Style4 2 10 2 4" xfId="33748" xr:uid="{00000000-0005-0000-0000-0000A2800000}"/>
    <cellStyle name="TotRow - Style4 2 10 2 5" xfId="33749" xr:uid="{00000000-0005-0000-0000-0000A3800000}"/>
    <cellStyle name="TotRow - Style4 2 10 2 6" xfId="33750" xr:uid="{00000000-0005-0000-0000-0000A4800000}"/>
    <cellStyle name="TotRow - Style4 2 10 2 7" xfId="33751" xr:uid="{00000000-0005-0000-0000-0000A5800000}"/>
    <cellStyle name="TotRow - Style4 2 10 2 8" xfId="33752" xr:uid="{00000000-0005-0000-0000-0000A6800000}"/>
    <cellStyle name="TotRow - Style4 2 10 2 9" xfId="33753" xr:uid="{00000000-0005-0000-0000-0000A7800000}"/>
    <cellStyle name="TotRow - Style4 2 10 3" xfId="33754" xr:uid="{00000000-0005-0000-0000-0000A8800000}"/>
    <cellStyle name="TotRow - Style4 2 10 4" xfId="33755" xr:uid="{00000000-0005-0000-0000-0000A9800000}"/>
    <cellStyle name="TotRow - Style4 2 10 5" xfId="33756" xr:uid="{00000000-0005-0000-0000-0000AA800000}"/>
    <cellStyle name="TotRow - Style4 2 10 6" xfId="33757" xr:uid="{00000000-0005-0000-0000-0000AB800000}"/>
    <cellStyle name="TotRow - Style4 2 10 7" xfId="33758" xr:uid="{00000000-0005-0000-0000-0000AC800000}"/>
    <cellStyle name="TotRow - Style4 2 10 8" xfId="33759" xr:uid="{00000000-0005-0000-0000-0000AD800000}"/>
    <cellStyle name="TotRow - Style4 2 10 9" xfId="33760" xr:uid="{00000000-0005-0000-0000-0000AE800000}"/>
    <cellStyle name="TotRow - Style4 2 11" xfId="33761" xr:uid="{00000000-0005-0000-0000-0000AF800000}"/>
    <cellStyle name="TotRow - Style4 2 11 10" xfId="33762" xr:uid="{00000000-0005-0000-0000-0000B0800000}"/>
    <cellStyle name="TotRow - Style4 2 11 11" xfId="33763" xr:uid="{00000000-0005-0000-0000-0000B1800000}"/>
    <cellStyle name="TotRow - Style4 2 11 12" xfId="33764" xr:uid="{00000000-0005-0000-0000-0000B2800000}"/>
    <cellStyle name="TotRow - Style4 2 11 13" xfId="33765" xr:uid="{00000000-0005-0000-0000-0000B3800000}"/>
    <cellStyle name="TotRow - Style4 2 11 14" xfId="33766" xr:uid="{00000000-0005-0000-0000-0000B4800000}"/>
    <cellStyle name="TotRow - Style4 2 11 15" xfId="33767" xr:uid="{00000000-0005-0000-0000-0000B5800000}"/>
    <cellStyle name="TotRow - Style4 2 11 16" xfId="33768" xr:uid="{00000000-0005-0000-0000-0000B6800000}"/>
    <cellStyle name="TotRow - Style4 2 11 2" xfId="33769" xr:uid="{00000000-0005-0000-0000-0000B7800000}"/>
    <cellStyle name="TotRow - Style4 2 11 3" xfId="33770" xr:uid="{00000000-0005-0000-0000-0000B8800000}"/>
    <cellStyle name="TotRow - Style4 2 11 4" xfId="33771" xr:uid="{00000000-0005-0000-0000-0000B9800000}"/>
    <cellStyle name="TotRow - Style4 2 11 5" xfId="33772" xr:uid="{00000000-0005-0000-0000-0000BA800000}"/>
    <cellStyle name="TotRow - Style4 2 11 6" xfId="33773" xr:uid="{00000000-0005-0000-0000-0000BB800000}"/>
    <cellStyle name="TotRow - Style4 2 11 7" xfId="33774" xr:uid="{00000000-0005-0000-0000-0000BC800000}"/>
    <cellStyle name="TotRow - Style4 2 11 8" xfId="33775" xr:uid="{00000000-0005-0000-0000-0000BD800000}"/>
    <cellStyle name="TotRow - Style4 2 11 9" xfId="33776" xr:uid="{00000000-0005-0000-0000-0000BE800000}"/>
    <cellStyle name="TotRow - Style4 2 12" xfId="33777" xr:uid="{00000000-0005-0000-0000-0000BF800000}"/>
    <cellStyle name="TotRow - Style4 2 13" xfId="33778" xr:uid="{00000000-0005-0000-0000-0000C0800000}"/>
    <cellStyle name="TotRow - Style4 2 14" xfId="33779" xr:uid="{00000000-0005-0000-0000-0000C1800000}"/>
    <cellStyle name="TotRow - Style4 2 15" xfId="33780" xr:uid="{00000000-0005-0000-0000-0000C2800000}"/>
    <cellStyle name="TotRow - Style4 2 16" xfId="33781" xr:uid="{00000000-0005-0000-0000-0000C3800000}"/>
    <cellStyle name="TotRow - Style4 2 17" xfId="33782" xr:uid="{00000000-0005-0000-0000-0000C4800000}"/>
    <cellStyle name="TotRow - Style4 2 18" xfId="33783" xr:uid="{00000000-0005-0000-0000-0000C5800000}"/>
    <cellStyle name="TotRow - Style4 2 19" xfId="33784" xr:uid="{00000000-0005-0000-0000-0000C6800000}"/>
    <cellStyle name="TotRow - Style4 2 2" xfId="33785" xr:uid="{00000000-0005-0000-0000-0000C7800000}"/>
    <cellStyle name="TotRow - Style4 2 2 10" xfId="33786" xr:uid="{00000000-0005-0000-0000-0000C8800000}"/>
    <cellStyle name="TotRow - Style4 2 2 11" xfId="33787" xr:uid="{00000000-0005-0000-0000-0000C9800000}"/>
    <cellStyle name="TotRow - Style4 2 2 12" xfId="33788" xr:uid="{00000000-0005-0000-0000-0000CA800000}"/>
    <cellStyle name="TotRow - Style4 2 2 13" xfId="33789" xr:uid="{00000000-0005-0000-0000-0000CB800000}"/>
    <cellStyle name="TotRow - Style4 2 2 14" xfId="33790" xr:uid="{00000000-0005-0000-0000-0000CC800000}"/>
    <cellStyle name="TotRow - Style4 2 2 15" xfId="33791" xr:uid="{00000000-0005-0000-0000-0000CD800000}"/>
    <cellStyle name="TotRow - Style4 2 2 16" xfId="33792" xr:uid="{00000000-0005-0000-0000-0000CE800000}"/>
    <cellStyle name="TotRow - Style4 2 2 17" xfId="33793" xr:uid="{00000000-0005-0000-0000-0000CF800000}"/>
    <cellStyle name="TotRow - Style4 2 2 2" xfId="33794" xr:uid="{00000000-0005-0000-0000-0000D0800000}"/>
    <cellStyle name="TotRow - Style4 2 2 2 10" xfId="33795" xr:uid="{00000000-0005-0000-0000-0000D1800000}"/>
    <cellStyle name="TotRow - Style4 2 2 2 11" xfId="33796" xr:uid="{00000000-0005-0000-0000-0000D2800000}"/>
    <cellStyle name="TotRow - Style4 2 2 2 12" xfId="33797" xr:uid="{00000000-0005-0000-0000-0000D3800000}"/>
    <cellStyle name="TotRow - Style4 2 2 2 13" xfId="33798" xr:uid="{00000000-0005-0000-0000-0000D4800000}"/>
    <cellStyle name="TotRow - Style4 2 2 2 14" xfId="33799" xr:uid="{00000000-0005-0000-0000-0000D5800000}"/>
    <cellStyle name="TotRow - Style4 2 2 2 15" xfId="33800" xr:uid="{00000000-0005-0000-0000-0000D6800000}"/>
    <cellStyle name="TotRow - Style4 2 2 2 16" xfId="33801" xr:uid="{00000000-0005-0000-0000-0000D7800000}"/>
    <cellStyle name="TotRow - Style4 2 2 2 2" xfId="33802" xr:uid="{00000000-0005-0000-0000-0000D8800000}"/>
    <cellStyle name="TotRow - Style4 2 2 2 3" xfId="33803" xr:uid="{00000000-0005-0000-0000-0000D9800000}"/>
    <cellStyle name="TotRow - Style4 2 2 2 4" xfId="33804" xr:uid="{00000000-0005-0000-0000-0000DA800000}"/>
    <cellStyle name="TotRow - Style4 2 2 2 5" xfId="33805" xr:uid="{00000000-0005-0000-0000-0000DB800000}"/>
    <cellStyle name="TotRow - Style4 2 2 2 6" xfId="33806" xr:uid="{00000000-0005-0000-0000-0000DC800000}"/>
    <cellStyle name="TotRow - Style4 2 2 2 7" xfId="33807" xr:uid="{00000000-0005-0000-0000-0000DD800000}"/>
    <cellStyle name="TotRow - Style4 2 2 2 8" xfId="33808" xr:uid="{00000000-0005-0000-0000-0000DE800000}"/>
    <cellStyle name="TotRow - Style4 2 2 2 9" xfId="33809" xr:uid="{00000000-0005-0000-0000-0000DF800000}"/>
    <cellStyle name="TotRow - Style4 2 2 3" xfId="33810" xr:uid="{00000000-0005-0000-0000-0000E0800000}"/>
    <cellStyle name="TotRow - Style4 2 2 4" xfId="33811" xr:uid="{00000000-0005-0000-0000-0000E1800000}"/>
    <cellStyle name="TotRow - Style4 2 2 5" xfId="33812" xr:uid="{00000000-0005-0000-0000-0000E2800000}"/>
    <cellStyle name="TotRow - Style4 2 2 6" xfId="33813" xr:uid="{00000000-0005-0000-0000-0000E3800000}"/>
    <cellStyle name="TotRow - Style4 2 2 7" xfId="33814" xr:uid="{00000000-0005-0000-0000-0000E4800000}"/>
    <cellStyle name="TotRow - Style4 2 2 8" xfId="33815" xr:uid="{00000000-0005-0000-0000-0000E5800000}"/>
    <cellStyle name="TotRow - Style4 2 2 9" xfId="33816" xr:uid="{00000000-0005-0000-0000-0000E6800000}"/>
    <cellStyle name="TotRow - Style4 2 20" xfId="33817" xr:uid="{00000000-0005-0000-0000-0000E7800000}"/>
    <cellStyle name="TotRow - Style4 2 21" xfId="33818" xr:uid="{00000000-0005-0000-0000-0000E8800000}"/>
    <cellStyle name="TotRow - Style4 2 22" xfId="33819" xr:uid="{00000000-0005-0000-0000-0000E9800000}"/>
    <cellStyle name="TotRow - Style4 2 23" xfId="33820" xr:uid="{00000000-0005-0000-0000-0000EA800000}"/>
    <cellStyle name="TotRow - Style4 2 24" xfId="33821" xr:uid="{00000000-0005-0000-0000-0000EB800000}"/>
    <cellStyle name="TotRow - Style4 2 25" xfId="33822" xr:uid="{00000000-0005-0000-0000-0000EC800000}"/>
    <cellStyle name="TotRow - Style4 2 26" xfId="33823" xr:uid="{00000000-0005-0000-0000-0000ED800000}"/>
    <cellStyle name="TotRow - Style4 2 3" xfId="33824" xr:uid="{00000000-0005-0000-0000-0000EE800000}"/>
    <cellStyle name="TotRow - Style4 2 3 10" xfId="33825" xr:uid="{00000000-0005-0000-0000-0000EF800000}"/>
    <cellStyle name="TotRow - Style4 2 3 11" xfId="33826" xr:uid="{00000000-0005-0000-0000-0000F0800000}"/>
    <cellStyle name="TotRow - Style4 2 3 12" xfId="33827" xr:uid="{00000000-0005-0000-0000-0000F1800000}"/>
    <cellStyle name="TotRow - Style4 2 3 13" xfId="33828" xr:uid="{00000000-0005-0000-0000-0000F2800000}"/>
    <cellStyle name="TotRow - Style4 2 3 14" xfId="33829" xr:uid="{00000000-0005-0000-0000-0000F3800000}"/>
    <cellStyle name="TotRow - Style4 2 3 15" xfId="33830" xr:uid="{00000000-0005-0000-0000-0000F4800000}"/>
    <cellStyle name="TotRow - Style4 2 3 16" xfId="33831" xr:uid="{00000000-0005-0000-0000-0000F5800000}"/>
    <cellStyle name="TotRow - Style4 2 3 17" xfId="33832" xr:uid="{00000000-0005-0000-0000-0000F6800000}"/>
    <cellStyle name="TotRow - Style4 2 3 2" xfId="33833" xr:uid="{00000000-0005-0000-0000-0000F7800000}"/>
    <cellStyle name="TotRow - Style4 2 3 2 10" xfId="33834" xr:uid="{00000000-0005-0000-0000-0000F8800000}"/>
    <cellStyle name="TotRow - Style4 2 3 2 11" xfId="33835" xr:uid="{00000000-0005-0000-0000-0000F9800000}"/>
    <cellStyle name="TotRow - Style4 2 3 2 12" xfId="33836" xr:uid="{00000000-0005-0000-0000-0000FA800000}"/>
    <cellStyle name="TotRow - Style4 2 3 2 13" xfId="33837" xr:uid="{00000000-0005-0000-0000-0000FB800000}"/>
    <cellStyle name="TotRow - Style4 2 3 2 14" xfId="33838" xr:uid="{00000000-0005-0000-0000-0000FC800000}"/>
    <cellStyle name="TotRow - Style4 2 3 2 15" xfId="33839" xr:uid="{00000000-0005-0000-0000-0000FD800000}"/>
    <cellStyle name="TotRow - Style4 2 3 2 16" xfId="33840" xr:uid="{00000000-0005-0000-0000-0000FE800000}"/>
    <cellStyle name="TotRow - Style4 2 3 2 2" xfId="33841" xr:uid="{00000000-0005-0000-0000-0000FF800000}"/>
    <cellStyle name="TotRow - Style4 2 3 2 3" xfId="33842" xr:uid="{00000000-0005-0000-0000-000000810000}"/>
    <cellStyle name="TotRow - Style4 2 3 2 4" xfId="33843" xr:uid="{00000000-0005-0000-0000-000001810000}"/>
    <cellStyle name="TotRow - Style4 2 3 2 5" xfId="33844" xr:uid="{00000000-0005-0000-0000-000002810000}"/>
    <cellStyle name="TotRow - Style4 2 3 2 6" xfId="33845" xr:uid="{00000000-0005-0000-0000-000003810000}"/>
    <cellStyle name="TotRow - Style4 2 3 2 7" xfId="33846" xr:uid="{00000000-0005-0000-0000-000004810000}"/>
    <cellStyle name="TotRow - Style4 2 3 2 8" xfId="33847" xr:uid="{00000000-0005-0000-0000-000005810000}"/>
    <cellStyle name="TotRow - Style4 2 3 2 9" xfId="33848" xr:uid="{00000000-0005-0000-0000-000006810000}"/>
    <cellStyle name="TotRow - Style4 2 3 3" xfId="33849" xr:uid="{00000000-0005-0000-0000-000007810000}"/>
    <cellStyle name="TotRow - Style4 2 3 4" xfId="33850" xr:uid="{00000000-0005-0000-0000-000008810000}"/>
    <cellStyle name="TotRow - Style4 2 3 5" xfId="33851" xr:uid="{00000000-0005-0000-0000-000009810000}"/>
    <cellStyle name="TotRow - Style4 2 3 6" xfId="33852" xr:uid="{00000000-0005-0000-0000-00000A810000}"/>
    <cellStyle name="TotRow - Style4 2 3 7" xfId="33853" xr:uid="{00000000-0005-0000-0000-00000B810000}"/>
    <cellStyle name="TotRow - Style4 2 3 8" xfId="33854" xr:uid="{00000000-0005-0000-0000-00000C810000}"/>
    <cellStyle name="TotRow - Style4 2 3 9" xfId="33855" xr:uid="{00000000-0005-0000-0000-00000D810000}"/>
    <cellStyle name="TotRow - Style4 2 4" xfId="33856" xr:uid="{00000000-0005-0000-0000-00000E810000}"/>
    <cellStyle name="TotRow - Style4 2 4 10" xfId="33857" xr:uid="{00000000-0005-0000-0000-00000F810000}"/>
    <cellStyle name="TotRow - Style4 2 4 11" xfId="33858" xr:uid="{00000000-0005-0000-0000-000010810000}"/>
    <cellStyle name="TotRow - Style4 2 4 12" xfId="33859" xr:uid="{00000000-0005-0000-0000-000011810000}"/>
    <cellStyle name="TotRow - Style4 2 4 13" xfId="33860" xr:uid="{00000000-0005-0000-0000-000012810000}"/>
    <cellStyle name="TotRow - Style4 2 4 14" xfId="33861" xr:uid="{00000000-0005-0000-0000-000013810000}"/>
    <cellStyle name="TotRow - Style4 2 4 15" xfId="33862" xr:uid="{00000000-0005-0000-0000-000014810000}"/>
    <cellStyle name="TotRow - Style4 2 4 16" xfId="33863" xr:uid="{00000000-0005-0000-0000-000015810000}"/>
    <cellStyle name="TotRow - Style4 2 4 17" xfId="33864" xr:uid="{00000000-0005-0000-0000-000016810000}"/>
    <cellStyle name="TotRow - Style4 2 4 2" xfId="33865" xr:uid="{00000000-0005-0000-0000-000017810000}"/>
    <cellStyle name="TotRow - Style4 2 4 2 10" xfId="33866" xr:uid="{00000000-0005-0000-0000-000018810000}"/>
    <cellStyle name="TotRow - Style4 2 4 2 11" xfId="33867" xr:uid="{00000000-0005-0000-0000-000019810000}"/>
    <cellStyle name="TotRow - Style4 2 4 2 12" xfId="33868" xr:uid="{00000000-0005-0000-0000-00001A810000}"/>
    <cellStyle name="TotRow - Style4 2 4 2 13" xfId="33869" xr:uid="{00000000-0005-0000-0000-00001B810000}"/>
    <cellStyle name="TotRow - Style4 2 4 2 14" xfId="33870" xr:uid="{00000000-0005-0000-0000-00001C810000}"/>
    <cellStyle name="TotRow - Style4 2 4 2 15" xfId="33871" xr:uid="{00000000-0005-0000-0000-00001D810000}"/>
    <cellStyle name="TotRow - Style4 2 4 2 16" xfId="33872" xr:uid="{00000000-0005-0000-0000-00001E810000}"/>
    <cellStyle name="TotRow - Style4 2 4 2 2" xfId="33873" xr:uid="{00000000-0005-0000-0000-00001F810000}"/>
    <cellStyle name="TotRow - Style4 2 4 2 3" xfId="33874" xr:uid="{00000000-0005-0000-0000-000020810000}"/>
    <cellStyle name="TotRow - Style4 2 4 2 4" xfId="33875" xr:uid="{00000000-0005-0000-0000-000021810000}"/>
    <cellStyle name="TotRow - Style4 2 4 2 5" xfId="33876" xr:uid="{00000000-0005-0000-0000-000022810000}"/>
    <cellStyle name="TotRow - Style4 2 4 2 6" xfId="33877" xr:uid="{00000000-0005-0000-0000-000023810000}"/>
    <cellStyle name="TotRow - Style4 2 4 2 7" xfId="33878" xr:uid="{00000000-0005-0000-0000-000024810000}"/>
    <cellStyle name="TotRow - Style4 2 4 2 8" xfId="33879" xr:uid="{00000000-0005-0000-0000-000025810000}"/>
    <cellStyle name="TotRow - Style4 2 4 2 9" xfId="33880" xr:uid="{00000000-0005-0000-0000-000026810000}"/>
    <cellStyle name="TotRow - Style4 2 4 3" xfId="33881" xr:uid="{00000000-0005-0000-0000-000027810000}"/>
    <cellStyle name="TotRow - Style4 2 4 4" xfId="33882" xr:uid="{00000000-0005-0000-0000-000028810000}"/>
    <cellStyle name="TotRow - Style4 2 4 5" xfId="33883" xr:uid="{00000000-0005-0000-0000-000029810000}"/>
    <cellStyle name="TotRow - Style4 2 4 6" xfId="33884" xr:uid="{00000000-0005-0000-0000-00002A810000}"/>
    <cellStyle name="TotRow - Style4 2 4 7" xfId="33885" xr:uid="{00000000-0005-0000-0000-00002B810000}"/>
    <cellStyle name="TotRow - Style4 2 4 8" xfId="33886" xr:uid="{00000000-0005-0000-0000-00002C810000}"/>
    <cellStyle name="TotRow - Style4 2 4 9" xfId="33887" xr:uid="{00000000-0005-0000-0000-00002D810000}"/>
    <cellStyle name="TotRow - Style4 2 5" xfId="33888" xr:uid="{00000000-0005-0000-0000-00002E810000}"/>
    <cellStyle name="TotRow - Style4 2 5 10" xfId="33889" xr:uid="{00000000-0005-0000-0000-00002F810000}"/>
    <cellStyle name="TotRow - Style4 2 5 11" xfId="33890" xr:uid="{00000000-0005-0000-0000-000030810000}"/>
    <cellStyle name="TotRow - Style4 2 5 12" xfId="33891" xr:uid="{00000000-0005-0000-0000-000031810000}"/>
    <cellStyle name="TotRow - Style4 2 5 13" xfId="33892" xr:uid="{00000000-0005-0000-0000-000032810000}"/>
    <cellStyle name="TotRow - Style4 2 5 14" xfId="33893" xr:uid="{00000000-0005-0000-0000-000033810000}"/>
    <cellStyle name="TotRow - Style4 2 5 15" xfId="33894" xr:uid="{00000000-0005-0000-0000-000034810000}"/>
    <cellStyle name="TotRow - Style4 2 5 16" xfId="33895" xr:uid="{00000000-0005-0000-0000-000035810000}"/>
    <cellStyle name="TotRow - Style4 2 5 17" xfId="33896" xr:uid="{00000000-0005-0000-0000-000036810000}"/>
    <cellStyle name="TotRow - Style4 2 5 2" xfId="33897" xr:uid="{00000000-0005-0000-0000-000037810000}"/>
    <cellStyle name="TotRow - Style4 2 5 2 10" xfId="33898" xr:uid="{00000000-0005-0000-0000-000038810000}"/>
    <cellStyle name="TotRow - Style4 2 5 2 11" xfId="33899" xr:uid="{00000000-0005-0000-0000-000039810000}"/>
    <cellStyle name="TotRow - Style4 2 5 2 12" xfId="33900" xr:uid="{00000000-0005-0000-0000-00003A810000}"/>
    <cellStyle name="TotRow - Style4 2 5 2 13" xfId="33901" xr:uid="{00000000-0005-0000-0000-00003B810000}"/>
    <cellStyle name="TotRow - Style4 2 5 2 14" xfId="33902" xr:uid="{00000000-0005-0000-0000-00003C810000}"/>
    <cellStyle name="TotRow - Style4 2 5 2 15" xfId="33903" xr:uid="{00000000-0005-0000-0000-00003D810000}"/>
    <cellStyle name="TotRow - Style4 2 5 2 16" xfId="33904" xr:uid="{00000000-0005-0000-0000-00003E810000}"/>
    <cellStyle name="TotRow - Style4 2 5 2 2" xfId="33905" xr:uid="{00000000-0005-0000-0000-00003F810000}"/>
    <cellStyle name="TotRow - Style4 2 5 2 3" xfId="33906" xr:uid="{00000000-0005-0000-0000-000040810000}"/>
    <cellStyle name="TotRow - Style4 2 5 2 4" xfId="33907" xr:uid="{00000000-0005-0000-0000-000041810000}"/>
    <cellStyle name="TotRow - Style4 2 5 2 5" xfId="33908" xr:uid="{00000000-0005-0000-0000-000042810000}"/>
    <cellStyle name="TotRow - Style4 2 5 2 6" xfId="33909" xr:uid="{00000000-0005-0000-0000-000043810000}"/>
    <cellStyle name="TotRow - Style4 2 5 2 7" xfId="33910" xr:uid="{00000000-0005-0000-0000-000044810000}"/>
    <cellStyle name="TotRow - Style4 2 5 2 8" xfId="33911" xr:uid="{00000000-0005-0000-0000-000045810000}"/>
    <cellStyle name="TotRow - Style4 2 5 2 9" xfId="33912" xr:uid="{00000000-0005-0000-0000-000046810000}"/>
    <cellStyle name="TotRow - Style4 2 5 3" xfId="33913" xr:uid="{00000000-0005-0000-0000-000047810000}"/>
    <cellStyle name="TotRow - Style4 2 5 4" xfId="33914" xr:uid="{00000000-0005-0000-0000-000048810000}"/>
    <cellStyle name="TotRow - Style4 2 5 5" xfId="33915" xr:uid="{00000000-0005-0000-0000-000049810000}"/>
    <cellStyle name="TotRow - Style4 2 5 6" xfId="33916" xr:uid="{00000000-0005-0000-0000-00004A810000}"/>
    <cellStyle name="TotRow - Style4 2 5 7" xfId="33917" xr:uid="{00000000-0005-0000-0000-00004B810000}"/>
    <cellStyle name="TotRow - Style4 2 5 8" xfId="33918" xr:uid="{00000000-0005-0000-0000-00004C810000}"/>
    <cellStyle name="TotRow - Style4 2 5 9" xfId="33919" xr:uid="{00000000-0005-0000-0000-00004D810000}"/>
    <cellStyle name="TotRow - Style4 2 6" xfId="33920" xr:uid="{00000000-0005-0000-0000-00004E810000}"/>
    <cellStyle name="TotRow - Style4 2 6 10" xfId="33921" xr:uid="{00000000-0005-0000-0000-00004F810000}"/>
    <cellStyle name="TotRow - Style4 2 6 11" xfId="33922" xr:uid="{00000000-0005-0000-0000-000050810000}"/>
    <cellStyle name="TotRow - Style4 2 6 12" xfId="33923" xr:uid="{00000000-0005-0000-0000-000051810000}"/>
    <cellStyle name="TotRow - Style4 2 6 13" xfId="33924" xr:uid="{00000000-0005-0000-0000-000052810000}"/>
    <cellStyle name="TotRow - Style4 2 6 14" xfId="33925" xr:uid="{00000000-0005-0000-0000-000053810000}"/>
    <cellStyle name="TotRow - Style4 2 6 15" xfId="33926" xr:uid="{00000000-0005-0000-0000-000054810000}"/>
    <cellStyle name="TotRow - Style4 2 6 16" xfId="33927" xr:uid="{00000000-0005-0000-0000-000055810000}"/>
    <cellStyle name="TotRow - Style4 2 6 17" xfId="33928" xr:uid="{00000000-0005-0000-0000-000056810000}"/>
    <cellStyle name="TotRow - Style4 2 6 2" xfId="33929" xr:uid="{00000000-0005-0000-0000-000057810000}"/>
    <cellStyle name="TotRow - Style4 2 6 2 10" xfId="33930" xr:uid="{00000000-0005-0000-0000-000058810000}"/>
    <cellStyle name="TotRow - Style4 2 6 2 11" xfId="33931" xr:uid="{00000000-0005-0000-0000-000059810000}"/>
    <cellStyle name="TotRow - Style4 2 6 2 12" xfId="33932" xr:uid="{00000000-0005-0000-0000-00005A810000}"/>
    <cellStyle name="TotRow - Style4 2 6 2 13" xfId="33933" xr:uid="{00000000-0005-0000-0000-00005B810000}"/>
    <cellStyle name="TotRow - Style4 2 6 2 14" xfId="33934" xr:uid="{00000000-0005-0000-0000-00005C810000}"/>
    <cellStyle name="TotRow - Style4 2 6 2 15" xfId="33935" xr:uid="{00000000-0005-0000-0000-00005D810000}"/>
    <cellStyle name="TotRow - Style4 2 6 2 16" xfId="33936" xr:uid="{00000000-0005-0000-0000-00005E810000}"/>
    <cellStyle name="TotRow - Style4 2 6 2 2" xfId="33937" xr:uid="{00000000-0005-0000-0000-00005F810000}"/>
    <cellStyle name="TotRow - Style4 2 6 2 3" xfId="33938" xr:uid="{00000000-0005-0000-0000-000060810000}"/>
    <cellStyle name="TotRow - Style4 2 6 2 4" xfId="33939" xr:uid="{00000000-0005-0000-0000-000061810000}"/>
    <cellStyle name="TotRow - Style4 2 6 2 5" xfId="33940" xr:uid="{00000000-0005-0000-0000-000062810000}"/>
    <cellStyle name="TotRow - Style4 2 6 2 6" xfId="33941" xr:uid="{00000000-0005-0000-0000-000063810000}"/>
    <cellStyle name="TotRow - Style4 2 6 2 7" xfId="33942" xr:uid="{00000000-0005-0000-0000-000064810000}"/>
    <cellStyle name="TotRow - Style4 2 6 2 8" xfId="33943" xr:uid="{00000000-0005-0000-0000-000065810000}"/>
    <cellStyle name="TotRow - Style4 2 6 2 9" xfId="33944" xr:uid="{00000000-0005-0000-0000-000066810000}"/>
    <cellStyle name="TotRow - Style4 2 6 3" xfId="33945" xr:uid="{00000000-0005-0000-0000-000067810000}"/>
    <cellStyle name="TotRow - Style4 2 6 4" xfId="33946" xr:uid="{00000000-0005-0000-0000-000068810000}"/>
    <cellStyle name="TotRow - Style4 2 6 5" xfId="33947" xr:uid="{00000000-0005-0000-0000-000069810000}"/>
    <cellStyle name="TotRow - Style4 2 6 6" xfId="33948" xr:uid="{00000000-0005-0000-0000-00006A810000}"/>
    <cellStyle name="TotRow - Style4 2 6 7" xfId="33949" xr:uid="{00000000-0005-0000-0000-00006B810000}"/>
    <cellStyle name="TotRow - Style4 2 6 8" xfId="33950" xr:uid="{00000000-0005-0000-0000-00006C810000}"/>
    <cellStyle name="TotRow - Style4 2 6 9" xfId="33951" xr:uid="{00000000-0005-0000-0000-00006D810000}"/>
    <cellStyle name="TotRow - Style4 2 7" xfId="33952" xr:uid="{00000000-0005-0000-0000-00006E810000}"/>
    <cellStyle name="TotRow - Style4 2 7 10" xfId="33953" xr:uid="{00000000-0005-0000-0000-00006F810000}"/>
    <cellStyle name="TotRow - Style4 2 7 11" xfId="33954" xr:uid="{00000000-0005-0000-0000-000070810000}"/>
    <cellStyle name="TotRow - Style4 2 7 12" xfId="33955" xr:uid="{00000000-0005-0000-0000-000071810000}"/>
    <cellStyle name="TotRow - Style4 2 7 13" xfId="33956" xr:uid="{00000000-0005-0000-0000-000072810000}"/>
    <cellStyle name="TotRow - Style4 2 7 14" xfId="33957" xr:uid="{00000000-0005-0000-0000-000073810000}"/>
    <cellStyle name="TotRow - Style4 2 7 15" xfId="33958" xr:uid="{00000000-0005-0000-0000-000074810000}"/>
    <cellStyle name="TotRow - Style4 2 7 16" xfId="33959" xr:uid="{00000000-0005-0000-0000-000075810000}"/>
    <cellStyle name="TotRow - Style4 2 7 17" xfId="33960" xr:uid="{00000000-0005-0000-0000-000076810000}"/>
    <cellStyle name="TotRow - Style4 2 7 2" xfId="33961" xr:uid="{00000000-0005-0000-0000-000077810000}"/>
    <cellStyle name="TotRow - Style4 2 7 2 10" xfId="33962" xr:uid="{00000000-0005-0000-0000-000078810000}"/>
    <cellStyle name="TotRow - Style4 2 7 2 11" xfId="33963" xr:uid="{00000000-0005-0000-0000-000079810000}"/>
    <cellStyle name="TotRow - Style4 2 7 2 12" xfId="33964" xr:uid="{00000000-0005-0000-0000-00007A810000}"/>
    <cellStyle name="TotRow - Style4 2 7 2 13" xfId="33965" xr:uid="{00000000-0005-0000-0000-00007B810000}"/>
    <cellStyle name="TotRow - Style4 2 7 2 14" xfId="33966" xr:uid="{00000000-0005-0000-0000-00007C810000}"/>
    <cellStyle name="TotRow - Style4 2 7 2 15" xfId="33967" xr:uid="{00000000-0005-0000-0000-00007D810000}"/>
    <cellStyle name="TotRow - Style4 2 7 2 16" xfId="33968" xr:uid="{00000000-0005-0000-0000-00007E810000}"/>
    <cellStyle name="TotRow - Style4 2 7 2 2" xfId="33969" xr:uid="{00000000-0005-0000-0000-00007F810000}"/>
    <cellStyle name="TotRow - Style4 2 7 2 3" xfId="33970" xr:uid="{00000000-0005-0000-0000-000080810000}"/>
    <cellStyle name="TotRow - Style4 2 7 2 4" xfId="33971" xr:uid="{00000000-0005-0000-0000-000081810000}"/>
    <cellStyle name="TotRow - Style4 2 7 2 5" xfId="33972" xr:uid="{00000000-0005-0000-0000-000082810000}"/>
    <cellStyle name="TotRow - Style4 2 7 2 6" xfId="33973" xr:uid="{00000000-0005-0000-0000-000083810000}"/>
    <cellStyle name="TotRow - Style4 2 7 2 7" xfId="33974" xr:uid="{00000000-0005-0000-0000-000084810000}"/>
    <cellStyle name="TotRow - Style4 2 7 2 8" xfId="33975" xr:uid="{00000000-0005-0000-0000-000085810000}"/>
    <cellStyle name="TotRow - Style4 2 7 2 9" xfId="33976" xr:uid="{00000000-0005-0000-0000-000086810000}"/>
    <cellStyle name="TotRow - Style4 2 7 3" xfId="33977" xr:uid="{00000000-0005-0000-0000-000087810000}"/>
    <cellStyle name="TotRow - Style4 2 7 4" xfId="33978" xr:uid="{00000000-0005-0000-0000-000088810000}"/>
    <cellStyle name="TotRow - Style4 2 7 5" xfId="33979" xr:uid="{00000000-0005-0000-0000-000089810000}"/>
    <cellStyle name="TotRow - Style4 2 7 6" xfId="33980" xr:uid="{00000000-0005-0000-0000-00008A810000}"/>
    <cellStyle name="TotRow - Style4 2 7 7" xfId="33981" xr:uid="{00000000-0005-0000-0000-00008B810000}"/>
    <cellStyle name="TotRow - Style4 2 7 8" xfId="33982" xr:uid="{00000000-0005-0000-0000-00008C810000}"/>
    <cellStyle name="TotRow - Style4 2 7 9" xfId="33983" xr:uid="{00000000-0005-0000-0000-00008D810000}"/>
    <cellStyle name="TotRow - Style4 2 8" xfId="33984" xr:uid="{00000000-0005-0000-0000-00008E810000}"/>
    <cellStyle name="TotRow - Style4 2 8 10" xfId="33985" xr:uid="{00000000-0005-0000-0000-00008F810000}"/>
    <cellStyle name="TotRow - Style4 2 8 11" xfId="33986" xr:uid="{00000000-0005-0000-0000-000090810000}"/>
    <cellStyle name="TotRow - Style4 2 8 12" xfId="33987" xr:uid="{00000000-0005-0000-0000-000091810000}"/>
    <cellStyle name="TotRow - Style4 2 8 13" xfId="33988" xr:uid="{00000000-0005-0000-0000-000092810000}"/>
    <cellStyle name="TotRow - Style4 2 8 14" xfId="33989" xr:uid="{00000000-0005-0000-0000-000093810000}"/>
    <cellStyle name="TotRow - Style4 2 8 15" xfId="33990" xr:uid="{00000000-0005-0000-0000-000094810000}"/>
    <cellStyle name="TotRow - Style4 2 8 16" xfId="33991" xr:uid="{00000000-0005-0000-0000-000095810000}"/>
    <cellStyle name="TotRow - Style4 2 8 17" xfId="33992" xr:uid="{00000000-0005-0000-0000-000096810000}"/>
    <cellStyle name="TotRow - Style4 2 8 2" xfId="33993" xr:uid="{00000000-0005-0000-0000-000097810000}"/>
    <cellStyle name="TotRow - Style4 2 8 2 10" xfId="33994" xr:uid="{00000000-0005-0000-0000-000098810000}"/>
    <cellStyle name="TotRow - Style4 2 8 2 11" xfId="33995" xr:uid="{00000000-0005-0000-0000-000099810000}"/>
    <cellStyle name="TotRow - Style4 2 8 2 12" xfId="33996" xr:uid="{00000000-0005-0000-0000-00009A810000}"/>
    <cellStyle name="TotRow - Style4 2 8 2 13" xfId="33997" xr:uid="{00000000-0005-0000-0000-00009B810000}"/>
    <cellStyle name="TotRow - Style4 2 8 2 14" xfId="33998" xr:uid="{00000000-0005-0000-0000-00009C810000}"/>
    <cellStyle name="TotRow - Style4 2 8 2 15" xfId="33999" xr:uid="{00000000-0005-0000-0000-00009D810000}"/>
    <cellStyle name="TotRow - Style4 2 8 2 16" xfId="34000" xr:uid="{00000000-0005-0000-0000-00009E810000}"/>
    <cellStyle name="TotRow - Style4 2 8 2 2" xfId="34001" xr:uid="{00000000-0005-0000-0000-00009F810000}"/>
    <cellStyle name="TotRow - Style4 2 8 2 3" xfId="34002" xr:uid="{00000000-0005-0000-0000-0000A0810000}"/>
    <cellStyle name="TotRow - Style4 2 8 2 4" xfId="34003" xr:uid="{00000000-0005-0000-0000-0000A1810000}"/>
    <cellStyle name="TotRow - Style4 2 8 2 5" xfId="34004" xr:uid="{00000000-0005-0000-0000-0000A2810000}"/>
    <cellStyle name="TotRow - Style4 2 8 2 6" xfId="34005" xr:uid="{00000000-0005-0000-0000-0000A3810000}"/>
    <cellStyle name="TotRow - Style4 2 8 2 7" xfId="34006" xr:uid="{00000000-0005-0000-0000-0000A4810000}"/>
    <cellStyle name="TotRow - Style4 2 8 2 8" xfId="34007" xr:uid="{00000000-0005-0000-0000-0000A5810000}"/>
    <cellStyle name="TotRow - Style4 2 8 2 9" xfId="34008" xr:uid="{00000000-0005-0000-0000-0000A6810000}"/>
    <cellStyle name="TotRow - Style4 2 8 3" xfId="34009" xr:uid="{00000000-0005-0000-0000-0000A7810000}"/>
    <cellStyle name="TotRow - Style4 2 8 4" xfId="34010" xr:uid="{00000000-0005-0000-0000-0000A8810000}"/>
    <cellStyle name="TotRow - Style4 2 8 5" xfId="34011" xr:uid="{00000000-0005-0000-0000-0000A9810000}"/>
    <cellStyle name="TotRow - Style4 2 8 6" xfId="34012" xr:uid="{00000000-0005-0000-0000-0000AA810000}"/>
    <cellStyle name="TotRow - Style4 2 8 7" xfId="34013" xr:uid="{00000000-0005-0000-0000-0000AB810000}"/>
    <cellStyle name="TotRow - Style4 2 8 8" xfId="34014" xr:uid="{00000000-0005-0000-0000-0000AC810000}"/>
    <cellStyle name="TotRow - Style4 2 8 9" xfId="34015" xr:uid="{00000000-0005-0000-0000-0000AD810000}"/>
    <cellStyle name="TotRow - Style4 2 9" xfId="34016" xr:uid="{00000000-0005-0000-0000-0000AE810000}"/>
    <cellStyle name="TotRow - Style4 2 9 10" xfId="34017" xr:uid="{00000000-0005-0000-0000-0000AF810000}"/>
    <cellStyle name="TotRow - Style4 2 9 11" xfId="34018" xr:uid="{00000000-0005-0000-0000-0000B0810000}"/>
    <cellStyle name="TotRow - Style4 2 9 12" xfId="34019" xr:uid="{00000000-0005-0000-0000-0000B1810000}"/>
    <cellStyle name="TotRow - Style4 2 9 13" xfId="34020" xr:uid="{00000000-0005-0000-0000-0000B2810000}"/>
    <cellStyle name="TotRow - Style4 2 9 14" xfId="34021" xr:uid="{00000000-0005-0000-0000-0000B3810000}"/>
    <cellStyle name="TotRow - Style4 2 9 15" xfId="34022" xr:uid="{00000000-0005-0000-0000-0000B4810000}"/>
    <cellStyle name="TotRow - Style4 2 9 16" xfId="34023" xr:uid="{00000000-0005-0000-0000-0000B5810000}"/>
    <cellStyle name="TotRow - Style4 2 9 17" xfId="34024" xr:uid="{00000000-0005-0000-0000-0000B6810000}"/>
    <cellStyle name="TotRow - Style4 2 9 2" xfId="34025" xr:uid="{00000000-0005-0000-0000-0000B7810000}"/>
    <cellStyle name="TotRow - Style4 2 9 2 10" xfId="34026" xr:uid="{00000000-0005-0000-0000-0000B8810000}"/>
    <cellStyle name="TotRow - Style4 2 9 2 11" xfId="34027" xr:uid="{00000000-0005-0000-0000-0000B9810000}"/>
    <cellStyle name="TotRow - Style4 2 9 2 12" xfId="34028" xr:uid="{00000000-0005-0000-0000-0000BA810000}"/>
    <cellStyle name="TotRow - Style4 2 9 2 13" xfId="34029" xr:uid="{00000000-0005-0000-0000-0000BB810000}"/>
    <cellStyle name="TotRow - Style4 2 9 2 14" xfId="34030" xr:uid="{00000000-0005-0000-0000-0000BC810000}"/>
    <cellStyle name="TotRow - Style4 2 9 2 15" xfId="34031" xr:uid="{00000000-0005-0000-0000-0000BD810000}"/>
    <cellStyle name="TotRow - Style4 2 9 2 16" xfId="34032" xr:uid="{00000000-0005-0000-0000-0000BE810000}"/>
    <cellStyle name="TotRow - Style4 2 9 2 2" xfId="34033" xr:uid="{00000000-0005-0000-0000-0000BF810000}"/>
    <cellStyle name="TotRow - Style4 2 9 2 3" xfId="34034" xr:uid="{00000000-0005-0000-0000-0000C0810000}"/>
    <cellStyle name="TotRow - Style4 2 9 2 4" xfId="34035" xr:uid="{00000000-0005-0000-0000-0000C1810000}"/>
    <cellStyle name="TotRow - Style4 2 9 2 5" xfId="34036" xr:uid="{00000000-0005-0000-0000-0000C2810000}"/>
    <cellStyle name="TotRow - Style4 2 9 2 6" xfId="34037" xr:uid="{00000000-0005-0000-0000-0000C3810000}"/>
    <cellStyle name="TotRow - Style4 2 9 2 7" xfId="34038" xr:uid="{00000000-0005-0000-0000-0000C4810000}"/>
    <cellStyle name="TotRow - Style4 2 9 2 8" xfId="34039" xr:uid="{00000000-0005-0000-0000-0000C5810000}"/>
    <cellStyle name="TotRow - Style4 2 9 2 9" xfId="34040" xr:uid="{00000000-0005-0000-0000-0000C6810000}"/>
    <cellStyle name="TotRow - Style4 2 9 3" xfId="34041" xr:uid="{00000000-0005-0000-0000-0000C7810000}"/>
    <cellStyle name="TotRow - Style4 2 9 4" xfId="34042" xr:uid="{00000000-0005-0000-0000-0000C8810000}"/>
    <cellStyle name="TotRow - Style4 2 9 5" xfId="34043" xr:uid="{00000000-0005-0000-0000-0000C9810000}"/>
    <cellStyle name="TotRow - Style4 2 9 6" xfId="34044" xr:uid="{00000000-0005-0000-0000-0000CA810000}"/>
    <cellStyle name="TotRow - Style4 2 9 7" xfId="34045" xr:uid="{00000000-0005-0000-0000-0000CB810000}"/>
    <cellStyle name="TotRow - Style4 2 9 8" xfId="34046" xr:uid="{00000000-0005-0000-0000-0000CC810000}"/>
    <cellStyle name="TotRow - Style4 2 9 9" xfId="34047" xr:uid="{00000000-0005-0000-0000-0000CD810000}"/>
    <cellStyle name="TotRow - Style4 20" xfId="34048" xr:uid="{00000000-0005-0000-0000-0000CE810000}"/>
    <cellStyle name="TotRow - Style4 21" xfId="34049" xr:uid="{00000000-0005-0000-0000-0000CF810000}"/>
    <cellStyle name="TotRow - Style4 22" xfId="34050" xr:uid="{00000000-0005-0000-0000-0000D0810000}"/>
    <cellStyle name="TotRow - Style4 23" xfId="34051" xr:uid="{00000000-0005-0000-0000-0000D1810000}"/>
    <cellStyle name="TotRow - Style4 24" xfId="34052" xr:uid="{00000000-0005-0000-0000-0000D2810000}"/>
    <cellStyle name="TotRow - Style4 25" xfId="34053" xr:uid="{00000000-0005-0000-0000-0000D3810000}"/>
    <cellStyle name="TotRow - Style4 26" xfId="34054" xr:uid="{00000000-0005-0000-0000-0000D4810000}"/>
    <cellStyle name="TotRow - Style4 27" xfId="34055" xr:uid="{00000000-0005-0000-0000-0000D5810000}"/>
    <cellStyle name="TotRow - Style4 28" xfId="34056" xr:uid="{00000000-0005-0000-0000-0000D6810000}"/>
    <cellStyle name="TotRow - Style4 29" xfId="34057" xr:uid="{00000000-0005-0000-0000-0000D7810000}"/>
    <cellStyle name="TotRow - Style4 3" xfId="34058" xr:uid="{00000000-0005-0000-0000-0000D8810000}"/>
    <cellStyle name="TotRow - Style4 3 10" xfId="34059" xr:uid="{00000000-0005-0000-0000-0000D9810000}"/>
    <cellStyle name="TotRow - Style4 3 10 10" xfId="34060" xr:uid="{00000000-0005-0000-0000-0000DA810000}"/>
    <cellStyle name="TotRow - Style4 3 10 11" xfId="34061" xr:uid="{00000000-0005-0000-0000-0000DB810000}"/>
    <cellStyle name="TotRow - Style4 3 10 12" xfId="34062" xr:uid="{00000000-0005-0000-0000-0000DC810000}"/>
    <cellStyle name="TotRow - Style4 3 10 13" xfId="34063" xr:uid="{00000000-0005-0000-0000-0000DD810000}"/>
    <cellStyle name="TotRow - Style4 3 10 14" xfId="34064" xr:uid="{00000000-0005-0000-0000-0000DE810000}"/>
    <cellStyle name="TotRow - Style4 3 10 15" xfId="34065" xr:uid="{00000000-0005-0000-0000-0000DF810000}"/>
    <cellStyle name="TotRow - Style4 3 10 16" xfId="34066" xr:uid="{00000000-0005-0000-0000-0000E0810000}"/>
    <cellStyle name="TotRow - Style4 3 10 17" xfId="34067" xr:uid="{00000000-0005-0000-0000-0000E1810000}"/>
    <cellStyle name="TotRow - Style4 3 10 2" xfId="34068" xr:uid="{00000000-0005-0000-0000-0000E2810000}"/>
    <cellStyle name="TotRow - Style4 3 10 2 10" xfId="34069" xr:uid="{00000000-0005-0000-0000-0000E3810000}"/>
    <cellStyle name="TotRow - Style4 3 10 2 11" xfId="34070" xr:uid="{00000000-0005-0000-0000-0000E4810000}"/>
    <cellStyle name="TotRow - Style4 3 10 2 12" xfId="34071" xr:uid="{00000000-0005-0000-0000-0000E5810000}"/>
    <cellStyle name="TotRow - Style4 3 10 2 13" xfId="34072" xr:uid="{00000000-0005-0000-0000-0000E6810000}"/>
    <cellStyle name="TotRow - Style4 3 10 2 14" xfId="34073" xr:uid="{00000000-0005-0000-0000-0000E7810000}"/>
    <cellStyle name="TotRow - Style4 3 10 2 15" xfId="34074" xr:uid="{00000000-0005-0000-0000-0000E8810000}"/>
    <cellStyle name="TotRow - Style4 3 10 2 16" xfId="34075" xr:uid="{00000000-0005-0000-0000-0000E9810000}"/>
    <cellStyle name="TotRow - Style4 3 10 2 2" xfId="34076" xr:uid="{00000000-0005-0000-0000-0000EA810000}"/>
    <cellStyle name="TotRow - Style4 3 10 2 3" xfId="34077" xr:uid="{00000000-0005-0000-0000-0000EB810000}"/>
    <cellStyle name="TotRow - Style4 3 10 2 4" xfId="34078" xr:uid="{00000000-0005-0000-0000-0000EC810000}"/>
    <cellStyle name="TotRow - Style4 3 10 2 5" xfId="34079" xr:uid="{00000000-0005-0000-0000-0000ED810000}"/>
    <cellStyle name="TotRow - Style4 3 10 2 6" xfId="34080" xr:uid="{00000000-0005-0000-0000-0000EE810000}"/>
    <cellStyle name="TotRow - Style4 3 10 2 7" xfId="34081" xr:uid="{00000000-0005-0000-0000-0000EF810000}"/>
    <cellStyle name="TotRow - Style4 3 10 2 8" xfId="34082" xr:uid="{00000000-0005-0000-0000-0000F0810000}"/>
    <cellStyle name="TotRow - Style4 3 10 2 9" xfId="34083" xr:uid="{00000000-0005-0000-0000-0000F1810000}"/>
    <cellStyle name="TotRow - Style4 3 10 3" xfId="34084" xr:uid="{00000000-0005-0000-0000-0000F2810000}"/>
    <cellStyle name="TotRow - Style4 3 10 4" xfId="34085" xr:uid="{00000000-0005-0000-0000-0000F3810000}"/>
    <cellStyle name="TotRow - Style4 3 10 5" xfId="34086" xr:uid="{00000000-0005-0000-0000-0000F4810000}"/>
    <cellStyle name="TotRow - Style4 3 10 6" xfId="34087" xr:uid="{00000000-0005-0000-0000-0000F5810000}"/>
    <cellStyle name="TotRow - Style4 3 10 7" xfId="34088" xr:uid="{00000000-0005-0000-0000-0000F6810000}"/>
    <cellStyle name="TotRow - Style4 3 10 8" xfId="34089" xr:uid="{00000000-0005-0000-0000-0000F7810000}"/>
    <cellStyle name="TotRow - Style4 3 10 9" xfId="34090" xr:uid="{00000000-0005-0000-0000-0000F8810000}"/>
    <cellStyle name="TotRow - Style4 3 11" xfId="34091" xr:uid="{00000000-0005-0000-0000-0000F9810000}"/>
    <cellStyle name="TotRow - Style4 3 11 10" xfId="34092" xr:uid="{00000000-0005-0000-0000-0000FA810000}"/>
    <cellStyle name="TotRow - Style4 3 11 11" xfId="34093" xr:uid="{00000000-0005-0000-0000-0000FB810000}"/>
    <cellStyle name="TotRow - Style4 3 11 12" xfId="34094" xr:uid="{00000000-0005-0000-0000-0000FC810000}"/>
    <cellStyle name="TotRow - Style4 3 11 13" xfId="34095" xr:uid="{00000000-0005-0000-0000-0000FD810000}"/>
    <cellStyle name="TotRow - Style4 3 11 14" xfId="34096" xr:uid="{00000000-0005-0000-0000-0000FE810000}"/>
    <cellStyle name="TotRow - Style4 3 11 15" xfId="34097" xr:uid="{00000000-0005-0000-0000-0000FF810000}"/>
    <cellStyle name="TotRow - Style4 3 11 16" xfId="34098" xr:uid="{00000000-0005-0000-0000-000000820000}"/>
    <cellStyle name="TotRow - Style4 3 11 2" xfId="34099" xr:uid="{00000000-0005-0000-0000-000001820000}"/>
    <cellStyle name="TotRow - Style4 3 11 3" xfId="34100" xr:uid="{00000000-0005-0000-0000-000002820000}"/>
    <cellStyle name="TotRow - Style4 3 11 4" xfId="34101" xr:uid="{00000000-0005-0000-0000-000003820000}"/>
    <cellStyle name="TotRow - Style4 3 11 5" xfId="34102" xr:uid="{00000000-0005-0000-0000-000004820000}"/>
    <cellStyle name="TotRow - Style4 3 11 6" xfId="34103" xr:uid="{00000000-0005-0000-0000-000005820000}"/>
    <cellStyle name="TotRow - Style4 3 11 7" xfId="34104" xr:uid="{00000000-0005-0000-0000-000006820000}"/>
    <cellStyle name="TotRow - Style4 3 11 8" xfId="34105" xr:uid="{00000000-0005-0000-0000-000007820000}"/>
    <cellStyle name="TotRow - Style4 3 11 9" xfId="34106" xr:uid="{00000000-0005-0000-0000-000008820000}"/>
    <cellStyle name="TotRow - Style4 3 12" xfId="34107" xr:uid="{00000000-0005-0000-0000-000009820000}"/>
    <cellStyle name="TotRow - Style4 3 13" xfId="34108" xr:uid="{00000000-0005-0000-0000-00000A820000}"/>
    <cellStyle name="TotRow - Style4 3 14" xfId="34109" xr:uid="{00000000-0005-0000-0000-00000B820000}"/>
    <cellStyle name="TotRow - Style4 3 15" xfId="34110" xr:uid="{00000000-0005-0000-0000-00000C820000}"/>
    <cellStyle name="TotRow - Style4 3 16" xfId="34111" xr:uid="{00000000-0005-0000-0000-00000D820000}"/>
    <cellStyle name="TotRow - Style4 3 17" xfId="34112" xr:uid="{00000000-0005-0000-0000-00000E820000}"/>
    <cellStyle name="TotRow - Style4 3 18" xfId="34113" xr:uid="{00000000-0005-0000-0000-00000F820000}"/>
    <cellStyle name="TotRow - Style4 3 19" xfId="34114" xr:uid="{00000000-0005-0000-0000-000010820000}"/>
    <cellStyle name="TotRow - Style4 3 2" xfId="34115" xr:uid="{00000000-0005-0000-0000-000011820000}"/>
    <cellStyle name="TotRow - Style4 3 2 10" xfId="34116" xr:uid="{00000000-0005-0000-0000-000012820000}"/>
    <cellStyle name="TotRow - Style4 3 2 11" xfId="34117" xr:uid="{00000000-0005-0000-0000-000013820000}"/>
    <cellStyle name="TotRow - Style4 3 2 12" xfId="34118" xr:uid="{00000000-0005-0000-0000-000014820000}"/>
    <cellStyle name="TotRow - Style4 3 2 13" xfId="34119" xr:uid="{00000000-0005-0000-0000-000015820000}"/>
    <cellStyle name="TotRow - Style4 3 2 14" xfId="34120" xr:uid="{00000000-0005-0000-0000-000016820000}"/>
    <cellStyle name="TotRow - Style4 3 2 15" xfId="34121" xr:uid="{00000000-0005-0000-0000-000017820000}"/>
    <cellStyle name="TotRow - Style4 3 2 16" xfId="34122" xr:uid="{00000000-0005-0000-0000-000018820000}"/>
    <cellStyle name="TotRow - Style4 3 2 17" xfId="34123" xr:uid="{00000000-0005-0000-0000-000019820000}"/>
    <cellStyle name="TotRow - Style4 3 2 2" xfId="34124" xr:uid="{00000000-0005-0000-0000-00001A820000}"/>
    <cellStyle name="TotRow - Style4 3 2 2 10" xfId="34125" xr:uid="{00000000-0005-0000-0000-00001B820000}"/>
    <cellStyle name="TotRow - Style4 3 2 2 11" xfId="34126" xr:uid="{00000000-0005-0000-0000-00001C820000}"/>
    <cellStyle name="TotRow - Style4 3 2 2 12" xfId="34127" xr:uid="{00000000-0005-0000-0000-00001D820000}"/>
    <cellStyle name="TotRow - Style4 3 2 2 13" xfId="34128" xr:uid="{00000000-0005-0000-0000-00001E820000}"/>
    <cellStyle name="TotRow - Style4 3 2 2 14" xfId="34129" xr:uid="{00000000-0005-0000-0000-00001F820000}"/>
    <cellStyle name="TotRow - Style4 3 2 2 15" xfId="34130" xr:uid="{00000000-0005-0000-0000-000020820000}"/>
    <cellStyle name="TotRow - Style4 3 2 2 16" xfId="34131" xr:uid="{00000000-0005-0000-0000-000021820000}"/>
    <cellStyle name="TotRow - Style4 3 2 2 2" xfId="34132" xr:uid="{00000000-0005-0000-0000-000022820000}"/>
    <cellStyle name="TotRow - Style4 3 2 2 3" xfId="34133" xr:uid="{00000000-0005-0000-0000-000023820000}"/>
    <cellStyle name="TotRow - Style4 3 2 2 4" xfId="34134" xr:uid="{00000000-0005-0000-0000-000024820000}"/>
    <cellStyle name="TotRow - Style4 3 2 2 5" xfId="34135" xr:uid="{00000000-0005-0000-0000-000025820000}"/>
    <cellStyle name="TotRow - Style4 3 2 2 6" xfId="34136" xr:uid="{00000000-0005-0000-0000-000026820000}"/>
    <cellStyle name="TotRow - Style4 3 2 2 7" xfId="34137" xr:uid="{00000000-0005-0000-0000-000027820000}"/>
    <cellStyle name="TotRow - Style4 3 2 2 8" xfId="34138" xr:uid="{00000000-0005-0000-0000-000028820000}"/>
    <cellStyle name="TotRow - Style4 3 2 2 9" xfId="34139" xr:uid="{00000000-0005-0000-0000-000029820000}"/>
    <cellStyle name="TotRow - Style4 3 2 3" xfId="34140" xr:uid="{00000000-0005-0000-0000-00002A820000}"/>
    <cellStyle name="TotRow - Style4 3 2 4" xfId="34141" xr:uid="{00000000-0005-0000-0000-00002B820000}"/>
    <cellStyle name="TotRow - Style4 3 2 5" xfId="34142" xr:uid="{00000000-0005-0000-0000-00002C820000}"/>
    <cellStyle name="TotRow - Style4 3 2 6" xfId="34143" xr:uid="{00000000-0005-0000-0000-00002D820000}"/>
    <cellStyle name="TotRow - Style4 3 2 7" xfId="34144" xr:uid="{00000000-0005-0000-0000-00002E820000}"/>
    <cellStyle name="TotRow - Style4 3 2 8" xfId="34145" xr:uid="{00000000-0005-0000-0000-00002F820000}"/>
    <cellStyle name="TotRow - Style4 3 2 9" xfId="34146" xr:uid="{00000000-0005-0000-0000-000030820000}"/>
    <cellStyle name="TotRow - Style4 3 20" xfId="34147" xr:uid="{00000000-0005-0000-0000-000031820000}"/>
    <cellStyle name="TotRow - Style4 3 21" xfId="34148" xr:uid="{00000000-0005-0000-0000-000032820000}"/>
    <cellStyle name="TotRow - Style4 3 22" xfId="34149" xr:uid="{00000000-0005-0000-0000-000033820000}"/>
    <cellStyle name="TotRow - Style4 3 23" xfId="34150" xr:uid="{00000000-0005-0000-0000-000034820000}"/>
    <cellStyle name="TotRow - Style4 3 24" xfId="34151" xr:uid="{00000000-0005-0000-0000-000035820000}"/>
    <cellStyle name="TotRow - Style4 3 25" xfId="34152" xr:uid="{00000000-0005-0000-0000-000036820000}"/>
    <cellStyle name="TotRow - Style4 3 26" xfId="34153" xr:uid="{00000000-0005-0000-0000-000037820000}"/>
    <cellStyle name="TotRow - Style4 3 3" xfId="34154" xr:uid="{00000000-0005-0000-0000-000038820000}"/>
    <cellStyle name="TotRow - Style4 3 3 10" xfId="34155" xr:uid="{00000000-0005-0000-0000-000039820000}"/>
    <cellStyle name="TotRow - Style4 3 3 11" xfId="34156" xr:uid="{00000000-0005-0000-0000-00003A820000}"/>
    <cellStyle name="TotRow - Style4 3 3 12" xfId="34157" xr:uid="{00000000-0005-0000-0000-00003B820000}"/>
    <cellStyle name="TotRow - Style4 3 3 13" xfId="34158" xr:uid="{00000000-0005-0000-0000-00003C820000}"/>
    <cellStyle name="TotRow - Style4 3 3 14" xfId="34159" xr:uid="{00000000-0005-0000-0000-00003D820000}"/>
    <cellStyle name="TotRow - Style4 3 3 15" xfId="34160" xr:uid="{00000000-0005-0000-0000-00003E820000}"/>
    <cellStyle name="TotRow - Style4 3 3 16" xfId="34161" xr:uid="{00000000-0005-0000-0000-00003F820000}"/>
    <cellStyle name="TotRow - Style4 3 3 17" xfId="34162" xr:uid="{00000000-0005-0000-0000-000040820000}"/>
    <cellStyle name="TotRow - Style4 3 3 2" xfId="34163" xr:uid="{00000000-0005-0000-0000-000041820000}"/>
    <cellStyle name="TotRow - Style4 3 3 2 10" xfId="34164" xr:uid="{00000000-0005-0000-0000-000042820000}"/>
    <cellStyle name="TotRow - Style4 3 3 2 11" xfId="34165" xr:uid="{00000000-0005-0000-0000-000043820000}"/>
    <cellStyle name="TotRow - Style4 3 3 2 12" xfId="34166" xr:uid="{00000000-0005-0000-0000-000044820000}"/>
    <cellStyle name="TotRow - Style4 3 3 2 13" xfId="34167" xr:uid="{00000000-0005-0000-0000-000045820000}"/>
    <cellStyle name="TotRow - Style4 3 3 2 14" xfId="34168" xr:uid="{00000000-0005-0000-0000-000046820000}"/>
    <cellStyle name="TotRow - Style4 3 3 2 15" xfId="34169" xr:uid="{00000000-0005-0000-0000-000047820000}"/>
    <cellStyle name="TotRow - Style4 3 3 2 16" xfId="34170" xr:uid="{00000000-0005-0000-0000-000048820000}"/>
    <cellStyle name="TotRow - Style4 3 3 2 2" xfId="34171" xr:uid="{00000000-0005-0000-0000-000049820000}"/>
    <cellStyle name="TotRow - Style4 3 3 2 3" xfId="34172" xr:uid="{00000000-0005-0000-0000-00004A820000}"/>
    <cellStyle name="TotRow - Style4 3 3 2 4" xfId="34173" xr:uid="{00000000-0005-0000-0000-00004B820000}"/>
    <cellStyle name="TotRow - Style4 3 3 2 5" xfId="34174" xr:uid="{00000000-0005-0000-0000-00004C820000}"/>
    <cellStyle name="TotRow - Style4 3 3 2 6" xfId="34175" xr:uid="{00000000-0005-0000-0000-00004D820000}"/>
    <cellStyle name="TotRow - Style4 3 3 2 7" xfId="34176" xr:uid="{00000000-0005-0000-0000-00004E820000}"/>
    <cellStyle name="TotRow - Style4 3 3 2 8" xfId="34177" xr:uid="{00000000-0005-0000-0000-00004F820000}"/>
    <cellStyle name="TotRow - Style4 3 3 2 9" xfId="34178" xr:uid="{00000000-0005-0000-0000-000050820000}"/>
    <cellStyle name="TotRow - Style4 3 3 3" xfId="34179" xr:uid="{00000000-0005-0000-0000-000051820000}"/>
    <cellStyle name="TotRow - Style4 3 3 4" xfId="34180" xr:uid="{00000000-0005-0000-0000-000052820000}"/>
    <cellStyle name="TotRow - Style4 3 3 5" xfId="34181" xr:uid="{00000000-0005-0000-0000-000053820000}"/>
    <cellStyle name="TotRow - Style4 3 3 6" xfId="34182" xr:uid="{00000000-0005-0000-0000-000054820000}"/>
    <cellStyle name="TotRow - Style4 3 3 7" xfId="34183" xr:uid="{00000000-0005-0000-0000-000055820000}"/>
    <cellStyle name="TotRow - Style4 3 3 8" xfId="34184" xr:uid="{00000000-0005-0000-0000-000056820000}"/>
    <cellStyle name="TotRow - Style4 3 3 9" xfId="34185" xr:uid="{00000000-0005-0000-0000-000057820000}"/>
    <cellStyle name="TotRow - Style4 3 4" xfId="34186" xr:uid="{00000000-0005-0000-0000-000058820000}"/>
    <cellStyle name="TotRow - Style4 3 4 10" xfId="34187" xr:uid="{00000000-0005-0000-0000-000059820000}"/>
    <cellStyle name="TotRow - Style4 3 4 11" xfId="34188" xr:uid="{00000000-0005-0000-0000-00005A820000}"/>
    <cellStyle name="TotRow - Style4 3 4 12" xfId="34189" xr:uid="{00000000-0005-0000-0000-00005B820000}"/>
    <cellStyle name="TotRow - Style4 3 4 13" xfId="34190" xr:uid="{00000000-0005-0000-0000-00005C820000}"/>
    <cellStyle name="TotRow - Style4 3 4 14" xfId="34191" xr:uid="{00000000-0005-0000-0000-00005D820000}"/>
    <cellStyle name="TotRow - Style4 3 4 15" xfId="34192" xr:uid="{00000000-0005-0000-0000-00005E820000}"/>
    <cellStyle name="TotRow - Style4 3 4 16" xfId="34193" xr:uid="{00000000-0005-0000-0000-00005F820000}"/>
    <cellStyle name="TotRow - Style4 3 4 17" xfId="34194" xr:uid="{00000000-0005-0000-0000-000060820000}"/>
    <cellStyle name="TotRow - Style4 3 4 2" xfId="34195" xr:uid="{00000000-0005-0000-0000-000061820000}"/>
    <cellStyle name="TotRow - Style4 3 4 2 10" xfId="34196" xr:uid="{00000000-0005-0000-0000-000062820000}"/>
    <cellStyle name="TotRow - Style4 3 4 2 11" xfId="34197" xr:uid="{00000000-0005-0000-0000-000063820000}"/>
    <cellStyle name="TotRow - Style4 3 4 2 12" xfId="34198" xr:uid="{00000000-0005-0000-0000-000064820000}"/>
    <cellStyle name="TotRow - Style4 3 4 2 13" xfId="34199" xr:uid="{00000000-0005-0000-0000-000065820000}"/>
    <cellStyle name="TotRow - Style4 3 4 2 14" xfId="34200" xr:uid="{00000000-0005-0000-0000-000066820000}"/>
    <cellStyle name="TotRow - Style4 3 4 2 15" xfId="34201" xr:uid="{00000000-0005-0000-0000-000067820000}"/>
    <cellStyle name="TotRow - Style4 3 4 2 16" xfId="34202" xr:uid="{00000000-0005-0000-0000-000068820000}"/>
    <cellStyle name="TotRow - Style4 3 4 2 2" xfId="34203" xr:uid="{00000000-0005-0000-0000-000069820000}"/>
    <cellStyle name="TotRow - Style4 3 4 2 3" xfId="34204" xr:uid="{00000000-0005-0000-0000-00006A820000}"/>
    <cellStyle name="TotRow - Style4 3 4 2 4" xfId="34205" xr:uid="{00000000-0005-0000-0000-00006B820000}"/>
    <cellStyle name="TotRow - Style4 3 4 2 5" xfId="34206" xr:uid="{00000000-0005-0000-0000-00006C820000}"/>
    <cellStyle name="TotRow - Style4 3 4 2 6" xfId="34207" xr:uid="{00000000-0005-0000-0000-00006D820000}"/>
    <cellStyle name="TotRow - Style4 3 4 2 7" xfId="34208" xr:uid="{00000000-0005-0000-0000-00006E820000}"/>
    <cellStyle name="TotRow - Style4 3 4 2 8" xfId="34209" xr:uid="{00000000-0005-0000-0000-00006F820000}"/>
    <cellStyle name="TotRow - Style4 3 4 2 9" xfId="34210" xr:uid="{00000000-0005-0000-0000-000070820000}"/>
    <cellStyle name="TotRow - Style4 3 4 3" xfId="34211" xr:uid="{00000000-0005-0000-0000-000071820000}"/>
    <cellStyle name="TotRow - Style4 3 4 4" xfId="34212" xr:uid="{00000000-0005-0000-0000-000072820000}"/>
    <cellStyle name="TotRow - Style4 3 4 5" xfId="34213" xr:uid="{00000000-0005-0000-0000-000073820000}"/>
    <cellStyle name="TotRow - Style4 3 4 6" xfId="34214" xr:uid="{00000000-0005-0000-0000-000074820000}"/>
    <cellStyle name="TotRow - Style4 3 4 7" xfId="34215" xr:uid="{00000000-0005-0000-0000-000075820000}"/>
    <cellStyle name="TotRow - Style4 3 4 8" xfId="34216" xr:uid="{00000000-0005-0000-0000-000076820000}"/>
    <cellStyle name="TotRow - Style4 3 4 9" xfId="34217" xr:uid="{00000000-0005-0000-0000-000077820000}"/>
    <cellStyle name="TotRow - Style4 3 5" xfId="34218" xr:uid="{00000000-0005-0000-0000-000078820000}"/>
    <cellStyle name="TotRow - Style4 3 5 10" xfId="34219" xr:uid="{00000000-0005-0000-0000-000079820000}"/>
    <cellStyle name="TotRow - Style4 3 5 11" xfId="34220" xr:uid="{00000000-0005-0000-0000-00007A820000}"/>
    <cellStyle name="TotRow - Style4 3 5 12" xfId="34221" xr:uid="{00000000-0005-0000-0000-00007B820000}"/>
    <cellStyle name="TotRow - Style4 3 5 13" xfId="34222" xr:uid="{00000000-0005-0000-0000-00007C820000}"/>
    <cellStyle name="TotRow - Style4 3 5 14" xfId="34223" xr:uid="{00000000-0005-0000-0000-00007D820000}"/>
    <cellStyle name="TotRow - Style4 3 5 15" xfId="34224" xr:uid="{00000000-0005-0000-0000-00007E820000}"/>
    <cellStyle name="TotRow - Style4 3 5 16" xfId="34225" xr:uid="{00000000-0005-0000-0000-00007F820000}"/>
    <cellStyle name="TotRow - Style4 3 5 17" xfId="34226" xr:uid="{00000000-0005-0000-0000-000080820000}"/>
    <cellStyle name="TotRow - Style4 3 5 2" xfId="34227" xr:uid="{00000000-0005-0000-0000-000081820000}"/>
    <cellStyle name="TotRow - Style4 3 5 2 10" xfId="34228" xr:uid="{00000000-0005-0000-0000-000082820000}"/>
    <cellStyle name="TotRow - Style4 3 5 2 11" xfId="34229" xr:uid="{00000000-0005-0000-0000-000083820000}"/>
    <cellStyle name="TotRow - Style4 3 5 2 12" xfId="34230" xr:uid="{00000000-0005-0000-0000-000084820000}"/>
    <cellStyle name="TotRow - Style4 3 5 2 13" xfId="34231" xr:uid="{00000000-0005-0000-0000-000085820000}"/>
    <cellStyle name="TotRow - Style4 3 5 2 14" xfId="34232" xr:uid="{00000000-0005-0000-0000-000086820000}"/>
    <cellStyle name="TotRow - Style4 3 5 2 15" xfId="34233" xr:uid="{00000000-0005-0000-0000-000087820000}"/>
    <cellStyle name="TotRow - Style4 3 5 2 16" xfId="34234" xr:uid="{00000000-0005-0000-0000-000088820000}"/>
    <cellStyle name="TotRow - Style4 3 5 2 2" xfId="34235" xr:uid="{00000000-0005-0000-0000-000089820000}"/>
    <cellStyle name="TotRow - Style4 3 5 2 3" xfId="34236" xr:uid="{00000000-0005-0000-0000-00008A820000}"/>
    <cellStyle name="TotRow - Style4 3 5 2 4" xfId="34237" xr:uid="{00000000-0005-0000-0000-00008B820000}"/>
    <cellStyle name="TotRow - Style4 3 5 2 5" xfId="34238" xr:uid="{00000000-0005-0000-0000-00008C820000}"/>
    <cellStyle name="TotRow - Style4 3 5 2 6" xfId="34239" xr:uid="{00000000-0005-0000-0000-00008D820000}"/>
    <cellStyle name="TotRow - Style4 3 5 2 7" xfId="34240" xr:uid="{00000000-0005-0000-0000-00008E820000}"/>
    <cellStyle name="TotRow - Style4 3 5 2 8" xfId="34241" xr:uid="{00000000-0005-0000-0000-00008F820000}"/>
    <cellStyle name="TotRow - Style4 3 5 2 9" xfId="34242" xr:uid="{00000000-0005-0000-0000-000090820000}"/>
    <cellStyle name="TotRow - Style4 3 5 3" xfId="34243" xr:uid="{00000000-0005-0000-0000-000091820000}"/>
    <cellStyle name="TotRow - Style4 3 5 4" xfId="34244" xr:uid="{00000000-0005-0000-0000-000092820000}"/>
    <cellStyle name="TotRow - Style4 3 5 5" xfId="34245" xr:uid="{00000000-0005-0000-0000-000093820000}"/>
    <cellStyle name="TotRow - Style4 3 5 6" xfId="34246" xr:uid="{00000000-0005-0000-0000-000094820000}"/>
    <cellStyle name="TotRow - Style4 3 5 7" xfId="34247" xr:uid="{00000000-0005-0000-0000-000095820000}"/>
    <cellStyle name="TotRow - Style4 3 5 8" xfId="34248" xr:uid="{00000000-0005-0000-0000-000096820000}"/>
    <cellStyle name="TotRow - Style4 3 5 9" xfId="34249" xr:uid="{00000000-0005-0000-0000-000097820000}"/>
    <cellStyle name="TotRow - Style4 3 6" xfId="34250" xr:uid="{00000000-0005-0000-0000-000098820000}"/>
    <cellStyle name="TotRow - Style4 3 6 10" xfId="34251" xr:uid="{00000000-0005-0000-0000-000099820000}"/>
    <cellStyle name="TotRow - Style4 3 6 11" xfId="34252" xr:uid="{00000000-0005-0000-0000-00009A820000}"/>
    <cellStyle name="TotRow - Style4 3 6 12" xfId="34253" xr:uid="{00000000-0005-0000-0000-00009B820000}"/>
    <cellStyle name="TotRow - Style4 3 6 13" xfId="34254" xr:uid="{00000000-0005-0000-0000-00009C820000}"/>
    <cellStyle name="TotRow - Style4 3 6 14" xfId="34255" xr:uid="{00000000-0005-0000-0000-00009D820000}"/>
    <cellStyle name="TotRow - Style4 3 6 15" xfId="34256" xr:uid="{00000000-0005-0000-0000-00009E820000}"/>
    <cellStyle name="TotRow - Style4 3 6 16" xfId="34257" xr:uid="{00000000-0005-0000-0000-00009F820000}"/>
    <cellStyle name="TotRow - Style4 3 6 17" xfId="34258" xr:uid="{00000000-0005-0000-0000-0000A0820000}"/>
    <cellStyle name="TotRow - Style4 3 6 2" xfId="34259" xr:uid="{00000000-0005-0000-0000-0000A1820000}"/>
    <cellStyle name="TotRow - Style4 3 6 2 10" xfId="34260" xr:uid="{00000000-0005-0000-0000-0000A2820000}"/>
    <cellStyle name="TotRow - Style4 3 6 2 11" xfId="34261" xr:uid="{00000000-0005-0000-0000-0000A3820000}"/>
    <cellStyle name="TotRow - Style4 3 6 2 12" xfId="34262" xr:uid="{00000000-0005-0000-0000-0000A4820000}"/>
    <cellStyle name="TotRow - Style4 3 6 2 13" xfId="34263" xr:uid="{00000000-0005-0000-0000-0000A5820000}"/>
    <cellStyle name="TotRow - Style4 3 6 2 14" xfId="34264" xr:uid="{00000000-0005-0000-0000-0000A6820000}"/>
    <cellStyle name="TotRow - Style4 3 6 2 15" xfId="34265" xr:uid="{00000000-0005-0000-0000-0000A7820000}"/>
    <cellStyle name="TotRow - Style4 3 6 2 16" xfId="34266" xr:uid="{00000000-0005-0000-0000-0000A8820000}"/>
    <cellStyle name="TotRow - Style4 3 6 2 2" xfId="34267" xr:uid="{00000000-0005-0000-0000-0000A9820000}"/>
    <cellStyle name="TotRow - Style4 3 6 2 3" xfId="34268" xr:uid="{00000000-0005-0000-0000-0000AA820000}"/>
    <cellStyle name="TotRow - Style4 3 6 2 4" xfId="34269" xr:uid="{00000000-0005-0000-0000-0000AB820000}"/>
    <cellStyle name="TotRow - Style4 3 6 2 5" xfId="34270" xr:uid="{00000000-0005-0000-0000-0000AC820000}"/>
    <cellStyle name="TotRow - Style4 3 6 2 6" xfId="34271" xr:uid="{00000000-0005-0000-0000-0000AD820000}"/>
    <cellStyle name="TotRow - Style4 3 6 2 7" xfId="34272" xr:uid="{00000000-0005-0000-0000-0000AE820000}"/>
    <cellStyle name="TotRow - Style4 3 6 2 8" xfId="34273" xr:uid="{00000000-0005-0000-0000-0000AF820000}"/>
    <cellStyle name="TotRow - Style4 3 6 2 9" xfId="34274" xr:uid="{00000000-0005-0000-0000-0000B0820000}"/>
    <cellStyle name="TotRow - Style4 3 6 3" xfId="34275" xr:uid="{00000000-0005-0000-0000-0000B1820000}"/>
    <cellStyle name="TotRow - Style4 3 6 4" xfId="34276" xr:uid="{00000000-0005-0000-0000-0000B2820000}"/>
    <cellStyle name="TotRow - Style4 3 6 5" xfId="34277" xr:uid="{00000000-0005-0000-0000-0000B3820000}"/>
    <cellStyle name="TotRow - Style4 3 6 6" xfId="34278" xr:uid="{00000000-0005-0000-0000-0000B4820000}"/>
    <cellStyle name="TotRow - Style4 3 6 7" xfId="34279" xr:uid="{00000000-0005-0000-0000-0000B5820000}"/>
    <cellStyle name="TotRow - Style4 3 6 8" xfId="34280" xr:uid="{00000000-0005-0000-0000-0000B6820000}"/>
    <cellStyle name="TotRow - Style4 3 6 9" xfId="34281" xr:uid="{00000000-0005-0000-0000-0000B7820000}"/>
    <cellStyle name="TotRow - Style4 3 7" xfId="34282" xr:uid="{00000000-0005-0000-0000-0000B8820000}"/>
    <cellStyle name="TotRow - Style4 3 7 10" xfId="34283" xr:uid="{00000000-0005-0000-0000-0000B9820000}"/>
    <cellStyle name="TotRow - Style4 3 7 11" xfId="34284" xr:uid="{00000000-0005-0000-0000-0000BA820000}"/>
    <cellStyle name="TotRow - Style4 3 7 12" xfId="34285" xr:uid="{00000000-0005-0000-0000-0000BB820000}"/>
    <cellStyle name="TotRow - Style4 3 7 13" xfId="34286" xr:uid="{00000000-0005-0000-0000-0000BC820000}"/>
    <cellStyle name="TotRow - Style4 3 7 14" xfId="34287" xr:uid="{00000000-0005-0000-0000-0000BD820000}"/>
    <cellStyle name="TotRow - Style4 3 7 15" xfId="34288" xr:uid="{00000000-0005-0000-0000-0000BE820000}"/>
    <cellStyle name="TotRow - Style4 3 7 16" xfId="34289" xr:uid="{00000000-0005-0000-0000-0000BF820000}"/>
    <cellStyle name="TotRow - Style4 3 7 17" xfId="34290" xr:uid="{00000000-0005-0000-0000-0000C0820000}"/>
    <cellStyle name="TotRow - Style4 3 7 2" xfId="34291" xr:uid="{00000000-0005-0000-0000-0000C1820000}"/>
    <cellStyle name="TotRow - Style4 3 7 2 10" xfId="34292" xr:uid="{00000000-0005-0000-0000-0000C2820000}"/>
    <cellStyle name="TotRow - Style4 3 7 2 11" xfId="34293" xr:uid="{00000000-0005-0000-0000-0000C3820000}"/>
    <cellStyle name="TotRow - Style4 3 7 2 12" xfId="34294" xr:uid="{00000000-0005-0000-0000-0000C4820000}"/>
    <cellStyle name="TotRow - Style4 3 7 2 13" xfId="34295" xr:uid="{00000000-0005-0000-0000-0000C5820000}"/>
    <cellStyle name="TotRow - Style4 3 7 2 14" xfId="34296" xr:uid="{00000000-0005-0000-0000-0000C6820000}"/>
    <cellStyle name="TotRow - Style4 3 7 2 15" xfId="34297" xr:uid="{00000000-0005-0000-0000-0000C7820000}"/>
    <cellStyle name="TotRow - Style4 3 7 2 16" xfId="34298" xr:uid="{00000000-0005-0000-0000-0000C8820000}"/>
    <cellStyle name="TotRow - Style4 3 7 2 2" xfId="34299" xr:uid="{00000000-0005-0000-0000-0000C9820000}"/>
    <cellStyle name="TotRow - Style4 3 7 2 3" xfId="34300" xr:uid="{00000000-0005-0000-0000-0000CA820000}"/>
    <cellStyle name="TotRow - Style4 3 7 2 4" xfId="34301" xr:uid="{00000000-0005-0000-0000-0000CB820000}"/>
    <cellStyle name="TotRow - Style4 3 7 2 5" xfId="34302" xr:uid="{00000000-0005-0000-0000-0000CC820000}"/>
    <cellStyle name="TotRow - Style4 3 7 2 6" xfId="34303" xr:uid="{00000000-0005-0000-0000-0000CD820000}"/>
    <cellStyle name="TotRow - Style4 3 7 2 7" xfId="34304" xr:uid="{00000000-0005-0000-0000-0000CE820000}"/>
    <cellStyle name="TotRow - Style4 3 7 2 8" xfId="34305" xr:uid="{00000000-0005-0000-0000-0000CF820000}"/>
    <cellStyle name="TotRow - Style4 3 7 2 9" xfId="34306" xr:uid="{00000000-0005-0000-0000-0000D0820000}"/>
    <cellStyle name="TotRow - Style4 3 7 3" xfId="34307" xr:uid="{00000000-0005-0000-0000-0000D1820000}"/>
    <cellStyle name="TotRow - Style4 3 7 4" xfId="34308" xr:uid="{00000000-0005-0000-0000-0000D2820000}"/>
    <cellStyle name="TotRow - Style4 3 7 5" xfId="34309" xr:uid="{00000000-0005-0000-0000-0000D3820000}"/>
    <cellStyle name="TotRow - Style4 3 7 6" xfId="34310" xr:uid="{00000000-0005-0000-0000-0000D4820000}"/>
    <cellStyle name="TotRow - Style4 3 7 7" xfId="34311" xr:uid="{00000000-0005-0000-0000-0000D5820000}"/>
    <cellStyle name="TotRow - Style4 3 7 8" xfId="34312" xr:uid="{00000000-0005-0000-0000-0000D6820000}"/>
    <cellStyle name="TotRow - Style4 3 7 9" xfId="34313" xr:uid="{00000000-0005-0000-0000-0000D7820000}"/>
    <cellStyle name="TotRow - Style4 3 8" xfId="34314" xr:uid="{00000000-0005-0000-0000-0000D8820000}"/>
    <cellStyle name="TotRow - Style4 3 8 10" xfId="34315" xr:uid="{00000000-0005-0000-0000-0000D9820000}"/>
    <cellStyle name="TotRow - Style4 3 8 11" xfId="34316" xr:uid="{00000000-0005-0000-0000-0000DA820000}"/>
    <cellStyle name="TotRow - Style4 3 8 12" xfId="34317" xr:uid="{00000000-0005-0000-0000-0000DB820000}"/>
    <cellStyle name="TotRow - Style4 3 8 13" xfId="34318" xr:uid="{00000000-0005-0000-0000-0000DC820000}"/>
    <cellStyle name="TotRow - Style4 3 8 14" xfId="34319" xr:uid="{00000000-0005-0000-0000-0000DD820000}"/>
    <cellStyle name="TotRow - Style4 3 8 15" xfId="34320" xr:uid="{00000000-0005-0000-0000-0000DE820000}"/>
    <cellStyle name="TotRow - Style4 3 8 16" xfId="34321" xr:uid="{00000000-0005-0000-0000-0000DF820000}"/>
    <cellStyle name="TotRow - Style4 3 8 17" xfId="34322" xr:uid="{00000000-0005-0000-0000-0000E0820000}"/>
    <cellStyle name="TotRow - Style4 3 8 2" xfId="34323" xr:uid="{00000000-0005-0000-0000-0000E1820000}"/>
    <cellStyle name="TotRow - Style4 3 8 2 10" xfId="34324" xr:uid="{00000000-0005-0000-0000-0000E2820000}"/>
    <cellStyle name="TotRow - Style4 3 8 2 11" xfId="34325" xr:uid="{00000000-0005-0000-0000-0000E3820000}"/>
    <cellStyle name="TotRow - Style4 3 8 2 12" xfId="34326" xr:uid="{00000000-0005-0000-0000-0000E4820000}"/>
    <cellStyle name="TotRow - Style4 3 8 2 13" xfId="34327" xr:uid="{00000000-0005-0000-0000-0000E5820000}"/>
    <cellStyle name="TotRow - Style4 3 8 2 14" xfId="34328" xr:uid="{00000000-0005-0000-0000-0000E6820000}"/>
    <cellStyle name="TotRow - Style4 3 8 2 15" xfId="34329" xr:uid="{00000000-0005-0000-0000-0000E7820000}"/>
    <cellStyle name="TotRow - Style4 3 8 2 16" xfId="34330" xr:uid="{00000000-0005-0000-0000-0000E8820000}"/>
    <cellStyle name="TotRow - Style4 3 8 2 2" xfId="34331" xr:uid="{00000000-0005-0000-0000-0000E9820000}"/>
    <cellStyle name="TotRow - Style4 3 8 2 3" xfId="34332" xr:uid="{00000000-0005-0000-0000-0000EA820000}"/>
    <cellStyle name="TotRow - Style4 3 8 2 4" xfId="34333" xr:uid="{00000000-0005-0000-0000-0000EB820000}"/>
    <cellStyle name="TotRow - Style4 3 8 2 5" xfId="34334" xr:uid="{00000000-0005-0000-0000-0000EC820000}"/>
    <cellStyle name="TotRow - Style4 3 8 2 6" xfId="34335" xr:uid="{00000000-0005-0000-0000-0000ED820000}"/>
    <cellStyle name="TotRow - Style4 3 8 2 7" xfId="34336" xr:uid="{00000000-0005-0000-0000-0000EE820000}"/>
    <cellStyle name="TotRow - Style4 3 8 2 8" xfId="34337" xr:uid="{00000000-0005-0000-0000-0000EF820000}"/>
    <cellStyle name="TotRow - Style4 3 8 2 9" xfId="34338" xr:uid="{00000000-0005-0000-0000-0000F0820000}"/>
    <cellStyle name="TotRow - Style4 3 8 3" xfId="34339" xr:uid="{00000000-0005-0000-0000-0000F1820000}"/>
    <cellStyle name="TotRow - Style4 3 8 4" xfId="34340" xr:uid="{00000000-0005-0000-0000-0000F2820000}"/>
    <cellStyle name="TotRow - Style4 3 8 5" xfId="34341" xr:uid="{00000000-0005-0000-0000-0000F3820000}"/>
    <cellStyle name="TotRow - Style4 3 8 6" xfId="34342" xr:uid="{00000000-0005-0000-0000-0000F4820000}"/>
    <cellStyle name="TotRow - Style4 3 8 7" xfId="34343" xr:uid="{00000000-0005-0000-0000-0000F5820000}"/>
    <cellStyle name="TotRow - Style4 3 8 8" xfId="34344" xr:uid="{00000000-0005-0000-0000-0000F6820000}"/>
    <cellStyle name="TotRow - Style4 3 8 9" xfId="34345" xr:uid="{00000000-0005-0000-0000-0000F7820000}"/>
    <cellStyle name="TotRow - Style4 3 9" xfId="34346" xr:uid="{00000000-0005-0000-0000-0000F8820000}"/>
    <cellStyle name="TotRow - Style4 3 9 10" xfId="34347" xr:uid="{00000000-0005-0000-0000-0000F9820000}"/>
    <cellStyle name="TotRow - Style4 3 9 11" xfId="34348" xr:uid="{00000000-0005-0000-0000-0000FA820000}"/>
    <cellStyle name="TotRow - Style4 3 9 12" xfId="34349" xr:uid="{00000000-0005-0000-0000-0000FB820000}"/>
    <cellStyle name="TotRow - Style4 3 9 13" xfId="34350" xr:uid="{00000000-0005-0000-0000-0000FC820000}"/>
    <cellStyle name="TotRow - Style4 3 9 14" xfId="34351" xr:uid="{00000000-0005-0000-0000-0000FD820000}"/>
    <cellStyle name="TotRow - Style4 3 9 15" xfId="34352" xr:uid="{00000000-0005-0000-0000-0000FE820000}"/>
    <cellStyle name="TotRow - Style4 3 9 16" xfId="34353" xr:uid="{00000000-0005-0000-0000-0000FF820000}"/>
    <cellStyle name="TotRow - Style4 3 9 17" xfId="34354" xr:uid="{00000000-0005-0000-0000-000000830000}"/>
    <cellStyle name="TotRow - Style4 3 9 2" xfId="34355" xr:uid="{00000000-0005-0000-0000-000001830000}"/>
    <cellStyle name="TotRow - Style4 3 9 2 10" xfId="34356" xr:uid="{00000000-0005-0000-0000-000002830000}"/>
    <cellStyle name="TotRow - Style4 3 9 2 11" xfId="34357" xr:uid="{00000000-0005-0000-0000-000003830000}"/>
    <cellStyle name="TotRow - Style4 3 9 2 12" xfId="34358" xr:uid="{00000000-0005-0000-0000-000004830000}"/>
    <cellStyle name="TotRow - Style4 3 9 2 13" xfId="34359" xr:uid="{00000000-0005-0000-0000-000005830000}"/>
    <cellStyle name="TotRow - Style4 3 9 2 14" xfId="34360" xr:uid="{00000000-0005-0000-0000-000006830000}"/>
    <cellStyle name="TotRow - Style4 3 9 2 15" xfId="34361" xr:uid="{00000000-0005-0000-0000-000007830000}"/>
    <cellStyle name="TotRow - Style4 3 9 2 16" xfId="34362" xr:uid="{00000000-0005-0000-0000-000008830000}"/>
    <cellStyle name="TotRow - Style4 3 9 2 2" xfId="34363" xr:uid="{00000000-0005-0000-0000-000009830000}"/>
    <cellStyle name="TotRow - Style4 3 9 2 3" xfId="34364" xr:uid="{00000000-0005-0000-0000-00000A830000}"/>
    <cellStyle name="TotRow - Style4 3 9 2 4" xfId="34365" xr:uid="{00000000-0005-0000-0000-00000B830000}"/>
    <cellStyle name="TotRow - Style4 3 9 2 5" xfId="34366" xr:uid="{00000000-0005-0000-0000-00000C830000}"/>
    <cellStyle name="TotRow - Style4 3 9 2 6" xfId="34367" xr:uid="{00000000-0005-0000-0000-00000D830000}"/>
    <cellStyle name="TotRow - Style4 3 9 2 7" xfId="34368" xr:uid="{00000000-0005-0000-0000-00000E830000}"/>
    <cellStyle name="TotRow - Style4 3 9 2 8" xfId="34369" xr:uid="{00000000-0005-0000-0000-00000F830000}"/>
    <cellStyle name="TotRow - Style4 3 9 2 9" xfId="34370" xr:uid="{00000000-0005-0000-0000-000010830000}"/>
    <cellStyle name="TotRow - Style4 3 9 3" xfId="34371" xr:uid="{00000000-0005-0000-0000-000011830000}"/>
    <cellStyle name="TotRow - Style4 3 9 4" xfId="34372" xr:uid="{00000000-0005-0000-0000-000012830000}"/>
    <cellStyle name="TotRow - Style4 3 9 5" xfId="34373" xr:uid="{00000000-0005-0000-0000-000013830000}"/>
    <cellStyle name="TotRow - Style4 3 9 6" xfId="34374" xr:uid="{00000000-0005-0000-0000-000014830000}"/>
    <cellStyle name="TotRow - Style4 3 9 7" xfId="34375" xr:uid="{00000000-0005-0000-0000-000015830000}"/>
    <cellStyle name="TotRow - Style4 3 9 8" xfId="34376" xr:uid="{00000000-0005-0000-0000-000016830000}"/>
    <cellStyle name="TotRow - Style4 3 9 9" xfId="34377" xr:uid="{00000000-0005-0000-0000-000017830000}"/>
    <cellStyle name="TotRow - Style4 30" xfId="34378" xr:uid="{00000000-0005-0000-0000-000018830000}"/>
    <cellStyle name="TotRow - Style4 31" xfId="34379" xr:uid="{00000000-0005-0000-0000-000019830000}"/>
    <cellStyle name="TotRow - Style4 32" xfId="34380" xr:uid="{00000000-0005-0000-0000-00001A830000}"/>
    <cellStyle name="TotRow - Style4 4" xfId="34381" xr:uid="{00000000-0005-0000-0000-00001B830000}"/>
    <cellStyle name="TotRow - Style4 4 10" xfId="34382" xr:uid="{00000000-0005-0000-0000-00001C830000}"/>
    <cellStyle name="TotRow - Style4 4 10 10" xfId="34383" xr:uid="{00000000-0005-0000-0000-00001D830000}"/>
    <cellStyle name="TotRow - Style4 4 10 11" xfId="34384" xr:uid="{00000000-0005-0000-0000-00001E830000}"/>
    <cellStyle name="TotRow - Style4 4 10 12" xfId="34385" xr:uid="{00000000-0005-0000-0000-00001F830000}"/>
    <cellStyle name="TotRow - Style4 4 10 13" xfId="34386" xr:uid="{00000000-0005-0000-0000-000020830000}"/>
    <cellStyle name="TotRow - Style4 4 10 14" xfId="34387" xr:uid="{00000000-0005-0000-0000-000021830000}"/>
    <cellStyle name="TotRow - Style4 4 10 15" xfId="34388" xr:uid="{00000000-0005-0000-0000-000022830000}"/>
    <cellStyle name="TotRow - Style4 4 10 16" xfId="34389" xr:uid="{00000000-0005-0000-0000-000023830000}"/>
    <cellStyle name="TotRow - Style4 4 10 17" xfId="34390" xr:uid="{00000000-0005-0000-0000-000024830000}"/>
    <cellStyle name="TotRow - Style4 4 10 2" xfId="34391" xr:uid="{00000000-0005-0000-0000-000025830000}"/>
    <cellStyle name="TotRow - Style4 4 10 2 10" xfId="34392" xr:uid="{00000000-0005-0000-0000-000026830000}"/>
    <cellStyle name="TotRow - Style4 4 10 2 11" xfId="34393" xr:uid="{00000000-0005-0000-0000-000027830000}"/>
    <cellStyle name="TotRow - Style4 4 10 2 12" xfId="34394" xr:uid="{00000000-0005-0000-0000-000028830000}"/>
    <cellStyle name="TotRow - Style4 4 10 2 13" xfId="34395" xr:uid="{00000000-0005-0000-0000-000029830000}"/>
    <cellStyle name="TotRow - Style4 4 10 2 14" xfId="34396" xr:uid="{00000000-0005-0000-0000-00002A830000}"/>
    <cellStyle name="TotRow - Style4 4 10 2 15" xfId="34397" xr:uid="{00000000-0005-0000-0000-00002B830000}"/>
    <cellStyle name="TotRow - Style4 4 10 2 16" xfId="34398" xr:uid="{00000000-0005-0000-0000-00002C830000}"/>
    <cellStyle name="TotRow - Style4 4 10 2 2" xfId="34399" xr:uid="{00000000-0005-0000-0000-00002D830000}"/>
    <cellStyle name="TotRow - Style4 4 10 2 3" xfId="34400" xr:uid="{00000000-0005-0000-0000-00002E830000}"/>
    <cellStyle name="TotRow - Style4 4 10 2 4" xfId="34401" xr:uid="{00000000-0005-0000-0000-00002F830000}"/>
    <cellStyle name="TotRow - Style4 4 10 2 5" xfId="34402" xr:uid="{00000000-0005-0000-0000-000030830000}"/>
    <cellStyle name="TotRow - Style4 4 10 2 6" xfId="34403" xr:uid="{00000000-0005-0000-0000-000031830000}"/>
    <cellStyle name="TotRow - Style4 4 10 2 7" xfId="34404" xr:uid="{00000000-0005-0000-0000-000032830000}"/>
    <cellStyle name="TotRow - Style4 4 10 2 8" xfId="34405" xr:uid="{00000000-0005-0000-0000-000033830000}"/>
    <cellStyle name="TotRow - Style4 4 10 2 9" xfId="34406" xr:uid="{00000000-0005-0000-0000-000034830000}"/>
    <cellStyle name="TotRow - Style4 4 10 3" xfId="34407" xr:uid="{00000000-0005-0000-0000-000035830000}"/>
    <cellStyle name="TotRow - Style4 4 10 4" xfId="34408" xr:uid="{00000000-0005-0000-0000-000036830000}"/>
    <cellStyle name="TotRow - Style4 4 10 5" xfId="34409" xr:uid="{00000000-0005-0000-0000-000037830000}"/>
    <cellStyle name="TotRow - Style4 4 10 6" xfId="34410" xr:uid="{00000000-0005-0000-0000-000038830000}"/>
    <cellStyle name="TotRow - Style4 4 10 7" xfId="34411" xr:uid="{00000000-0005-0000-0000-000039830000}"/>
    <cellStyle name="TotRow - Style4 4 10 8" xfId="34412" xr:uid="{00000000-0005-0000-0000-00003A830000}"/>
    <cellStyle name="TotRow - Style4 4 10 9" xfId="34413" xr:uid="{00000000-0005-0000-0000-00003B830000}"/>
    <cellStyle name="TotRow - Style4 4 11" xfId="34414" xr:uid="{00000000-0005-0000-0000-00003C830000}"/>
    <cellStyle name="TotRow - Style4 4 11 10" xfId="34415" xr:uid="{00000000-0005-0000-0000-00003D830000}"/>
    <cellStyle name="TotRow - Style4 4 11 11" xfId="34416" xr:uid="{00000000-0005-0000-0000-00003E830000}"/>
    <cellStyle name="TotRow - Style4 4 11 12" xfId="34417" xr:uid="{00000000-0005-0000-0000-00003F830000}"/>
    <cellStyle name="TotRow - Style4 4 11 13" xfId="34418" xr:uid="{00000000-0005-0000-0000-000040830000}"/>
    <cellStyle name="TotRow - Style4 4 11 14" xfId="34419" xr:uid="{00000000-0005-0000-0000-000041830000}"/>
    <cellStyle name="TotRow - Style4 4 11 15" xfId="34420" xr:uid="{00000000-0005-0000-0000-000042830000}"/>
    <cellStyle name="TotRow - Style4 4 11 16" xfId="34421" xr:uid="{00000000-0005-0000-0000-000043830000}"/>
    <cellStyle name="TotRow - Style4 4 11 2" xfId="34422" xr:uid="{00000000-0005-0000-0000-000044830000}"/>
    <cellStyle name="TotRow - Style4 4 11 3" xfId="34423" xr:uid="{00000000-0005-0000-0000-000045830000}"/>
    <cellStyle name="TotRow - Style4 4 11 4" xfId="34424" xr:uid="{00000000-0005-0000-0000-000046830000}"/>
    <cellStyle name="TotRow - Style4 4 11 5" xfId="34425" xr:uid="{00000000-0005-0000-0000-000047830000}"/>
    <cellStyle name="TotRow - Style4 4 11 6" xfId="34426" xr:uid="{00000000-0005-0000-0000-000048830000}"/>
    <cellStyle name="TotRow - Style4 4 11 7" xfId="34427" xr:uid="{00000000-0005-0000-0000-000049830000}"/>
    <cellStyle name="TotRow - Style4 4 11 8" xfId="34428" xr:uid="{00000000-0005-0000-0000-00004A830000}"/>
    <cellStyle name="TotRow - Style4 4 11 9" xfId="34429" xr:uid="{00000000-0005-0000-0000-00004B830000}"/>
    <cellStyle name="TotRow - Style4 4 12" xfId="34430" xr:uid="{00000000-0005-0000-0000-00004C830000}"/>
    <cellStyle name="TotRow - Style4 4 13" xfId="34431" xr:uid="{00000000-0005-0000-0000-00004D830000}"/>
    <cellStyle name="TotRow - Style4 4 14" xfId="34432" xr:uid="{00000000-0005-0000-0000-00004E830000}"/>
    <cellStyle name="TotRow - Style4 4 15" xfId="34433" xr:uid="{00000000-0005-0000-0000-00004F830000}"/>
    <cellStyle name="TotRow - Style4 4 16" xfId="34434" xr:uid="{00000000-0005-0000-0000-000050830000}"/>
    <cellStyle name="TotRow - Style4 4 17" xfId="34435" xr:uid="{00000000-0005-0000-0000-000051830000}"/>
    <cellStyle name="TotRow - Style4 4 18" xfId="34436" xr:uid="{00000000-0005-0000-0000-000052830000}"/>
    <cellStyle name="TotRow - Style4 4 19" xfId="34437" xr:uid="{00000000-0005-0000-0000-000053830000}"/>
    <cellStyle name="TotRow - Style4 4 2" xfId="34438" xr:uid="{00000000-0005-0000-0000-000054830000}"/>
    <cellStyle name="TotRow - Style4 4 2 10" xfId="34439" xr:uid="{00000000-0005-0000-0000-000055830000}"/>
    <cellStyle name="TotRow - Style4 4 2 11" xfId="34440" xr:uid="{00000000-0005-0000-0000-000056830000}"/>
    <cellStyle name="TotRow - Style4 4 2 12" xfId="34441" xr:uid="{00000000-0005-0000-0000-000057830000}"/>
    <cellStyle name="TotRow - Style4 4 2 13" xfId="34442" xr:uid="{00000000-0005-0000-0000-000058830000}"/>
    <cellStyle name="TotRow - Style4 4 2 14" xfId="34443" xr:uid="{00000000-0005-0000-0000-000059830000}"/>
    <cellStyle name="TotRow - Style4 4 2 15" xfId="34444" xr:uid="{00000000-0005-0000-0000-00005A830000}"/>
    <cellStyle name="TotRow - Style4 4 2 16" xfId="34445" xr:uid="{00000000-0005-0000-0000-00005B830000}"/>
    <cellStyle name="TotRow - Style4 4 2 17" xfId="34446" xr:uid="{00000000-0005-0000-0000-00005C830000}"/>
    <cellStyle name="TotRow - Style4 4 2 2" xfId="34447" xr:uid="{00000000-0005-0000-0000-00005D830000}"/>
    <cellStyle name="TotRow - Style4 4 2 2 10" xfId="34448" xr:uid="{00000000-0005-0000-0000-00005E830000}"/>
    <cellStyle name="TotRow - Style4 4 2 2 11" xfId="34449" xr:uid="{00000000-0005-0000-0000-00005F830000}"/>
    <cellStyle name="TotRow - Style4 4 2 2 12" xfId="34450" xr:uid="{00000000-0005-0000-0000-000060830000}"/>
    <cellStyle name="TotRow - Style4 4 2 2 13" xfId="34451" xr:uid="{00000000-0005-0000-0000-000061830000}"/>
    <cellStyle name="TotRow - Style4 4 2 2 14" xfId="34452" xr:uid="{00000000-0005-0000-0000-000062830000}"/>
    <cellStyle name="TotRow - Style4 4 2 2 15" xfId="34453" xr:uid="{00000000-0005-0000-0000-000063830000}"/>
    <cellStyle name="TotRow - Style4 4 2 2 16" xfId="34454" xr:uid="{00000000-0005-0000-0000-000064830000}"/>
    <cellStyle name="TotRow - Style4 4 2 2 2" xfId="34455" xr:uid="{00000000-0005-0000-0000-000065830000}"/>
    <cellStyle name="TotRow - Style4 4 2 2 3" xfId="34456" xr:uid="{00000000-0005-0000-0000-000066830000}"/>
    <cellStyle name="TotRow - Style4 4 2 2 4" xfId="34457" xr:uid="{00000000-0005-0000-0000-000067830000}"/>
    <cellStyle name="TotRow - Style4 4 2 2 5" xfId="34458" xr:uid="{00000000-0005-0000-0000-000068830000}"/>
    <cellStyle name="TotRow - Style4 4 2 2 6" xfId="34459" xr:uid="{00000000-0005-0000-0000-000069830000}"/>
    <cellStyle name="TotRow - Style4 4 2 2 7" xfId="34460" xr:uid="{00000000-0005-0000-0000-00006A830000}"/>
    <cellStyle name="TotRow - Style4 4 2 2 8" xfId="34461" xr:uid="{00000000-0005-0000-0000-00006B830000}"/>
    <cellStyle name="TotRow - Style4 4 2 2 9" xfId="34462" xr:uid="{00000000-0005-0000-0000-00006C830000}"/>
    <cellStyle name="TotRow - Style4 4 2 3" xfId="34463" xr:uid="{00000000-0005-0000-0000-00006D830000}"/>
    <cellStyle name="TotRow - Style4 4 2 4" xfId="34464" xr:uid="{00000000-0005-0000-0000-00006E830000}"/>
    <cellStyle name="TotRow - Style4 4 2 5" xfId="34465" xr:uid="{00000000-0005-0000-0000-00006F830000}"/>
    <cellStyle name="TotRow - Style4 4 2 6" xfId="34466" xr:uid="{00000000-0005-0000-0000-000070830000}"/>
    <cellStyle name="TotRow - Style4 4 2 7" xfId="34467" xr:uid="{00000000-0005-0000-0000-000071830000}"/>
    <cellStyle name="TotRow - Style4 4 2 8" xfId="34468" xr:uid="{00000000-0005-0000-0000-000072830000}"/>
    <cellStyle name="TotRow - Style4 4 2 9" xfId="34469" xr:uid="{00000000-0005-0000-0000-000073830000}"/>
    <cellStyle name="TotRow - Style4 4 20" xfId="34470" xr:uid="{00000000-0005-0000-0000-000074830000}"/>
    <cellStyle name="TotRow - Style4 4 21" xfId="34471" xr:uid="{00000000-0005-0000-0000-000075830000}"/>
    <cellStyle name="TotRow - Style4 4 22" xfId="34472" xr:uid="{00000000-0005-0000-0000-000076830000}"/>
    <cellStyle name="TotRow - Style4 4 23" xfId="34473" xr:uid="{00000000-0005-0000-0000-000077830000}"/>
    <cellStyle name="TotRow - Style4 4 24" xfId="34474" xr:uid="{00000000-0005-0000-0000-000078830000}"/>
    <cellStyle name="TotRow - Style4 4 25" xfId="34475" xr:uid="{00000000-0005-0000-0000-000079830000}"/>
    <cellStyle name="TotRow - Style4 4 26" xfId="34476" xr:uid="{00000000-0005-0000-0000-00007A830000}"/>
    <cellStyle name="TotRow - Style4 4 3" xfId="34477" xr:uid="{00000000-0005-0000-0000-00007B830000}"/>
    <cellStyle name="TotRow - Style4 4 3 10" xfId="34478" xr:uid="{00000000-0005-0000-0000-00007C830000}"/>
    <cellStyle name="TotRow - Style4 4 3 11" xfId="34479" xr:uid="{00000000-0005-0000-0000-00007D830000}"/>
    <cellStyle name="TotRow - Style4 4 3 12" xfId="34480" xr:uid="{00000000-0005-0000-0000-00007E830000}"/>
    <cellStyle name="TotRow - Style4 4 3 13" xfId="34481" xr:uid="{00000000-0005-0000-0000-00007F830000}"/>
    <cellStyle name="TotRow - Style4 4 3 14" xfId="34482" xr:uid="{00000000-0005-0000-0000-000080830000}"/>
    <cellStyle name="TotRow - Style4 4 3 15" xfId="34483" xr:uid="{00000000-0005-0000-0000-000081830000}"/>
    <cellStyle name="TotRow - Style4 4 3 16" xfId="34484" xr:uid="{00000000-0005-0000-0000-000082830000}"/>
    <cellStyle name="TotRow - Style4 4 3 17" xfId="34485" xr:uid="{00000000-0005-0000-0000-000083830000}"/>
    <cellStyle name="TotRow - Style4 4 3 2" xfId="34486" xr:uid="{00000000-0005-0000-0000-000084830000}"/>
    <cellStyle name="TotRow - Style4 4 3 2 10" xfId="34487" xr:uid="{00000000-0005-0000-0000-000085830000}"/>
    <cellStyle name="TotRow - Style4 4 3 2 11" xfId="34488" xr:uid="{00000000-0005-0000-0000-000086830000}"/>
    <cellStyle name="TotRow - Style4 4 3 2 12" xfId="34489" xr:uid="{00000000-0005-0000-0000-000087830000}"/>
    <cellStyle name="TotRow - Style4 4 3 2 13" xfId="34490" xr:uid="{00000000-0005-0000-0000-000088830000}"/>
    <cellStyle name="TotRow - Style4 4 3 2 14" xfId="34491" xr:uid="{00000000-0005-0000-0000-000089830000}"/>
    <cellStyle name="TotRow - Style4 4 3 2 15" xfId="34492" xr:uid="{00000000-0005-0000-0000-00008A830000}"/>
    <cellStyle name="TotRow - Style4 4 3 2 16" xfId="34493" xr:uid="{00000000-0005-0000-0000-00008B830000}"/>
    <cellStyle name="TotRow - Style4 4 3 2 2" xfId="34494" xr:uid="{00000000-0005-0000-0000-00008C830000}"/>
    <cellStyle name="TotRow - Style4 4 3 2 3" xfId="34495" xr:uid="{00000000-0005-0000-0000-00008D830000}"/>
    <cellStyle name="TotRow - Style4 4 3 2 4" xfId="34496" xr:uid="{00000000-0005-0000-0000-00008E830000}"/>
    <cellStyle name="TotRow - Style4 4 3 2 5" xfId="34497" xr:uid="{00000000-0005-0000-0000-00008F830000}"/>
    <cellStyle name="TotRow - Style4 4 3 2 6" xfId="34498" xr:uid="{00000000-0005-0000-0000-000090830000}"/>
    <cellStyle name="TotRow - Style4 4 3 2 7" xfId="34499" xr:uid="{00000000-0005-0000-0000-000091830000}"/>
    <cellStyle name="TotRow - Style4 4 3 2 8" xfId="34500" xr:uid="{00000000-0005-0000-0000-000092830000}"/>
    <cellStyle name="TotRow - Style4 4 3 2 9" xfId="34501" xr:uid="{00000000-0005-0000-0000-000093830000}"/>
    <cellStyle name="TotRow - Style4 4 3 3" xfId="34502" xr:uid="{00000000-0005-0000-0000-000094830000}"/>
    <cellStyle name="TotRow - Style4 4 3 4" xfId="34503" xr:uid="{00000000-0005-0000-0000-000095830000}"/>
    <cellStyle name="TotRow - Style4 4 3 5" xfId="34504" xr:uid="{00000000-0005-0000-0000-000096830000}"/>
    <cellStyle name="TotRow - Style4 4 3 6" xfId="34505" xr:uid="{00000000-0005-0000-0000-000097830000}"/>
    <cellStyle name="TotRow - Style4 4 3 7" xfId="34506" xr:uid="{00000000-0005-0000-0000-000098830000}"/>
    <cellStyle name="TotRow - Style4 4 3 8" xfId="34507" xr:uid="{00000000-0005-0000-0000-000099830000}"/>
    <cellStyle name="TotRow - Style4 4 3 9" xfId="34508" xr:uid="{00000000-0005-0000-0000-00009A830000}"/>
    <cellStyle name="TotRow - Style4 4 4" xfId="34509" xr:uid="{00000000-0005-0000-0000-00009B830000}"/>
    <cellStyle name="TotRow - Style4 4 4 10" xfId="34510" xr:uid="{00000000-0005-0000-0000-00009C830000}"/>
    <cellStyle name="TotRow - Style4 4 4 11" xfId="34511" xr:uid="{00000000-0005-0000-0000-00009D830000}"/>
    <cellStyle name="TotRow - Style4 4 4 12" xfId="34512" xr:uid="{00000000-0005-0000-0000-00009E830000}"/>
    <cellStyle name="TotRow - Style4 4 4 13" xfId="34513" xr:uid="{00000000-0005-0000-0000-00009F830000}"/>
    <cellStyle name="TotRow - Style4 4 4 14" xfId="34514" xr:uid="{00000000-0005-0000-0000-0000A0830000}"/>
    <cellStyle name="TotRow - Style4 4 4 15" xfId="34515" xr:uid="{00000000-0005-0000-0000-0000A1830000}"/>
    <cellStyle name="TotRow - Style4 4 4 16" xfId="34516" xr:uid="{00000000-0005-0000-0000-0000A2830000}"/>
    <cellStyle name="TotRow - Style4 4 4 17" xfId="34517" xr:uid="{00000000-0005-0000-0000-0000A3830000}"/>
    <cellStyle name="TotRow - Style4 4 4 2" xfId="34518" xr:uid="{00000000-0005-0000-0000-0000A4830000}"/>
    <cellStyle name="TotRow - Style4 4 4 2 10" xfId="34519" xr:uid="{00000000-0005-0000-0000-0000A5830000}"/>
    <cellStyle name="TotRow - Style4 4 4 2 11" xfId="34520" xr:uid="{00000000-0005-0000-0000-0000A6830000}"/>
    <cellStyle name="TotRow - Style4 4 4 2 12" xfId="34521" xr:uid="{00000000-0005-0000-0000-0000A7830000}"/>
    <cellStyle name="TotRow - Style4 4 4 2 13" xfId="34522" xr:uid="{00000000-0005-0000-0000-0000A8830000}"/>
    <cellStyle name="TotRow - Style4 4 4 2 14" xfId="34523" xr:uid="{00000000-0005-0000-0000-0000A9830000}"/>
    <cellStyle name="TotRow - Style4 4 4 2 15" xfId="34524" xr:uid="{00000000-0005-0000-0000-0000AA830000}"/>
    <cellStyle name="TotRow - Style4 4 4 2 16" xfId="34525" xr:uid="{00000000-0005-0000-0000-0000AB830000}"/>
    <cellStyle name="TotRow - Style4 4 4 2 2" xfId="34526" xr:uid="{00000000-0005-0000-0000-0000AC830000}"/>
    <cellStyle name="TotRow - Style4 4 4 2 3" xfId="34527" xr:uid="{00000000-0005-0000-0000-0000AD830000}"/>
    <cellStyle name="TotRow - Style4 4 4 2 4" xfId="34528" xr:uid="{00000000-0005-0000-0000-0000AE830000}"/>
    <cellStyle name="TotRow - Style4 4 4 2 5" xfId="34529" xr:uid="{00000000-0005-0000-0000-0000AF830000}"/>
    <cellStyle name="TotRow - Style4 4 4 2 6" xfId="34530" xr:uid="{00000000-0005-0000-0000-0000B0830000}"/>
    <cellStyle name="TotRow - Style4 4 4 2 7" xfId="34531" xr:uid="{00000000-0005-0000-0000-0000B1830000}"/>
    <cellStyle name="TotRow - Style4 4 4 2 8" xfId="34532" xr:uid="{00000000-0005-0000-0000-0000B2830000}"/>
    <cellStyle name="TotRow - Style4 4 4 2 9" xfId="34533" xr:uid="{00000000-0005-0000-0000-0000B3830000}"/>
    <cellStyle name="TotRow - Style4 4 4 3" xfId="34534" xr:uid="{00000000-0005-0000-0000-0000B4830000}"/>
    <cellStyle name="TotRow - Style4 4 4 4" xfId="34535" xr:uid="{00000000-0005-0000-0000-0000B5830000}"/>
    <cellStyle name="TotRow - Style4 4 4 5" xfId="34536" xr:uid="{00000000-0005-0000-0000-0000B6830000}"/>
    <cellStyle name="TotRow - Style4 4 4 6" xfId="34537" xr:uid="{00000000-0005-0000-0000-0000B7830000}"/>
    <cellStyle name="TotRow - Style4 4 4 7" xfId="34538" xr:uid="{00000000-0005-0000-0000-0000B8830000}"/>
    <cellStyle name="TotRow - Style4 4 4 8" xfId="34539" xr:uid="{00000000-0005-0000-0000-0000B9830000}"/>
    <cellStyle name="TotRow - Style4 4 4 9" xfId="34540" xr:uid="{00000000-0005-0000-0000-0000BA830000}"/>
    <cellStyle name="TotRow - Style4 4 5" xfId="34541" xr:uid="{00000000-0005-0000-0000-0000BB830000}"/>
    <cellStyle name="TotRow - Style4 4 5 10" xfId="34542" xr:uid="{00000000-0005-0000-0000-0000BC830000}"/>
    <cellStyle name="TotRow - Style4 4 5 11" xfId="34543" xr:uid="{00000000-0005-0000-0000-0000BD830000}"/>
    <cellStyle name="TotRow - Style4 4 5 12" xfId="34544" xr:uid="{00000000-0005-0000-0000-0000BE830000}"/>
    <cellStyle name="TotRow - Style4 4 5 13" xfId="34545" xr:uid="{00000000-0005-0000-0000-0000BF830000}"/>
    <cellStyle name="TotRow - Style4 4 5 14" xfId="34546" xr:uid="{00000000-0005-0000-0000-0000C0830000}"/>
    <cellStyle name="TotRow - Style4 4 5 15" xfId="34547" xr:uid="{00000000-0005-0000-0000-0000C1830000}"/>
    <cellStyle name="TotRow - Style4 4 5 16" xfId="34548" xr:uid="{00000000-0005-0000-0000-0000C2830000}"/>
    <cellStyle name="TotRow - Style4 4 5 17" xfId="34549" xr:uid="{00000000-0005-0000-0000-0000C3830000}"/>
    <cellStyle name="TotRow - Style4 4 5 2" xfId="34550" xr:uid="{00000000-0005-0000-0000-0000C4830000}"/>
    <cellStyle name="TotRow - Style4 4 5 2 10" xfId="34551" xr:uid="{00000000-0005-0000-0000-0000C5830000}"/>
    <cellStyle name="TotRow - Style4 4 5 2 11" xfId="34552" xr:uid="{00000000-0005-0000-0000-0000C6830000}"/>
    <cellStyle name="TotRow - Style4 4 5 2 12" xfId="34553" xr:uid="{00000000-0005-0000-0000-0000C7830000}"/>
    <cellStyle name="TotRow - Style4 4 5 2 13" xfId="34554" xr:uid="{00000000-0005-0000-0000-0000C8830000}"/>
    <cellStyle name="TotRow - Style4 4 5 2 14" xfId="34555" xr:uid="{00000000-0005-0000-0000-0000C9830000}"/>
    <cellStyle name="TotRow - Style4 4 5 2 15" xfId="34556" xr:uid="{00000000-0005-0000-0000-0000CA830000}"/>
    <cellStyle name="TotRow - Style4 4 5 2 16" xfId="34557" xr:uid="{00000000-0005-0000-0000-0000CB830000}"/>
    <cellStyle name="TotRow - Style4 4 5 2 2" xfId="34558" xr:uid="{00000000-0005-0000-0000-0000CC830000}"/>
    <cellStyle name="TotRow - Style4 4 5 2 3" xfId="34559" xr:uid="{00000000-0005-0000-0000-0000CD830000}"/>
    <cellStyle name="TotRow - Style4 4 5 2 4" xfId="34560" xr:uid="{00000000-0005-0000-0000-0000CE830000}"/>
    <cellStyle name="TotRow - Style4 4 5 2 5" xfId="34561" xr:uid="{00000000-0005-0000-0000-0000CF830000}"/>
    <cellStyle name="TotRow - Style4 4 5 2 6" xfId="34562" xr:uid="{00000000-0005-0000-0000-0000D0830000}"/>
    <cellStyle name="TotRow - Style4 4 5 2 7" xfId="34563" xr:uid="{00000000-0005-0000-0000-0000D1830000}"/>
    <cellStyle name="TotRow - Style4 4 5 2 8" xfId="34564" xr:uid="{00000000-0005-0000-0000-0000D2830000}"/>
    <cellStyle name="TotRow - Style4 4 5 2 9" xfId="34565" xr:uid="{00000000-0005-0000-0000-0000D3830000}"/>
    <cellStyle name="TotRow - Style4 4 5 3" xfId="34566" xr:uid="{00000000-0005-0000-0000-0000D4830000}"/>
    <cellStyle name="TotRow - Style4 4 5 4" xfId="34567" xr:uid="{00000000-0005-0000-0000-0000D5830000}"/>
    <cellStyle name="TotRow - Style4 4 5 5" xfId="34568" xr:uid="{00000000-0005-0000-0000-0000D6830000}"/>
    <cellStyle name="TotRow - Style4 4 5 6" xfId="34569" xr:uid="{00000000-0005-0000-0000-0000D7830000}"/>
    <cellStyle name="TotRow - Style4 4 5 7" xfId="34570" xr:uid="{00000000-0005-0000-0000-0000D8830000}"/>
    <cellStyle name="TotRow - Style4 4 5 8" xfId="34571" xr:uid="{00000000-0005-0000-0000-0000D9830000}"/>
    <cellStyle name="TotRow - Style4 4 5 9" xfId="34572" xr:uid="{00000000-0005-0000-0000-0000DA830000}"/>
    <cellStyle name="TotRow - Style4 4 6" xfId="34573" xr:uid="{00000000-0005-0000-0000-0000DB830000}"/>
    <cellStyle name="TotRow - Style4 4 6 10" xfId="34574" xr:uid="{00000000-0005-0000-0000-0000DC830000}"/>
    <cellStyle name="TotRow - Style4 4 6 11" xfId="34575" xr:uid="{00000000-0005-0000-0000-0000DD830000}"/>
    <cellStyle name="TotRow - Style4 4 6 12" xfId="34576" xr:uid="{00000000-0005-0000-0000-0000DE830000}"/>
    <cellStyle name="TotRow - Style4 4 6 13" xfId="34577" xr:uid="{00000000-0005-0000-0000-0000DF830000}"/>
    <cellStyle name="TotRow - Style4 4 6 14" xfId="34578" xr:uid="{00000000-0005-0000-0000-0000E0830000}"/>
    <cellStyle name="TotRow - Style4 4 6 15" xfId="34579" xr:uid="{00000000-0005-0000-0000-0000E1830000}"/>
    <cellStyle name="TotRow - Style4 4 6 16" xfId="34580" xr:uid="{00000000-0005-0000-0000-0000E2830000}"/>
    <cellStyle name="TotRow - Style4 4 6 17" xfId="34581" xr:uid="{00000000-0005-0000-0000-0000E3830000}"/>
    <cellStyle name="TotRow - Style4 4 6 2" xfId="34582" xr:uid="{00000000-0005-0000-0000-0000E4830000}"/>
    <cellStyle name="TotRow - Style4 4 6 2 10" xfId="34583" xr:uid="{00000000-0005-0000-0000-0000E5830000}"/>
    <cellStyle name="TotRow - Style4 4 6 2 11" xfId="34584" xr:uid="{00000000-0005-0000-0000-0000E6830000}"/>
    <cellStyle name="TotRow - Style4 4 6 2 12" xfId="34585" xr:uid="{00000000-0005-0000-0000-0000E7830000}"/>
    <cellStyle name="TotRow - Style4 4 6 2 13" xfId="34586" xr:uid="{00000000-0005-0000-0000-0000E8830000}"/>
    <cellStyle name="TotRow - Style4 4 6 2 14" xfId="34587" xr:uid="{00000000-0005-0000-0000-0000E9830000}"/>
    <cellStyle name="TotRow - Style4 4 6 2 15" xfId="34588" xr:uid="{00000000-0005-0000-0000-0000EA830000}"/>
    <cellStyle name="TotRow - Style4 4 6 2 16" xfId="34589" xr:uid="{00000000-0005-0000-0000-0000EB830000}"/>
    <cellStyle name="TotRow - Style4 4 6 2 2" xfId="34590" xr:uid="{00000000-0005-0000-0000-0000EC830000}"/>
    <cellStyle name="TotRow - Style4 4 6 2 3" xfId="34591" xr:uid="{00000000-0005-0000-0000-0000ED830000}"/>
    <cellStyle name="TotRow - Style4 4 6 2 4" xfId="34592" xr:uid="{00000000-0005-0000-0000-0000EE830000}"/>
    <cellStyle name="TotRow - Style4 4 6 2 5" xfId="34593" xr:uid="{00000000-0005-0000-0000-0000EF830000}"/>
    <cellStyle name="TotRow - Style4 4 6 2 6" xfId="34594" xr:uid="{00000000-0005-0000-0000-0000F0830000}"/>
    <cellStyle name="TotRow - Style4 4 6 2 7" xfId="34595" xr:uid="{00000000-0005-0000-0000-0000F1830000}"/>
    <cellStyle name="TotRow - Style4 4 6 2 8" xfId="34596" xr:uid="{00000000-0005-0000-0000-0000F2830000}"/>
    <cellStyle name="TotRow - Style4 4 6 2 9" xfId="34597" xr:uid="{00000000-0005-0000-0000-0000F3830000}"/>
    <cellStyle name="TotRow - Style4 4 6 3" xfId="34598" xr:uid="{00000000-0005-0000-0000-0000F4830000}"/>
    <cellStyle name="TotRow - Style4 4 6 4" xfId="34599" xr:uid="{00000000-0005-0000-0000-0000F5830000}"/>
    <cellStyle name="TotRow - Style4 4 6 5" xfId="34600" xr:uid="{00000000-0005-0000-0000-0000F6830000}"/>
    <cellStyle name="TotRow - Style4 4 6 6" xfId="34601" xr:uid="{00000000-0005-0000-0000-0000F7830000}"/>
    <cellStyle name="TotRow - Style4 4 6 7" xfId="34602" xr:uid="{00000000-0005-0000-0000-0000F8830000}"/>
    <cellStyle name="TotRow - Style4 4 6 8" xfId="34603" xr:uid="{00000000-0005-0000-0000-0000F9830000}"/>
    <cellStyle name="TotRow - Style4 4 6 9" xfId="34604" xr:uid="{00000000-0005-0000-0000-0000FA830000}"/>
    <cellStyle name="TotRow - Style4 4 7" xfId="34605" xr:uid="{00000000-0005-0000-0000-0000FB830000}"/>
    <cellStyle name="TotRow - Style4 4 7 10" xfId="34606" xr:uid="{00000000-0005-0000-0000-0000FC830000}"/>
    <cellStyle name="TotRow - Style4 4 7 11" xfId="34607" xr:uid="{00000000-0005-0000-0000-0000FD830000}"/>
    <cellStyle name="TotRow - Style4 4 7 12" xfId="34608" xr:uid="{00000000-0005-0000-0000-0000FE830000}"/>
    <cellStyle name="TotRow - Style4 4 7 13" xfId="34609" xr:uid="{00000000-0005-0000-0000-0000FF830000}"/>
    <cellStyle name="TotRow - Style4 4 7 14" xfId="34610" xr:uid="{00000000-0005-0000-0000-000000840000}"/>
    <cellStyle name="TotRow - Style4 4 7 15" xfId="34611" xr:uid="{00000000-0005-0000-0000-000001840000}"/>
    <cellStyle name="TotRow - Style4 4 7 16" xfId="34612" xr:uid="{00000000-0005-0000-0000-000002840000}"/>
    <cellStyle name="TotRow - Style4 4 7 17" xfId="34613" xr:uid="{00000000-0005-0000-0000-000003840000}"/>
    <cellStyle name="TotRow - Style4 4 7 2" xfId="34614" xr:uid="{00000000-0005-0000-0000-000004840000}"/>
    <cellStyle name="TotRow - Style4 4 7 2 10" xfId="34615" xr:uid="{00000000-0005-0000-0000-000005840000}"/>
    <cellStyle name="TotRow - Style4 4 7 2 11" xfId="34616" xr:uid="{00000000-0005-0000-0000-000006840000}"/>
    <cellStyle name="TotRow - Style4 4 7 2 12" xfId="34617" xr:uid="{00000000-0005-0000-0000-000007840000}"/>
    <cellStyle name="TotRow - Style4 4 7 2 13" xfId="34618" xr:uid="{00000000-0005-0000-0000-000008840000}"/>
    <cellStyle name="TotRow - Style4 4 7 2 14" xfId="34619" xr:uid="{00000000-0005-0000-0000-000009840000}"/>
    <cellStyle name="TotRow - Style4 4 7 2 15" xfId="34620" xr:uid="{00000000-0005-0000-0000-00000A840000}"/>
    <cellStyle name="TotRow - Style4 4 7 2 16" xfId="34621" xr:uid="{00000000-0005-0000-0000-00000B840000}"/>
    <cellStyle name="TotRow - Style4 4 7 2 2" xfId="34622" xr:uid="{00000000-0005-0000-0000-00000C840000}"/>
    <cellStyle name="TotRow - Style4 4 7 2 3" xfId="34623" xr:uid="{00000000-0005-0000-0000-00000D840000}"/>
    <cellStyle name="TotRow - Style4 4 7 2 4" xfId="34624" xr:uid="{00000000-0005-0000-0000-00000E840000}"/>
    <cellStyle name="TotRow - Style4 4 7 2 5" xfId="34625" xr:uid="{00000000-0005-0000-0000-00000F840000}"/>
    <cellStyle name="TotRow - Style4 4 7 2 6" xfId="34626" xr:uid="{00000000-0005-0000-0000-000010840000}"/>
    <cellStyle name="TotRow - Style4 4 7 2 7" xfId="34627" xr:uid="{00000000-0005-0000-0000-000011840000}"/>
    <cellStyle name="TotRow - Style4 4 7 2 8" xfId="34628" xr:uid="{00000000-0005-0000-0000-000012840000}"/>
    <cellStyle name="TotRow - Style4 4 7 2 9" xfId="34629" xr:uid="{00000000-0005-0000-0000-000013840000}"/>
    <cellStyle name="TotRow - Style4 4 7 3" xfId="34630" xr:uid="{00000000-0005-0000-0000-000014840000}"/>
    <cellStyle name="TotRow - Style4 4 7 4" xfId="34631" xr:uid="{00000000-0005-0000-0000-000015840000}"/>
    <cellStyle name="TotRow - Style4 4 7 5" xfId="34632" xr:uid="{00000000-0005-0000-0000-000016840000}"/>
    <cellStyle name="TotRow - Style4 4 7 6" xfId="34633" xr:uid="{00000000-0005-0000-0000-000017840000}"/>
    <cellStyle name="TotRow - Style4 4 7 7" xfId="34634" xr:uid="{00000000-0005-0000-0000-000018840000}"/>
    <cellStyle name="TotRow - Style4 4 7 8" xfId="34635" xr:uid="{00000000-0005-0000-0000-000019840000}"/>
    <cellStyle name="TotRow - Style4 4 7 9" xfId="34636" xr:uid="{00000000-0005-0000-0000-00001A840000}"/>
    <cellStyle name="TotRow - Style4 4 8" xfId="34637" xr:uid="{00000000-0005-0000-0000-00001B840000}"/>
    <cellStyle name="TotRow - Style4 4 8 10" xfId="34638" xr:uid="{00000000-0005-0000-0000-00001C840000}"/>
    <cellStyle name="TotRow - Style4 4 8 11" xfId="34639" xr:uid="{00000000-0005-0000-0000-00001D840000}"/>
    <cellStyle name="TotRow - Style4 4 8 12" xfId="34640" xr:uid="{00000000-0005-0000-0000-00001E840000}"/>
    <cellStyle name="TotRow - Style4 4 8 13" xfId="34641" xr:uid="{00000000-0005-0000-0000-00001F840000}"/>
    <cellStyle name="TotRow - Style4 4 8 14" xfId="34642" xr:uid="{00000000-0005-0000-0000-000020840000}"/>
    <cellStyle name="TotRow - Style4 4 8 15" xfId="34643" xr:uid="{00000000-0005-0000-0000-000021840000}"/>
    <cellStyle name="TotRow - Style4 4 8 16" xfId="34644" xr:uid="{00000000-0005-0000-0000-000022840000}"/>
    <cellStyle name="TotRow - Style4 4 8 17" xfId="34645" xr:uid="{00000000-0005-0000-0000-000023840000}"/>
    <cellStyle name="TotRow - Style4 4 8 2" xfId="34646" xr:uid="{00000000-0005-0000-0000-000024840000}"/>
    <cellStyle name="TotRow - Style4 4 8 2 10" xfId="34647" xr:uid="{00000000-0005-0000-0000-000025840000}"/>
    <cellStyle name="TotRow - Style4 4 8 2 11" xfId="34648" xr:uid="{00000000-0005-0000-0000-000026840000}"/>
    <cellStyle name="TotRow - Style4 4 8 2 12" xfId="34649" xr:uid="{00000000-0005-0000-0000-000027840000}"/>
    <cellStyle name="TotRow - Style4 4 8 2 13" xfId="34650" xr:uid="{00000000-0005-0000-0000-000028840000}"/>
    <cellStyle name="TotRow - Style4 4 8 2 14" xfId="34651" xr:uid="{00000000-0005-0000-0000-000029840000}"/>
    <cellStyle name="TotRow - Style4 4 8 2 15" xfId="34652" xr:uid="{00000000-0005-0000-0000-00002A840000}"/>
    <cellStyle name="TotRow - Style4 4 8 2 16" xfId="34653" xr:uid="{00000000-0005-0000-0000-00002B840000}"/>
    <cellStyle name="TotRow - Style4 4 8 2 2" xfId="34654" xr:uid="{00000000-0005-0000-0000-00002C840000}"/>
    <cellStyle name="TotRow - Style4 4 8 2 3" xfId="34655" xr:uid="{00000000-0005-0000-0000-00002D840000}"/>
    <cellStyle name="TotRow - Style4 4 8 2 4" xfId="34656" xr:uid="{00000000-0005-0000-0000-00002E840000}"/>
    <cellStyle name="TotRow - Style4 4 8 2 5" xfId="34657" xr:uid="{00000000-0005-0000-0000-00002F840000}"/>
    <cellStyle name="TotRow - Style4 4 8 2 6" xfId="34658" xr:uid="{00000000-0005-0000-0000-000030840000}"/>
    <cellStyle name="TotRow - Style4 4 8 2 7" xfId="34659" xr:uid="{00000000-0005-0000-0000-000031840000}"/>
    <cellStyle name="TotRow - Style4 4 8 2 8" xfId="34660" xr:uid="{00000000-0005-0000-0000-000032840000}"/>
    <cellStyle name="TotRow - Style4 4 8 2 9" xfId="34661" xr:uid="{00000000-0005-0000-0000-000033840000}"/>
    <cellStyle name="TotRow - Style4 4 8 3" xfId="34662" xr:uid="{00000000-0005-0000-0000-000034840000}"/>
    <cellStyle name="TotRow - Style4 4 8 4" xfId="34663" xr:uid="{00000000-0005-0000-0000-000035840000}"/>
    <cellStyle name="TotRow - Style4 4 8 5" xfId="34664" xr:uid="{00000000-0005-0000-0000-000036840000}"/>
    <cellStyle name="TotRow - Style4 4 8 6" xfId="34665" xr:uid="{00000000-0005-0000-0000-000037840000}"/>
    <cellStyle name="TotRow - Style4 4 8 7" xfId="34666" xr:uid="{00000000-0005-0000-0000-000038840000}"/>
    <cellStyle name="TotRow - Style4 4 8 8" xfId="34667" xr:uid="{00000000-0005-0000-0000-000039840000}"/>
    <cellStyle name="TotRow - Style4 4 8 9" xfId="34668" xr:uid="{00000000-0005-0000-0000-00003A840000}"/>
    <cellStyle name="TotRow - Style4 4 9" xfId="34669" xr:uid="{00000000-0005-0000-0000-00003B840000}"/>
    <cellStyle name="TotRow - Style4 4 9 10" xfId="34670" xr:uid="{00000000-0005-0000-0000-00003C840000}"/>
    <cellStyle name="TotRow - Style4 4 9 11" xfId="34671" xr:uid="{00000000-0005-0000-0000-00003D840000}"/>
    <cellStyle name="TotRow - Style4 4 9 12" xfId="34672" xr:uid="{00000000-0005-0000-0000-00003E840000}"/>
    <cellStyle name="TotRow - Style4 4 9 13" xfId="34673" xr:uid="{00000000-0005-0000-0000-00003F840000}"/>
    <cellStyle name="TotRow - Style4 4 9 14" xfId="34674" xr:uid="{00000000-0005-0000-0000-000040840000}"/>
    <cellStyle name="TotRow - Style4 4 9 15" xfId="34675" xr:uid="{00000000-0005-0000-0000-000041840000}"/>
    <cellStyle name="TotRow - Style4 4 9 16" xfId="34676" xr:uid="{00000000-0005-0000-0000-000042840000}"/>
    <cellStyle name="TotRow - Style4 4 9 17" xfId="34677" xr:uid="{00000000-0005-0000-0000-000043840000}"/>
    <cellStyle name="TotRow - Style4 4 9 2" xfId="34678" xr:uid="{00000000-0005-0000-0000-000044840000}"/>
    <cellStyle name="TotRow - Style4 4 9 2 10" xfId="34679" xr:uid="{00000000-0005-0000-0000-000045840000}"/>
    <cellStyle name="TotRow - Style4 4 9 2 11" xfId="34680" xr:uid="{00000000-0005-0000-0000-000046840000}"/>
    <cellStyle name="TotRow - Style4 4 9 2 12" xfId="34681" xr:uid="{00000000-0005-0000-0000-000047840000}"/>
    <cellStyle name="TotRow - Style4 4 9 2 13" xfId="34682" xr:uid="{00000000-0005-0000-0000-000048840000}"/>
    <cellStyle name="TotRow - Style4 4 9 2 14" xfId="34683" xr:uid="{00000000-0005-0000-0000-000049840000}"/>
    <cellStyle name="TotRow - Style4 4 9 2 15" xfId="34684" xr:uid="{00000000-0005-0000-0000-00004A840000}"/>
    <cellStyle name="TotRow - Style4 4 9 2 16" xfId="34685" xr:uid="{00000000-0005-0000-0000-00004B840000}"/>
    <cellStyle name="TotRow - Style4 4 9 2 2" xfId="34686" xr:uid="{00000000-0005-0000-0000-00004C840000}"/>
    <cellStyle name="TotRow - Style4 4 9 2 3" xfId="34687" xr:uid="{00000000-0005-0000-0000-00004D840000}"/>
    <cellStyle name="TotRow - Style4 4 9 2 4" xfId="34688" xr:uid="{00000000-0005-0000-0000-00004E840000}"/>
    <cellStyle name="TotRow - Style4 4 9 2 5" xfId="34689" xr:uid="{00000000-0005-0000-0000-00004F840000}"/>
    <cellStyle name="TotRow - Style4 4 9 2 6" xfId="34690" xr:uid="{00000000-0005-0000-0000-000050840000}"/>
    <cellStyle name="TotRow - Style4 4 9 2 7" xfId="34691" xr:uid="{00000000-0005-0000-0000-000051840000}"/>
    <cellStyle name="TotRow - Style4 4 9 2 8" xfId="34692" xr:uid="{00000000-0005-0000-0000-000052840000}"/>
    <cellStyle name="TotRow - Style4 4 9 2 9" xfId="34693" xr:uid="{00000000-0005-0000-0000-000053840000}"/>
    <cellStyle name="TotRow - Style4 4 9 3" xfId="34694" xr:uid="{00000000-0005-0000-0000-000054840000}"/>
    <cellStyle name="TotRow - Style4 4 9 4" xfId="34695" xr:uid="{00000000-0005-0000-0000-000055840000}"/>
    <cellStyle name="TotRow - Style4 4 9 5" xfId="34696" xr:uid="{00000000-0005-0000-0000-000056840000}"/>
    <cellStyle name="TotRow - Style4 4 9 6" xfId="34697" xr:uid="{00000000-0005-0000-0000-000057840000}"/>
    <cellStyle name="TotRow - Style4 4 9 7" xfId="34698" xr:uid="{00000000-0005-0000-0000-000058840000}"/>
    <cellStyle name="TotRow - Style4 4 9 8" xfId="34699" xr:uid="{00000000-0005-0000-0000-000059840000}"/>
    <cellStyle name="TotRow - Style4 4 9 9" xfId="34700" xr:uid="{00000000-0005-0000-0000-00005A840000}"/>
    <cellStyle name="TotRow - Style4 5" xfId="34701" xr:uid="{00000000-0005-0000-0000-00005B840000}"/>
    <cellStyle name="TotRow - Style4 5 10" xfId="34702" xr:uid="{00000000-0005-0000-0000-00005C840000}"/>
    <cellStyle name="TotRow - Style4 5 10 10" xfId="34703" xr:uid="{00000000-0005-0000-0000-00005D840000}"/>
    <cellStyle name="TotRow - Style4 5 10 11" xfId="34704" xr:uid="{00000000-0005-0000-0000-00005E840000}"/>
    <cellStyle name="TotRow - Style4 5 10 12" xfId="34705" xr:uid="{00000000-0005-0000-0000-00005F840000}"/>
    <cellStyle name="TotRow - Style4 5 10 13" xfId="34706" xr:uid="{00000000-0005-0000-0000-000060840000}"/>
    <cellStyle name="TotRow - Style4 5 10 14" xfId="34707" xr:uid="{00000000-0005-0000-0000-000061840000}"/>
    <cellStyle name="TotRow - Style4 5 10 15" xfId="34708" xr:uid="{00000000-0005-0000-0000-000062840000}"/>
    <cellStyle name="TotRow - Style4 5 10 16" xfId="34709" xr:uid="{00000000-0005-0000-0000-000063840000}"/>
    <cellStyle name="TotRow - Style4 5 10 17" xfId="34710" xr:uid="{00000000-0005-0000-0000-000064840000}"/>
    <cellStyle name="TotRow - Style4 5 10 2" xfId="34711" xr:uid="{00000000-0005-0000-0000-000065840000}"/>
    <cellStyle name="TotRow - Style4 5 10 2 10" xfId="34712" xr:uid="{00000000-0005-0000-0000-000066840000}"/>
    <cellStyle name="TotRow - Style4 5 10 2 11" xfId="34713" xr:uid="{00000000-0005-0000-0000-000067840000}"/>
    <cellStyle name="TotRow - Style4 5 10 2 12" xfId="34714" xr:uid="{00000000-0005-0000-0000-000068840000}"/>
    <cellStyle name="TotRow - Style4 5 10 2 13" xfId="34715" xr:uid="{00000000-0005-0000-0000-000069840000}"/>
    <cellStyle name="TotRow - Style4 5 10 2 14" xfId="34716" xr:uid="{00000000-0005-0000-0000-00006A840000}"/>
    <cellStyle name="TotRow - Style4 5 10 2 15" xfId="34717" xr:uid="{00000000-0005-0000-0000-00006B840000}"/>
    <cellStyle name="TotRow - Style4 5 10 2 16" xfId="34718" xr:uid="{00000000-0005-0000-0000-00006C840000}"/>
    <cellStyle name="TotRow - Style4 5 10 2 2" xfId="34719" xr:uid="{00000000-0005-0000-0000-00006D840000}"/>
    <cellStyle name="TotRow - Style4 5 10 2 3" xfId="34720" xr:uid="{00000000-0005-0000-0000-00006E840000}"/>
    <cellStyle name="TotRow - Style4 5 10 2 4" xfId="34721" xr:uid="{00000000-0005-0000-0000-00006F840000}"/>
    <cellStyle name="TotRow - Style4 5 10 2 5" xfId="34722" xr:uid="{00000000-0005-0000-0000-000070840000}"/>
    <cellStyle name="TotRow - Style4 5 10 2 6" xfId="34723" xr:uid="{00000000-0005-0000-0000-000071840000}"/>
    <cellStyle name="TotRow - Style4 5 10 2 7" xfId="34724" xr:uid="{00000000-0005-0000-0000-000072840000}"/>
    <cellStyle name="TotRow - Style4 5 10 2 8" xfId="34725" xr:uid="{00000000-0005-0000-0000-000073840000}"/>
    <cellStyle name="TotRow - Style4 5 10 2 9" xfId="34726" xr:uid="{00000000-0005-0000-0000-000074840000}"/>
    <cellStyle name="TotRow - Style4 5 10 3" xfId="34727" xr:uid="{00000000-0005-0000-0000-000075840000}"/>
    <cellStyle name="TotRow - Style4 5 10 4" xfId="34728" xr:uid="{00000000-0005-0000-0000-000076840000}"/>
    <cellStyle name="TotRow - Style4 5 10 5" xfId="34729" xr:uid="{00000000-0005-0000-0000-000077840000}"/>
    <cellStyle name="TotRow - Style4 5 10 6" xfId="34730" xr:uid="{00000000-0005-0000-0000-000078840000}"/>
    <cellStyle name="TotRow - Style4 5 10 7" xfId="34731" xr:uid="{00000000-0005-0000-0000-000079840000}"/>
    <cellStyle name="TotRow - Style4 5 10 8" xfId="34732" xr:uid="{00000000-0005-0000-0000-00007A840000}"/>
    <cellStyle name="TotRow - Style4 5 10 9" xfId="34733" xr:uid="{00000000-0005-0000-0000-00007B840000}"/>
    <cellStyle name="TotRow - Style4 5 11" xfId="34734" xr:uid="{00000000-0005-0000-0000-00007C840000}"/>
    <cellStyle name="TotRow - Style4 5 11 10" xfId="34735" xr:uid="{00000000-0005-0000-0000-00007D840000}"/>
    <cellStyle name="TotRow - Style4 5 11 11" xfId="34736" xr:uid="{00000000-0005-0000-0000-00007E840000}"/>
    <cellStyle name="TotRow - Style4 5 11 12" xfId="34737" xr:uid="{00000000-0005-0000-0000-00007F840000}"/>
    <cellStyle name="TotRow - Style4 5 11 13" xfId="34738" xr:uid="{00000000-0005-0000-0000-000080840000}"/>
    <cellStyle name="TotRow - Style4 5 11 14" xfId="34739" xr:uid="{00000000-0005-0000-0000-000081840000}"/>
    <cellStyle name="TotRow - Style4 5 11 15" xfId="34740" xr:uid="{00000000-0005-0000-0000-000082840000}"/>
    <cellStyle name="TotRow - Style4 5 11 16" xfId="34741" xr:uid="{00000000-0005-0000-0000-000083840000}"/>
    <cellStyle name="TotRow - Style4 5 11 2" xfId="34742" xr:uid="{00000000-0005-0000-0000-000084840000}"/>
    <cellStyle name="TotRow - Style4 5 11 3" xfId="34743" xr:uid="{00000000-0005-0000-0000-000085840000}"/>
    <cellStyle name="TotRow - Style4 5 11 4" xfId="34744" xr:uid="{00000000-0005-0000-0000-000086840000}"/>
    <cellStyle name="TotRow - Style4 5 11 5" xfId="34745" xr:uid="{00000000-0005-0000-0000-000087840000}"/>
    <cellStyle name="TotRow - Style4 5 11 6" xfId="34746" xr:uid="{00000000-0005-0000-0000-000088840000}"/>
    <cellStyle name="TotRow - Style4 5 11 7" xfId="34747" xr:uid="{00000000-0005-0000-0000-000089840000}"/>
    <cellStyle name="TotRow - Style4 5 11 8" xfId="34748" xr:uid="{00000000-0005-0000-0000-00008A840000}"/>
    <cellStyle name="TotRow - Style4 5 11 9" xfId="34749" xr:uid="{00000000-0005-0000-0000-00008B840000}"/>
    <cellStyle name="TotRow - Style4 5 12" xfId="34750" xr:uid="{00000000-0005-0000-0000-00008C840000}"/>
    <cellStyle name="TotRow - Style4 5 13" xfId="34751" xr:uid="{00000000-0005-0000-0000-00008D840000}"/>
    <cellStyle name="TotRow - Style4 5 14" xfId="34752" xr:uid="{00000000-0005-0000-0000-00008E840000}"/>
    <cellStyle name="TotRow - Style4 5 15" xfId="34753" xr:uid="{00000000-0005-0000-0000-00008F840000}"/>
    <cellStyle name="TotRow - Style4 5 16" xfId="34754" xr:uid="{00000000-0005-0000-0000-000090840000}"/>
    <cellStyle name="TotRow - Style4 5 17" xfId="34755" xr:uid="{00000000-0005-0000-0000-000091840000}"/>
    <cellStyle name="TotRow - Style4 5 18" xfId="34756" xr:uid="{00000000-0005-0000-0000-000092840000}"/>
    <cellStyle name="TotRow - Style4 5 19" xfId="34757" xr:uid="{00000000-0005-0000-0000-000093840000}"/>
    <cellStyle name="TotRow - Style4 5 2" xfId="34758" xr:uid="{00000000-0005-0000-0000-000094840000}"/>
    <cellStyle name="TotRow - Style4 5 2 10" xfId="34759" xr:uid="{00000000-0005-0000-0000-000095840000}"/>
    <cellStyle name="TotRow - Style4 5 2 11" xfId="34760" xr:uid="{00000000-0005-0000-0000-000096840000}"/>
    <cellStyle name="TotRow - Style4 5 2 12" xfId="34761" xr:uid="{00000000-0005-0000-0000-000097840000}"/>
    <cellStyle name="TotRow - Style4 5 2 13" xfId="34762" xr:uid="{00000000-0005-0000-0000-000098840000}"/>
    <cellStyle name="TotRow - Style4 5 2 14" xfId="34763" xr:uid="{00000000-0005-0000-0000-000099840000}"/>
    <cellStyle name="TotRow - Style4 5 2 15" xfId="34764" xr:uid="{00000000-0005-0000-0000-00009A840000}"/>
    <cellStyle name="TotRow - Style4 5 2 16" xfId="34765" xr:uid="{00000000-0005-0000-0000-00009B840000}"/>
    <cellStyle name="TotRow - Style4 5 2 17" xfId="34766" xr:uid="{00000000-0005-0000-0000-00009C840000}"/>
    <cellStyle name="TotRow - Style4 5 2 2" xfId="34767" xr:uid="{00000000-0005-0000-0000-00009D840000}"/>
    <cellStyle name="TotRow - Style4 5 2 2 10" xfId="34768" xr:uid="{00000000-0005-0000-0000-00009E840000}"/>
    <cellStyle name="TotRow - Style4 5 2 2 11" xfId="34769" xr:uid="{00000000-0005-0000-0000-00009F840000}"/>
    <cellStyle name="TotRow - Style4 5 2 2 12" xfId="34770" xr:uid="{00000000-0005-0000-0000-0000A0840000}"/>
    <cellStyle name="TotRow - Style4 5 2 2 13" xfId="34771" xr:uid="{00000000-0005-0000-0000-0000A1840000}"/>
    <cellStyle name="TotRow - Style4 5 2 2 14" xfId="34772" xr:uid="{00000000-0005-0000-0000-0000A2840000}"/>
    <cellStyle name="TotRow - Style4 5 2 2 15" xfId="34773" xr:uid="{00000000-0005-0000-0000-0000A3840000}"/>
    <cellStyle name="TotRow - Style4 5 2 2 16" xfId="34774" xr:uid="{00000000-0005-0000-0000-0000A4840000}"/>
    <cellStyle name="TotRow - Style4 5 2 2 2" xfId="34775" xr:uid="{00000000-0005-0000-0000-0000A5840000}"/>
    <cellStyle name="TotRow - Style4 5 2 2 3" xfId="34776" xr:uid="{00000000-0005-0000-0000-0000A6840000}"/>
    <cellStyle name="TotRow - Style4 5 2 2 4" xfId="34777" xr:uid="{00000000-0005-0000-0000-0000A7840000}"/>
    <cellStyle name="TotRow - Style4 5 2 2 5" xfId="34778" xr:uid="{00000000-0005-0000-0000-0000A8840000}"/>
    <cellStyle name="TotRow - Style4 5 2 2 6" xfId="34779" xr:uid="{00000000-0005-0000-0000-0000A9840000}"/>
    <cellStyle name="TotRow - Style4 5 2 2 7" xfId="34780" xr:uid="{00000000-0005-0000-0000-0000AA840000}"/>
    <cellStyle name="TotRow - Style4 5 2 2 8" xfId="34781" xr:uid="{00000000-0005-0000-0000-0000AB840000}"/>
    <cellStyle name="TotRow - Style4 5 2 2 9" xfId="34782" xr:uid="{00000000-0005-0000-0000-0000AC840000}"/>
    <cellStyle name="TotRow - Style4 5 2 3" xfId="34783" xr:uid="{00000000-0005-0000-0000-0000AD840000}"/>
    <cellStyle name="TotRow - Style4 5 2 4" xfId="34784" xr:uid="{00000000-0005-0000-0000-0000AE840000}"/>
    <cellStyle name="TotRow - Style4 5 2 5" xfId="34785" xr:uid="{00000000-0005-0000-0000-0000AF840000}"/>
    <cellStyle name="TotRow - Style4 5 2 6" xfId="34786" xr:uid="{00000000-0005-0000-0000-0000B0840000}"/>
    <cellStyle name="TotRow - Style4 5 2 7" xfId="34787" xr:uid="{00000000-0005-0000-0000-0000B1840000}"/>
    <cellStyle name="TotRow - Style4 5 2 8" xfId="34788" xr:uid="{00000000-0005-0000-0000-0000B2840000}"/>
    <cellStyle name="TotRow - Style4 5 2 9" xfId="34789" xr:uid="{00000000-0005-0000-0000-0000B3840000}"/>
    <cellStyle name="TotRow - Style4 5 20" xfId="34790" xr:uid="{00000000-0005-0000-0000-0000B4840000}"/>
    <cellStyle name="TotRow - Style4 5 21" xfId="34791" xr:uid="{00000000-0005-0000-0000-0000B5840000}"/>
    <cellStyle name="TotRow - Style4 5 22" xfId="34792" xr:uid="{00000000-0005-0000-0000-0000B6840000}"/>
    <cellStyle name="TotRow - Style4 5 23" xfId="34793" xr:uid="{00000000-0005-0000-0000-0000B7840000}"/>
    <cellStyle name="TotRow - Style4 5 24" xfId="34794" xr:uid="{00000000-0005-0000-0000-0000B8840000}"/>
    <cellStyle name="TotRow - Style4 5 25" xfId="34795" xr:uid="{00000000-0005-0000-0000-0000B9840000}"/>
    <cellStyle name="TotRow - Style4 5 26" xfId="34796" xr:uid="{00000000-0005-0000-0000-0000BA840000}"/>
    <cellStyle name="TotRow - Style4 5 3" xfId="34797" xr:uid="{00000000-0005-0000-0000-0000BB840000}"/>
    <cellStyle name="TotRow - Style4 5 3 10" xfId="34798" xr:uid="{00000000-0005-0000-0000-0000BC840000}"/>
    <cellStyle name="TotRow - Style4 5 3 11" xfId="34799" xr:uid="{00000000-0005-0000-0000-0000BD840000}"/>
    <cellStyle name="TotRow - Style4 5 3 12" xfId="34800" xr:uid="{00000000-0005-0000-0000-0000BE840000}"/>
    <cellStyle name="TotRow - Style4 5 3 13" xfId="34801" xr:uid="{00000000-0005-0000-0000-0000BF840000}"/>
    <cellStyle name="TotRow - Style4 5 3 14" xfId="34802" xr:uid="{00000000-0005-0000-0000-0000C0840000}"/>
    <cellStyle name="TotRow - Style4 5 3 15" xfId="34803" xr:uid="{00000000-0005-0000-0000-0000C1840000}"/>
    <cellStyle name="TotRow - Style4 5 3 16" xfId="34804" xr:uid="{00000000-0005-0000-0000-0000C2840000}"/>
    <cellStyle name="TotRow - Style4 5 3 17" xfId="34805" xr:uid="{00000000-0005-0000-0000-0000C3840000}"/>
    <cellStyle name="TotRow - Style4 5 3 2" xfId="34806" xr:uid="{00000000-0005-0000-0000-0000C4840000}"/>
    <cellStyle name="TotRow - Style4 5 3 2 10" xfId="34807" xr:uid="{00000000-0005-0000-0000-0000C5840000}"/>
    <cellStyle name="TotRow - Style4 5 3 2 11" xfId="34808" xr:uid="{00000000-0005-0000-0000-0000C6840000}"/>
    <cellStyle name="TotRow - Style4 5 3 2 12" xfId="34809" xr:uid="{00000000-0005-0000-0000-0000C7840000}"/>
    <cellStyle name="TotRow - Style4 5 3 2 13" xfId="34810" xr:uid="{00000000-0005-0000-0000-0000C8840000}"/>
    <cellStyle name="TotRow - Style4 5 3 2 14" xfId="34811" xr:uid="{00000000-0005-0000-0000-0000C9840000}"/>
    <cellStyle name="TotRow - Style4 5 3 2 15" xfId="34812" xr:uid="{00000000-0005-0000-0000-0000CA840000}"/>
    <cellStyle name="TotRow - Style4 5 3 2 16" xfId="34813" xr:uid="{00000000-0005-0000-0000-0000CB840000}"/>
    <cellStyle name="TotRow - Style4 5 3 2 2" xfId="34814" xr:uid="{00000000-0005-0000-0000-0000CC840000}"/>
    <cellStyle name="TotRow - Style4 5 3 2 3" xfId="34815" xr:uid="{00000000-0005-0000-0000-0000CD840000}"/>
    <cellStyle name="TotRow - Style4 5 3 2 4" xfId="34816" xr:uid="{00000000-0005-0000-0000-0000CE840000}"/>
    <cellStyle name="TotRow - Style4 5 3 2 5" xfId="34817" xr:uid="{00000000-0005-0000-0000-0000CF840000}"/>
    <cellStyle name="TotRow - Style4 5 3 2 6" xfId="34818" xr:uid="{00000000-0005-0000-0000-0000D0840000}"/>
    <cellStyle name="TotRow - Style4 5 3 2 7" xfId="34819" xr:uid="{00000000-0005-0000-0000-0000D1840000}"/>
    <cellStyle name="TotRow - Style4 5 3 2 8" xfId="34820" xr:uid="{00000000-0005-0000-0000-0000D2840000}"/>
    <cellStyle name="TotRow - Style4 5 3 2 9" xfId="34821" xr:uid="{00000000-0005-0000-0000-0000D3840000}"/>
    <cellStyle name="TotRow - Style4 5 3 3" xfId="34822" xr:uid="{00000000-0005-0000-0000-0000D4840000}"/>
    <cellStyle name="TotRow - Style4 5 3 4" xfId="34823" xr:uid="{00000000-0005-0000-0000-0000D5840000}"/>
    <cellStyle name="TotRow - Style4 5 3 5" xfId="34824" xr:uid="{00000000-0005-0000-0000-0000D6840000}"/>
    <cellStyle name="TotRow - Style4 5 3 6" xfId="34825" xr:uid="{00000000-0005-0000-0000-0000D7840000}"/>
    <cellStyle name="TotRow - Style4 5 3 7" xfId="34826" xr:uid="{00000000-0005-0000-0000-0000D8840000}"/>
    <cellStyle name="TotRow - Style4 5 3 8" xfId="34827" xr:uid="{00000000-0005-0000-0000-0000D9840000}"/>
    <cellStyle name="TotRow - Style4 5 3 9" xfId="34828" xr:uid="{00000000-0005-0000-0000-0000DA840000}"/>
    <cellStyle name="TotRow - Style4 5 4" xfId="34829" xr:uid="{00000000-0005-0000-0000-0000DB840000}"/>
    <cellStyle name="TotRow - Style4 5 4 10" xfId="34830" xr:uid="{00000000-0005-0000-0000-0000DC840000}"/>
    <cellStyle name="TotRow - Style4 5 4 11" xfId="34831" xr:uid="{00000000-0005-0000-0000-0000DD840000}"/>
    <cellStyle name="TotRow - Style4 5 4 12" xfId="34832" xr:uid="{00000000-0005-0000-0000-0000DE840000}"/>
    <cellStyle name="TotRow - Style4 5 4 13" xfId="34833" xr:uid="{00000000-0005-0000-0000-0000DF840000}"/>
    <cellStyle name="TotRow - Style4 5 4 14" xfId="34834" xr:uid="{00000000-0005-0000-0000-0000E0840000}"/>
    <cellStyle name="TotRow - Style4 5 4 15" xfId="34835" xr:uid="{00000000-0005-0000-0000-0000E1840000}"/>
    <cellStyle name="TotRow - Style4 5 4 16" xfId="34836" xr:uid="{00000000-0005-0000-0000-0000E2840000}"/>
    <cellStyle name="TotRow - Style4 5 4 17" xfId="34837" xr:uid="{00000000-0005-0000-0000-0000E3840000}"/>
    <cellStyle name="TotRow - Style4 5 4 2" xfId="34838" xr:uid="{00000000-0005-0000-0000-0000E4840000}"/>
    <cellStyle name="TotRow - Style4 5 4 2 10" xfId="34839" xr:uid="{00000000-0005-0000-0000-0000E5840000}"/>
    <cellStyle name="TotRow - Style4 5 4 2 11" xfId="34840" xr:uid="{00000000-0005-0000-0000-0000E6840000}"/>
    <cellStyle name="TotRow - Style4 5 4 2 12" xfId="34841" xr:uid="{00000000-0005-0000-0000-0000E7840000}"/>
    <cellStyle name="TotRow - Style4 5 4 2 13" xfId="34842" xr:uid="{00000000-0005-0000-0000-0000E8840000}"/>
    <cellStyle name="TotRow - Style4 5 4 2 14" xfId="34843" xr:uid="{00000000-0005-0000-0000-0000E9840000}"/>
    <cellStyle name="TotRow - Style4 5 4 2 15" xfId="34844" xr:uid="{00000000-0005-0000-0000-0000EA840000}"/>
    <cellStyle name="TotRow - Style4 5 4 2 16" xfId="34845" xr:uid="{00000000-0005-0000-0000-0000EB840000}"/>
    <cellStyle name="TotRow - Style4 5 4 2 2" xfId="34846" xr:uid="{00000000-0005-0000-0000-0000EC840000}"/>
    <cellStyle name="TotRow - Style4 5 4 2 3" xfId="34847" xr:uid="{00000000-0005-0000-0000-0000ED840000}"/>
    <cellStyle name="TotRow - Style4 5 4 2 4" xfId="34848" xr:uid="{00000000-0005-0000-0000-0000EE840000}"/>
    <cellStyle name="TotRow - Style4 5 4 2 5" xfId="34849" xr:uid="{00000000-0005-0000-0000-0000EF840000}"/>
    <cellStyle name="TotRow - Style4 5 4 2 6" xfId="34850" xr:uid="{00000000-0005-0000-0000-0000F0840000}"/>
    <cellStyle name="TotRow - Style4 5 4 2 7" xfId="34851" xr:uid="{00000000-0005-0000-0000-0000F1840000}"/>
    <cellStyle name="TotRow - Style4 5 4 2 8" xfId="34852" xr:uid="{00000000-0005-0000-0000-0000F2840000}"/>
    <cellStyle name="TotRow - Style4 5 4 2 9" xfId="34853" xr:uid="{00000000-0005-0000-0000-0000F3840000}"/>
    <cellStyle name="TotRow - Style4 5 4 3" xfId="34854" xr:uid="{00000000-0005-0000-0000-0000F4840000}"/>
    <cellStyle name="TotRow - Style4 5 4 4" xfId="34855" xr:uid="{00000000-0005-0000-0000-0000F5840000}"/>
    <cellStyle name="TotRow - Style4 5 4 5" xfId="34856" xr:uid="{00000000-0005-0000-0000-0000F6840000}"/>
    <cellStyle name="TotRow - Style4 5 4 6" xfId="34857" xr:uid="{00000000-0005-0000-0000-0000F7840000}"/>
    <cellStyle name="TotRow - Style4 5 4 7" xfId="34858" xr:uid="{00000000-0005-0000-0000-0000F8840000}"/>
    <cellStyle name="TotRow - Style4 5 4 8" xfId="34859" xr:uid="{00000000-0005-0000-0000-0000F9840000}"/>
    <cellStyle name="TotRow - Style4 5 4 9" xfId="34860" xr:uid="{00000000-0005-0000-0000-0000FA840000}"/>
    <cellStyle name="TotRow - Style4 5 5" xfId="34861" xr:uid="{00000000-0005-0000-0000-0000FB840000}"/>
    <cellStyle name="TotRow - Style4 5 5 10" xfId="34862" xr:uid="{00000000-0005-0000-0000-0000FC840000}"/>
    <cellStyle name="TotRow - Style4 5 5 11" xfId="34863" xr:uid="{00000000-0005-0000-0000-0000FD840000}"/>
    <cellStyle name="TotRow - Style4 5 5 12" xfId="34864" xr:uid="{00000000-0005-0000-0000-0000FE840000}"/>
    <cellStyle name="TotRow - Style4 5 5 13" xfId="34865" xr:uid="{00000000-0005-0000-0000-0000FF840000}"/>
    <cellStyle name="TotRow - Style4 5 5 14" xfId="34866" xr:uid="{00000000-0005-0000-0000-000000850000}"/>
    <cellStyle name="TotRow - Style4 5 5 15" xfId="34867" xr:uid="{00000000-0005-0000-0000-000001850000}"/>
    <cellStyle name="TotRow - Style4 5 5 16" xfId="34868" xr:uid="{00000000-0005-0000-0000-000002850000}"/>
    <cellStyle name="TotRow - Style4 5 5 17" xfId="34869" xr:uid="{00000000-0005-0000-0000-000003850000}"/>
    <cellStyle name="TotRow - Style4 5 5 2" xfId="34870" xr:uid="{00000000-0005-0000-0000-000004850000}"/>
    <cellStyle name="TotRow - Style4 5 5 2 10" xfId="34871" xr:uid="{00000000-0005-0000-0000-000005850000}"/>
    <cellStyle name="TotRow - Style4 5 5 2 11" xfId="34872" xr:uid="{00000000-0005-0000-0000-000006850000}"/>
    <cellStyle name="TotRow - Style4 5 5 2 12" xfId="34873" xr:uid="{00000000-0005-0000-0000-000007850000}"/>
    <cellStyle name="TotRow - Style4 5 5 2 13" xfId="34874" xr:uid="{00000000-0005-0000-0000-000008850000}"/>
    <cellStyle name="TotRow - Style4 5 5 2 14" xfId="34875" xr:uid="{00000000-0005-0000-0000-000009850000}"/>
    <cellStyle name="TotRow - Style4 5 5 2 15" xfId="34876" xr:uid="{00000000-0005-0000-0000-00000A850000}"/>
    <cellStyle name="TotRow - Style4 5 5 2 16" xfId="34877" xr:uid="{00000000-0005-0000-0000-00000B850000}"/>
    <cellStyle name="TotRow - Style4 5 5 2 2" xfId="34878" xr:uid="{00000000-0005-0000-0000-00000C850000}"/>
    <cellStyle name="TotRow - Style4 5 5 2 3" xfId="34879" xr:uid="{00000000-0005-0000-0000-00000D850000}"/>
    <cellStyle name="TotRow - Style4 5 5 2 4" xfId="34880" xr:uid="{00000000-0005-0000-0000-00000E850000}"/>
    <cellStyle name="TotRow - Style4 5 5 2 5" xfId="34881" xr:uid="{00000000-0005-0000-0000-00000F850000}"/>
    <cellStyle name="TotRow - Style4 5 5 2 6" xfId="34882" xr:uid="{00000000-0005-0000-0000-000010850000}"/>
    <cellStyle name="TotRow - Style4 5 5 2 7" xfId="34883" xr:uid="{00000000-0005-0000-0000-000011850000}"/>
    <cellStyle name="TotRow - Style4 5 5 2 8" xfId="34884" xr:uid="{00000000-0005-0000-0000-000012850000}"/>
    <cellStyle name="TotRow - Style4 5 5 2 9" xfId="34885" xr:uid="{00000000-0005-0000-0000-000013850000}"/>
    <cellStyle name="TotRow - Style4 5 5 3" xfId="34886" xr:uid="{00000000-0005-0000-0000-000014850000}"/>
    <cellStyle name="TotRow - Style4 5 5 4" xfId="34887" xr:uid="{00000000-0005-0000-0000-000015850000}"/>
    <cellStyle name="TotRow - Style4 5 5 5" xfId="34888" xr:uid="{00000000-0005-0000-0000-000016850000}"/>
    <cellStyle name="TotRow - Style4 5 5 6" xfId="34889" xr:uid="{00000000-0005-0000-0000-000017850000}"/>
    <cellStyle name="TotRow - Style4 5 5 7" xfId="34890" xr:uid="{00000000-0005-0000-0000-000018850000}"/>
    <cellStyle name="TotRow - Style4 5 5 8" xfId="34891" xr:uid="{00000000-0005-0000-0000-000019850000}"/>
    <cellStyle name="TotRow - Style4 5 5 9" xfId="34892" xr:uid="{00000000-0005-0000-0000-00001A850000}"/>
    <cellStyle name="TotRow - Style4 5 6" xfId="34893" xr:uid="{00000000-0005-0000-0000-00001B850000}"/>
    <cellStyle name="TotRow - Style4 5 6 10" xfId="34894" xr:uid="{00000000-0005-0000-0000-00001C850000}"/>
    <cellStyle name="TotRow - Style4 5 6 11" xfId="34895" xr:uid="{00000000-0005-0000-0000-00001D850000}"/>
    <cellStyle name="TotRow - Style4 5 6 12" xfId="34896" xr:uid="{00000000-0005-0000-0000-00001E850000}"/>
    <cellStyle name="TotRow - Style4 5 6 13" xfId="34897" xr:uid="{00000000-0005-0000-0000-00001F850000}"/>
    <cellStyle name="TotRow - Style4 5 6 14" xfId="34898" xr:uid="{00000000-0005-0000-0000-000020850000}"/>
    <cellStyle name="TotRow - Style4 5 6 15" xfId="34899" xr:uid="{00000000-0005-0000-0000-000021850000}"/>
    <cellStyle name="TotRow - Style4 5 6 16" xfId="34900" xr:uid="{00000000-0005-0000-0000-000022850000}"/>
    <cellStyle name="TotRow - Style4 5 6 17" xfId="34901" xr:uid="{00000000-0005-0000-0000-000023850000}"/>
    <cellStyle name="TotRow - Style4 5 6 2" xfId="34902" xr:uid="{00000000-0005-0000-0000-000024850000}"/>
    <cellStyle name="TotRow - Style4 5 6 2 10" xfId="34903" xr:uid="{00000000-0005-0000-0000-000025850000}"/>
    <cellStyle name="TotRow - Style4 5 6 2 11" xfId="34904" xr:uid="{00000000-0005-0000-0000-000026850000}"/>
    <cellStyle name="TotRow - Style4 5 6 2 12" xfId="34905" xr:uid="{00000000-0005-0000-0000-000027850000}"/>
    <cellStyle name="TotRow - Style4 5 6 2 13" xfId="34906" xr:uid="{00000000-0005-0000-0000-000028850000}"/>
    <cellStyle name="TotRow - Style4 5 6 2 14" xfId="34907" xr:uid="{00000000-0005-0000-0000-000029850000}"/>
    <cellStyle name="TotRow - Style4 5 6 2 15" xfId="34908" xr:uid="{00000000-0005-0000-0000-00002A850000}"/>
    <cellStyle name="TotRow - Style4 5 6 2 16" xfId="34909" xr:uid="{00000000-0005-0000-0000-00002B850000}"/>
    <cellStyle name="TotRow - Style4 5 6 2 2" xfId="34910" xr:uid="{00000000-0005-0000-0000-00002C850000}"/>
    <cellStyle name="TotRow - Style4 5 6 2 3" xfId="34911" xr:uid="{00000000-0005-0000-0000-00002D850000}"/>
    <cellStyle name="TotRow - Style4 5 6 2 4" xfId="34912" xr:uid="{00000000-0005-0000-0000-00002E850000}"/>
    <cellStyle name="TotRow - Style4 5 6 2 5" xfId="34913" xr:uid="{00000000-0005-0000-0000-00002F850000}"/>
    <cellStyle name="TotRow - Style4 5 6 2 6" xfId="34914" xr:uid="{00000000-0005-0000-0000-000030850000}"/>
    <cellStyle name="TotRow - Style4 5 6 2 7" xfId="34915" xr:uid="{00000000-0005-0000-0000-000031850000}"/>
    <cellStyle name="TotRow - Style4 5 6 2 8" xfId="34916" xr:uid="{00000000-0005-0000-0000-000032850000}"/>
    <cellStyle name="TotRow - Style4 5 6 2 9" xfId="34917" xr:uid="{00000000-0005-0000-0000-000033850000}"/>
    <cellStyle name="TotRow - Style4 5 6 3" xfId="34918" xr:uid="{00000000-0005-0000-0000-000034850000}"/>
    <cellStyle name="TotRow - Style4 5 6 4" xfId="34919" xr:uid="{00000000-0005-0000-0000-000035850000}"/>
    <cellStyle name="TotRow - Style4 5 6 5" xfId="34920" xr:uid="{00000000-0005-0000-0000-000036850000}"/>
    <cellStyle name="TotRow - Style4 5 6 6" xfId="34921" xr:uid="{00000000-0005-0000-0000-000037850000}"/>
    <cellStyle name="TotRow - Style4 5 6 7" xfId="34922" xr:uid="{00000000-0005-0000-0000-000038850000}"/>
    <cellStyle name="TotRow - Style4 5 6 8" xfId="34923" xr:uid="{00000000-0005-0000-0000-000039850000}"/>
    <cellStyle name="TotRow - Style4 5 6 9" xfId="34924" xr:uid="{00000000-0005-0000-0000-00003A850000}"/>
    <cellStyle name="TotRow - Style4 5 7" xfId="34925" xr:uid="{00000000-0005-0000-0000-00003B850000}"/>
    <cellStyle name="TotRow - Style4 5 7 10" xfId="34926" xr:uid="{00000000-0005-0000-0000-00003C850000}"/>
    <cellStyle name="TotRow - Style4 5 7 11" xfId="34927" xr:uid="{00000000-0005-0000-0000-00003D850000}"/>
    <cellStyle name="TotRow - Style4 5 7 12" xfId="34928" xr:uid="{00000000-0005-0000-0000-00003E850000}"/>
    <cellStyle name="TotRow - Style4 5 7 13" xfId="34929" xr:uid="{00000000-0005-0000-0000-00003F850000}"/>
    <cellStyle name="TotRow - Style4 5 7 14" xfId="34930" xr:uid="{00000000-0005-0000-0000-000040850000}"/>
    <cellStyle name="TotRow - Style4 5 7 15" xfId="34931" xr:uid="{00000000-0005-0000-0000-000041850000}"/>
    <cellStyle name="TotRow - Style4 5 7 16" xfId="34932" xr:uid="{00000000-0005-0000-0000-000042850000}"/>
    <cellStyle name="TotRow - Style4 5 7 17" xfId="34933" xr:uid="{00000000-0005-0000-0000-000043850000}"/>
    <cellStyle name="TotRow - Style4 5 7 2" xfId="34934" xr:uid="{00000000-0005-0000-0000-000044850000}"/>
    <cellStyle name="TotRow - Style4 5 7 2 10" xfId="34935" xr:uid="{00000000-0005-0000-0000-000045850000}"/>
    <cellStyle name="TotRow - Style4 5 7 2 11" xfId="34936" xr:uid="{00000000-0005-0000-0000-000046850000}"/>
    <cellStyle name="TotRow - Style4 5 7 2 12" xfId="34937" xr:uid="{00000000-0005-0000-0000-000047850000}"/>
    <cellStyle name="TotRow - Style4 5 7 2 13" xfId="34938" xr:uid="{00000000-0005-0000-0000-000048850000}"/>
    <cellStyle name="TotRow - Style4 5 7 2 14" xfId="34939" xr:uid="{00000000-0005-0000-0000-000049850000}"/>
    <cellStyle name="TotRow - Style4 5 7 2 15" xfId="34940" xr:uid="{00000000-0005-0000-0000-00004A850000}"/>
    <cellStyle name="TotRow - Style4 5 7 2 16" xfId="34941" xr:uid="{00000000-0005-0000-0000-00004B850000}"/>
    <cellStyle name="TotRow - Style4 5 7 2 2" xfId="34942" xr:uid="{00000000-0005-0000-0000-00004C850000}"/>
    <cellStyle name="TotRow - Style4 5 7 2 3" xfId="34943" xr:uid="{00000000-0005-0000-0000-00004D850000}"/>
    <cellStyle name="TotRow - Style4 5 7 2 4" xfId="34944" xr:uid="{00000000-0005-0000-0000-00004E850000}"/>
    <cellStyle name="TotRow - Style4 5 7 2 5" xfId="34945" xr:uid="{00000000-0005-0000-0000-00004F850000}"/>
    <cellStyle name="TotRow - Style4 5 7 2 6" xfId="34946" xr:uid="{00000000-0005-0000-0000-000050850000}"/>
    <cellStyle name="TotRow - Style4 5 7 2 7" xfId="34947" xr:uid="{00000000-0005-0000-0000-000051850000}"/>
    <cellStyle name="TotRow - Style4 5 7 2 8" xfId="34948" xr:uid="{00000000-0005-0000-0000-000052850000}"/>
    <cellStyle name="TotRow - Style4 5 7 2 9" xfId="34949" xr:uid="{00000000-0005-0000-0000-000053850000}"/>
    <cellStyle name="TotRow - Style4 5 7 3" xfId="34950" xr:uid="{00000000-0005-0000-0000-000054850000}"/>
    <cellStyle name="TotRow - Style4 5 7 4" xfId="34951" xr:uid="{00000000-0005-0000-0000-000055850000}"/>
    <cellStyle name="TotRow - Style4 5 7 5" xfId="34952" xr:uid="{00000000-0005-0000-0000-000056850000}"/>
    <cellStyle name="TotRow - Style4 5 7 6" xfId="34953" xr:uid="{00000000-0005-0000-0000-000057850000}"/>
    <cellStyle name="TotRow - Style4 5 7 7" xfId="34954" xr:uid="{00000000-0005-0000-0000-000058850000}"/>
    <cellStyle name="TotRow - Style4 5 7 8" xfId="34955" xr:uid="{00000000-0005-0000-0000-000059850000}"/>
    <cellStyle name="TotRow - Style4 5 7 9" xfId="34956" xr:uid="{00000000-0005-0000-0000-00005A850000}"/>
    <cellStyle name="TotRow - Style4 5 8" xfId="34957" xr:uid="{00000000-0005-0000-0000-00005B850000}"/>
    <cellStyle name="TotRow - Style4 5 8 10" xfId="34958" xr:uid="{00000000-0005-0000-0000-00005C850000}"/>
    <cellStyle name="TotRow - Style4 5 8 11" xfId="34959" xr:uid="{00000000-0005-0000-0000-00005D850000}"/>
    <cellStyle name="TotRow - Style4 5 8 12" xfId="34960" xr:uid="{00000000-0005-0000-0000-00005E850000}"/>
    <cellStyle name="TotRow - Style4 5 8 13" xfId="34961" xr:uid="{00000000-0005-0000-0000-00005F850000}"/>
    <cellStyle name="TotRow - Style4 5 8 14" xfId="34962" xr:uid="{00000000-0005-0000-0000-000060850000}"/>
    <cellStyle name="TotRow - Style4 5 8 15" xfId="34963" xr:uid="{00000000-0005-0000-0000-000061850000}"/>
    <cellStyle name="TotRow - Style4 5 8 16" xfId="34964" xr:uid="{00000000-0005-0000-0000-000062850000}"/>
    <cellStyle name="TotRow - Style4 5 8 17" xfId="34965" xr:uid="{00000000-0005-0000-0000-000063850000}"/>
    <cellStyle name="TotRow - Style4 5 8 2" xfId="34966" xr:uid="{00000000-0005-0000-0000-000064850000}"/>
    <cellStyle name="TotRow - Style4 5 8 2 10" xfId="34967" xr:uid="{00000000-0005-0000-0000-000065850000}"/>
    <cellStyle name="TotRow - Style4 5 8 2 11" xfId="34968" xr:uid="{00000000-0005-0000-0000-000066850000}"/>
    <cellStyle name="TotRow - Style4 5 8 2 12" xfId="34969" xr:uid="{00000000-0005-0000-0000-000067850000}"/>
    <cellStyle name="TotRow - Style4 5 8 2 13" xfId="34970" xr:uid="{00000000-0005-0000-0000-000068850000}"/>
    <cellStyle name="TotRow - Style4 5 8 2 14" xfId="34971" xr:uid="{00000000-0005-0000-0000-000069850000}"/>
    <cellStyle name="TotRow - Style4 5 8 2 15" xfId="34972" xr:uid="{00000000-0005-0000-0000-00006A850000}"/>
    <cellStyle name="TotRow - Style4 5 8 2 16" xfId="34973" xr:uid="{00000000-0005-0000-0000-00006B850000}"/>
    <cellStyle name="TotRow - Style4 5 8 2 2" xfId="34974" xr:uid="{00000000-0005-0000-0000-00006C850000}"/>
    <cellStyle name="TotRow - Style4 5 8 2 3" xfId="34975" xr:uid="{00000000-0005-0000-0000-00006D850000}"/>
    <cellStyle name="TotRow - Style4 5 8 2 4" xfId="34976" xr:uid="{00000000-0005-0000-0000-00006E850000}"/>
    <cellStyle name="TotRow - Style4 5 8 2 5" xfId="34977" xr:uid="{00000000-0005-0000-0000-00006F850000}"/>
    <cellStyle name="TotRow - Style4 5 8 2 6" xfId="34978" xr:uid="{00000000-0005-0000-0000-000070850000}"/>
    <cellStyle name="TotRow - Style4 5 8 2 7" xfId="34979" xr:uid="{00000000-0005-0000-0000-000071850000}"/>
    <cellStyle name="TotRow - Style4 5 8 2 8" xfId="34980" xr:uid="{00000000-0005-0000-0000-000072850000}"/>
    <cellStyle name="TotRow - Style4 5 8 2 9" xfId="34981" xr:uid="{00000000-0005-0000-0000-000073850000}"/>
    <cellStyle name="TotRow - Style4 5 8 3" xfId="34982" xr:uid="{00000000-0005-0000-0000-000074850000}"/>
    <cellStyle name="TotRow - Style4 5 8 4" xfId="34983" xr:uid="{00000000-0005-0000-0000-000075850000}"/>
    <cellStyle name="TotRow - Style4 5 8 5" xfId="34984" xr:uid="{00000000-0005-0000-0000-000076850000}"/>
    <cellStyle name="TotRow - Style4 5 8 6" xfId="34985" xr:uid="{00000000-0005-0000-0000-000077850000}"/>
    <cellStyle name="TotRow - Style4 5 8 7" xfId="34986" xr:uid="{00000000-0005-0000-0000-000078850000}"/>
    <cellStyle name="TotRow - Style4 5 8 8" xfId="34987" xr:uid="{00000000-0005-0000-0000-000079850000}"/>
    <cellStyle name="TotRow - Style4 5 8 9" xfId="34988" xr:uid="{00000000-0005-0000-0000-00007A850000}"/>
    <cellStyle name="TotRow - Style4 5 9" xfId="34989" xr:uid="{00000000-0005-0000-0000-00007B850000}"/>
    <cellStyle name="TotRow - Style4 5 9 10" xfId="34990" xr:uid="{00000000-0005-0000-0000-00007C850000}"/>
    <cellStyle name="TotRow - Style4 5 9 11" xfId="34991" xr:uid="{00000000-0005-0000-0000-00007D850000}"/>
    <cellStyle name="TotRow - Style4 5 9 12" xfId="34992" xr:uid="{00000000-0005-0000-0000-00007E850000}"/>
    <cellStyle name="TotRow - Style4 5 9 13" xfId="34993" xr:uid="{00000000-0005-0000-0000-00007F850000}"/>
    <cellStyle name="TotRow - Style4 5 9 14" xfId="34994" xr:uid="{00000000-0005-0000-0000-000080850000}"/>
    <cellStyle name="TotRow - Style4 5 9 15" xfId="34995" xr:uid="{00000000-0005-0000-0000-000081850000}"/>
    <cellStyle name="TotRow - Style4 5 9 16" xfId="34996" xr:uid="{00000000-0005-0000-0000-000082850000}"/>
    <cellStyle name="TotRow - Style4 5 9 17" xfId="34997" xr:uid="{00000000-0005-0000-0000-000083850000}"/>
    <cellStyle name="TotRow - Style4 5 9 2" xfId="34998" xr:uid="{00000000-0005-0000-0000-000084850000}"/>
    <cellStyle name="TotRow - Style4 5 9 2 10" xfId="34999" xr:uid="{00000000-0005-0000-0000-000085850000}"/>
    <cellStyle name="TotRow - Style4 5 9 2 11" xfId="35000" xr:uid="{00000000-0005-0000-0000-000086850000}"/>
    <cellStyle name="TotRow - Style4 5 9 2 12" xfId="35001" xr:uid="{00000000-0005-0000-0000-000087850000}"/>
    <cellStyle name="TotRow - Style4 5 9 2 13" xfId="35002" xr:uid="{00000000-0005-0000-0000-000088850000}"/>
    <cellStyle name="TotRow - Style4 5 9 2 14" xfId="35003" xr:uid="{00000000-0005-0000-0000-000089850000}"/>
    <cellStyle name="TotRow - Style4 5 9 2 15" xfId="35004" xr:uid="{00000000-0005-0000-0000-00008A850000}"/>
    <cellStyle name="TotRow - Style4 5 9 2 16" xfId="35005" xr:uid="{00000000-0005-0000-0000-00008B850000}"/>
    <cellStyle name="TotRow - Style4 5 9 2 2" xfId="35006" xr:uid="{00000000-0005-0000-0000-00008C850000}"/>
    <cellStyle name="TotRow - Style4 5 9 2 3" xfId="35007" xr:uid="{00000000-0005-0000-0000-00008D850000}"/>
    <cellStyle name="TotRow - Style4 5 9 2 4" xfId="35008" xr:uid="{00000000-0005-0000-0000-00008E850000}"/>
    <cellStyle name="TotRow - Style4 5 9 2 5" xfId="35009" xr:uid="{00000000-0005-0000-0000-00008F850000}"/>
    <cellStyle name="TotRow - Style4 5 9 2 6" xfId="35010" xr:uid="{00000000-0005-0000-0000-000090850000}"/>
    <cellStyle name="TotRow - Style4 5 9 2 7" xfId="35011" xr:uid="{00000000-0005-0000-0000-000091850000}"/>
    <cellStyle name="TotRow - Style4 5 9 2 8" xfId="35012" xr:uid="{00000000-0005-0000-0000-000092850000}"/>
    <cellStyle name="TotRow - Style4 5 9 2 9" xfId="35013" xr:uid="{00000000-0005-0000-0000-000093850000}"/>
    <cellStyle name="TotRow - Style4 5 9 3" xfId="35014" xr:uid="{00000000-0005-0000-0000-000094850000}"/>
    <cellStyle name="TotRow - Style4 5 9 4" xfId="35015" xr:uid="{00000000-0005-0000-0000-000095850000}"/>
    <cellStyle name="TotRow - Style4 5 9 5" xfId="35016" xr:uid="{00000000-0005-0000-0000-000096850000}"/>
    <cellStyle name="TotRow - Style4 5 9 6" xfId="35017" xr:uid="{00000000-0005-0000-0000-000097850000}"/>
    <cellStyle name="TotRow - Style4 5 9 7" xfId="35018" xr:uid="{00000000-0005-0000-0000-000098850000}"/>
    <cellStyle name="TotRow - Style4 5 9 8" xfId="35019" xr:uid="{00000000-0005-0000-0000-000099850000}"/>
    <cellStyle name="TotRow - Style4 5 9 9" xfId="35020" xr:uid="{00000000-0005-0000-0000-00009A850000}"/>
    <cellStyle name="TotRow - Style4 6" xfId="35021" xr:uid="{00000000-0005-0000-0000-00009B850000}"/>
    <cellStyle name="TotRow - Style4 6 10" xfId="35022" xr:uid="{00000000-0005-0000-0000-00009C850000}"/>
    <cellStyle name="TotRow - Style4 6 10 10" xfId="35023" xr:uid="{00000000-0005-0000-0000-00009D850000}"/>
    <cellStyle name="TotRow - Style4 6 10 11" xfId="35024" xr:uid="{00000000-0005-0000-0000-00009E850000}"/>
    <cellStyle name="TotRow - Style4 6 10 12" xfId="35025" xr:uid="{00000000-0005-0000-0000-00009F850000}"/>
    <cellStyle name="TotRow - Style4 6 10 13" xfId="35026" xr:uid="{00000000-0005-0000-0000-0000A0850000}"/>
    <cellStyle name="TotRow - Style4 6 10 14" xfId="35027" xr:uid="{00000000-0005-0000-0000-0000A1850000}"/>
    <cellStyle name="TotRow - Style4 6 10 15" xfId="35028" xr:uid="{00000000-0005-0000-0000-0000A2850000}"/>
    <cellStyle name="TotRow - Style4 6 10 16" xfId="35029" xr:uid="{00000000-0005-0000-0000-0000A3850000}"/>
    <cellStyle name="TotRow - Style4 6 10 17" xfId="35030" xr:uid="{00000000-0005-0000-0000-0000A4850000}"/>
    <cellStyle name="TotRow - Style4 6 10 2" xfId="35031" xr:uid="{00000000-0005-0000-0000-0000A5850000}"/>
    <cellStyle name="TotRow - Style4 6 10 2 10" xfId="35032" xr:uid="{00000000-0005-0000-0000-0000A6850000}"/>
    <cellStyle name="TotRow - Style4 6 10 2 11" xfId="35033" xr:uid="{00000000-0005-0000-0000-0000A7850000}"/>
    <cellStyle name="TotRow - Style4 6 10 2 12" xfId="35034" xr:uid="{00000000-0005-0000-0000-0000A8850000}"/>
    <cellStyle name="TotRow - Style4 6 10 2 13" xfId="35035" xr:uid="{00000000-0005-0000-0000-0000A9850000}"/>
    <cellStyle name="TotRow - Style4 6 10 2 14" xfId="35036" xr:uid="{00000000-0005-0000-0000-0000AA850000}"/>
    <cellStyle name="TotRow - Style4 6 10 2 15" xfId="35037" xr:uid="{00000000-0005-0000-0000-0000AB850000}"/>
    <cellStyle name="TotRow - Style4 6 10 2 16" xfId="35038" xr:uid="{00000000-0005-0000-0000-0000AC850000}"/>
    <cellStyle name="TotRow - Style4 6 10 2 2" xfId="35039" xr:uid="{00000000-0005-0000-0000-0000AD850000}"/>
    <cellStyle name="TotRow - Style4 6 10 2 3" xfId="35040" xr:uid="{00000000-0005-0000-0000-0000AE850000}"/>
    <cellStyle name="TotRow - Style4 6 10 2 4" xfId="35041" xr:uid="{00000000-0005-0000-0000-0000AF850000}"/>
    <cellStyle name="TotRow - Style4 6 10 2 5" xfId="35042" xr:uid="{00000000-0005-0000-0000-0000B0850000}"/>
    <cellStyle name="TotRow - Style4 6 10 2 6" xfId="35043" xr:uid="{00000000-0005-0000-0000-0000B1850000}"/>
    <cellStyle name="TotRow - Style4 6 10 2 7" xfId="35044" xr:uid="{00000000-0005-0000-0000-0000B2850000}"/>
    <cellStyle name="TotRow - Style4 6 10 2 8" xfId="35045" xr:uid="{00000000-0005-0000-0000-0000B3850000}"/>
    <cellStyle name="TotRow - Style4 6 10 2 9" xfId="35046" xr:uid="{00000000-0005-0000-0000-0000B4850000}"/>
    <cellStyle name="TotRow - Style4 6 10 3" xfId="35047" xr:uid="{00000000-0005-0000-0000-0000B5850000}"/>
    <cellStyle name="TotRow - Style4 6 10 4" xfId="35048" xr:uid="{00000000-0005-0000-0000-0000B6850000}"/>
    <cellStyle name="TotRow - Style4 6 10 5" xfId="35049" xr:uid="{00000000-0005-0000-0000-0000B7850000}"/>
    <cellStyle name="TotRow - Style4 6 10 6" xfId="35050" xr:uid="{00000000-0005-0000-0000-0000B8850000}"/>
    <cellStyle name="TotRow - Style4 6 10 7" xfId="35051" xr:uid="{00000000-0005-0000-0000-0000B9850000}"/>
    <cellStyle name="TotRow - Style4 6 10 8" xfId="35052" xr:uid="{00000000-0005-0000-0000-0000BA850000}"/>
    <cellStyle name="TotRow - Style4 6 10 9" xfId="35053" xr:uid="{00000000-0005-0000-0000-0000BB850000}"/>
    <cellStyle name="TotRow - Style4 6 11" xfId="35054" xr:uid="{00000000-0005-0000-0000-0000BC850000}"/>
    <cellStyle name="TotRow - Style4 6 11 10" xfId="35055" xr:uid="{00000000-0005-0000-0000-0000BD850000}"/>
    <cellStyle name="TotRow - Style4 6 11 11" xfId="35056" xr:uid="{00000000-0005-0000-0000-0000BE850000}"/>
    <cellStyle name="TotRow - Style4 6 11 12" xfId="35057" xr:uid="{00000000-0005-0000-0000-0000BF850000}"/>
    <cellStyle name="TotRow - Style4 6 11 13" xfId="35058" xr:uid="{00000000-0005-0000-0000-0000C0850000}"/>
    <cellStyle name="TotRow - Style4 6 11 14" xfId="35059" xr:uid="{00000000-0005-0000-0000-0000C1850000}"/>
    <cellStyle name="TotRow - Style4 6 11 15" xfId="35060" xr:uid="{00000000-0005-0000-0000-0000C2850000}"/>
    <cellStyle name="TotRow - Style4 6 11 16" xfId="35061" xr:uid="{00000000-0005-0000-0000-0000C3850000}"/>
    <cellStyle name="TotRow - Style4 6 11 2" xfId="35062" xr:uid="{00000000-0005-0000-0000-0000C4850000}"/>
    <cellStyle name="TotRow - Style4 6 11 3" xfId="35063" xr:uid="{00000000-0005-0000-0000-0000C5850000}"/>
    <cellStyle name="TotRow - Style4 6 11 4" xfId="35064" xr:uid="{00000000-0005-0000-0000-0000C6850000}"/>
    <cellStyle name="TotRow - Style4 6 11 5" xfId="35065" xr:uid="{00000000-0005-0000-0000-0000C7850000}"/>
    <cellStyle name="TotRow - Style4 6 11 6" xfId="35066" xr:uid="{00000000-0005-0000-0000-0000C8850000}"/>
    <cellStyle name="TotRow - Style4 6 11 7" xfId="35067" xr:uid="{00000000-0005-0000-0000-0000C9850000}"/>
    <cellStyle name="TotRow - Style4 6 11 8" xfId="35068" xr:uid="{00000000-0005-0000-0000-0000CA850000}"/>
    <cellStyle name="TotRow - Style4 6 11 9" xfId="35069" xr:uid="{00000000-0005-0000-0000-0000CB850000}"/>
    <cellStyle name="TotRow - Style4 6 12" xfId="35070" xr:uid="{00000000-0005-0000-0000-0000CC850000}"/>
    <cellStyle name="TotRow - Style4 6 13" xfId="35071" xr:uid="{00000000-0005-0000-0000-0000CD850000}"/>
    <cellStyle name="TotRow - Style4 6 14" xfId="35072" xr:uid="{00000000-0005-0000-0000-0000CE850000}"/>
    <cellStyle name="TotRow - Style4 6 15" xfId="35073" xr:uid="{00000000-0005-0000-0000-0000CF850000}"/>
    <cellStyle name="TotRow - Style4 6 16" xfId="35074" xr:uid="{00000000-0005-0000-0000-0000D0850000}"/>
    <cellStyle name="TotRow - Style4 6 17" xfId="35075" xr:uid="{00000000-0005-0000-0000-0000D1850000}"/>
    <cellStyle name="TotRow - Style4 6 18" xfId="35076" xr:uid="{00000000-0005-0000-0000-0000D2850000}"/>
    <cellStyle name="TotRow - Style4 6 19" xfId="35077" xr:uid="{00000000-0005-0000-0000-0000D3850000}"/>
    <cellStyle name="TotRow - Style4 6 2" xfId="35078" xr:uid="{00000000-0005-0000-0000-0000D4850000}"/>
    <cellStyle name="TotRow - Style4 6 2 10" xfId="35079" xr:uid="{00000000-0005-0000-0000-0000D5850000}"/>
    <cellStyle name="TotRow - Style4 6 2 11" xfId="35080" xr:uid="{00000000-0005-0000-0000-0000D6850000}"/>
    <cellStyle name="TotRow - Style4 6 2 12" xfId="35081" xr:uid="{00000000-0005-0000-0000-0000D7850000}"/>
    <cellStyle name="TotRow - Style4 6 2 13" xfId="35082" xr:uid="{00000000-0005-0000-0000-0000D8850000}"/>
    <cellStyle name="TotRow - Style4 6 2 14" xfId="35083" xr:uid="{00000000-0005-0000-0000-0000D9850000}"/>
    <cellStyle name="TotRow - Style4 6 2 15" xfId="35084" xr:uid="{00000000-0005-0000-0000-0000DA850000}"/>
    <cellStyle name="TotRow - Style4 6 2 16" xfId="35085" xr:uid="{00000000-0005-0000-0000-0000DB850000}"/>
    <cellStyle name="TotRow - Style4 6 2 17" xfId="35086" xr:uid="{00000000-0005-0000-0000-0000DC850000}"/>
    <cellStyle name="TotRow - Style4 6 2 2" xfId="35087" xr:uid="{00000000-0005-0000-0000-0000DD850000}"/>
    <cellStyle name="TotRow - Style4 6 2 2 10" xfId="35088" xr:uid="{00000000-0005-0000-0000-0000DE850000}"/>
    <cellStyle name="TotRow - Style4 6 2 2 11" xfId="35089" xr:uid="{00000000-0005-0000-0000-0000DF850000}"/>
    <cellStyle name="TotRow - Style4 6 2 2 12" xfId="35090" xr:uid="{00000000-0005-0000-0000-0000E0850000}"/>
    <cellStyle name="TotRow - Style4 6 2 2 13" xfId="35091" xr:uid="{00000000-0005-0000-0000-0000E1850000}"/>
    <cellStyle name="TotRow - Style4 6 2 2 14" xfId="35092" xr:uid="{00000000-0005-0000-0000-0000E2850000}"/>
    <cellStyle name="TotRow - Style4 6 2 2 15" xfId="35093" xr:uid="{00000000-0005-0000-0000-0000E3850000}"/>
    <cellStyle name="TotRow - Style4 6 2 2 16" xfId="35094" xr:uid="{00000000-0005-0000-0000-0000E4850000}"/>
    <cellStyle name="TotRow - Style4 6 2 2 2" xfId="35095" xr:uid="{00000000-0005-0000-0000-0000E5850000}"/>
    <cellStyle name="TotRow - Style4 6 2 2 3" xfId="35096" xr:uid="{00000000-0005-0000-0000-0000E6850000}"/>
    <cellStyle name="TotRow - Style4 6 2 2 4" xfId="35097" xr:uid="{00000000-0005-0000-0000-0000E7850000}"/>
    <cellStyle name="TotRow - Style4 6 2 2 5" xfId="35098" xr:uid="{00000000-0005-0000-0000-0000E8850000}"/>
    <cellStyle name="TotRow - Style4 6 2 2 6" xfId="35099" xr:uid="{00000000-0005-0000-0000-0000E9850000}"/>
    <cellStyle name="TotRow - Style4 6 2 2 7" xfId="35100" xr:uid="{00000000-0005-0000-0000-0000EA850000}"/>
    <cellStyle name="TotRow - Style4 6 2 2 8" xfId="35101" xr:uid="{00000000-0005-0000-0000-0000EB850000}"/>
    <cellStyle name="TotRow - Style4 6 2 2 9" xfId="35102" xr:uid="{00000000-0005-0000-0000-0000EC850000}"/>
    <cellStyle name="TotRow - Style4 6 2 3" xfId="35103" xr:uid="{00000000-0005-0000-0000-0000ED850000}"/>
    <cellStyle name="TotRow - Style4 6 2 4" xfId="35104" xr:uid="{00000000-0005-0000-0000-0000EE850000}"/>
    <cellStyle name="TotRow - Style4 6 2 5" xfId="35105" xr:uid="{00000000-0005-0000-0000-0000EF850000}"/>
    <cellStyle name="TotRow - Style4 6 2 6" xfId="35106" xr:uid="{00000000-0005-0000-0000-0000F0850000}"/>
    <cellStyle name="TotRow - Style4 6 2 7" xfId="35107" xr:uid="{00000000-0005-0000-0000-0000F1850000}"/>
    <cellStyle name="TotRow - Style4 6 2 8" xfId="35108" xr:uid="{00000000-0005-0000-0000-0000F2850000}"/>
    <cellStyle name="TotRow - Style4 6 2 9" xfId="35109" xr:uid="{00000000-0005-0000-0000-0000F3850000}"/>
    <cellStyle name="TotRow - Style4 6 20" xfId="35110" xr:uid="{00000000-0005-0000-0000-0000F4850000}"/>
    <cellStyle name="TotRow - Style4 6 21" xfId="35111" xr:uid="{00000000-0005-0000-0000-0000F5850000}"/>
    <cellStyle name="TotRow - Style4 6 22" xfId="35112" xr:uid="{00000000-0005-0000-0000-0000F6850000}"/>
    <cellStyle name="TotRow - Style4 6 23" xfId="35113" xr:uid="{00000000-0005-0000-0000-0000F7850000}"/>
    <cellStyle name="TotRow - Style4 6 24" xfId="35114" xr:uid="{00000000-0005-0000-0000-0000F8850000}"/>
    <cellStyle name="TotRow - Style4 6 25" xfId="35115" xr:uid="{00000000-0005-0000-0000-0000F9850000}"/>
    <cellStyle name="TotRow - Style4 6 26" xfId="35116" xr:uid="{00000000-0005-0000-0000-0000FA850000}"/>
    <cellStyle name="TotRow - Style4 6 3" xfId="35117" xr:uid="{00000000-0005-0000-0000-0000FB850000}"/>
    <cellStyle name="TotRow - Style4 6 3 10" xfId="35118" xr:uid="{00000000-0005-0000-0000-0000FC850000}"/>
    <cellStyle name="TotRow - Style4 6 3 11" xfId="35119" xr:uid="{00000000-0005-0000-0000-0000FD850000}"/>
    <cellStyle name="TotRow - Style4 6 3 12" xfId="35120" xr:uid="{00000000-0005-0000-0000-0000FE850000}"/>
    <cellStyle name="TotRow - Style4 6 3 13" xfId="35121" xr:uid="{00000000-0005-0000-0000-0000FF850000}"/>
    <cellStyle name="TotRow - Style4 6 3 14" xfId="35122" xr:uid="{00000000-0005-0000-0000-000000860000}"/>
    <cellStyle name="TotRow - Style4 6 3 15" xfId="35123" xr:uid="{00000000-0005-0000-0000-000001860000}"/>
    <cellStyle name="TotRow - Style4 6 3 16" xfId="35124" xr:uid="{00000000-0005-0000-0000-000002860000}"/>
    <cellStyle name="TotRow - Style4 6 3 17" xfId="35125" xr:uid="{00000000-0005-0000-0000-000003860000}"/>
    <cellStyle name="TotRow - Style4 6 3 2" xfId="35126" xr:uid="{00000000-0005-0000-0000-000004860000}"/>
    <cellStyle name="TotRow - Style4 6 3 2 10" xfId="35127" xr:uid="{00000000-0005-0000-0000-000005860000}"/>
    <cellStyle name="TotRow - Style4 6 3 2 11" xfId="35128" xr:uid="{00000000-0005-0000-0000-000006860000}"/>
    <cellStyle name="TotRow - Style4 6 3 2 12" xfId="35129" xr:uid="{00000000-0005-0000-0000-000007860000}"/>
    <cellStyle name="TotRow - Style4 6 3 2 13" xfId="35130" xr:uid="{00000000-0005-0000-0000-000008860000}"/>
    <cellStyle name="TotRow - Style4 6 3 2 14" xfId="35131" xr:uid="{00000000-0005-0000-0000-000009860000}"/>
    <cellStyle name="TotRow - Style4 6 3 2 15" xfId="35132" xr:uid="{00000000-0005-0000-0000-00000A860000}"/>
    <cellStyle name="TotRow - Style4 6 3 2 16" xfId="35133" xr:uid="{00000000-0005-0000-0000-00000B860000}"/>
    <cellStyle name="TotRow - Style4 6 3 2 2" xfId="35134" xr:uid="{00000000-0005-0000-0000-00000C860000}"/>
    <cellStyle name="TotRow - Style4 6 3 2 3" xfId="35135" xr:uid="{00000000-0005-0000-0000-00000D860000}"/>
    <cellStyle name="TotRow - Style4 6 3 2 4" xfId="35136" xr:uid="{00000000-0005-0000-0000-00000E860000}"/>
    <cellStyle name="TotRow - Style4 6 3 2 5" xfId="35137" xr:uid="{00000000-0005-0000-0000-00000F860000}"/>
    <cellStyle name="TotRow - Style4 6 3 2 6" xfId="35138" xr:uid="{00000000-0005-0000-0000-000010860000}"/>
    <cellStyle name="TotRow - Style4 6 3 2 7" xfId="35139" xr:uid="{00000000-0005-0000-0000-000011860000}"/>
    <cellStyle name="TotRow - Style4 6 3 2 8" xfId="35140" xr:uid="{00000000-0005-0000-0000-000012860000}"/>
    <cellStyle name="TotRow - Style4 6 3 2 9" xfId="35141" xr:uid="{00000000-0005-0000-0000-000013860000}"/>
    <cellStyle name="TotRow - Style4 6 3 3" xfId="35142" xr:uid="{00000000-0005-0000-0000-000014860000}"/>
    <cellStyle name="TotRow - Style4 6 3 4" xfId="35143" xr:uid="{00000000-0005-0000-0000-000015860000}"/>
    <cellStyle name="TotRow - Style4 6 3 5" xfId="35144" xr:uid="{00000000-0005-0000-0000-000016860000}"/>
    <cellStyle name="TotRow - Style4 6 3 6" xfId="35145" xr:uid="{00000000-0005-0000-0000-000017860000}"/>
    <cellStyle name="TotRow - Style4 6 3 7" xfId="35146" xr:uid="{00000000-0005-0000-0000-000018860000}"/>
    <cellStyle name="TotRow - Style4 6 3 8" xfId="35147" xr:uid="{00000000-0005-0000-0000-000019860000}"/>
    <cellStyle name="TotRow - Style4 6 3 9" xfId="35148" xr:uid="{00000000-0005-0000-0000-00001A860000}"/>
    <cellStyle name="TotRow - Style4 6 4" xfId="35149" xr:uid="{00000000-0005-0000-0000-00001B860000}"/>
    <cellStyle name="TotRow - Style4 6 4 10" xfId="35150" xr:uid="{00000000-0005-0000-0000-00001C860000}"/>
    <cellStyle name="TotRow - Style4 6 4 11" xfId="35151" xr:uid="{00000000-0005-0000-0000-00001D860000}"/>
    <cellStyle name="TotRow - Style4 6 4 12" xfId="35152" xr:uid="{00000000-0005-0000-0000-00001E860000}"/>
    <cellStyle name="TotRow - Style4 6 4 13" xfId="35153" xr:uid="{00000000-0005-0000-0000-00001F860000}"/>
    <cellStyle name="TotRow - Style4 6 4 14" xfId="35154" xr:uid="{00000000-0005-0000-0000-000020860000}"/>
    <cellStyle name="TotRow - Style4 6 4 15" xfId="35155" xr:uid="{00000000-0005-0000-0000-000021860000}"/>
    <cellStyle name="TotRow - Style4 6 4 16" xfId="35156" xr:uid="{00000000-0005-0000-0000-000022860000}"/>
    <cellStyle name="TotRow - Style4 6 4 17" xfId="35157" xr:uid="{00000000-0005-0000-0000-000023860000}"/>
    <cellStyle name="TotRow - Style4 6 4 2" xfId="35158" xr:uid="{00000000-0005-0000-0000-000024860000}"/>
    <cellStyle name="TotRow - Style4 6 4 2 10" xfId="35159" xr:uid="{00000000-0005-0000-0000-000025860000}"/>
    <cellStyle name="TotRow - Style4 6 4 2 11" xfId="35160" xr:uid="{00000000-0005-0000-0000-000026860000}"/>
    <cellStyle name="TotRow - Style4 6 4 2 12" xfId="35161" xr:uid="{00000000-0005-0000-0000-000027860000}"/>
    <cellStyle name="TotRow - Style4 6 4 2 13" xfId="35162" xr:uid="{00000000-0005-0000-0000-000028860000}"/>
    <cellStyle name="TotRow - Style4 6 4 2 14" xfId="35163" xr:uid="{00000000-0005-0000-0000-000029860000}"/>
    <cellStyle name="TotRow - Style4 6 4 2 15" xfId="35164" xr:uid="{00000000-0005-0000-0000-00002A860000}"/>
    <cellStyle name="TotRow - Style4 6 4 2 16" xfId="35165" xr:uid="{00000000-0005-0000-0000-00002B860000}"/>
    <cellStyle name="TotRow - Style4 6 4 2 2" xfId="35166" xr:uid="{00000000-0005-0000-0000-00002C860000}"/>
    <cellStyle name="TotRow - Style4 6 4 2 3" xfId="35167" xr:uid="{00000000-0005-0000-0000-00002D860000}"/>
    <cellStyle name="TotRow - Style4 6 4 2 4" xfId="35168" xr:uid="{00000000-0005-0000-0000-00002E860000}"/>
    <cellStyle name="TotRow - Style4 6 4 2 5" xfId="35169" xr:uid="{00000000-0005-0000-0000-00002F860000}"/>
    <cellStyle name="TotRow - Style4 6 4 2 6" xfId="35170" xr:uid="{00000000-0005-0000-0000-000030860000}"/>
    <cellStyle name="TotRow - Style4 6 4 2 7" xfId="35171" xr:uid="{00000000-0005-0000-0000-000031860000}"/>
    <cellStyle name="TotRow - Style4 6 4 2 8" xfId="35172" xr:uid="{00000000-0005-0000-0000-000032860000}"/>
    <cellStyle name="TotRow - Style4 6 4 2 9" xfId="35173" xr:uid="{00000000-0005-0000-0000-000033860000}"/>
    <cellStyle name="TotRow - Style4 6 4 3" xfId="35174" xr:uid="{00000000-0005-0000-0000-000034860000}"/>
    <cellStyle name="TotRow - Style4 6 4 4" xfId="35175" xr:uid="{00000000-0005-0000-0000-000035860000}"/>
    <cellStyle name="TotRow - Style4 6 4 5" xfId="35176" xr:uid="{00000000-0005-0000-0000-000036860000}"/>
    <cellStyle name="TotRow - Style4 6 4 6" xfId="35177" xr:uid="{00000000-0005-0000-0000-000037860000}"/>
    <cellStyle name="TotRow - Style4 6 4 7" xfId="35178" xr:uid="{00000000-0005-0000-0000-000038860000}"/>
    <cellStyle name="TotRow - Style4 6 4 8" xfId="35179" xr:uid="{00000000-0005-0000-0000-000039860000}"/>
    <cellStyle name="TotRow - Style4 6 4 9" xfId="35180" xr:uid="{00000000-0005-0000-0000-00003A860000}"/>
    <cellStyle name="TotRow - Style4 6 5" xfId="35181" xr:uid="{00000000-0005-0000-0000-00003B860000}"/>
    <cellStyle name="TotRow - Style4 6 5 10" xfId="35182" xr:uid="{00000000-0005-0000-0000-00003C860000}"/>
    <cellStyle name="TotRow - Style4 6 5 11" xfId="35183" xr:uid="{00000000-0005-0000-0000-00003D860000}"/>
    <cellStyle name="TotRow - Style4 6 5 12" xfId="35184" xr:uid="{00000000-0005-0000-0000-00003E860000}"/>
    <cellStyle name="TotRow - Style4 6 5 13" xfId="35185" xr:uid="{00000000-0005-0000-0000-00003F860000}"/>
    <cellStyle name="TotRow - Style4 6 5 14" xfId="35186" xr:uid="{00000000-0005-0000-0000-000040860000}"/>
    <cellStyle name="TotRow - Style4 6 5 15" xfId="35187" xr:uid="{00000000-0005-0000-0000-000041860000}"/>
    <cellStyle name="TotRow - Style4 6 5 16" xfId="35188" xr:uid="{00000000-0005-0000-0000-000042860000}"/>
    <cellStyle name="TotRow - Style4 6 5 17" xfId="35189" xr:uid="{00000000-0005-0000-0000-000043860000}"/>
    <cellStyle name="TotRow - Style4 6 5 2" xfId="35190" xr:uid="{00000000-0005-0000-0000-000044860000}"/>
    <cellStyle name="TotRow - Style4 6 5 2 10" xfId="35191" xr:uid="{00000000-0005-0000-0000-000045860000}"/>
    <cellStyle name="TotRow - Style4 6 5 2 11" xfId="35192" xr:uid="{00000000-0005-0000-0000-000046860000}"/>
    <cellStyle name="TotRow - Style4 6 5 2 12" xfId="35193" xr:uid="{00000000-0005-0000-0000-000047860000}"/>
    <cellStyle name="TotRow - Style4 6 5 2 13" xfId="35194" xr:uid="{00000000-0005-0000-0000-000048860000}"/>
    <cellStyle name="TotRow - Style4 6 5 2 14" xfId="35195" xr:uid="{00000000-0005-0000-0000-000049860000}"/>
    <cellStyle name="TotRow - Style4 6 5 2 15" xfId="35196" xr:uid="{00000000-0005-0000-0000-00004A860000}"/>
    <cellStyle name="TotRow - Style4 6 5 2 16" xfId="35197" xr:uid="{00000000-0005-0000-0000-00004B860000}"/>
    <cellStyle name="TotRow - Style4 6 5 2 2" xfId="35198" xr:uid="{00000000-0005-0000-0000-00004C860000}"/>
    <cellStyle name="TotRow - Style4 6 5 2 3" xfId="35199" xr:uid="{00000000-0005-0000-0000-00004D860000}"/>
    <cellStyle name="TotRow - Style4 6 5 2 4" xfId="35200" xr:uid="{00000000-0005-0000-0000-00004E860000}"/>
    <cellStyle name="TotRow - Style4 6 5 2 5" xfId="35201" xr:uid="{00000000-0005-0000-0000-00004F860000}"/>
    <cellStyle name="TotRow - Style4 6 5 2 6" xfId="35202" xr:uid="{00000000-0005-0000-0000-000050860000}"/>
    <cellStyle name="TotRow - Style4 6 5 2 7" xfId="35203" xr:uid="{00000000-0005-0000-0000-000051860000}"/>
    <cellStyle name="TotRow - Style4 6 5 2 8" xfId="35204" xr:uid="{00000000-0005-0000-0000-000052860000}"/>
    <cellStyle name="TotRow - Style4 6 5 2 9" xfId="35205" xr:uid="{00000000-0005-0000-0000-000053860000}"/>
    <cellStyle name="TotRow - Style4 6 5 3" xfId="35206" xr:uid="{00000000-0005-0000-0000-000054860000}"/>
    <cellStyle name="TotRow - Style4 6 5 4" xfId="35207" xr:uid="{00000000-0005-0000-0000-000055860000}"/>
    <cellStyle name="TotRow - Style4 6 5 5" xfId="35208" xr:uid="{00000000-0005-0000-0000-000056860000}"/>
    <cellStyle name="TotRow - Style4 6 5 6" xfId="35209" xr:uid="{00000000-0005-0000-0000-000057860000}"/>
    <cellStyle name="TotRow - Style4 6 5 7" xfId="35210" xr:uid="{00000000-0005-0000-0000-000058860000}"/>
    <cellStyle name="TotRow - Style4 6 5 8" xfId="35211" xr:uid="{00000000-0005-0000-0000-000059860000}"/>
    <cellStyle name="TotRow - Style4 6 5 9" xfId="35212" xr:uid="{00000000-0005-0000-0000-00005A860000}"/>
    <cellStyle name="TotRow - Style4 6 6" xfId="35213" xr:uid="{00000000-0005-0000-0000-00005B860000}"/>
    <cellStyle name="TotRow - Style4 6 6 10" xfId="35214" xr:uid="{00000000-0005-0000-0000-00005C860000}"/>
    <cellStyle name="TotRow - Style4 6 6 11" xfId="35215" xr:uid="{00000000-0005-0000-0000-00005D860000}"/>
    <cellStyle name="TotRow - Style4 6 6 12" xfId="35216" xr:uid="{00000000-0005-0000-0000-00005E860000}"/>
    <cellStyle name="TotRow - Style4 6 6 13" xfId="35217" xr:uid="{00000000-0005-0000-0000-00005F860000}"/>
    <cellStyle name="TotRow - Style4 6 6 14" xfId="35218" xr:uid="{00000000-0005-0000-0000-000060860000}"/>
    <cellStyle name="TotRow - Style4 6 6 15" xfId="35219" xr:uid="{00000000-0005-0000-0000-000061860000}"/>
    <cellStyle name="TotRow - Style4 6 6 16" xfId="35220" xr:uid="{00000000-0005-0000-0000-000062860000}"/>
    <cellStyle name="TotRow - Style4 6 6 17" xfId="35221" xr:uid="{00000000-0005-0000-0000-000063860000}"/>
    <cellStyle name="TotRow - Style4 6 6 2" xfId="35222" xr:uid="{00000000-0005-0000-0000-000064860000}"/>
    <cellStyle name="TotRow - Style4 6 6 2 10" xfId="35223" xr:uid="{00000000-0005-0000-0000-000065860000}"/>
    <cellStyle name="TotRow - Style4 6 6 2 11" xfId="35224" xr:uid="{00000000-0005-0000-0000-000066860000}"/>
    <cellStyle name="TotRow - Style4 6 6 2 12" xfId="35225" xr:uid="{00000000-0005-0000-0000-000067860000}"/>
    <cellStyle name="TotRow - Style4 6 6 2 13" xfId="35226" xr:uid="{00000000-0005-0000-0000-000068860000}"/>
    <cellStyle name="TotRow - Style4 6 6 2 14" xfId="35227" xr:uid="{00000000-0005-0000-0000-000069860000}"/>
    <cellStyle name="TotRow - Style4 6 6 2 15" xfId="35228" xr:uid="{00000000-0005-0000-0000-00006A860000}"/>
    <cellStyle name="TotRow - Style4 6 6 2 16" xfId="35229" xr:uid="{00000000-0005-0000-0000-00006B860000}"/>
    <cellStyle name="TotRow - Style4 6 6 2 2" xfId="35230" xr:uid="{00000000-0005-0000-0000-00006C860000}"/>
    <cellStyle name="TotRow - Style4 6 6 2 3" xfId="35231" xr:uid="{00000000-0005-0000-0000-00006D860000}"/>
    <cellStyle name="TotRow - Style4 6 6 2 4" xfId="35232" xr:uid="{00000000-0005-0000-0000-00006E860000}"/>
    <cellStyle name="TotRow - Style4 6 6 2 5" xfId="35233" xr:uid="{00000000-0005-0000-0000-00006F860000}"/>
    <cellStyle name="TotRow - Style4 6 6 2 6" xfId="35234" xr:uid="{00000000-0005-0000-0000-000070860000}"/>
    <cellStyle name="TotRow - Style4 6 6 2 7" xfId="35235" xr:uid="{00000000-0005-0000-0000-000071860000}"/>
    <cellStyle name="TotRow - Style4 6 6 2 8" xfId="35236" xr:uid="{00000000-0005-0000-0000-000072860000}"/>
    <cellStyle name="TotRow - Style4 6 6 2 9" xfId="35237" xr:uid="{00000000-0005-0000-0000-000073860000}"/>
    <cellStyle name="TotRow - Style4 6 6 3" xfId="35238" xr:uid="{00000000-0005-0000-0000-000074860000}"/>
    <cellStyle name="TotRow - Style4 6 6 4" xfId="35239" xr:uid="{00000000-0005-0000-0000-000075860000}"/>
    <cellStyle name="TotRow - Style4 6 6 5" xfId="35240" xr:uid="{00000000-0005-0000-0000-000076860000}"/>
    <cellStyle name="TotRow - Style4 6 6 6" xfId="35241" xr:uid="{00000000-0005-0000-0000-000077860000}"/>
    <cellStyle name="TotRow - Style4 6 6 7" xfId="35242" xr:uid="{00000000-0005-0000-0000-000078860000}"/>
    <cellStyle name="TotRow - Style4 6 6 8" xfId="35243" xr:uid="{00000000-0005-0000-0000-000079860000}"/>
    <cellStyle name="TotRow - Style4 6 6 9" xfId="35244" xr:uid="{00000000-0005-0000-0000-00007A860000}"/>
    <cellStyle name="TotRow - Style4 6 7" xfId="35245" xr:uid="{00000000-0005-0000-0000-00007B860000}"/>
    <cellStyle name="TotRow - Style4 6 7 10" xfId="35246" xr:uid="{00000000-0005-0000-0000-00007C860000}"/>
    <cellStyle name="TotRow - Style4 6 7 11" xfId="35247" xr:uid="{00000000-0005-0000-0000-00007D860000}"/>
    <cellStyle name="TotRow - Style4 6 7 12" xfId="35248" xr:uid="{00000000-0005-0000-0000-00007E860000}"/>
    <cellStyle name="TotRow - Style4 6 7 13" xfId="35249" xr:uid="{00000000-0005-0000-0000-00007F860000}"/>
    <cellStyle name="TotRow - Style4 6 7 14" xfId="35250" xr:uid="{00000000-0005-0000-0000-000080860000}"/>
    <cellStyle name="TotRow - Style4 6 7 15" xfId="35251" xr:uid="{00000000-0005-0000-0000-000081860000}"/>
    <cellStyle name="TotRow - Style4 6 7 16" xfId="35252" xr:uid="{00000000-0005-0000-0000-000082860000}"/>
    <cellStyle name="TotRow - Style4 6 7 17" xfId="35253" xr:uid="{00000000-0005-0000-0000-000083860000}"/>
    <cellStyle name="TotRow - Style4 6 7 2" xfId="35254" xr:uid="{00000000-0005-0000-0000-000084860000}"/>
    <cellStyle name="TotRow - Style4 6 7 2 10" xfId="35255" xr:uid="{00000000-0005-0000-0000-000085860000}"/>
    <cellStyle name="TotRow - Style4 6 7 2 11" xfId="35256" xr:uid="{00000000-0005-0000-0000-000086860000}"/>
    <cellStyle name="TotRow - Style4 6 7 2 12" xfId="35257" xr:uid="{00000000-0005-0000-0000-000087860000}"/>
    <cellStyle name="TotRow - Style4 6 7 2 13" xfId="35258" xr:uid="{00000000-0005-0000-0000-000088860000}"/>
    <cellStyle name="TotRow - Style4 6 7 2 14" xfId="35259" xr:uid="{00000000-0005-0000-0000-000089860000}"/>
    <cellStyle name="TotRow - Style4 6 7 2 15" xfId="35260" xr:uid="{00000000-0005-0000-0000-00008A860000}"/>
    <cellStyle name="TotRow - Style4 6 7 2 16" xfId="35261" xr:uid="{00000000-0005-0000-0000-00008B860000}"/>
    <cellStyle name="TotRow - Style4 6 7 2 2" xfId="35262" xr:uid="{00000000-0005-0000-0000-00008C860000}"/>
    <cellStyle name="TotRow - Style4 6 7 2 3" xfId="35263" xr:uid="{00000000-0005-0000-0000-00008D860000}"/>
    <cellStyle name="TotRow - Style4 6 7 2 4" xfId="35264" xr:uid="{00000000-0005-0000-0000-00008E860000}"/>
    <cellStyle name="TotRow - Style4 6 7 2 5" xfId="35265" xr:uid="{00000000-0005-0000-0000-00008F860000}"/>
    <cellStyle name="TotRow - Style4 6 7 2 6" xfId="35266" xr:uid="{00000000-0005-0000-0000-000090860000}"/>
    <cellStyle name="TotRow - Style4 6 7 2 7" xfId="35267" xr:uid="{00000000-0005-0000-0000-000091860000}"/>
    <cellStyle name="TotRow - Style4 6 7 2 8" xfId="35268" xr:uid="{00000000-0005-0000-0000-000092860000}"/>
    <cellStyle name="TotRow - Style4 6 7 2 9" xfId="35269" xr:uid="{00000000-0005-0000-0000-000093860000}"/>
    <cellStyle name="TotRow - Style4 6 7 3" xfId="35270" xr:uid="{00000000-0005-0000-0000-000094860000}"/>
    <cellStyle name="TotRow - Style4 6 7 4" xfId="35271" xr:uid="{00000000-0005-0000-0000-000095860000}"/>
    <cellStyle name="TotRow - Style4 6 7 5" xfId="35272" xr:uid="{00000000-0005-0000-0000-000096860000}"/>
    <cellStyle name="TotRow - Style4 6 7 6" xfId="35273" xr:uid="{00000000-0005-0000-0000-000097860000}"/>
    <cellStyle name="TotRow - Style4 6 7 7" xfId="35274" xr:uid="{00000000-0005-0000-0000-000098860000}"/>
    <cellStyle name="TotRow - Style4 6 7 8" xfId="35275" xr:uid="{00000000-0005-0000-0000-000099860000}"/>
    <cellStyle name="TotRow - Style4 6 7 9" xfId="35276" xr:uid="{00000000-0005-0000-0000-00009A860000}"/>
    <cellStyle name="TotRow - Style4 6 8" xfId="35277" xr:uid="{00000000-0005-0000-0000-00009B860000}"/>
    <cellStyle name="TotRow - Style4 6 8 10" xfId="35278" xr:uid="{00000000-0005-0000-0000-00009C860000}"/>
    <cellStyle name="TotRow - Style4 6 8 11" xfId="35279" xr:uid="{00000000-0005-0000-0000-00009D860000}"/>
    <cellStyle name="TotRow - Style4 6 8 12" xfId="35280" xr:uid="{00000000-0005-0000-0000-00009E860000}"/>
    <cellStyle name="TotRow - Style4 6 8 13" xfId="35281" xr:uid="{00000000-0005-0000-0000-00009F860000}"/>
    <cellStyle name="TotRow - Style4 6 8 14" xfId="35282" xr:uid="{00000000-0005-0000-0000-0000A0860000}"/>
    <cellStyle name="TotRow - Style4 6 8 15" xfId="35283" xr:uid="{00000000-0005-0000-0000-0000A1860000}"/>
    <cellStyle name="TotRow - Style4 6 8 16" xfId="35284" xr:uid="{00000000-0005-0000-0000-0000A2860000}"/>
    <cellStyle name="TotRow - Style4 6 8 17" xfId="35285" xr:uid="{00000000-0005-0000-0000-0000A3860000}"/>
    <cellStyle name="TotRow - Style4 6 8 2" xfId="35286" xr:uid="{00000000-0005-0000-0000-0000A4860000}"/>
    <cellStyle name="TotRow - Style4 6 8 2 10" xfId="35287" xr:uid="{00000000-0005-0000-0000-0000A5860000}"/>
    <cellStyle name="TotRow - Style4 6 8 2 11" xfId="35288" xr:uid="{00000000-0005-0000-0000-0000A6860000}"/>
    <cellStyle name="TotRow - Style4 6 8 2 12" xfId="35289" xr:uid="{00000000-0005-0000-0000-0000A7860000}"/>
    <cellStyle name="TotRow - Style4 6 8 2 13" xfId="35290" xr:uid="{00000000-0005-0000-0000-0000A8860000}"/>
    <cellStyle name="TotRow - Style4 6 8 2 14" xfId="35291" xr:uid="{00000000-0005-0000-0000-0000A9860000}"/>
    <cellStyle name="TotRow - Style4 6 8 2 15" xfId="35292" xr:uid="{00000000-0005-0000-0000-0000AA860000}"/>
    <cellStyle name="TotRow - Style4 6 8 2 16" xfId="35293" xr:uid="{00000000-0005-0000-0000-0000AB860000}"/>
    <cellStyle name="TotRow - Style4 6 8 2 2" xfId="35294" xr:uid="{00000000-0005-0000-0000-0000AC860000}"/>
    <cellStyle name="TotRow - Style4 6 8 2 3" xfId="35295" xr:uid="{00000000-0005-0000-0000-0000AD860000}"/>
    <cellStyle name="TotRow - Style4 6 8 2 4" xfId="35296" xr:uid="{00000000-0005-0000-0000-0000AE860000}"/>
    <cellStyle name="TotRow - Style4 6 8 2 5" xfId="35297" xr:uid="{00000000-0005-0000-0000-0000AF860000}"/>
    <cellStyle name="TotRow - Style4 6 8 2 6" xfId="35298" xr:uid="{00000000-0005-0000-0000-0000B0860000}"/>
    <cellStyle name="TotRow - Style4 6 8 2 7" xfId="35299" xr:uid="{00000000-0005-0000-0000-0000B1860000}"/>
    <cellStyle name="TotRow - Style4 6 8 2 8" xfId="35300" xr:uid="{00000000-0005-0000-0000-0000B2860000}"/>
    <cellStyle name="TotRow - Style4 6 8 2 9" xfId="35301" xr:uid="{00000000-0005-0000-0000-0000B3860000}"/>
    <cellStyle name="TotRow - Style4 6 8 3" xfId="35302" xr:uid="{00000000-0005-0000-0000-0000B4860000}"/>
    <cellStyle name="TotRow - Style4 6 8 4" xfId="35303" xr:uid="{00000000-0005-0000-0000-0000B5860000}"/>
    <cellStyle name="TotRow - Style4 6 8 5" xfId="35304" xr:uid="{00000000-0005-0000-0000-0000B6860000}"/>
    <cellStyle name="TotRow - Style4 6 8 6" xfId="35305" xr:uid="{00000000-0005-0000-0000-0000B7860000}"/>
    <cellStyle name="TotRow - Style4 6 8 7" xfId="35306" xr:uid="{00000000-0005-0000-0000-0000B8860000}"/>
    <cellStyle name="TotRow - Style4 6 8 8" xfId="35307" xr:uid="{00000000-0005-0000-0000-0000B9860000}"/>
    <cellStyle name="TotRow - Style4 6 8 9" xfId="35308" xr:uid="{00000000-0005-0000-0000-0000BA860000}"/>
    <cellStyle name="TotRow - Style4 6 9" xfId="35309" xr:uid="{00000000-0005-0000-0000-0000BB860000}"/>
    <cellStyle name="TotRow - Style4 6 9 10" xfId="35310" xr:uid="{00000000-0005-0000-0000-0000BC860000}"/>
    <cellStyle name="TotRow - Style4 6 9 11" xfId="35311" xr:uid="{00000000-0005-0000-0000-0000BD860000}"/>
    <cellStyle name="TotRow - Style4 6 9 12" xfId="35312" xr:uid="{00000000-0005-0000-0000-0000BE860000}"/>
    <cellStyle name="TotRow - Style4 6 9 13" xfId="35313" xr:uid="{00000000-0005-0000-0000-0000BF860000}"/>
    <cellStyle name="TotRow - Style4 6 9 14" xfId="35314" xr:uid="{00000000-0005-0000-0000-0000C0860000}"/>
    <cellStyle name="TotRow - Style4 6 9 15" xfId="35315" xr:uid="{00000000-0005-0000-0000-0000C1860000}"/>
    <cellStyle name="TotRow - Style4 6 9 16" xfId="35316" xr:uid="{00000000-0005-0000-0000-0000C2860000}"/>
    <cellStyle name="TotRow - Style4 6 9 17" xfId="35317" xr:uid="{00000000-0005-0000-0000-0000C3860000}"/>
    <cellStyle name="TotRow - Style4 6 9 2" xfId="35318" xr:uid="{00000000-0005-0000-0000-0000C4860000}"/>
    <cellStyle name="TotRow - Style4 6 9 2 10" xfId="35319" xr:uid="{00000000-0005-0000-0000-0000C5860000}"/>
    <cellStyle name="TotRow - Style4 6 9 2 11" xfId="35320" xr:uid="{00000000-0005-0000-0000-0000C6860000}"/>
    <cellStyle name="TotRow - Style4 6 9 2 12" xfId="35321" xr:uid="{00000000-0005-0000-0000-0000C7860000}"/>
    <cellStyle name="TotRow - Style4 6 9 2 13" xfId="35322" xr:uid="{00000000-0005-0000-0000-0000C8860000}"/>
    <cellStyle name="TotRow - Style4 6 9 2 14" xfId="35323" xr:uid="{00000000-0005-0000-0000-0000C9860000}"/>
    <cellStyle name="TotRow - Style4 6 9 2 15" xfId="35324" xr:uid="{00000000-0005-0000-0000-0000CA860000}"/>
    <cellStyle name="TotRow - Style4 6 9 2 16" xfId="35325" xr:uid="{00000000-0005-0000-0000-0000CB860000}"/>
    <cellStyle name="TotRow - Style4 6 9 2 2" xfId="35326" xr:uid="{00000000-0005-0000-0000-0000CC860000}"/>
    <cellStyle name="TotRow - Style4 6 9 2 3" xfId="35327" xr:uid="{00000000-0005-0000-0000-0000CD860000}"/>
    <cellStyle name="TotRow - Style4 6 9 2 4" xfId="35328" xr:uid="{00000000-0005-0000-0000-0000CE860000}"/>
    <cellStyle name="TotRow - Style4 6 9 2 5" xfId="35329" xr:uid="{00000000-0005-0000-0000-0000CF860000}"/>
    <cellStyle name="TotRow - Style4 6 9 2 6" xfId="35330" xr:uid="{00000000-0005-0000-0000-0000D0860000}"/>
    <cellStyle name="TotRow - Style4 6 9 2 7" xfId="35331" xr:uid="{00000000-0005-0000-0000-0000D1860000}"/>
    <cellStyle name="TotRow - Style4 6 9 2 8" xfId="35332" xr:uid="{00000000-0005-0000-0000-0000D2860000}"/>
    <cellStyle name="TotRow - Style4 6 9 2 9" xfId="35333" xr:uid="{00000000-0005-0000-0000-0000D3860000}"/>
    <cellStyle name="TotRow - Style4 6 9 3" xfId="35334" xr:uid="{00000000-0005-0000-0000-0000D4860000}"/>
    <cellStyle name="TotRow - Style4 6 9 4" xfId="35335" xr:uid="{00000000-0005-0000-0000-0000D5860000}"/>
    <cellStyle name="TotRow - Style4 6 9 5" xfId="35336" xr:uid="{00000000-0005-0000-0000-0000D6860000}"/>
    <cellStyle name="TotRow - Style4 6 9 6" xfId="35337" xr:uid="{00000000-0005-0000-0000-0000D7860000}"/>
    <cellStyle name="TotRow - Style4 6 9 7" xfId="35338" xr:uid="{00000000-0005-0000-0000-0000D8860000}"/>
    <cellStyle name="TotRow - Style4 6 9 8" xfId="35339" xr:uid="{00000000-0005-0000-0000-0000D9860000}"/>
    <cellStyle name="TotRow - Style4 6 9 9" xfId="35340" xr:uid="{00000000-0005-0000-0000-0000DA860000}"/>
    <cellStyle name="TotRow - Style4 7" xfId="35341" xr:uid="{00000000-0005-0000-0000-0000DB860000}"/>
    <cellStyle name="TotRow - Style4 7 10" xfId="35342" xr:uid="{00000000-0005-0000-0000-0000DC860000}"/>
    <cellStyle name="TotRow - Style4 7 10 10" xfId="35343" xr:uid="{00000000-0005-0000-0000-0000DD860000}"/>
    <cellStyle name="TotRow - Style4 7 10 11" xfId="35344" xr:uid="{00000000-0005-0000-0000-0000DE860000}"/>
    <cellStyle name="TotRow - Style4 7 10 12" xfId="35345" xr:uid="{00000000-0005-0000-0000-0000DF860000}"/>
    <cellStyle name="TotRow - Style4 7 10 13" xfId="35346" xr:uid="{00000000-0005-0000-0000-0000E0860000}"/>
    <cellStyle name="TotRow - Style4 7 10 14" xfId="35347" xr:uid="{00000000-0005-0000-0000-0000E1860000}"/>
    <cellStyle name="TotRow - Style4 7 10 15" xfId="35348" xr:uid="{00000000-0005-0000-0000-0000E2860000}"/>
    <cellStyle name="TotRow - Style4 7 10 16" xfId="35349" xr:uid="{00000000-0005-0000-0000-0000E3860000}"/>
    <cellStyle name="TotRow - Style4 7 10 17" xfId="35350" xr:uid="{00000000-0005-0000-0000-0000E4860000}"/>
    <cellStyle name="TotRow - Style4 7 10 2" xfId="35351" xr:uid="{00000000-0005-0000-0000-0000E5860000}"/>
    <cellStyle name="TotRow - Style4 7 10 2 10" xfId="35352" xr:uid="{00000000-0005-0000-0000-0000E6860000}"/>
    <cellStyle name="TotRow - Style4 7 10 2 11" xfId="35353" xr:uid="{00000000-0005-0000-0000-0000E7860000}"/>
    <cellStyle name="TotRow - Style4 7 10 2 12" xfId="35354" xr:uid="{00000000-0005-0000-0000-0000E8860000}"/>
    <cellStyle name="TotRow - Style4 7 10 2 13" xfId="35355" xr:uid="{00000000-0005-0000-0000-0000E9860000}"/>
    <cellStyle name="TotRow - Style4 7 10 2 14" xfId="35356" xr:uid="{00000000-0005-0000-0000-0000EA860000}"/>
    <cellStyle name="TotRow - Style4 7 10 2 15" xfId="35357" xr:uid="{00000000-0005-0000-0000-0000EB860000}"/>
    <cellStyle name="TotRow - Style4 7 10 2 16" xfId="35358" xr:uid="{00000000-0005-0000-0000-0000EC860000}"/>
    <cellStyle name="TotRow - Style4 7 10 2 2" xfId="35359" xr:uid="{00000000-0005-0000-0000-0000ED860000}"/>
    <cellStyle name="TotRow - Style4 7 10 2 3" xfId="35360" xr:uid="{00000000-0005-0000-0000-0000EE860000}"/>
    <cellStyle name="TotRow - Style4 7 10 2 4" xfId="35361" xr:uid="{00000000-0005-0000-0000-0000EF860000}"/>
    <cellStyle name="TotRow - Style4 7 10 2 5" xfId="35362" xr:uid="{00000000-0005-0000-0000-0000F0860000}"/>
    <cellStyle name="TotRow - Style4 7 10 2 6" xfId="35363" xr:uid="{00000000-0005-0000-0000-0000F1860000}"/>
    <cellStyle name="TotRow - Style4 7 10 2 7" xfId="35364" xr:uid="{00000000-0005-0000-0000-0000F2860000}"/>
    <cellStyle name="TotRow - Style4 7 10 2 8" xfId="35365" xr:uid="{00000000-0005-0000-0000-0000F3860000}"/>
    <cellStyle name="TotRow - Style4 7 10 2 9" xfId="35366" xr:uid="{00000000-0005-0000-0000-0000F4860000}"/>
    <cellStyle name="TotRow - Style4 7 10 3" xfId="35367" xr:uid="{00000000-0005-0000-0000-0000F5860000}"/>
    <cellStyle name="TotRow - Style4 7 10 4" xfId="35368" xr:uid="{00000000-0005-0000-0000-0000F6860000}"/>
    <cellStyle name="TotRow - Style4 7 10 5" xfId="35369" xr:uid="{00000000-0005-0000-0000-0000F7860000}"/>
    <cellStyle name="TotRow - Style4 7 10 6" xfId="35370" xr:uid="{00000000-0005-0000-0000-0000F8860000}"/>
    <cellStyle name="TotRow - Style4 7 10 7" xfId="35371" xr:uid="{00000000-0005-0000-0000-0000F9860000}"/>
    <cellStyle name="TotRow - Style4 7 10 8" xfId="35372" xr:uid="{00000000-0005-0000-0000-0000FA860000}"/>
    <cellStyle name="TotRow - Style4 7 10 9" xfId="35373" xr:uid="{00000000-0005-0000-0000-0000FB860000}"/>
    <cellStyle name="TotRow - Style4 7 11" xfId="35374" xr:uid="{00000000-0005-0000-0000-0000FC860000}"/>
    <cellStyle name="TotRow - Style4 7 11 10" xfId="35375" xr:uid="{00000000-0005-0000-0000-0000FD860000}"/>
    <cellStyle name="TotRow - Style4 7 11 11" xfId="35376" xr:uid="{00000000-0005-0000-0000-0000FE860000}"/>
    <cellStyle name="TotRow - Style4 7 11 12" xfId="35377" xr:uid="{00000000-0005-0000-0000-0000FF860000}"/>
    <cellStyle name="TotRow - Style4 7 11 13" xfId="35378" xr:uid="{00000000-0005-0000-0000-000000870000}"/>
    <cellStyle name="TotRow - Style4 7 11 14" xfId="35379" xr:uid="{00000000-0005-0000-0000-000001870000}"/>
    <cellStyle name="TotRow - Style4 7 11 15" xfId="35380" xr:uid="{00000000-0005-0000-0000-000002870000}"/>
    <cellStyle name="TotRow - Style4 7 11 16" xfId="35381" xr:uid="{00000000-0005-0000-0000-000003870000}"/>
    <cellStyle name="TotRow - Style4 7 11 2" xfId="35382" xr:uid="{00000000-0005-0000-0000-000004870000}"/>
    <cellStyle name="TotRow - Style4 7 11 3" xfId="35383" xr:uid="{00000000-0005-0000-0000-000005870000}"/>
    <cellStyle name="TotRow - Style4 7 11 4" xfId="35384" xr:uid="{00000000-0005-0000-0000-000006870000}"/>
    <cellStyle name="TotRow - Style4 7 11 5" xfId="35385" xr:uid="{00000000-0005-0000-0000-000007870000}"/>
    <cellStyle name="TotRow - Style4 7 11 6" xfId="35386" xr:uid="{00000000-0005-0000-0000-000008870000}"/>
    <cellStyle name="TotRow - Style4 7 11 7" xfId="35387" xr:uid="{00000000-0005-0000-0000-000009870000}"/>
    <cellStyle name="TotRow - Style4 7 11 8" xfId="35388" xr:uid="{00000000-0005-0000-0000-00000A870000}"/>
    <cellStyle name="TotRow - Style4 7 11 9" xfId="35389" xr:uid="{00000000-0005-0000-0000-00000B870000}"/>
    <cellStyle name="TotRow - Style4 7 12" xfId="35390" xr:uid="{00000000-0005-0000-0000-00000C870000}"/>
    <cellStyle name="TotRow - Style4 7 13" xfId="35391" xr:uid="{00000000-0005-0000-0000-00000D870000}"/>
    <cellStyle name="TotRow - Style4 7 14" xfId="35392" xr:uid="{00000000-0005-0000-0000-00000E870000}"/>
    <cellStyle name="TotRow - Style4 7 15" xfId="35393" xr:uid="{00000000-0005-0000-0000-00000F870000}"/>
    <cellStyle name="TotRow - Style4 7 16" xfId="35394" xr:uid="{00000000-0005-0000-0000-000010870000}"/>
    <cellStyle name="TotRow - Style4 7 17" xfId="35395" xr:uid="{00000000-0005-0000-0000-000011870000}"/>
    <cellStyle name="TotRow - Style4 7 18" xfId="35396" xr:uid="{00000000-0005-0000-0000-000012870000}"/>
    <cellStyle name="TotRow - Style4 7 19" xfId="35397" xr:uid="{00000000-0005-0000-0000-000013870000}"/>
    <cellStyle name="TotRow - Style4 7 2" xfId="35398" xr:uid="{00000000-0005-0000-0000-000014870000}"/>
    <cellStyle name="TotRow - Style4 7 2 10" xfId="35399" xr:uid="{00000000-0005-0000-0000-000015870000}"/>
    <cellStyle name="TotRow - Style4 7 2 11" xfId="35400" xr:uid="{00000000-0005-0000-0000-000016870000}"/>
    <cellStyle name="TotRow - Style4 7 2 12" xfId="35401" xr:uid="{00000000-0005-0000-0000-000017870000}"/>
    <cellStyle name="TotRow - Style4 7 2 13" xfId="35402" xr:uid="{00000000-0005-0000-0000-000018870000}"/>
    <cellStyle name="TotRow - Style4 7 2 14" xfId="35403" xr:uid="{00000000-0005-0000-0000-000019870000}"/>
    <cellStyle name="TotRow - Style4 7 2 15" xfId="35404" xr:uid="{00000000-0005-0000-0000-00001A870000}"/>
    <cellStyle name="TotRow - Style4 7 2 16" xfId="35405" xr:uid="{00000000-0005-0000-0000-00001B870000}"/>
    <cellStyle name="TotRow - Style4 7 2 17" xfId="35406" xr:uid="{00000000-0005-0000-0000-00001C870000}"/>
    <cellStyle name="TotRow - Style4 7 2 2" xfId="35407" xr:uid="{00000000-0005-0000-0000-00001D870000}"/>
    <cellStyle name="TotRow - Style4 7 2 2 10" xfId="35408" xr:uid="{00000000-0005-0000-0000-00001E870000}"/>
    <cellStyle name="TotRow - Style4 7 2 2 11" xfId="35409" xr:uid="{00000000-0005-0000-0000-00001F870000}"/>
    <cellStyle name="TotRow - Style4 7 2 2 12" xfId="35410" xr:uid="{00000000-0005-0000-0000-000020870000}"/>
    <cellStyle name="TotRow - Style4 7 2 2 13" xfId="35411" xr:uid="{00000000-0005-0000-0000-000021870000}"/>
    <cellStyle name="TotRow - Style4 7 2 2 14" xfId="35412" xr:uid="{00000000-0005-0000-0000-000022870000}"/>
    <cellStyle name="TotRow - Style4 7 2 2 15" xfId="35413" xr:uid="{00000000-0005-0000-0000-000023870000}"/>
    <cellStyle name="TotRow - Style4 7 2 2 16" xfId="35414" xr:uid="{00000000-0005-0000-0000-000024870000}"/>
    <cellStyle name="TotRow - Style4 7 2 2 2" xfId="35415" xr:uid="{00000000-0005-0000-0000-000025870000}"/>
    <cellStyle name="TotRow - Style4 7 2 2 3" xfId="35416" xr:uid="{00000000-0005-0000-0000-000026870000}"/>
    <cellStyle name="TotRow - Style4 7 2 2 4" xfId="35417" xr:uid="{00000000-0005-0000-0000-000027870000}"/>
    <cellStyle name="TotRow - Style4 7 2 2 5" xfId="35418" xr:uid="{00000000-0005-0000-0000-000028870000}"/>
    <cellStyle name="TotRow - Style4 7 2 2 6" xfId="35419" xr:uid="{00000000-0005-0000-0000-000029870000}"/>
    <cellStyle name="TotRow - Style4 7 2 2 7" xfId="35420" xr:uid="{00000000-0005-0000-0000-00002A870000}"/>
    <cellStyle name="TotRow - Style4 7 2 2 8" xfId="35421" xr:uid="{00000000-0005-0000-0000-00002B870000}"/>
    <cellStyle name="TotRow - Style4 7 2 2 9" xfId="35422" xr:uid="{00000000-0005-0000-0000-00002C870000}"/>
    <cellStyle name="TotRow - Style4 7 2 3" xfId="35423" xr:uid="{00000000-0005-0000-0000-00002D870000}"/>
    <cellStyle name="TotRow - Style4 7 2 4" xfId="35424" xr:uid="{00000000-0005-0000-0000-00002E870000}"/>
    <cellStyle name="TotRow - Style4 7 2 5" xfId="35425" xr:uid="{00000000-0005-0000-0000-00002F870000}"/>
    <cellStyle name="TotRow - Style4 7 2 6" xfId="35426" xr:uid="{00000000-0005-0000-0000-000030870000}"/>
    <cellStyle name="TotRow - Style4 7 2 7" xfId="35427" xr:uid="{00000000-0005-0000-0000-000031870000}"/>
    <cellStyle name="TotRow - Style4 7 2 8" xfId="35428" xr:uid="{00000000-0005-0000-0000-000032870000}"/>
    <cellStyle name="TotRow - Style4 7 2 9" xfId="35429" xr:uid="{00000000-0005-0000-0000-000033870000}"/>
    <cellStyle name="TotRow - Style4 7 20" xfId="35430" xr:uid="{00000000-0005-0000-0000-000034870000}"/>
    <cellStyle name="TotRow - Style4 7 21" xfId="35431" xr:uid="{00000000-0005-0000-0000-000035870000}"/>
    <cellStyle name="TotRow - Style4 7 22" xfId="35432" xr:uid="{00000000-0005-0000-0000-000036870000}"/>
    <cellStyle name="TotRow - Style4 7 23" xfId="35433" xr:uid="{00000000-0005-0000-0000-000037870000}"/>
    <cellStyle name="TotRow - Style4 7 24" xfId="35434" xr:uid="{00000000-0005-0000-0000-000038870000}"/>
    <cellStyle name="TotRow - Style4 7 25" xfId="35435" xr:uid="{00000000-0005-0000-0000-000039870000}"/>
    <cellStyle name="TotRow - Style4 7 26" xfId="35436" xr:uid="{00000000-0005-0000-0000-00003A870000}"/>
    <cellStyle name="TotRow - Style4 7 3" xfId="35437" xr:uid="{00000000-0005-0000-0000-00003B870000}"/>
    <cellStyle name="TotRow - Style4 7 3 10" xfId="35438" xr:uid="{00000000-0005-0000-0000-00003C870000}"/>
    <cellStyle name="TotRow - Style4 7 3 11" xfId="35439" xr:uid="{00000000-0005-0000-0000-00003D870000}"/>
    <cellStyle name="TotRow - Style4 7 3 12" xfId="35440" xr:uid="{00000000-0005-0000-0000-00003E870000}"/>
    <cellStyle name="TotRow - Style4 7 3 13" xfId="35441" xr:uid="{00000000-0005-0000-0000-00003F870000}"/>
    <cellStyle name="TotRow - Style4 7 3 14" xfId="35442" xr:uid="{00000000-0005-0000-0000-000040870000}"/>
    <cellStyle name="TotRow - Style4 7 3 15" xfId="35443" xr:uid="{00000000-0005-0000-0000-000041870000}"/>
    <cellStyle name="TotRow - Style4 7 3 16" xfId="35444" xr:uid="{00000000-0005-0000-0000-000042870000}"/>
    <cellStyle name="TotRow - Style4 7 3 17" xfId="35445" xr:uid="{00000000-0005-0000-0000-000043870000}"/>
    <cellStyle name="TotRow - Style4 7 3 2" xfId="35446" xr:uid="{00000000-0005-0000-0000-000044870000}"/>
    <cellStyle name="TotRow - Style4 7 3 2 10" xfId="35447" xr:uid="{00000000-0005-0000-0000-000045870000}"/>
    <cellStyle name="TotRow - Style4 7 3 2 11" xfId="35448" xr:uid="{00000000-0005-0000-0000-000046870000}"/>
    <cellStyle name="TotRow - Style4 7 3 2 12" xfId="35449" xr:uid="{00000000-0005-0000-0000-000047870000}"/>
    <cellStyle name="TotRow - Style4 7 3 2 13" xfId="35450" xr:uid="{00000000-0005-0000-0000-000048870000}"/>
    <cellStyle name="TotRow - Style4 7 3 2 14" xfId="35451" xr:uid="{00000000-0005-0000-0000-000049870000}"/>
    <cellStyle name="TotRow - Style4 7 3 2 15" xfId="35452" xr:uid="{00000000-0005-0000-0000-00004A870000}"/>
    <cellStyle name="TotRow - Style4 7 3 2 16" xfId="35453" xr:uid="{00000000-0005-0000-0000-00004B870000}"/>
    <cellStyle name="TotRow - Style4 7 3 2 2" xfId="35454" xr:uid="{00000000-0005-0000-0000-00004C870000}"/>
    <cellStyle name="TotRow - Style4 7 3 2 3" xfId="35455" xr:uid="{00000000-0005-0000-0000-00004D870000}"/>
    <cellStyle name="TotRow - Style4 7 3 2 4" xfId="35456" xr:uid="{00000000-0005-0000-0000-00004E870000}"/>
    <cellStyle name="TotRow - Style4 7 3 2 5" xfId="35457" xr:uid="{00000000-0005-0000-0000-00004F870000}"/>
    <cellStyle name="TotRow - Style4 7 3 2 6" xfId="35458" xr:uid="{00000000-0005-0000-0000-000050870000}"/>
    <cellStyle name="TotRow - Style4 7 3 2 7" xfId="35459" xr:uid="{00000000-0005-0000-0000-000051870000}"/>
    <cellStyle name="TotRow - Style4 7 3 2 8" xfId="35460" xr:uid="{00000000-0005-0000-0000-000052870000}"/>
    <cellStyle name="TotRow - Style4 7 3 2 9" xfId="35461" xr:uid="{00000000-0005-0000-0000-000053870000}"/>
    <cellStyle name="TotRow - Style4 7 3 3" xfId="35462" xr:uid="{00000000-0005-0000-0000-000054870000}"/>
    <cellStyle name="TotRow - Style4 7 3 4" xfId="35463" xr:uid="{00000000-0005-0000-0000-000055870000}"/>
    <cellStyle name="TotRow - Style4 7 3 5" xfId="35464" xr:uid="{00000000-0005-0000-0000-000056870000}"/>
    <cellStyle name="TotRow - Style4 7 3 6" xfId="35465" xr:uid="{00000000-0005-0000-0000-000057870000}"/>
    <cellStyle name="TotRow - Style4 7 3 7" xfId="35466" xr:uid="{00000000-0005-0000-0000-000058870000}"/>
    <cellStyle name="TotRow - Style4 7 3 8" xfId="35467" xr:uid="{00000000-0005-0000-0000-000059870000}"/>
    <cellStyle name="TotRow - Style4 7 3 9" xfId="35468" xr:uid="{00000000-0005-0000-0000-00005A870000}"/>
    <cellStyle name="TotRow - Style4 7 4" xfId="35469" xr:uid="{00000000-0005-0000-0000-00005B870000}"/>
    <cellStyle name="TotRow - Style4 7 4 10" xfId="35470" xr:uid="{00000000-0005-0000-0000-00005C870000}"/>
    <cellStyle name="TotRow - Style4 7 4 11" xfId="35471" xr:uid="{00000000-0005-0000-0000-00005D870000}"/>
    <cellStyle name="TotRow - Style4 7 4 12" xfId="35472" xr:uid="{00000000-0005-0000-0000-00005E870000}"/>
    <cellStyle name="TotRow - Style4 7 4 13" xfId="35473" xr:uid="{00000000-0005-0000-0000-00005F870000}"/>
    <cellStyle name="TotRow - Style4 7 4 14" xfId="35474" xr:uid="{00000000-0005-0000-0000-000060870000}"/>
    <cellStyle name="TotRow - Style4 7 4 15" xfId="35475" xr:uid="{00000000-0005-0000-0000-000061870000}"/>
    <cellStyle name="TotRow - Style4 7 4 16" xfId="35476" xr:uid="{00000000-0005-0000-0000-000062870000}"/>
    <cellStyle name="TotRow - Style4 7 4 17" xfId="35477" xr:uid="{00000000-0005-0000-0000-000063870000}"/>
    <cellStyle name="TotRow - Style4 7 4 2" xfId="35478" xr:uid="{00000000-0005-0000-0000-000064870000}"/>
    <cellStyle name="TotRow - Style4 7 4 2 10" xfId="35479" xr:uid="{00000000-0005-0000-0000-000065870000}"/>
    <cellStyle name="TotRow - Style4 7 4 2 11" xfId="35480" xr:uid="{00000000-0005-0000-0000-000066870000}"/>
    <cellStyle name="TotRow - Style4 7 4 2 12" xfId="35481" xr:uid="{00000000-0005-0000-0000-000067870000}"/>
    <cellStyle name="TotRow - Style4 7 4 2 13" xfId="35482" xr:uid="{00000000-0005-0000-0000-000068870000}"/>
    <cellStyle name="TotRow - Style4 7 4 2 14" xfId="35483" xr:uid="{00000000-0005-0000-0000-000069870000}"/>
    <cellStyle name="TotRow - Style4 7 4 2 15" xfId="35484" xr:uid="{00000000-0005-0000-0000-00006A870000}"/>
    <cellStyle name="TotRow - Style4 7 4 2 16" xfId="35485" xr:uid="{00000000-0005-0000-0000-00006B870000}"/>
    <cellStyle name="TotRow - Style4 7 4 2 2" xfId="35486" xr:uid="{00000000-0005-0000-0000-00006C870000}"/>
    <cellStyle name="TotRow - Style4 7 4 2 3" xfId="35487" xr:uid="{00000000-0005-0000-0000-00006D870000}"/>
    <cellStyle name="TotRow - Style4 7 4 2 4" xfId="35488" xr:uid="{00000000-0005-0000-0000-00006E870000}"/>
    <cellStyle name="TotRow - Style4 7 4 2 5" xfId="35489" xr:uid="{00000000-0005-0000-0000-00006F870000}"/>
    <cellStyle name="TotRow - Style4 7 4 2 6" xfId="35490" xr:uid="{00000000-0005-0000-0000-000070870000}"/>
    <cellStyle name="TotRow - Style4 7 4 2 7" xfId="35491" xr:uid="{00000000-0005-0000-0000-000071870000}"/>
    <cellStyle name="TotRow - Style4 7 4 2 8" xfId="35492" xr:uid="{00000000-0005-0000-0000-000072870000}"/>
    <cellStyle name="TotRow - Style4 7 4 2 9" xfId="35493" xr:uid="{00000000-0005-0000-0000-000073870000}"/>
    <cellStyle name="TotRow - Style4 7 4 3" xfId="35494" xr:uid="{00000000-0005-0000-0000-000074870000}"/>
    <cellStyle name="TotRow - Style4 7 4 4" xfId="35495" xr:uid="{00000000-0005-0000-0000-000075870000}"/>
    <cellStyle name="TotRow - Style4 7 4 5" xfId="35496" xr:uid="{00000000-0005-0000-0000-000076870000}"/>
    <cellStyle name="TotRow - Style4 7 4 6" xfId="35497" xr:uid="{00000000-0005-0000-0000-000077870000}"/>
    <cellStyle name="TotRow - Style4 7 4 7" xfId="35498" xr:uid="{00000000-0005-0000-0000-000078870000}"/>
    <cellStyle name="TotRow - Style4 7 4 8" xfId="35499" xr:uid="{00000000-0005-0000-0000-000079870000}"/>
    <cellStyle name="TotRow - Style4 7 4 9" xfId="35500" xr:uid="{00000000-0005-0000-0000-00007A870000}"/>
    <cellStyle name="TotRow - Style4 7 5" xfId="35501" xr:uid="{00000000-0005-0000-0000-00007B870000}"/>
    <cellStyle name="TotRow - Style4 7 5 10" xfId="35502" xr:uid="{00000000-0005-0000-0000-00007C870000}"/>
    <cellStyle name="TotRow - Style4 7 5 11" xfId="35503" xr:uid="{00000000-0005-0000-0000-00007D870000}"/>
    <cellStyle name="TotRow - Style4 7 5 12" xfId="35504" xr:uid="{00000000-0005-0000-0000-00007E870000}"/>
    <cellStyle name="TotRow - Style4 7 5 13" xfId="35505" xr:uid="{00000000-0005-0000-0000-00007F870000}"/>
    <cellStyle name="TotRow - Style4 7 5 14" xfId="35506" xr:uid="{00000000-0005-0000-0000-000080870000}"/>
    <cellStyle name="TotRow - Style4 7 5 15" xfId="35507" xr:uid="{00000000-0005-0000-0000-000081870000}"/>
    <cellStyle name="TotRow - Style4 7 5 16" xfId="35508" xr:uid="{00000000-0005-0000-0000-000082870000}"/>
    <cellStyle name="TotRow - Style4 7 5 17" xfId="35509" xr:uid="{00000000-0005-0000-0000-000083870000}"/>
    <cellStyle name="TotRow - Style4 7 5 2" xfId="35510" xr:uid="{00000000-0005-0000-0000-000084870000}"/>
    <cellStyle name="TotRow - Style4 7 5 2 10" xfId="35511" xr:uid="{00000000-0005-0000-0000-000085870000}"/>
    <cellStyle name="TotRow - Style4 7 5 2 11" xfId="35512" xr:uid="{00000000-0005-0000-0000-000086870000}"/>
    <cellStyle name="TotRow - Style4 7 5 2 12" xfId="35513" xr:uid="{00000000-0005-0000-0000-000087870000}"/>
    <cellStyle name="TotRow - Style4 7 5 2 13" xfId="35514" xr:uid="{00000000-0005-0000-0000-000088870000}"/>
    <cellStyle name="TotRow - Style4 7 5 2 14" xfId="35515" xr:uid="{00000000-0005-0000-0000-000089870000}"/>
    <cellStyle name="TotRow - Style4 7 5 2 15" xfId="35516" xr:uid="{00000000-0005-0000-0000-00008A870000}"/>
    <cellStyle name="TotRow - Style4 7 5 2 16" xfId="35517" xr:uid="{00000000-0005-0000-0000-00008B870000}"/>
    <cellStyle name="TotRow - Style4 7 5 2 2" xfId="35518" xr:uid="{00000000-0005-0000-0000-00008C870000}"/>
    <cellStyle name="TotRow - Style4 7 5 2 3" xfId="35519" xr:uid="{00000000-0005-0000-0000-00008D870000}"/>
    <cellStyle name="TotRow - Style4 7 5 2 4" xfId="35520" xr:uid="{00000000-0005-0000-0000-00008E870000}"/>
    <cellStyle name="TotRow - Style4 7 5 2 5" xfId="35521" xr:uid="{00000000-0005-0000-0000-00008F870000}"/>
    <cellStyle name="TotRow - Style4 7 5 2 6" xfId="35522" xr:uid="{00000000-0005-0000-0000-000090870000}"/>
    <cellStyle name="TotRow - Style4 7 5 2 7" xfId="35523" xr:uid="{00000000-0005-0000-0000-000091870000}"/>
    <cellStyle name="TotRow - Style4 7 5 2 8" xfId="35524" xr:uid="{00000000-0005-0000-0000-000092870000}"/>
    <cellStyle name="TotRow - Style4 7 5 2 9" xfId="35525" xr:uid="{00000000-0005-0000-0000-000093870000}"/>
    <cellStyle name="TotRow - Style4 7 5 3" xfId="35526" xr:uid="{00000000-0005-0000-0000-000094870000}"/>
    <cellStyle name="TotRow - Style4 7 5 4" xfId="35527" xr:uid="{00000000-0005-0000-0000-000095870000}"/>
    <cellStyle name="TotRow - Style4 7 5 5" xfId="35528" xr:uid="{00000000-0005-0000-0000-000096870000}"/>
    <cellStyle name="TotRow - Style4 7 5 6" xfId="35529" xr:uid="{00000000-0005-0000-0000-000097870000}"/>
    <cellStyle name="TotRow - Style4 7 5 7" xfId="35530" xr:uid="{00000000-0005-0000-0000-000098870000}"/>
    <cellStyle name="TotRow - Style4 7 5 8" xfId="35531" xr:uid="{00000000-0005-0000-0000-000099870000}"/>
    <cellStyle name="TotRow - Style4 7 5 9" xfId="35532" xr:uid="{00000000-0005-0000-0000-00009A870000}"/>
    <cellStyle name="TotRow - Style4 7 6" xfId="35533" xr:uid="{00000000-0005-0000-0000-00009B870000}"/>
    <cellStyle name="TotRow - Style4 7 6 10" xfId="35534" xr:uid="{00000000-0005-0000-0000-00009C870000}"/>
    <cellStyle name="TotRow - Style4 7 6 11" xfId="35535" xr:uid="{00000000-0005-0000-0000-00009D870000}"/>
    <cellStyle name="TotRow - Style4 7 6 12" xfId="35536" xr:uid="{00000000-0005-0000-0000-00009E870000}"/>
    <cellStyle name="TotRow - Style4 7 6 13" xfId="35537" xr:uid="{00000000-0005-0000-0000-00009F870000}"/>
    <cellStyle name="TotRow - Style4 7 6 14" xfId="35538" xr:uid="{00000000-0005-0000-0000-0000A0870000}"/>
    <cellStyle name="TotRow - Style4 7 6 15" xfId="35539" xr:uid="{00000000-0005-0000-0000-0000A1870000}"/>
    <cellStyle name="TotRow - Style4 7 6 16" xfId="35540" xr:uid="{00000000-0005-0000-0000-0000A2870000}"/>
    <cellStyle name="TotRow - Style4 7 6 17" xfId="35541" xr:uid="{00000000-0005-0000-0000-0000A3870000}"/>
    <cellStyle name="TotRow - Style4 7 6 2" xfId="35542" xr:uid="{00000000-0005-0000-0000-0000A4870000}"/>
    <cellStyle name="TotRow - Style4 7 6 2 10" xfId="35543" xr:uid="{00000000-0005-0000-0000-0000A5870000}"/>
    <cellStyle name="TotRow - Style4 7 6 2 11" xfId="35544" xr:uid="{00000000-0005-0000-0000-0000A6870000}"/>
    <cellStyle name="TotRow - Style4 7 6 2 12" xfId="35545" xr:uid="{00000000-0005-0000-0000-0000A7870000}"/>
    <cellStyle name="TotRow - Style4 7 6 2 13" xfId="35546" xr:uid="{00000000-0005-0000-0000-0000A8870000}"/>
    <cellStyle name="TotRow - Style4 7 6 2 14" xfId="35547" xr:uid="{00000000-0005-0000-0000-0000A9870000}"/>
    <cellStyle name="TotRow - Style4 7 6 2 15" xfId="35548" xr:uid="{00000000-0005-0000-0000-0000AA870000}"/>
    <cellStyle name="TotRow - Style4 7 6 2 16" xfId="35549" xr:uid="{00000000-0005-0000-0000-0000AB870000}"/>
    <cellStyle name="TotRow - Style4 7 6 2 2" xfId="35550" xr:uid="{00000000-0005-0000-0000-0000AC870000}"/>
    <cellStyle name="TotRow - Style4 7 6 2 3" xfId="35551" xr:uid="{00000000-0005-0000-0000-0000AD870000}"/>
    <cellStyle name="TotRow - Style4 7 6 2 4" xfId="35552" xr:uid="{00000000-0005-0000-0000-0000AE870000}"/>
    <cellStyle name="TotRow - Style4 7 6 2 5" xfId="35553" xr:uid="{00000000-0005-0000-0000-0000AF870000}"/>
    <cellStyle name="TotRow - Style4 7 6 2 6" xfId="35554" xr:uid="{00000000-0005-0000-0000-0000B0870000}"/>
    <cellStyle name="TotRow - Style4 7 6 2 7" xfId="35555" xr:uid="{00000000-0005-0000-0000-0000B1870000}"/>
    <cellStyle name="TotRow - Style4 7 6 2 8" xfId="35556" xr:uid="{00000000-0005-0000-0000-0000B2870000}"/>
    <cellStyle name="TotRow - Style4 7 6 2 9" xfId="35557" xr:uid="{00000000-0005-0000-0000-0000B3870000}"/>
    <cellStyle name="TotRow - Style4 7 6 3" xfId="35558" xr:uid="{00000000-0005-0000-0000-0000B4870000}"/>
    <cellStyle name="TotRow - Style4 7 6 4" xfId="35559" xr:uid="{00000000-0005-0000-0000-0000B5870000}"/>
    <cellStyle name="TotRow - Style4 7 6 5" xfId="35560" xr:uid="{00000000-0005-0000-0000-0000B6870000}"/>
    <cellStyle name="TotRow - Style4 7 6 6" xfId="35561" xr:uid="{00000000-0005-0000-0000-0000B7870000}"/>
    <cellStyle name="TotRow - Style4 7 6 7" xfId="35562" xr:uid="{00000000-0005-0000-0000-0000B8870000}"/>
    <cellStyle name="TotRow - Style4 7 6 8" xfId="35563" xr:uid="{00000000-0005-0000-0000-0000B9870000}"/>
    <cellStyle name="TotRow - Style4 7 6 9" xfId="35564" xr:uid="{00000000-0005-0000-0000-0000BA870000}"/>
    <cellStyle name="TotRow - Style4 7 7" xfId="35565" xr:uid="{00000000-0005-0000-0000-0000BB870000}"/>
    <cellStyle name="TotRow - Style4 7 7 10" xfId="35566" xr:uid="{00000000-0005-0000-0000-0000BC870000}"/>
    <cellStyle name="TotRow - Style4 7 7 11" xfId="35567" xr:uid="{00000000-0005-0000-0000-0000BD870000}"/>
    <cellStyle name="TotRow - Style4 7 7 12" xfId="35568" xr:uid="{00000000-0005-0000-0000-0000BE870000}"/>
    <cellStyle name="TotRow - Style4 7 7 13" xfId="35569" xr:uid="{00000000-0005-0000-0000-0000BF870000}"/>
    <cellStyle name="TotRow - Style4 7 7 14" xfId="35570" xr:uid="{00000000-0005-0000-0000-0000C0870000}"/>
    <cellStyle name="TotRow - Style4 7 7 15" xfId="35571" xr:uid="{00000000-0005-0000-0000-0000C1870000}"/>
    <cellStyle name="TotRow - Style4 7 7 16" xfId="35572" xr:uid="{00000000-0005-0000-0000-0000C2870000}"/>
    <cellStyle name="TotRow - Style4 7 7 17" xfId="35573" xr:uid="{00000000-0005-0000-0000-0000C3870000}"/>
    <cellStyle name="TotRow - Style4 7 7 2" xfId="35574" xr:uid="{00000000-0005-0000-0000-0000C4870000}"/>
    <cellStyle name="TotRow - Style4 7 7 2 10" xfId="35575" xr:uid="{00000000-0005-0000-0000-0000C5870000}"/>
    <cellStyle name="TotRow - Style4 7 7 2 11" xfId="35576" xr:uid="{00000000-0005-0000-0000-0000C6870000}"/>
    <cellStyle name="TotRow - Style4 7 7 2 12" xfId="35577" xr:uid="{00000000-0005-0000-0000-0000C7870000}"/>
    <cellStyle name="TotRow - Style4 7 7 2 13" xfId="35578" xr:uid="{00000000-0005-0000-0000-0000C8870000}"/>
    <cellStyle name="TotRow - Style4 7 7 2 14" xfId="35579" xr:uid="{00000000-0005-0000-0000-0000C9870000}"/>
    <cellStyle name="TotRow - Style4 7 7 2 15" xfId="35580" xr:uid="{00000000-0005-0000-0000-0000CA870000}"/>
    <cellStyle name="TotRow - Style4 7 7 2 16" xfId="35581" xr:uid="{00000000-0005-0000-0000-0000CB870000}"/>
    <cellStyle name="TotRow - Style4 7 7 2 2" xfId="35582" xr:uid="{00000000-0005-0000-0000-0000CC870000}"/>
    <cellStyle name="TotRow - Style4 7 7 2 3" xfId="35583" xr:uid="{00000000-0005-0000-0000-0000CD870000}"/>
    <cellStyle name="TotRow - Style4 7 7 2 4" xfId="35584" xr:uid="{00000000-0005-0000-0000-0000CE870000}"/>
    <cellStyle name="TotRow - Style4 7 7 2 5" xfId="35585" xr:uid="{00000000-0005-0000-0000-0000CF870000}"/>
    <cellStyle name="TotRow - Style4 7 7 2 6" xfId="35586" xr:uid="{00000000-0005-0000-0000-0000D0870000}"/>
    <cellStyle name="TotRow - Style4 7 7 2 7" xfId="35587" xr:uid="{00000000-0005-0000-0000-0000D1870000}"/>
    <cellStyle name="TotRow - Style4 7 7 2 8" xfId="35588" xr:uid="{00000000-0005-0000-0000-0000D2870000}"/>
    <cellStyle name="TotRow - Style4 7 7 2 9" xfId="35589" xr:uid="{00000000-0005-0000-0000-0000D3870000}"/>
    <cellStyle name="TotRow - Style4 7 7 3" xfId="35590" xr:uid="{00000000-0005-0000-0000-0000D4870000}"/>
    <cellStyle name="TotRow - Style4 7 7 4" xfId="35591" xr:uid="{00000000-0005-0000-0000-0000D5870000}"/>
    <cellStyle name="TotRow - Style4 7 7 5" xfId="35592" xr:uid="{00000000-0005-0000-0000-0000D6870000}"/>
    <cellStyle name="TotRow - Style4 7 7 6" xfId="35593" xr:uid="{00000000-0005-0000-0000-0000D7870000}"/>
    <cellStyle name="TotRow - Style4 7 7 7" xfId="35594" xr:uid="{00000000-0005-0000-0000-0000D8870000}"/>
    <cellStyle name="TotRow - Style4 7 7 8" xfId="35595" xr:uid="{00000000-0005-0000-0000-0000D9870000}"/>
    <cellStyle name="TotRow - Style4 7 7 9" xfId="35596" xr:uid="{00000000-0005-0000-0000-0000DA870000}"/>
    <cellStyle name="TotRow - Style4 7 8" xfId="35597" xr:uid="{00000000-0005-0000-0000-0000DB870000}"/>
    <cellStyle name="TotRow - Style4 7 8 10" xfId="35598" xr:uid="{00000000-0005-0000-0000-0000DC870000}"/>
    <cellStyle name="TotRow - Style4 7 8 11" xfId="35599" xr:uid="{00000000-0005-0000-0000-0000DD870000}"/>
    <cellStyle name="TotRow - Style4 7 8 12" xfId="35600" xr:uid="{00000000-0005-0000-0000-0000DE870000}"/>
    <cellStyle name="TotRow - Style4 7 8 13" xfId="35601" xr:uid="{00000000-0005-0000-0000-0000DF870000}"/>
    <cellStyle name="TotRow - Style4 7 8 14" xfId="35602" xr:uid="{00000000-0005-0000-0000-0000E0870000}"/>
    <cellStyle name="TotRow - Style4 7 8 15" xfId="35603" xr:uid="{00000000-0005-0000-0000-0000E1870000}"/>
    <cellStyle name="TotRow - Style4 7 8 16" xfId="35604" xr:uid="{00000000-0005-0000-0000-0000E2870000}"/>
    <cellStyle name="TotRow - Style4 7 8 17" xfId="35605" xr:uid="{00000000-0005-0000-0000-0000E3870000}"/>
    <cellStyle name="TotRow - Style4 7 8 2" xfId="35606" xr:uid="{00000000-0005-0000-0000-0000E4870000}"/>
    <cellStyle name="TotRow - Style4 7 8 2 10" xfId="35607" xr:uid="{00000000-0005-0000-0000-0000E5870000}"/>
    <cellStyle name="TotRow - Style4 7 8 2 11" xfId="35608" xr:uid="{00000000-0005-0000-0000-0000E6870000}"/>
    <cellStyle name="TotRow - Style4 7 8 2 12" xfId="35609" xr:uid="{00000000-0005-0000-0000-0000E7870000}"/>
    <cellStyle name="TotRow - Style4 7 8 2 13" xfId="35610" xr:uid="{00000000-0005-0000-0000-0000E8870000}"/>
    <cellStyle name="TotRow - Style4 7 8 2 14" xfId="35611" xr:uid="{00000000-0005-0000-0000-0000E9870000}"/>
    <cellStyle name="TotRow - Style4 7 8 2 15" xfId="35612" xr:uid="{00000000-0005-0000-0000-0000EA870000}"/>
    <cellStyle name="TotRow - Style4 7 8 2 16" xfId="35613" xr:uid="{00000000-0005-0000-0000-0000EB870000}"/>
    <cellStyle name="TotRow - Style4 7 8 2 2" xfId="35614" xr:uid="{00000000-0005-0000-0000-0000EC870000}"/>
    <cellStyle name="TotRow - Style4 7 8 2 3" xfId="35615" xr:uid="{00000000-0005-0000-0000-0000ED870000}"/>
    <cellStyle name="TotRow - Style4 7 8 2 4" xfId="35616" xr:uid="{00000000-0005-0000-0000-0000EE870000}"/>
    <cellStyle name="TotRow - Style4 7 8 2 5" xfId="35617" xr:uid="{00000000-0005-0000-0000-0000EF870000}"/>
    <cellStyle name="TotRow - Style4 7 8 2 6" xfId="35618" xr:uid="{00000000-0005-0000-0000-0000F0870000}"/>
    <cellStyle name="TotRow - Style4 7 8 2 7" xfId="35619" xr:uid="{00000000-0005-0000-0000-0000F1870000}"/>
    <cellStyle name="TotRow - Style4 7 8 2 8" xfId="35620" xr:uid="{00000000-0005-0000-0000-0000F2870000}"/>
    <cellStyle name="TotRow - Style4 7 8 2 9" xfId="35621" xr:uid="{00000000-0005-0000-0000-0000F3870000}"/>
    <cellStyle name="TotRow - Style4 7 8 3" xfId="35622" xr:uid="{00000000-0005-0000-0000-0000F4870000}"/>
    <cellStyle name="TotRow - Style4 7 8 4" xfId="35623" xr:uid="{00000000-0005-0000-0000-0000F5870000}"/>
    <cellStyle name="TotRow - Style4 7 8 5" xfId="35624" xr:uid="{00000000-0005-0000-0000-0000F6870000}"/>
    <cellStyle name="TotRow - Style4 7 8 6" xfId="35625" xr:uid="{00000000-0005-0000-0000-0000F7870000}"/>
    <cellStyle name="TotRow - Style4 7 8 7" xfId="35626" xr:uid="{00000000-0005-0000-0000-0000F8870000}"/>
    <cellStyle name="TotRow - Style4 7 8 8" xfId="35627" xr:uid="{00000000-0005-0000-0000-0000F9870000}"/>
    <cellStyle name="TotRow - Style4 7 8 9" xfId="35628" xr:uid="{00000000-0005-0000-0000-0000FA870000}"/>
    <cellStyle name="TotRow - Style4 7 9" xfId="35629" xr:uid="{00000000-0005-0000-0000-0000FB870000}"/>
    <cellStyle name="TotRow - Style4 7 9 10" xfId="35630" xr:uid="{00000000-0005-0000-0000-0000FC870000}"/>
    <cellStyle name="TotRow - Style4 7 9 11" xfId="35631" xr:uid="{00000000-0005-0000-0000-0000FD870000}"/>
    <cellStyle name="TotRow - Style4 7 9 12" xfId="35632" xr:uid="{00000000-0005-0000-0000-0000FE870000}"/>
    <cellStyle name="TotRow - Style4 7 9 13" xfId="35633" xr:uid="{00000000-0005-0000-0000-0000FF870000}"/>
    <cellStyle name="TotRow - Style4 7 9 14" xfId="35634" xr:uid="{00000000-0005-0000-0000-000000880000}"/>
    <cellStyle name="TotRow - Style4 7 9 15" xfId="35635" xr:uid="{00000000-0005-0000-0000-000001880000}"/>
    <cellStyle name="TotRow - Style4 7 9 16" xfId="35636" xr:uid="{00000000-0005-0000-0000-000002880000}"/>
    <cellStyle name="TotRow - Style4 7 9 17" xfId="35637" xr:uid="{00000000-0005-0000-0000-000003880000}"/>
    <cellStyle name="TotRow - Style4 7 9 2" xfId="35638" xr:uid="{00000000-0005-0000-0000-000004880000}"/>
    <cellStyle name="TotRow - Style4 7 9 2 10" xfId="35639" xr:uid="{00000000-0005-0000-0000-000005880000}"/>
    <cellStyle name="TotRow - Style4 7 9 2 11" xfId="35640" xr:uid="{00000000-0005-0000-0000-000006880000}"/>
    <cellStyle name="TotRow - Style4 7 9 2 12" xfId="35641" xr:uid="{00000000-0005-0000-0000-000007880000}"/>
    <cellStyle name="TotRow - Style4 7 9 2 13" xfId="35642" xr:uid="{00000000-0005-0000-0000-000008880000}"/>
    <cellStyle name="TotRow - Style4 7 9 2 14" xfId="35643" xr:uid="{00000000-0005-0000-0000-000009880000}"/>
    <cellStyle name="TotRow - Style4 7 9 2 15" xfId="35644" xr:uid="{00000000-0005-0000-0000-00000A880000}"/>
    <cellStyle name="TotRow - Style4 7 9 2 16" xfId="35645" xr:uid="{00000000-0005-0000-0000-00000B880000}"/>
    <cellStyle name="TotRow - Style4 7 9 2 2" xfId="35646" xr:uid="{00000000-0005-0000-0000-00000C880000}"/>
    <cellStyle name="TotRow - Style4 7 9 2 3" xfId="35647" xr:uid="{00000000-0005-0000-0000-00000D880000}"/>
    <cellStyle name="TotRow - Style4 7 9 2 4" xfId="35648" xr:uid="{00000000-0005-0000-0000-00000E880000}"/>
    <cellStyle name="TotRow - Style4 7 9 2 5" xfId="35649" xr:uid="{00000000-0005-0000-0000-00000F880000}"/>
    <cellStyle name="TotRow - Style4 7 9 2 6" xfId="35650" xr:uid="{00000000-0005-0000-0000-000010880000}"/>
    <cellStyle name="TotRow - Style4 7 9 2 7" xfId="35651" xr:uid="{00000000-0005-0000-0000-000011880000}"/>
    <cellStyle name="TotRow - Style4 7 9 2 8" xfId="35652" xr:uid="{00000000-0005-0000-0000-000012880000}"/>
    <cellStyle name="TotRow - Style4 7 9 2 9" xfId="35653" xr:uid="{00000000-0005-0000-0000-000013880000}"/>
    <cellStyle name="TotRow - Style4 7 9 3" xfId="35654" xr:uid="{00000000-0005-0000-0000-000014880000}"/>
    <cellStyle name="TotRow - Style4 7 9 4" xfId="35655" xr:uid="{00000000-0005-0000-0000-000015880000}"/>
    <cellStyle name="TotRow - Style4 7 9 5" xfId="35656" xr:uid="{00000000-0005-0000-0000-000016880000}"/>
    <cellStyle name="TotRow - Style4 7 9 6" xfId="35657" xr:uid="{00000000-0005-0000-0000-000017880000}"/>
    <cellStyle name="TotRow - Style4 7 9 7" xfId="35658" xr:uid="{00000000-0005-0000-0000-000018880000}"/>
    <cellStyle name="TotRow - Style4 7 9 8" xfId="35659" xr:uid="{00000000-0005-0000-0000-000019880000}"/>
    <cellStyle name="TotRow - Style4 7 9 9" xfId="35660" xr:uid="{00000000-0005-0000-0000-00001A880000}"/>
    <cellStyle name="TotRow - Style4 8" xfId="35661" xr:uid="{00000000-0005-0000-0000-00001B880000}"/>
    <cellStyle name="TotRow - Style4 8 10" xfId="35662" xr:uid="{00000000-0005-0000-0000-00001C880000}"/>
    <cellStyle name="TotRow - Style4 8 11" xfId="35663" xr:uid="{00000000-0005-0000-0000-00001D880000}"/>
    <cellStyle name="TotRow - Style4 8 12" xfId="35664" xr:uid="{00000000-0005-0000-0000-00001E880000}"/>
    <cellStyle name="TotRow - Style4 8 13" xfId="35665" xr:uid="{00000000-0005-0000-0000-00001F880000}"/>
    <cellStyle name="TotRow - Style4 8 14" xfId="35666" xr:uid="{00000000-0005-0000-0000-000020880000}"/>
    <cellStyle name="TotRow - Style4 8 15" xfId="35667" xr:uid="{00000000-0005-0000-0000-000021880000}"/>
    <cellStyle name="TotRow - Style4 8 16" xfId="35668" xr:uid="{00000000-0005-0000-0000-000022880000}"/>
    <cellStyle name="TotRow - Style4 8 17" xfId="35669" xr:uid="{00000000-0005-0000-0000-000023880000}"/>
    <cellStyle name="TotRow - Style4 8 2" xfId="35670" xr:uid="{00000000-0005-0000-0000-000024880000}"/>
    <cellStyle name="TotRow - Style4 8 2 10" xfId="35671" xr:uid="{00000000-0005-0000-0000-000025880000}"/>
    <cellStyle name="TotRow - Style4 8 2 11" xfId="35672" xr:uid="{00000000-0005-0000-0000-000026880000}"/>
    <cellStyle name="TotRow - Style4 8 2 12" xfId="35673" xr:uid="{00000000-0005-0000-0000-000027880000}"/>
    <cellStyle name="TotRow - Style4 8 2 13" xfId="35674" xr:uid="{00000000-0005-0000-0000-000028880000}"/>
    <cellStyle name="TotRow - Style4 8 2 14" xfId="35675" xr:uid="{00000000-0005-0000-0000-000029880000}"/>
    <cellStyle name="TotRow - Style4 8 2 15" xfId="35676" xr:uid="{00000000-0005-0000-0000-00002A880000}"/>
    <cellStyle name="TotRow - Style4 8 2 16" xfId="35677" xr:uid="{00000000-0005-0000-0000-00002B880000}"/>
    <cellStyle name="TotRow - Style4 8 2 2" xfId="35678" xr:uid="{00000000-0005-0000-0000-00002C880000}"/>
    <cellStyle name="TotRow - Style4 8 2 3" xfId="35679" xr:uid="{00000000-0005-0000-0000-00002D880000}"/>
    <cellStyle name="TotRow - Style4 8 2 4" xfId="35680" xr:uid="{00000000-0005-0000-0000-00002E880000}"/>
    <cellStyle name="TotRow - Style4 8 2 5" xfId="35681" xr:uid="{00000000-0005-0000-0000-00002F880000}"/>
    <cellStyle name="TotRow - Style4 8 2 6" xfId="35682" xr:uid="{00000000-0005-0000-0000-000030880000}"/>
    <cellStyle name="TotRow - Style4 8 2 7" xfId="35683" xr:uid="{00000000-0005-0000-0000-000031880000}"/>
    <cellStyle name="TotRow - Style4 8 2 8" xfId="35684" xr:uid="{00000000-0005-0000-0000-000032880000}"/>
    <cellStyle name="TotRow - Style4 8 2 9" xfId="35685" xr:uid="{00000000-0005-0000-0000-000033880000}"/>
    <cellStyle name="TotRow - Style4 8 3" xfId="35686" xr:uid="{00000000-0005-0000-0000-000034880000}"/>
    <cellStyle name="TotRow - Style4 8 4" xfId="35687" xr:uid="{00000000-0005-0000-0000-000035880000}"/>
    <cellStyle name="TotRow - Style4 8 5" xfId="35688" xr:uid="{00000000-0005-0000-0000-000036880000}"/>
    <cellStyle name="TotRow - Style4 8 6" xfId="35689" xr:uid="{00000000-0005-0000-0000-000037880000}"/>
    <cellStyle name="TotRow - Style4 8 7" xfId="35690" xr:uid="{00000000-0005-0000-0000-000038880000}"/>
    <cellStyle name="TotRow - Style4 8 8" xfId="35691" xr:uid="{00000000-0005-0000-0000-000039880000}"/>
    <cellStyle name="TotRow - Style4 8 9" xfId="35692" xr:uid="{00000000-0005-0000-0000-00003A880000}"/>
    <cellStyle name="TotRow - Style4 9" xfId="35693" xr:uid="{00000000-0005-0000-0000-00003B880000}"/>
    <cellStyle name="TotRow - Style4 9 10" xfId="35694" xr:uid="{00000000-0005-0000-0000-00003C880000}"/>
    <cellStyle name="TotRow - Style4 9 11" xfId="35695" xr:uid="{00000000-0005-0000-0000-00003D880000}"/>
    <cellStyle name="TotRow - Style4 9 12" xfId="35696" xr:uid="{00000000-0005-0000-0000-00003E880000}"/>
    <cellStyle name="TotRow - Style4 9 13" xfId="35697" xr:uid="{00000000-0005-0000-0000-00003F880000}"/>
    <cellStyle name="TotRow - Style4 9 14" xfId="35698" xr:uid="{00000000-0005-0000-0000-000040880000}"/>
    <cellStyle name="TotRow - Style4 9 15" xfId="35699" xr:uid="{00000000-0005-0000-0000-000041880000}"/>
    <cellStyle name="TotRow - Style4 9 16" xfId="35700" xr:uid="{00000000-0005-0000-0000-000042880000}"/>
    <cellStyle name="TotRow - Style4 9 17" xfId="35701" xr:uid="{00000000-0005-0000-0000-000043880000}"/>
    <cellStyle name="TotRow - Style4 9 2" xfId="35702" xr:uid="{00000000-0005-0000-0000-000044880000}"/>
    <cellStyle name="TotRow - Style4 9 2 10" xfId="35703" xr:uid="{00000000-0005-0000-0000-000045880000}"/>
    <cellStyle name="TotRow - Style4 9 2 11" xfId="35704" xr:uid="{00000000-0005-0000-0000-000046880000}"/>
    <cellStyle name="TotRow - Style4 9 2 12" xfId="35705" xr:uid="{00000000-0005-0000-0000-000047880000}"/>
    <cellStyle name="TotRow - Style4 9 2 13" xfId="35706" xr:uid="{00000000-0005-0000-0000-000048880000}"/>
    <cellStyle name="TotRow - Style4 9 2 14" xfId="35707" xr:uid="{00000000-0005-0000-0000-000049880000}"/>
    <cellStyle name="TotRow - Style4 9 2 15" xfId="35708" xr:uid="{00000000-0005-0000-0000-00004A880000}"/>
    <cellStyle name="TotRow - Style4 9 2 16" xfId="35709" xr:uid="{00000000-0005-0000-0000-00004B880000}"/>
    <cellStyle name="TotRow - Style4 9 2 2" xfId="35710" xr:uid="{00000000-0005-0000-0000-00004C880000}"/>
    <cellStyle name="TotRow - Style4 9 2 3" xfId="35711" xr:uid="{00000000-0005-0000-0000-00004D880000}"/>
    <cellStyle name="TotRow - Style4 9 2 4" xfId="35712" xr:uid="{00000000-0005-0000-0000-00004E880000}"/>
    <cellStyle name="TotRow - Style4 9 2 5" xfId="35713" xr:uid="{00000000-0005-0000-0000-00004F880000}"/>
    <cellStyle name="TotRow - Style4 9 2 6" xfId="35714" xr:uid="{00000000-0005-0000-0000-000050880000}"/>
    <cellStyle name="TotRow - Style4 9 2 7" xfId="35715" xr:uid="{00000000-0005-0000-0000-000051880000}"/>
    <cellStyle name="TotRow - Style4 9 2 8" xfId="35716" xr:uid="{00000000-0005-0000-0000-000052880000}"/>
    <cellStyle name="TotRow - Style4 9 2 9" xfId="35717" xr:uid="{00000000-0005-0000-0000-000053880000}"/>
    <cellStyle name="TotRow - Style4 9 3" xfId="35718" xr:uid="{00000000-0005-0000-0000-000054880000}"/>
    <cellStyle name="TotRow - Style4 9 4" xfId="35719" xr:uid="{00000000-0005-0000-0000-000055880000}"/>
    <cellStyle name="TotRow - Style4 9 5" xfId="35720" xr:uid="{00000000-0005-0000-0000-000056880000}"/>
    <cellStyle name="TotRow - Style4 9 6" xfId="35721" xr:uid="{00000000-0005-0000-0000-000057880000}"/>
    <cellStyle name="TotRow - Style4 9 7" xfId="35722" xr:uid="{00000000-0005-0000-0000-000058880000}"/>
    <cellStyle name="TotRow - Style4 9 8" xfId="35723" xr:uid="{00000000-0005-0000-0000-000059880000}"/>
    <cellStyle name="TotRow - Style4 9 9" xfId="35724" xr:uid="{00000000-0005-0000-0000-00005A880000}"/>
    <cellStyle name="Trial" xfId="35725" xr:uid="{00000000-0005-0000-0000-00005B880000}"/>
    <cellStyle name="Trial 10" xfId="35726" xr:uid="{00000000-0005-0000-0000-00005C880000}"/>
    <cellStyle name="Trial 11" xfId="35727" xr:uid="{00000000-0005-0000-0000-00005D880000}"/>
    <cellStyle name="Trial 12" xfId="35728" xr:uid="{00000000-0005-0000-0000-00005E880000}"/>
    <cellStyle name="Trial 13" xfId="35729" xr:uid="{00000000-0005-0000-0000-00005F880000}"/>
    <cellStyle name="Trial 14" xfId="35730" xr:uid="{00000000-0005-0000-0000-000060880000}"/>
    <cellStyle name="Trial 15" xfId="35731" xr:uid="{00000000-0005-0000-0000-000061880000}"/>
    <cellStyle name="Trial 16" xfId="35732" xr:uid="{00000000-0005-0000-0000-000062880000}"/>
    <cellStyle name="Trial 17" xfId="35733" xr:uid="{00000000-0005-0000-0000-000063880000}"/>
    <cellStyle name="Trial 18" xfId="35734" xr:uid="{00000000-0005-0000-0000-000064880000}"/>
    <cellStyle name="Trial 19" xfId="35735" xr:uid="{00000000-0005-0000-0000-000065880000}"/>
    <cellStyle name="Trial 2" xfId="35736" xr:uid="{00000000-0005-0000-0000-000066880000}"/>
    <cellStyle name="Trial 2 10" xfId="35737" xr:uid="{00000000-0005-0000-0000-000067880000}"/>
    <cellStyle name="Trial 2 11" xfId="35738" xr:uid="{00000000-0005-0000-0000-000068880000}"/>
    <cellStyle name="Trial 2 12" xfId="35739" xr:uid="{00000000-0005-0000-0000-000069880000}"/>
    <cellStyle name="Trial 2 13" xfId="35740" xr:uid="{00000000-0005-0000-0000-00006A880000}"/>
    <cellStyle name="Trial 2 14" xfId="35741" xr:uid="{00000000-0005-0000-0000-00006B880000}"/>
    <cellStyle name="Trial 2 15" xfId="35742" xr:uid="{00000000-0005-0000-0000-00006C880000}"/>
    <cellStyle name="Trial 2 2" xfId="35743" xr:uid="{00000000-0005-0000-0000-00006D880000}"/>
    <cellStyle name="Trial 2 3" xfId="35744" xr:uid="{00000000-0005-0000-0000-00006E880000}"/>
    <cellStyle name="Trial 2 4" xfId="35745" xr:uid="{00000000-0005-0000-0000-00006F880000}"/>
    <cellStyle name="Trial 2 5" xfId="35746" xr:uid="{00000000-0005-0000-0000-000070880000}"/>
    <cellStyle name="Trial 2 6" xfId="35747" xr:uid="{00000000-0005-0000-0000-000071880000}"/>
    <cellStyle name="Trial 2 7" xfId="35748" xr:uid="{00000000-0005-0000-0000-000072880000}"/>
    <cellStyle name="Trial 2 8" xfId="35749" xr:uid="{00000000-0005-0000-0000-000073880000}"/>
    <cellStyle name="Trial 2 9" xfId="35750" xr:uid="{00000000-0005-0000-0000-000074880000}"/>
    <cellStyle name="Trial 20" xfId="35751" xr:uid="{00000000-0005-0000-0000-000075880000}"/>
    <cellStyle name="Trial 21" xfId="35752" xr:uid="{00000000-0005-0000-0000-000076880000}"/>
    <cellStyle name="Trial 22" xfId="35753" xr:uid="{00000000-0005-0000-0000-000077880000}"/>
    <cellStyle name="Trial 23" xfId="35754" xr:uid="{00000000-0005-0000-0000-000078880000}"/>
    <cellStyle name="Trial 3" xfId="35755" xr:uid="{00000000-0005-0000-0000-000079880000}"/>
    <cellStyle name="Trial 3 10" xfId="35756" xr:uid="{00000000-0005-0000-0000-00007A880000}"/>
    <cellStyle name="Trial 3 11" xfId="35757" xr:uid="{00000000-0005-0000-0000-00007B880000}"/>
    <cellStyle name="Trial 3 12" xfId="35758" xr:uid="{00000000-0005-0000-0000-00007C880000}"/>
    <cellStyle name="Trial 3 13" xfId="35759" xr:uid="{00000000-0005-0000-0000-00007D880000}"/>
    <cellStyle name="Trial 3 14" xfId="35760" xr:uid="{00000000-0005-0000-0000-00007E880000}"/>
    <cellStyle name="Trial 3 15" xfId="35761" xr:uid="{00000000-0005-0000-0000-00007F880000}"/>
    <cellStyle name="Trial 3 2" xfId="35762" xr:uid="{00000000-0005-0000-0000-000080880000}"/>
    <cellStyle name="Trial 3 3" xfId="35763" xr:uid="{00000000-0005-0000-0000-000081880000}"/>
    <cellStyle name="Trial 3 4" xfId="35764" xr:uid="{00000000-0005-0000-0000-000082880000}"/>
    <cellStyle name="Trial 3 5" xfId="35765" xr:uid="{00000000-0005-0000-0000-000083880000}"/>
    <cellStyle name="Trial 3 6" xfId="35766" xr:uid="{00000000-0005-0000-0000-000084880000}"/>
    <cellStyle name="Trial 3 7" xfId="35767" xr:uid="{00000000-0005-0000-0000-000085880000}"/>
    <cellStyle name="Trial 3 8" xfId="35768" xr:uid="{00000000-0005-0000-0000-000086880000}"/>
    <cellStyle name="Trial 3 9" xfId="35769" xr:uid="{00000000-0005-0000-0000-000087880000}"/>
    <cellStyle name="Trial 4" xfId="35770" xr:uid="{00000000-0005-0000-0000-000088880000}"/>
    <cellStyle name="Trial 4 10" xfId="35771" xr:uid="{00000000-0005-0000-0000-000089880000}"/>
    <cellStyle name="Trial 4 11" xfId="35772" xr:uid="{00000000-0005-0000-0000-00008A880000}"/>
    <cellStyle name="Trial 4 12" xfId="35773" xr:uid="{00000000-0005-0000-0000-00008B880000}"/>
    <cellStyle name="Trial 4 13" xfId="35774" xr:uid="{00000000-0005-0000-0000-00008C880000}"/>
    <cellStyle name="Trial 4 14" xfId="35775" xr:uid="{00000000-0005-0000-0000-00008D880000}"/>
    <cellStyle name="Trial 4 15" xfId="35776" xr:uid="{00000000-0005-0000-0000-00008E880000}"/>
    <cellStyle name="Trial 4 2" xfId="35777" xr:uid="{00000000-0005-0000-0000-00008F880000}"/>
    <cellStyle name="Trial 4 3" xfId="35778" xr:uid="{00000000-0005-0000-0000-000090880000}"/>
    <cellStyle name="Trial 4 4" xfId="35779" xr:uid="{00000000-0005-0000-0000-000091880000}"/>
    <cellStyle name="Trial 4 5" xfId="35780" xr:uid="{00000000-0005-0000-0000-000092880000}"/>
    <cellStyle name="Trial 4 6" xfId="35781" xr:uid="{00000000-0005-0000-0000-000093880000}"/>
    <cellStyle name="Trial 4 7" xfId="35782" xr:uid="{00000000-0005-0000-0000-000094880000}"/>
    <cellStyle name="Trial 4 8" xfId="35783" xr:uid="{00000000-0005-0000-0000-000095880000}"/>
    <cellStyle name="Trial 4 9" xfId="35784" xr:uid="{00000000-0005-0000-0000-000096880000}"/>
    <cellStyle name="Trial 5" xfId="35785" xr:uid="{00000000-0005-0000-0000-000097880000}"/>
    <cellStyle name="Trial 5 10" xfId="35786" xr:uid="{00000000-0005-0000-0000-000098880000}"/>
    <cellStyle name="Trial 5 11" xfId="35787" xr:uid="{00000000-0005-0000-0000-000099880000}"/>
    <cellStyle name="Trial 5 12" xfId="35788" xr:uid="{00000000-0005-0000-0000-00009A880000}"/>
    <cellStyle name="Trial 5 13" xfId="35789" xr:uid="{00000000-0005-0000-0000-00009B880000}"/>
    <cellStyle name="Trial 5 14" xfId="35790" xr:uid="{00000000-0005-0000-0000-00009C880000}"/>
    <cellStyle name="Trial 5 15" xfId="35791" xr:uid="{00000000-0005-0000-0000-00009D880000}"/>
    <cellStyle name="Trial 5 2" xfId="35792" xr:uid="{00000000-0005-0000-0000-00009E880000}"/>
    <cellStyle name="Trial 5 3" xfId="35793" xr:uid="{00000000-0005-0000-0000-00009F880000}"/>
    <cellStyle name="Trial 5 4" xfId="35794" xr:uid="{00000000-0005-0000-0000-0000A0880000}"/>
    <cellStyle name="Trial 5 5" xfId="35795" xr:uid="{00000000-0005-0000-0000-0000A1880000}"/>
    <cellStyle name="Trial 5 6" xfId="35796" xr:uid="{00000000-0005-0000-0000-0000A2880000}"/>
    <cellStyle name="Trial 5 7" xfId="35797" xr:uid="{00000000-0005-0000-0000-0000A3880000}"/>
    <cellStyle name="Trial 5 8" xfId="35798" xr:uid="{00000000-0005-0000-0000-0000A4880000}"/>
    <cellStyle name="Trial 5 9" xfId="35799" xr:uid="{00000000-0005-0000-0000-0000A5880000}"/>
    <cellStyle name="Trial 6" xfId="35800" xr:uid="{00000000-0005-0000-0000-0000A6880000}"/>
    <cellStyle name="Trial 6 10" xfId="35801" xr:uid="{00000000-0005-0000-0000-0000A7880000}"/>
    <cellStyle name="Trial 6 11" xfId="35802" xr:uid="{00000000-0005-0000-0000-0000A8880000}"/>
    <cellStyle name="Trial 6 12" xfId="35803" xr:uid="{00000000-0005-0000-0000-0000A9880000}"/>
    <cellStyle name="Trial 6 13" xfId="35804" xr:uid="{00000000-0005-0000-0000-0000AA880000}"/>
    <cellStyle name="Trial 6 14" xfId="35805" xr:uid="{00000000-0005-0000-0000-0000AB880000}"/>
    <cellStyle name="Trial 6 15" xfId="35806" xr:uid="{00000000-0005-0000-0000-0000AC880000}"/>
    <cellStyle name="Trial 6 2" xfId="35807" xr:uid="{00000000-0005-0000-0000-0000AD880000}"/>
    <cellStyle name="Trial 6 3" xfId="35808" xr:uid="{00000000-0005-0000-0000-0000AE880000}"/>
    <cellStyle name="Trial 6 4" xfId="35809" xr:uid="{00000000-0005-0000-0000-0000AF880000}"/>
    <cellStyle name="Trial 6 5" xfId="35810" xr:uid="{00000000-0005-0000-0000-0000B0880000}"/>
    <cellStyle name="Trial 6 6" xfId="35811" xr:uid="{00000000-0005-0000-0000-0000B1880000}"/>
    <cellStyle name="Trial 6 7" xfId="35812" xr:uid="{00000000-0005-0000-0000-0000B2880000}"/>
    <cellStyle name="Trial 6 8" xfId="35813" xr:uid="{00000000-0005-0000-0000-0000B3880000}"/>
    <cellStyle name="Trial 6 9" xfId="35814" xr:uid="{00000000-0005-0000-0000-0000B4880000}"/>
    <cellStyle name="Trial 7" xfId="35815" xr:uid="{00000000-0005-0000-0000-0000B5880000}"/>
    <cellStyle name="Trial 7 10" xfId="35816" xr:uid="{00000000-0005-0000-0000-0000B6880000}"/>
    <cellStyle name="Trial 7 11" xfId="35817" xr:uid="{00000000-0005-0000-0000-0000B7880000}"/>
    <cellStyle name="Trial 7 12" xfId="35818" xr:uid="{00000000-0005-0000-0000-0000B8880000}"/>
    <cellStyle name="Trial 7 13" xfId="35819" xr:uid="{00000000-0005-0000-0000-0000B9880000}"/>
    <cellStyle name="Trial 7 14" xfId="35820" xr:uid="{00000000-0005-0000-0000-0000BA880000}"/>
    <cellStyle name="Trial 7 15" xfId="35821" xr:uid="{00000000-0005-0000-0000-0000BB880000}"/>
    <cellStyle name="Trial 7 2" xfId="35822" xr:uid="{00000000-0005-0000-0000-0000BC880000}"/>
    <cellStyle name="Trial 7 3" xfId="35823" xr:uid="{00000000-0005-0000-0000-0000BD880000}"/>
    <cellStyle name="Trial 7 4" xfId="35824" xr:uid="{00000000-0005-0000-0000-0000BE880000}"/>
    <cellStyle name="Trial 7 5" xfId="35825" xr:uid="{00000000-0005-0000-0000-0000BF880000}"/>
    <cellStyle name="Trial 7 6" xfId="35826" xr:uid="{00000000-0005-0000-0000-0000C0880000}"/>
    <cellStyle name="Trial 7 7" xfId="35827" xr:uid="{00000000-0005-0000-0000-0000C1880000}"/>
    <cellStyle name="Trial 7 8" xfId="35828" xr:uid="{00000000-0005-0000-0000-0000C2880000}"/>
    <cellStyle name="Trial 7 9" xfId="35829" xr:uid="{00000000-0005-0000-0000-0000C3880000}"/>
    <cellStyle name="Trial 8" xfId="35830" xr:uid="{00000000-0005-0000-0000-0000C4880000}"/>
    <cellStyle name="Trial 8 10" xfId="35831" xr:uid="{00000000-0005-0000-0000-0000C5880000}"/>
    <cellStyle name="Trial 8 11" xfId="35832" xr:uid="{00000000-0005-0000-0000-0000C6880000}"/>
    <cellStyle name="Trial 8 12" xfId="35833" xr:uid="{00000000-0005-0000-0000-0000C7880000}"/>
    <cellStyle name="Trial 8 13" xfId="35834" xr:uid="{00000000-0005-0000-0000-0000C8880000}"/>
    <cellStyle name="Trial 8 14" xfId="35835" xr:uid="{00000000-0005-0000-0000-0000C9880000}"/>
    <cellStyle name="Trial 8 15" xfId="35836" xr:uid="{00000000-0005-0000-0000-0000CA880000}"/>
    <cellStyle name="Trial 8 2" xfId="35837" xr:uid="{00000000-0005-0000-0000-0000CB880000}"/>
    <cellStyle name="Trial 8 3" xfId="35838" xr:uid="{00000000-0005-0000-0000-0000CC880000}"/>
    <cellStyle name="Trial 8 4" xfId="35839" xr:uid="{00000000-0005-0000-0000-0000CD880000}"/>
    <cellStyle name="Trial 8 5" xfId="35840" xr:uid="{00000000-0005-0000-0000-0000CE880000}"/>
    <cellStyle name="Trial 8 6" xfId="35841" xr:uid="{00000000-0005-0000-0000-0000CF880000}"/>
    <cellStyle name="Trial 8 7" xfId="35842" xr:uid="{00000000-0005-0000-0000-0000D0880000}"/>
    <cellStyle name="Trial 8 8" xfId="35843" xr:uid="{00000000-0005-0000-0000-0000D1880000}"/>
    <cellStyle name="Trial 8 9" xfId="35844" xr:uid="{00000000-0005-0000-0000-0000D2880000}"/>
    <cellStyle name="Trial 9" xfId="35845" xr:uid="{00000000-0005-0000-0000-0000D3880000}"/>
    <cellStyle name="Tusental (0)_pldt" xfId="35846" xr:uid="{00000000-0005-0000-0000-0000D4880000}"/>
    <cellStyle name="Tusental_pldt" xfId="35847" xr:uid="{00000000-0005-0000-0000-0000D5880000}"/>
    <cellStyle name="uni" xfId="35848" xr:uid="{00000000-0005-0000-0000-0000D6880000}"/>
    <cellStyle name="uni 10" xfId="35849" xr:uid="{00000000-0005-0000-0000-0000D7880000}"/>
    <cellStyle name="uni 11" xfId="35850" xr:uid="{00000000-0005-0000-0000-0000D8880000}"/>
    <cellStyle name="uni 12" xfId="35851" xr:uid="{00000000-0005-0000-0000-0000D9880000}"/>
    <cellStyle name="uni 13" xfId="35852" xr:uid="{00000000-0005-0000-0000-0000DA880000}"/>
    <cellStyle name="uni 14" xfId="35853" xr:uid="{00000000-0005-0000-0000-0000DB880000}"/>
    <cellStyle name="uni 15" xfId="35854" xr:uid="{00000000-0005-0000-0000-0000DC880000}"/>
    <cellStyle name="uni 16" xfId="35855" xr:uid="{00000000-0005-0000-0000-0000DD880000}"/>
    <cellStyle name="uni 2" xfId="35856" xr:uid="{00000000-0005-0000-0000-0000DE880000}"/>
    <cellStyle name="uni 3" xfId="35857" xr:uid="{00000000-0005-0000-0000-0000DF880000}"/>
    <cellStyle name="uni 4" xfId="35858" xr:uid="{00000000-0005-0000-0000-0000E0880000}"/>
    <cellStyle name="uni 5" xfId="35859" xr:uid="{00000000-0005-0000-0000-0000E1880000}"/>
    <cellStyle name="uni 6" xfId="35860" xr:uid="{00000000-0005-0000-0000-0000E2880000}"/>
    <cellStyle name="uni 7" xfId="35861" xr:uid="{00000000-0005-0000-0000-0000E3880000}"/>
    <cellStyle name="uni 8" xfId="35862" xr:uid="{00000000-0005-0000-0000-0000E4880000}"/>
    <cellStyle name="uni 9" xfId="35863" xr:uid="{00000000-0005-0000-0000-0000E5880000}"/>
    <cellStyle name="Unit" xfId="35864" xr:uid="{00000000-0005-0000-0000-0000E6880000}"/>
    <cellStyle name="Unit 10" xfId="35865" xr:uid="{00000000-0005-0000-0000-0000E7880000}"/>
    <cellStyle name="Unit 11" xfId="35866" xr:uid="{00000000-0005-0000-0000-0000E8880000}"/>
    <cellStyle name="Unit 12" xfId="35867" xr:uid="{00000000-0005-0000-0000-0000E9880000}"/>
    <cellStyle name="Unit 13" xfId="35868" xr:uid="{00000000-0005-0000-0000-0000EA880000}"/>
    <cellStyle name="Unit 14" xfId="35869" xr:uid="{00000000-0005-0000-0000-0000EB880000}"/>
    <cellStyle name="Unit 15" xfId="35870" xr:uid="{00000000-0005-0000-0000-0000EC880000}"/>
    <cellStyle name="Unit 16" xfId="35871" xr:uid="{00000000-0005-0000-0000-0000ED880000}"/>
    <cellStyle name="Unit 2" xfId="35872" xr:uid="{00000000-0005-0000-0000-0000EE880000}"/>
    <cellStyle name="Unit 3" xfId="35873" xr:uid="{00000000-0005-0000-0000-0000EF880000}"/>
    <cellStyle name="Unit 4" xfId="35874" xr:uid="{00000000-0005-0000-0000-0000F0880000}"/>
    <cellStyle name="Unit 5" xfId="35875" xr:uid="{00000000-0005-0000-0000-0000F1880000}"/>
    <cellStyle name="Unit 6" xfId="35876" xr:uid="{00000000-0005-0000-0000-0000F2880000}"/>
    <cellStyle name="Unit 7" xfId="35877" xr:uid="{00000000-0005-0000-0000-0000F3880000}"/>
    <cellStyle name="Unit 8" xfId="35878" xr:uid="{00000000-0005-0000-0000-0000F4880000}"/>
    <cellStyle name="Unit 9" xfId="35879" xr:uid="{00000000-0005-0000-0000-0000F5880000}"/>
    <cellStyle name="v" xfId="35880" xr:uid="{00000000-0005-0000-0000-0000F6880000}"/>
    <cellStyle name="v 10" xfId="35881" xr:uid="{00000000-0005-0000-0000-0000F7880000}"/>
    <cellStyle name="v 10 10" xfId="35882" xr:uid="{00000000-0005-0000-0000-0000F8880000}"/>
    <cellStyle name="v 10 11" xfId="35883" xr:uid="{00000000-0005-0000-0000-0000F9880000}"/>
    <cellStyle name="v 10 12" xfId="35884" xr:uid="{00000000-0005-0000-0000-0000FA880000}"/>
    <cellStyle name="v 10 13" xfId="35885" xr:uid="{00000000-0005-0000-0000-0000FB880000}"/>
    <cellStyle name="v 10 14" xfId="35886" xr:uid="{00000000-0005-0000-0000-0000FC880000}"/>
    <cellStyle name="v 10 15" xfId="35887" xr:uid="{00000000-0005-0000-0000-0000FD880000}"/>
    <cellStyle name="v 10 16" xfId="35888" xr:uid="{00000000-0005-0000-0000-0000FE880000}"/>
    <cellStyle name="v 10 17" xfId="35889" xr:uid="{00000000-0005-0000-0000-0000FF880000}"/>
    <cellStyle name="v 10 2" xfId="35890" xr:uid="{00000000-0005-0000-0000-000000890000}"/>
    <cellStyle name="v 10 2 10" xfId="35891" xr:uid="{00000000-0005-0000-0000-000001890000}"/>
    <cellStyle name="v 10 2 11" xfId="35892" xr:uid="{00000000-0005-0000-0000-000002890000}"/>
    <cellStyle name="v 10 2 12" xfId="35893" xr:uid="{00000000-0005-0000-0000-000003890000}"/>
    <cellStyle name="v 10 2 13" xfId="35894" xr:uid="{00000000-0005-0000-0000-000004890000}"/>
    <cellStyle name="v 10 2 14" xfId="35895" xr:uid="{00000000-0005-0000-0000-000005890000}"/>
    <cellStyle name="v 10 2 15" xfId="35896" xr:uid="{00000000-0005-0000-0000-000006890000}"/>
    <cellStyle name="v 10 2 16" xfId="35897" xr:uid="{00000000-0005-0000-0000-000007890000}"/>
    <cellStyle name="v 10 2 2" xfId="35898" xr:uid="{00000000-0005-0000-0000-000008890000}"/>
    <cellStyle name="v 10 2 3" xfId="35899" xr:uid="{00000000-0005-0000-0000-000009890000}"/>
    <cellStyle name="v 10 2 4" xfId="35900" xr:uid="{00000000-0005-0000-0000-00000A890000}"/>
    <cellStyle name="v 10 2 5" xfId="35901" xr:uid="{00000000-0005-0000-0000-00000B890000}"/>
    <cellStyle name="v 10 2 6" xfId="35902" xr:uid="{00000000-0005-0000-0000-00000C890000}"/>
    <cellStyle name="v 10 2 7" xfId="35903" xr:uid="{00000000-0005-0000-0000-00000D890000}"/>
    <cellStyle name="v 10 2 8" xfId="35904" xr:uid="{00000000-0005-0000-0000-00000E890000}"/>
    <cellStyle name="v 10 2 9" xfId="35905" xr:uid="{00000000-0005-0000-0000-00000F890000}"/>
    <cellStyle name="v 10 3" xfId="35906" xr:uid="{00000000-0005-0000-0000-000010890000}"/>
    <cellStyle name="v 10 4" xfId="35907" xr:uid="{00000000-0005-0000-0000-000011890000}"/>
    <cellStyle name="v 10 5" xfId="35908" xr:uid="{00000000-0005-0000-0000-000012890000}"/>
    <cellStyle name="v 10 6" xfId="35909" xr:uid="{00000000-0005-0000-0000-000013890000}"/>
    <cellStyle name="v 10 7" xfId="35910" xr:uid="{00000000-0005-0000-0000-000014890000}"/>
    <cellStyle name="v 10 8" xfId="35911" xr:uid="{00000000-0005-0000-0000-000015890000}"/>
    <cellStyle name="v 10 9" xfId="35912" xr:uid="{00000000-0005-0000-0000-000016890000}"/>
    <cellStyle name="v 11" xfId="35913" xr:uid="{00000000-0005-0000-0000-000017890000}"/>
    <cellStyle name="v 11 10" xfId="35914" xr:uid="{00000000-0005-0000-0000-000018890000}"/>
    <cellStyle name="v 11 11" xfId="35915" xr:uid="{00000000-0005-0000-0000-000019890000}"/>
    <cellStyle name="v 11 12" xfId="35916" xr:uid="{00000000-0005-0000-0000-00001A890000}"/>
    <cellStyle name="v 11 13" xfId="35917" xr:uid="{00000000-0005-0000-0000-00001B890000}"/>
    <cellStyle name="v 11 14" xfId="35918" xr:uid="{00000000-0005-0000-0000-00001C890000}"/>
    <cellStyle name="v 11 15" xfId="35919" xr:uid="{00000000-0005-0000-0000-00001D890000}"/>
    <cellStyle name="v 11 16" xfId="35920" xr:uid="{00000000-0005-0000-0000-00001E890000}"/>
    <cellStyle name="v 11 2" xfId="35921" xr:uid="{00000000-0005-0000-0000-00001F890000}"/>
    <cellStyle name="v 11 3" xfId="35922" xr:uid="{00000000-0005-0000-0000-000020890000}"/>
    <cellStyle name="v 11 4" xfId="35923" xr:uid="{00000000-0005-0000-0000-000021890000}"/>
    <cellStyle name="v 11 5" xfId="35924" xr:uid="{00000000-0005-0000-0000-000022890000}"/>
    <cellStyle name="v 11 6" xfId="35925" xr:uid="{00000000-0005-0000-0000-000023890000}"/>
    <cellStyle name="v 11 7" xfId="35926" xr:uid="{00000000-0005-0000-0000-000024890000}"/>
    <cellStyle name="v 11 8" xfId="35927" xr:uid="{00000000-0005-0000-0000-000025890000}"/>
    <cellStyle name="v 11 9" xfId="35928" xr:uid="{00000000-0005-0000-0000-000026890000}"/>
    <cellStyle name="v 12" xfId="35929" xr:uid="{00000000-0005-0000-0000-000027890000}"/>
    <cellStyle name="v 13" xfId="35930" xr:uid="{00000000-0005-0000-0000-000028890000}"/>
    <cellStyle name="v 14" xfId="35931" xr:uid="{00000000-0005-0000-0000-000029890000}"/>
    <cellStyle name="v 15" xfId="35932" xr:uid="{00000000-0005-0000-0000-00002A890000}"/>
    <cellStyle name="v 16" xfId="35933" xr:uid="{00000000-0005-0000-0000-00002B890000}"/>
    <cellStyle name="v 17" xfId="35934" xr:uid="{00000000-0005-0000-0000-00002C890000}"/>
    <cellStyle name="v 18" xfId="35935" xr:uid="{00000000-0005-0000-0000-00002D890000}"/>
    <cellStyle name="v 19" xfId="35936" xr:uid="{00000000-0005-0000-0000-00002E890000}"/>
    <cellStyle name="v 2" xfId="35937" xr:uid="{00000000-0005-0000-0000-00002F890000}"/>
    <cellStyle name="v 2 10" xfId="35938" xr:uid="{00000000-0005-0000-0000-000030890000}"/>
    <cellStyle name="v 2 11" xfId="35939" xr:uid="{00000000-0005-0000-0000-000031890000}"/>
    <cellStyle name="v 2 12" xfId="35940" xr:uid="{00000000-0005-0000-0000-000032890000}"/>
    <cellStyle name="v 2 13" xfId="35941" xr:uid="{00000000-0005-0000-0000-000033890000}"/>
    <cellStyle name="v 2 14" xfId="35942" xr:uid="{00000000-0005-0000-0000-000034890000}"/>
    <cellStyle name="v 2 15" xfId="35943" xr:uid="{00000000-0005-0000-0000-000035890000}"/>
    <cellStyle name="v 2 16" xfId="35944" xr:uid="{00000000-0005-0000-0000-000036890000}"/>
    <cellStyle name="v 2 17" xfId="35945" xr:uid="{00000000-0005-0000-0000-000037890000}"/>
    <cellStyle name="v 2 2" xfId="35946" xr:uid="{00000000-0005-0000-0000-000038890000}"/>
    <cellStyle name="v 2 2 10" xfId="35947" xr:uid="{00000000-0005-0000-0000-000039890000}"/>
    <cellStyle name="v 2 2 11" xfId="35948" xr:uid="{00000000-0005-0000-0000-00003A890000}"/>
    <cellStyle name="v 2 2 12" xfId="35949" xr:uid="{00000000-0005-0000-0000-00003B890000}"/>
    <cellStyle name="v 2 2 13" xfId="35950" xr:uid="{00000000-0005-0000-0000-00003C890000}"/>
    <cellStyle name="v 2 2 14" xfId="35951" xr:uid="{00000000-0005-0000-0000-00003D890000}"/>
    <cellStyle name="v 2 2 15" xfId="35952" xr:uid="{00000000-0005-0000-0000-00003E890000}"/>
    <cellStyle name="v 2 2 16" xfId="35953" xr:uid="{00000000-0005-0000-0000-00003F890000}"/>
    <cellStyle name="v 2 2 2" xfId="35954" xr:uid="{00000000-0005-0000-0000-000040890000}"/>
    <cellStyle name="v 2 2 3" xfId="35955" xr:uid="{00000000-0005-0000-0000-000041890000}"/>
    <cellStyle name="v 2 2 4" xfId="35956" xr:uid="{00000000-0005-0000-0000-000042890000}"/>
    <cellStyle name="v 2 2 5" xfId="35957" xr:uid="{00000000-0005-0000-0000-000043890000}"/>
    <cellStyle name="v 2 2 6" xfId="35958" xr:uid="{00000000-0005-0000-0000-000044890000}"/>
    <cellStyle name="v 2 2 7" xfId="35959" xr:uid="{00000000-0005-0000-0000-000045890000}"/>
    <cellStyle name="v 2 2 8" xfId="35960" xr:uid="{00000000-0005-0000-0000-000046890000}"/>
    <cellStyle name="v 2 2 9" xfId="35961" xr:uid="{00000000-0005-0000-0000-000047890000}"/>
    <cellStyle name="v 2 3" xfId="35962" xr:uid="{00000000-0005-0000-0000-000048890000}"/>
    <cellStyle name="v 2 4" xfId="35963" xr:uid="{00000000-0005-0000-0000-000049890000}"/>
    <cellStyle name="v 2 5" xfId="35964" xr:uid="{00000000-0005-0000-0000-00004A890000}"/>
    <cellStyle name="v 2 6" xfId="35965" xr:uid="{00000000-0005-0000-0000-00004B890000}"/>
    <cellStyle name="v 2 7" xfId="35966" xr:uid="{00000000-0005-0000-0000-00004C890000}"/>
    <cellStyle name="v 2 8" xfId="35967" xr:uid="{00000000-0005-0000-0000-00004D890000}"/>
    <cellStyle name="v 2 9" xfId="35968" xr:uid="{00000000-0005-0000-0000-00004E890000}"/>
    <cellStyle name="v 20" xfId="35969" xr:uid="{00000000-0005-0000-0000-00004F890000}"/>
    <cellStyle name="v 21" xfId="35970" xr:uid="{00000000-0005-0000-0000-000050890000}"/>
    <cellStyle name="v 22" xfId="35971" xr:uid="{00000000-0005-0000-0000-000051890000}"/>
    <cellStyle name="v 23" xfId="35972" xr:uid="{00000000-0005-0000-0000-000052890000}"/>
    <cellStyle name="v 24" xfId="35973" xr:uid="{00000000-0005-0000-0000-000053890000}"/>
    <cellStyle name="v 25" xfId="35974" xr:uid="{00000000-0005-0000-0000-000054890000}"/>
    <cellStyle name="v 26" xfId="35975" xr:uid="{00000000-0005-0000-0000-000055890000}"/>
    <cellStyle name="v 3" xfId="35976" xr:uid="{00000000-0005-0000-0000-000056890000}"/>
    <cellStyle name="v 3 10" xfId="35977" xr:uid="{00000000-0005-0000-0000-000057890000}"/>
    <cellStyle name="v 3 11" xfId="35978" xr:uid="{00000000-0005-0000-0000-000058890000}"/>
    <cellStyle name="v 3 12" xfId="35979" xr:uid="{00000000-0005-0000-0000-000059890000}"/>
    <cellStyle name="v 3 13" xfId="35980" xr:uid="{00000000-0005-0000-0000-00005A890000}"/>
    <cellStyle name="v 3 14" xfId="35981" xr:uid="{00000000-0005-0000-0000-00005B890000}"/>
    <cellStyle name="v 3 15" xfId="35982" xr:uid="{00000000-0005-0000-0000-00005C890000}"/>
    <cellStyle name="v 3 16" xfId="35983" xr:uid="{00000000-0005-0000-0000-00005D890000}"/>
    <cellStyle name="v 3 17" xfId="35984" xr:uid="{00000000-0005-0000-0000-00005E890000}"/>
    <cellStyle name="v 3 2" xfId="35985" xr:uid="{00000000-0005-0000-0000-00005F890000}"/>
    <cellStyle name="v 3 2 10" xfId="35986" xr:uid="{00000000-0005-0000-0000-000060890000}"/>
    <cellStyle name="v 3 2 11" xfId="35987" xr:uid="{00000000-0005-0000-0000-000061890000}"/>
    <cellStyle name="v 3 2 12" xfId="35988" xr:uid="{00000000-0005-0000-0000-000062890000}"/>
    <cellStyle name="v 3 2 13" xfId="35989" xr:uid="{00000000-0005-0000-0000-000063890000}"/>
    <cellStyle name="v 3 2 14" xfId="35990" xr:uid="{00000000-0005-0000-0000-000064890000}"/>
    <cellStyle name="v 3 2 15" xfId="35991" xr:uid="{00000000-0005-0000-0000-000065890000}"/>
    <cellStyle name="v 3 2 16" xfId="35992" xr:uid="{00000000-0005-0000-0000-000066890000}"/>
    <cellStyle name="v 3 2 2" xfId="35993" xr:uid="{00000000-0005-0000-0000-000067890000}"/>
    <cellStyle name="v 3 2 3" xfId="35994" xr:uid="{00000000-0005-0000-0000-000068890000}"/>
    <cellStyle name="v 3 2 4" xfId="35995" xr:uid="{00000000-0005-0000-0000-000069890000}"/>
    <cellStyle name="v 3 2 5" xfId="35996" xr:uid="{00000000-0005-0000-0000-00006A890000}"/>
    <cellStyle name="v 3 2 6" xfId="35997" xr:uid="{00000000-0005-0000-0000-00006B890000}"/>
    <cellStyle name="v 3 2 7" xfId="35998" xr:uid="{00000000-0005-0000-0000-00006C890000}"/>
    <cellStyle name="v 3 2 8" xfId="35999" xr:uid="{00000000-0005-0000-0000-00006D890000}"/>
    <cellStyle name="v 3 2 9" xfId="36000" xr:uid="{00000000-0005-0000-0000-00006E890000}"/>
    <cellStyle name="v 3 3" xfId="36001" xr:uid="{00000000-0005-0000-0000-00006F890000}"/>
    <cellStyle name="v 3 4" xfId="36002" xr:uid="{00000000-0005-0000-0000-000070890000}"/>
    <cellStyle name="v 3 5" xfId="36003" xr:uid="{00000000-0005-0000-0000-000071890000}"/>
    <cellStyle name="v 3 6" xfId="36004" xr:uid="{00000000-0005-0000-0000-000072890000}"/>
    <cellStyle name="v 3 7" xfId="36005" xr:uid="{00000000-0005-0000-0000-000073890000}"/>
    <cellStyle name="v 3 8" xfId="36006" xr:uid="{00000000-0005-0000-0000-000074890000}"/>
    <cellStyle name="v 3 9" xfId="36007" xr:uid="{00000000-0005-0000-0000-000075890000}"/>
    <cellStyle name="v 4" xfId="36008" xr:uid="{00000000-0005-0000-0000-000076890000}"/>
    <cellStyle name="v 4 10" xfId="36009" xr:uid="{00000000-0005-0000-0000-000077890000}"/>
    <cellStyle name="v 4 11" xfId="36010" xr:uid="{00000000-0005-0000-0000-000078890000}"/>
    <cellStyle name="v 4 12" xfId="36011" xr:uid="{00000000-0005-0000-0000-000079890000}"/>
    <cellStyle name="v 4 13" xfId="36012" xr:uid="{00000000-0005-0000-0000-00007A890000}"/>
    <cellStyle name="v 4 14" xfId="36013" xr:uid="{00000000-0005-0000-0000-00007B890000}"/>
    <cellStyle name="v 4 15" xfId="36014" xr:uid="{00000000-0005-0000-0000-00007C890000}"/>
    <cellStyle name="v 4 16" xfId="36015" xr:uid="{00000000-0005-0000-0000-00007D890000}"/>
    <cellStyle name="v 4 17" xfId="36016" xr:uid="{00000000-0005-0000-0000-00007E890000}"/>
    <cellStyle name="v 4 2" xfId="36017" xr:uid="{00000000-0005-0000-0000-00007F890000}"/>
    <cellStyle name="v 4 2 10" xfId="36018" xr:uid="{00000000-0005-0000-0000-000080890000}"/>
    <cellStyle name="v 4 2 11" xfId="36019" xr:uid="{00000000-0005-0000-0000-000081890000}"/>
    <cellStyle name="v 4 2 12" xfId="36020" xr:uid="{00000000-0005-0000-0000-000082890000}"/>
    <cellStyle name="v 4 2 13" xfId="36021" xr:uid="{00000000-0005-0000-0000-000083890000}"/>
    <cellStyle name="v 4 2 14" xfId="36022" xr:uid="{00000000-0005-0000-0000-000084890000}"/>
    <cellStyle name="v 4 2 15" xfId="36023" xr:uid="{00000000-0005-0000-0000-000085890000}"/>
    <cellStyle name="v 4 2 16" xfId="36024" xr:uid="{00000000-0005-0000-0000-000086890000}"/>
    <cellStyle name="v 4 2 2" xfId="36025" xr:uid="{00000000-0005-0000-0000-000087890000}"/>
    <cellStyle name="v 4 2 3" xfId="36026" xr:uid="{00000000-0005-0000-0000-000088890000}"/>
    <cellStyle name="v 4 2 4" xfId="36027" xr:uid="{00000000-0005-0000-0000-000089890000}"/>
    <cellStyle name="v 4 2 5" xfId="36028" xr:uid="{00000000-0005-0000-0000-00008A890000}"/>
    <cellStyle name="v 4 2 6" xfId="36029" xr:uid="{00000000-0005-0000-0000-00008B890000}"/>
    <cellStyle name="v 4 2 7" xfId="36030" xr:uid="{00000000-0005-0000-0000-00008C890000}"/>
    <cellStyle name="v 4 2 8" xfId="36031" xr:uid="{00000000-0005-0000-0000-00008D890000}"/>
    <cellStyle name="v 4 2 9" xfId="36032" xr:uid="{00000000-0005-0000-0000-00008E890000}"/>
    <cellStyle name="v 4 3" xfId="36033" xr:uid="{00000000-0005-0000-0000-00008F890000}"/>
    <cellStyle name="v 4 4" xfId="36034" xr:uid="{00000000-0005-0000-0000-000090890000}"/>
    <cellStyle name="v 4 5" xfId="36035" xr:uid="{00000000-0005-0000-0000-000091890000}"/>
    <cellStyle name="v 4 6" xfId="36036" xr:uid="{00000000-0005-0000-0000-000092890000}"/>
    <cellStyle name="v 4 7" xfId="36037" xr:uid="{00000000-0005-0000-0000-000093890000}"/>
    <cellStyle name="v 4 8" xfId="36038" xr:uid="{00000000-0005-0000-0000-000094890000}"/>
    <cellStyle name="v 4 9" xfId="36039" xr:uid="{00000000-0005-0000-0000-000095890000}"/>
    <cellStyle name="v 5" xfId="36040" xr:uid="{00000000-0005-0000-0000-000096890000}"/>
    <cellStyle name="v 5 10" xfId="36041" xr:uid="{00000000-0005-0000-0000-000097890000}"/>
    <cellStyle name="v 5 11" xfId="36042" xr:uid="{00000000-0005-0000-0000-000098890000}"/>
    <cellStyle name="v 5 12" xfId="36043" xr:uid="{00000000-0005-0000-0000-000099890000}"/>
    <cellStyle name="v 5 13" xfId="36044" xr:uid="{00000000-0005-0000-0000-00009A890000}"/>
    <cellStyle name="v 5 14" xfId="36045" xr:uid="{00000000-0005-0000-0000-00009B890000}"/>
    <cellStyle name="v 5 15" xfId="36046" xr:uid="{00000000-0005-0000-0000-00009C890000}"/>
    <cellStyle name="v 5 16" xfId="36047" xr:uid="{00000000-0005-0000-0000-00009D890000}"/>
    <cellStyle name="v 5 17" xfId="36048" xr:uid="{00000000-0005-0000-0000-00009E890000}"/>
    <cellStyle name="v 5 2" xfId="36049" xr:uid="{00000000-0005-0000-0000-00009F890000}"/>
    <cellStyle name="v 5 2 10" xfId="36050" xr:uid="{00000000-0005-0000-0000-0000A0890000}"/>
    <cellStyle name="v 5 2 11" xfId="36051" xr:uid="{00000000-0005-0000-0000-0000A1890000}"/>
    <cellStyle name="v 5 2 12" xfId="36052" xr:uid="{00000000-0005-0000-0000-0000A2890000}"/>
    <cellStyle name="v 5 2 13" xfId="36053" xr:uid="{00000000-0005-0000-0000-0000A3890000}"/>
    <cellStyle name="v 5 2 14" xfId="36054" xr:uid="{00000000-0005-0000-0000-0000A4890000}"/>
    <cellStyle name="v 5 2 15" xfId="36055" xr:uid="{00000000-0005-0000-0000-0000A5890000}"/>
    <cellStyle name="v 5 2 16" xfId="36056" xr:uid="{00000000-0005-0000-0000-0000A6890000}"/>
    <cellStyle name="v 5 2 2" xfId="36057" xr:uid="{00000000-0005-0000-0000-0000A7890000}"/>
    <cellStyle name="v 5 2 3" xfId="36058" xr:uid="{00000000-0005-0000-0000-0000A8890000}"/>
    <cellStyle name="v 5 2 4" xfId="36059" xr:uid="{00000000-0005-0000-0000-0000A9890000}"/>
    <cellStyle name="v 5 2 5" xfId="36060" xr:uid="{00000000-0005-0000-0000-0000AA890000}"/>
    <cellStyle name="v 5 2 6" xfId="36061" xr:uid="{00000000-0005-0000-0000-0000AB890000}"/>
    <cellStyle name="v 5 2 7" xfId="36062" xr:uid="{00000000-0005-0000-0000-0000AC890000}"/>
    <cellStyle name="v 5 2 8" xfId="36063" xr:uid="{00000000-0005-0000-0000-0000AD890000}"/>
    <cellStyle name="v 5 2 9" xfId="36064" xr:uid="{00000000-0005-0000-0000-0000AE890000}"/>
    <cellStyle name="v 5 3" xfId="36065" xr:uid="{00000000-0005-0000-0000-0000AF890000}"/>
    <cellStyle name="v 5 4" xfId="36066" xr:uid="{00000000-0005-0000-0000-0000B0890000}"/>
    <cellStyle name="v 5 5" xfId="36067" xr:uid="{00000000-0005-0000-0000-0000B1890000}"/>
    <cellStyle name="v 5 6" xfId="36068" xr:uid="{00000000-0005-0000-0000-0000B2890000}"/>
    <cellStyle name="v 5 7" xfId="36069" xr:uid="{00000000-0005-0000-0000-0000B3890000}"/>
    <cellStyle name="v 5 8" xfId="36070" xr:uid="{00000000-0005-0000-0000-0000B4890000}"/>
    <cellStyle name="v 5 9" xfId="36071" xr:uid="{00000000-0005-0000-0000-0000B5890000}"/>
    <cellStyle name="v 6" xfId="36072" xr:uid="{00000000-0005-0000-0000-0000B6890000}"/>
    <cellStyle name="v 6 10" xfId="36073" xr:uid="{00000000-0005-0000-0000-0000B7890000}"/>
    <cellStyle name="v 6 11" xfId="36074" xr:uid="{00000000-0005-0000-0000-0000B8890000}"/>
    <cellStyle name="v 6 12" xfId="36075" xr:uid="{00000000-0005-0000-0000-0000B9890000}"/>
    <cellStyle name="v 6 13" xfId="36076" xr:uid="{00000000-0005-0000-0000-0000BA890000}"/>
    <cellStyle name="v 6 14" xfId="36077" xr:uid="{00000000-0005-0000-0000-0000BB890000}"/>
    <cellStyle name="v 6 15" xfId="36078" xr:uid="{00000000-0005-0000-0000-0000BC890000}"/>
    <cellStyle name="v 6 16" xfId="36079" xr:uid="{00000000-0005-0000-0000-0000BD890000}"/>
    <cellStyle name="v 6 17" xfId="36080" xr:uid="{00000000-0005-0000-0000-0000BE890000}"/>
    <cellStyle name="v 6 2" xfId="36081" xr:uid="{00000000-0005-0000-0000-0000BF890000}"/>
    <cellStyle name="v 6 2 10" xfId="36082" xr:uid="{00000000-0005-0000-0000-0000C0890000}"/>
    <cellStyle name="v 6 2 11" xfId="36083" xr:uid="{00000000-0005-0000-0000-0000C1890000}"/>
    <cellStyle name="v 6 2 12" xfId="36084" xr:uid="{00000000-0005-0000-0000-0000C2890000}"/>
    <cellStyle name="v 6 2 13" xfId="36085" xr:uid="{00000000-0005-0000-0000-0000C3890000}"/>
    <cellStyle name="v 6 2 14" xfId="36086" xr:uid="{00000000-0005-0000-0000-0000C4890000}"/>
    <cellStyle name="v 6 2 15" xfId="36087" xr:uid="{00000000-0005-0000-0000-0000C5890000}"/>
    <cellStyle name="v 6 2 16" xfId="36088" xr:uid="{00000000-0005-0000-0000-0000C6890000}"/>
    <cellStyle name="v 6 2 2" xfId="36089" xr:uid="{00000000-0005-0000-0000-0000C7890000}"/>
    <cellStyle name="v 6 2 3" xfId="36090" xr:uid="{00000000-0005-0000-0000-0000C8890000}"/>
    <cellStyle name="v 6 2 4" xfId="36091" xr:uid="{00000000-0005-0000-0000-0000C9890000}"/>
    <cellStyle name="v 6 2 5" xfId="36092" xr:uid="{00000000-0005-0000-0000-0000CA890000}"/>
    <cellStyle name="v 6 2 6" xfId="36093" xr:uid="{00000000-0005-0000-0000-0000CB890000}"/>
    <cellStyle name="v 6 2 7" xfId="36094" xr:uid="{00000000-0005-0000-0000-0000CC890000}"/>
    <cellStyle name="v 6 2 8" xfId="36095" xr:uid="{00000000-0005-0000-0000-0000CD890000}"/>
    <cellStyle name="v 6 2 9" xfId="36096" xr:uid="{00000000-0005-0000-0000-0000CE890000}"/>
    <cellStyle name="v 6 3" xfId="36097" xr:uid="{00000000-0005-0000-0000-0000CF890000}"/>
    <cellStyle name="v 6 4" xfId="36098" xr:uid="{00000000-0005-0000-0000-0000D0890000}"/>
    <cellStyle name="v 6 5" xfId="36099" xr:uid="{00000000-0005-0000-0000-0000D1890000}"/>
    <cellStyle name="v 6 6" xfId="36100" xr:uid="{00000000-0005-0000-0000-0000D2890000}"/>
    <cellStyle name="v 6 7" xfId="36101" xr:uid="{00000000-0005-0000-0000-0000D3890000}"/>
    <cellStyle name="v 6 8" xfId="36102" xr:uid="{00000000-0005-0000-0000-0000D4890000}"/>
    <cellStyle name="v 6 9" xfId="36103" xr:uid="{00000000-0005-0000-0000-0000D5890000}"/>
    <cellStyle name="v 7" xfId="36104" xr:uid="{00000000-0005-0000-0000-0000D6890000}"/>
    <cellStyle name="v 7 10" xfId="36105" xr:uid="{00000000-0005-0000-0000-0000D7890000}"/>
    <cellStyle name="v 7 11" xfId="36106" xr:uid="{00000000-0005-0000-0000-0000D8890000}"/>
    <cellStyle name="v 7 12" xfId="36107" xr:uid="{00000000-0005-0000-0000-0000D9890000}"/>
    <cellStyle name="v 7 13" xfId="36108" xr:uid="{00000000-0005-0000-0000-0000DA890000}"/>
    <cellStyle name="v 7 14" xfId="36109" xr:uid="{00000000-0005-0000-0000-0000DB890000}"/>
    <cellStyle name="v 7 15" xfId="36110" xr:uid="{00000000-0005-0000-0000-0000DC890000}"/>
    <cellStyle name="v 7 16" xfId="36111" xr:uid="{00000000-0005-0000-0000-0000DD890000}"/>
    <cellStyle name="v 7 17" xfId="36112" xr:uid="{00000000-0005-0000-0000-0000DE890000}"/>
    <cellStyle name="v 7 2" xfId="36113" xr:uid="{00000000-0005-0000-0000-0000DF890000}"/>
    <cellStyle name="v 7 2 10" xfId="36114" xr:uid="{00000000-0005-0000-0000-0000E0890000}"/>
    <cellStyle name="v 7 2 11" xfId="36115" xr:uid="{00000000-0005-0000-0000-0000E1890000}"/>
    <cellStyle name="v 7 2 12" xfId="36116" xr:uid="{00000000-0005-0000-0000-0000E2890000}"/>
    <cellStyle name="v 7 2 13" xfId="36117" xr:uid="{00000000-0005-0000-0000-0000E3890000}"/>
    <cellStyle name="v 7 2 14" xfId="36118" xr:uid="{00000000-0005-0000-0000-0000E4890000}"/>
    <cellStyle name="v 7 2 15" xfId="36119" xr:uid="{00000000-0005-0000-0000-0000E5890000}"/>
    <cellStyle name="v 7 2 16" xfId="36120" xr:uid="{00000000-0005-0000-0000-0000E6890000}"/>
    <cellStyle name="v 7 2 2" xfId="36121" xr:uid="{00000000-0005-0000-0000-0000E7890000}"/>
    <cellStyle name="v 7 2 3" xfId="36122" xr:uid="{00000000-0005-0000-0000-0000E8890000}"/>
    <cellStyle name="v 7 2 4" xfId="36123" xr:uid="{00000000-0005-0000-0000-0000E9890000}"/>
    <cellStyle name="v 7 2 5" xfId="36124" xr:uid="{00000000-0005-0000-0000-0000EA890000}"/>
    <cellStyle name="v 7 2 6" xfId="36125" xr:uid="{00000000-0005-0000-0000-0000EB890000}"/>
    <cellStyle name="v 7 2 7" xfId="36126" xr:uid="{00000000-0005-0000-0000-0000EC890000}"/>
    <cellStyle name="v 7 2 8" xfId="36127" xr:uid="{00000000-0005-0000-0000-0000ED890000}"/>
    <cellStyle name="v 7 2 9" xfId="36128" xr:uid="{00000000-0005-0000-0000-0000EE890000}"/>
    <cellStyle name="v 7 3" xfId="36129" xr:uid="{00000000-0005-0000-0000-0000EF890000}"/>
    <cellStyle name="v 7 4" xfId="36130" xr:uid="{00000000-0005-0000-0000-0000F0890000}"/>
    <cellStyle name="v 7 5" xfId="36131" xr:uid="{00000000-0005-0000-0000-0000F1890000}"/>
    <cellStyle name="v 7 6" xfId="36132" xr:uid="{00000000-0005-0000-0000-0000F2890000}"/>
    <cellStyle name="v 7 7" xfId="36133" xr:uid="{00000000-0005-0000-0000-0000F3890000}"/>
    <cellStyle name="v 7 8" xfId="36134" xr:uid="{00000000-0005-0000-0000-0000F4890000}"/>
    <cellStyle name="v 7 9" xfId="36135" xr:uid="{00000000-0005-0000-0000-0000F5890000}"/>
    <cellStyle name="v 8" xfId="36136" xr:uid="{00000000-0005-0000-0000-0000F6890000}"/>
    <cellStyle name="v 8 10" xfId="36137" xr:uid="{00000000-0005-0000-0000-0000F7890000}"/>
    <cellStyle name="v 8 11" xfId="36138" xr:uid="{00000000-0005-0000-0000-0000F8890000}"/>
    <cellStyle name="v 8 12" xfId="36139" xr:uid="{00000000-0005-0000-0000-0000F9890000}"/>
    <cellStyle name="v 8 13" xfId="36140" xr:uid="{00000000-0005-0000-0000-0000FA890000}"/>
    <cellStyle name="v 8 14" xfId="36141" xr:uid="{00000000-0005-0000-0000-0000FB890000}"/>
    <cellStyle name="v 8 15" xfId="36142" xr:uid="{00000000-0005-0000-0000-0000FC890000}"/>
    <cellStyle name="v 8 16" xfId="36143" xr:uid="{00000000-0005-0000-0000-0000FD890000}"/>
    <cellStyle name="v 8 17" xfId="36144" xr:uid="{00000000-0005-0000-0000-0000FE890000}"/>
    <cellStyle name="v 8 2" xfId="36145" xr:uid="{00000000-0005-0000-0000-0000FF890000}"/>
    <cellStyle name="v 8 2 10" xfId="36146" xr:uid="{00000000-0005-0000-0000-0000008A0000}"/>
    <cellStyle name="v 8 2 11" xfId="36147" xr:uid="{00000000-0005-0000-0000-0000018A0000}"/>
    <cellStyle name="v 8 2 12" xfId="36148" xr:uid="{00000000-0005-0000-0000-0000028A0000}"/>
    <cellStyle name="v 8 2 13" xfId="36149" xr:uid="{00000000-0005-0000-0000-0000038A0000}"/>
    <cellStyle name="v 8 2 14" xfId="36150" xr:uid="{00000000-0005-0000-0000-0000048A0000}"/>
    <cellStyle name="v 8 2 15" xfId="36151" xr:uid="{00000000-0005-0000-0000-0000058A0000}"/>
    <cellStyle name="v 8 2 16" xfId="36152" xr:uid="{00000000-0005-0000-0000-0000068A0000}"/>
    <cellStyle name="v 8 2 2" xfId="36153" xr:uid="{00000000-0005-0000-0000-0000078A0000}"/>
    <cellStyle name="v 8 2 3" xfId="36154" xr:uid="{00000000-0005-0000-0000-0000088A0000}"/>
    <cellStyle name="v 8 2 4" xfId="36155" xr:uid="{00000000-0005-0000-0000-0000098A0000}"/>
    <cellStyle name="v 8 2 5" xfId="36156" xr:uid="{00000000-0005-0000-0000-00000A8A0000}"/>
    <cellStyle name="v 8 2 6" xfId="36157" xr:uid="{00000000-0005-0000-0000-00000B8A0000}"/>
    <cellStyle name="v 8 2 7" xfId="36158" xr:uid="{00000000-0005-0000-0000-00000C8A0000}"/>
    <cellStyle name="v 8 2 8" xfId="36159" xr:uid="{00000000-0005-0000-0000-00000D8A0000}"/>
    <cellStyle name="v 8 2 9" xfId="36160" xr:uid="{00000000-0005-0000-0000-00000E8A0000}"/>
    <cellStyle name="v 8 3" xfId="36161" xr:uid="{00000000-0005-0000-0000-00000F8A0000}"/>
    <cellStyle name="v 8 4" xfId="36162" xr:uid="{00000000-0005-0000-0000-0000108A0000}"/>
    <cellStyle name="v 8 5" xfId="36163" xr:uid="{00000000-0005-0000-0000-0000118A0000}"/>
    <cellStyle name="v 8 6" xfId="36164" xr:uid="{00000000-0005-0000-0000-0000128A0000}"/>
    <cellStyle name="v 8 7" xfId="36165" xr:uid="{00000000-0005-0000-0000-0000138A0000}"/>
    <cellStyle name="v 8 8" xfId="36166" xr:uid="{00000000-0005-0000-0000-0000148A0000}"/>
    <cellStyle name="v 8 9" xfId="36167" xr:uid="{00000000-0005-0000-0000-0000158A0000}"/>
    <cellStyle name="v 9" xfId="36168" xr:uid="{00000000-0005-0000-0000-0000168A0000}"/>
    <cellStyle name="v 9 10" xfId="36169" xr:uid="{00000000-0005-0000-0000-0000178A0000}"/>
    <cellStyle name="v 9 11" xfId="36170" xr:uid="{00000000-0005-0000-0000-0000188A0000}"/>
    <cellStyle name="v 9 12" xfId="36171" xr:uid="{00000000-0005-0000-0000-0000198A0000}"/>
    <cellStyle name="v 9 13" xfId="36172" xr:uid="{00000000-0005-0000-0000-00001A8A0000}"/>
    <cellStyle name="v 9 14" xfId="36173" xr:uid="{00000000-0005-0000-0000-00001B8A0000}"/>
    <cellStyle name="v 9 15" xfId="36174" xr:uid="{00000000-0005-0000-0000-00001C8A0000}"/>
    <cellStyle name="v 9 16" xfId="36175" xr:uid="{00000000-0005-0000-0000-00001D8A0000}"/>
    <cellStyle name="v 9 17" xfId="36176" xr:uid="{00000000-0005-0000-0000-00001E8A0000}"/>
    <cellStyle name="v 9 2" xfId="36177" xr:uid="{00000000-0005-0000-0000-00001F8A0000}"/>
    <cellStyle name="v 9 2 10" xfId="36178" xr:uid="{00000000-0005-0000-0000-0000208A0000}"/>
    <cellStyle name="v 9 2 11" xfId="36179" xr:uid="{00000000-0005-0000-0000-0000218A0000}"/>
    <cellStyle name="v 9 2 12" xfId="36180" xr:uid="{00000000-0005-0000-0000-0000228A0000}"/>
    <cellStyle name="v 9 2 13" xfId="36181" xr:uid="{00000000-0005-0000-0000-0000238A0000}"/>
    <cellStyle name="v 9 2 14" xfId="36182" xr:uid="{00000000-0005-0000-0000-0000248A0000}"/>
    <cellStyle name="v 9 2 15" xfId="36183" xr:uid="{00000000-0005-0000-0000-0000258A0000}"/>
    <cellStyle name="v 9 2 16" xfId="36184" xr:uid="{00000000-0005-0000-0000-0000268A0000}"/>
    <cellStyle name="v 9 2 2" xfId="36185" xr:uid="{00000000-0005-0000-0000-0000278A0000}"/>
    <cellStyle name="v 9 2 3" xfId="36186" xr:uid="{00000000-0005-0000-0000-0000288A0000}"/>
    <cellStyle name="v 9 2 4" xfId="36187" xr:uid="{00000000-0005-0000-0000-0000298A0000}"/>
    <cellStyle name="v 9 2 5" xfId="36188" xr:uid="{00000000-0005-0000-0000-00002A8A0000}"/>
    <cellStyle name="v 9 2 6" xfId="36189" xr:uid="{00000000-0005-0000-0000-00002B8A0000}"/>
    <cellStyle name="v 9 2 7" xfId="36190" xr:uid="{00000000-0005-0000-0000-00002C8A0000}"/>
    <cellStyle name="v 9 2 8" xfId="36191" xr:uid="{00000000-0005-0000-0000-00002D8A0000}"/>
    <cellStyle name="v 9 2 9" xfId="36192" xr:uid="{00000000-0005-0000-0000-00002E8A0000}"/>
    <cellStyle name="v 9 3" xfId="36193" xr:uid="{00000000-0005-0000-0000-00002F8A0000}"/>
    <cellStyle name="v 9 4" xfId="36194" xr:uid="{00000000-0005-0000-0000-0000308A0000}"/>
    <cellStyle name="v 9 5" xfId="36195" xr:uid="{00000000-0005-0000-0000-0000318A0000}"/>
    <cellStyle name="v 9 6" xfId="36196" xr:uid="{00000000-0005-0000-0000-0000328A0000}"/>
    <cellStyle name="v 9 7" xfId="36197" xr:uid="{00000000-0005-0000-0000-0000338A0000}"/>
    <cellStyle name="v 9 8" xfId="36198" xr:uid="{00000000-0005-0000-0000-0000348A0000}"/>
    <cellStyle name="v 9 9" xfId="36199" xr:uid="{00000000-0005-0000-0000-0000358A0000}"/>
    <cellStyle name="v_03 Major Qty - Exora Phase I" xfId="36200" xr:uid="{00000000-0005-0000-0000-0000368A0000}"/>
    <cellStyle name="v_03 Major Qty - Exora Phase I 10" xfId="36201" xr:uid="{00000000-0005-0000-0000-0000378A0000}"/>
    <cellStyle name="v_03 Major Qty - Exora Phase I 10 10" xfId="36202" xr:uid="{00000000-0005-0000-0000-0000388A0000}"/>
    <cellStyle name="v_03 Major Qty - Exora Phase I 10 11" xfId="36203" xr:uid="{00000000-0005-0000-0000-0000398A0000}"/>
    <cellStyle name="v_03 Major Qty - Exora Phase I 10 12" xfId="36204" xr:uid="{00000000-0005-0000-0000-00003A8A0000}"/>
    <cellStyle name="v_03 Major Qty - Exora Phase I 10 13" xfId="36205" xr:uid="{00000000-0005-0000-0000-00003B8A0000}"/>
    <cellStyle name="v_03 Major Qty - Exora Phase I 10 14" xfId="36206" xr:uid="{00000000-0005-0000-0000-00003C8A0000}"/>
    <cellStyle name="v_03 Major Qty - Exora Phase I 10 15" xfId="36207" xr:uid="{00000000-0005-0000-0000-00003D8A0000}"/>
    <cellStyle name="v_03 Major Qty - Exora Phase I 10 16" xfId="36208" xr:uid="{00000000-0005-0000-0000-00003E8A0000}"/>
    <cellStyle name="v_03 Major Qty - Exora Phase I 10 17" xfId="36209" xr:uid="{00000000-0005-0000-0000-00003F8A0000}"/>
    <cellStyle name="v_03 Major Qty - Exora Phase I 10 2" xfId="36210" xr:uid="{00000000-0005-0000-0000-0000408A0000}"/>
    <cellStyle name="v_03 Major Qty - Exora Phase I 10 2 10" xfId="36211" xr:uid="{00000000-0005-0000-0000-0000418A0000}"/>
    <cellStyle name="v_03 Major Qty - Exora Phase I 10 2 11" xfId="36212" xr:uid="{00000000-0005-0000-0000-0000428A0000}"/>
    <cellStyle name="v_03 Major Qty - Exora Phase I 10 2 12" xfId="36213" xr:uid="{00000000-0005-0000-0000-0000438A0000}"/>
    <cellStyle name="v_03 Major Qty - Exora Phase I 10 2 13" xfId="36214" xr:uid="{00000000-0005-0000-0000-0000448A0000}"/>
    <cellStyle name="v_03 Major Qty - Exora Phase I 10 2 14" xfId="36215" xr:uid="{00000000-0005-0000-0000-0000458A0000}"/>
    <cellStyle name="v_03 Major Qty - Exora Phase I 10 2 15" xfId="36216" xr:uid="{00000000-0005-0000-0000-0000468A0000}"/>
    <cellStyle name="v_03 Major Qty - Exora Phase I 10 2 16" xfId="36217" xr:uid="{00000000-0005-0000-0000-0000478A0000}"/>
    <cellStyle name="v_03 Major Qty - Exora Phase I 10 2 2" xfId="36218" xr:uid="{00000000-0005-0000-0000-0000488A0000}"/>
    <cellStyle name="v_03 Major Qty - Exora Phase I 10 2 3" xfId="36219" xr:uid="{00000000-0005-0000-0000-0000498A0000}"/>
    <cellStyle name="v_03 Major Qty - Exora Phase I 10 2 4" xfId="36220" xr:uid="{00000000-0005-0000-0000-00004A8A0000}"/>
    <cellStyle name="v_03 Major Qty - Exora Phase I 10 2 5" xfId="36221" xr:uid="{00000000-0005-0000-0000-00004B8A0000}"/>
    <cellStyle name="v_03 Major Qty - Exora Phase I 10 2 6" xfId="36222" xr:uid="{00000000-0005-0000-0000-00004C8A0000}"/>
    <cellStyle name="v_03 Major Qty - Exora Phase I 10 2 7" xfId="36223" xr:uid="{00000000-0005-0000-0000-00004D8A0000}"/>
    <cellStyle name="v_03 Major Qty - Exora Phase I 10 2 8" xfId="36224" xr:uid="{00000000-0005-0000-0000-00004E8A0000}"/>
    <cellStyle name="v_03 Major Qty - Exora Phase I 10 2 9" xfId="36225" xr:uid="{00000000-0005-0000-0000-00004F8A0000}"/>
    <cellStyle name="v_03 Major Qty - Exora Phase I 10 3" xfId="36226" xr:uid="{00000000-0005-0000-0000-0000508A0000}"/>
    <cellStyle name="v_03 Major Qty - Exora Phase I 10 4" xfId="36227" xr:uid="{00000000-0005-0000-0000-0000518A0000}"/>
    <cellStyle name="v_03 Major Qty - Exora Phase I 10 5" xfId="36228" xr:uid="{00000000-0005-0000-0000-0000528A0000}"/>
    <cellStyle name="v_03 Major Qty - Exora Phase I 10 6" xfId="36229" xr:uid="{00000000-0005-0000-0000-0000538A0000}"/>
    <cellStyle name="v_03 Major Qty - Exora Phase I 10 7" xfId="36230" xr:uid="{00000000-0005-0000-0000-0000548A0000}"/>
    <cellStyle name="v_03 Major Qty - Exora Phase I 10 8" xfId="36231" xr:uid="{00000000-0005-0000-0000-0000558A0000}"/>
    <cellStyle name="v_03 Major Qty - Exora Phase I 10 9" xfId="36232" xr:uid="{00000000-0005-0000-0000-0000568A0000}"/>
    <cellStyle name="v_03 Major Qty - Exora Phase I 11" xfId="36233" xr:uid="{00000000-0005-0000-0000-0000578A0000}"/>
    <cellStyle name="v_03 Major Qty - Exora Phase I 11 10" xfId="36234" xr:uid="{00000000-0005-0000-0000-0000588A0000}"/>
    <cellStyle name="v_03 Major Qty - Exora Phase I 11 11" xfId="36235" xr:uid="{00000000-0005-0000-0000-0000598A0000}"/>
    <cellStyle name="v_03 Major Qty - Exora Phase I 11 12" xfId="36236" xr:uid="{00000000-0005-0000-0000-00005A8A0000}"/>
    <cellStyle name="v_03 Major Qty - Exora Phase I 11 13" xfId="36237" xr:uid="{00000000-0005-0000-0000-00005B8A0000}"/>
    <cellStyle name="v_03 Major Qty - Exora Phase I 11 14" xfId="36238" xr:uid="{00000000-0005-0000-0000-00005C8A0000}"/>
    <cellStyle name="v_03 Major Qty - Exora Phase I 11 15" xfId="36239" xr:uid="{00000000-0005-0000-0000-00005D8A0000}"/>
    <cellStyle name="v_03 Major Qty - Exora Phase I 11 16" xfId="36240" xr:uid="{00000000-0005-0000-0000-00005E8A0000}"/>
    <cellStyle name="v_03 Major Qty - Exora Phase I 11 2" xfId="36241" xr:uid="{00000000-0005-0000-0000-00005F8A0000}"/>
    <cellStyle name="v_03 Major Qty - Exora Phase I 11 3" xfId="36242" xr:uid="{00000000-0005-0000-0000-0000608A0000}"/>
    <cellStyle name="v_03 Major Qty - Exora Phase I 11 4" xfId="36243" xr:uid="{00000000-0005-0000-0000-0000618A0000}"/>
    <cellStyle name="v_03 Major Qty - Exora Phase I 11 5" xfId="36244" xr:uid="{00000000-0005-0000-0000-0000628A0000}"/>
    <cellStyle name="v_03 Major Qty - Exora Phase I 11 6" xfId="36245" xr:uid="{00000000-0005-0000-0000-0000638A0000}"/>
    <cellStyle name="v_03 Major Qty - Exora Phase I 11 7" xfId="36246" xr:uid="{00000000-0005-0000-0000-0000648A0000}"/>
    <cellStyle name="v_03 Major Qty - Exora Phase I 11 8" xfId="36247" xr:uid="{00000000-0005-0000-0000-0000658A0000}"/>
    <cellStyle name="v_03 Major Qty - Exora Phase I 11 9" xfId="36248" xr:uid="{00000000-0005-0000-0000-0000668A0000}"/>
    <cellStyle name="v_03 Major Qty - Exora Phase I 12" xfId="36249" xr:uid="{00000000-0005-0000-0000-0000678A0000}"/>
    <cellStyle name="v_03 Major Qty - Exora Phase I 13" xfId="36250" xr:uid="{00000000-0005-0000-0000-0000688A0000}"/>
    <cellStyle name="v_03 Major Qty - Exora Phase I 14" xfId="36251" xr:uid="{00000000-0005-0000-0000-0000698A0000}"/>
    <cellStyle name="v_03 Major Qty - Exora Phase I 15" xfId="36252" xr:uid="{00000000-0005-0000-0000-00006A8A0000}"/>
    <cellStyle name="v_03 Major Qty - Exora Phase I 16" xfId="36253" xr:uid="{00000000-0005-0000-0000-00006B8A0000}"/>
    <cellStyle name="v_03 Major Qty - Exora Phase I 17" xfId="36254" xr:uid="{00000000-0005-0000-0000-00006C8A0000}"/>
    <cellStyle name="v_03 Major Qty - Exora Phase I 18" xfId="36255" xr:uid="{00000000-0005-0000-0000-00006D8A0000}"/>
    <cellStyle name="v_03 Major Qty - Exora Phase I 19" xfId="36256" xr:uid="{00000000-0005-0000-0000-00006E8A0000}"/>
    <cellStyle name="v_03 Major Qty - Exora Phase I 2" xfId="36257" xr:uid="{00000000-0005-0000-0000-00006F8A0000}"/>
    <cellStyle name="v_03 Major Qty - Exora Phase I 2 10" xfId="36258" xr:uid="{00000000-0005-0000-0000-0000708A0000}"/>
    <cellStyle name="v_03 Major Qty - Exora Phase I 2 11" xfId="36259" xr:uid="{00000000-0005-0000-0000-0000718A0000}"/>
    <cellStyle name="v_03 Major Qty - Exora Phase I 2 12" xfId="36260" xr:uid="{00000000-0005-0000-0000-0000728A0000}"/>
    <cellStyle name="v_03 Major Qty - Exora Phase I 2 13" xfId="36261" xr:uid="{00000000-0005-0000-0000-0000738A0000}"/>
    <cellStyle name="v_03 Major Qty - Exora Phase I 2 14" xfId="36262" xr:uid="{00000000-0005-0000-0000-0000748A0000}"/>
    <cellStyle name="v_03 Major Qty - Exora Phase I 2 15" xfId="36263" xr:uid="{00000000-0005-0000-0000-0000758A0000}"/>
    <cellStyle name="v_03 Major Qty - Exora Phase I 2 16" xfId="36264" xr:uid="{00000000-0005-0000-0000-0000768A0000}"/>
    <cellStyle name="v_03 Major Qty - Exora Phase I 2 17" xfId="36265" xr:uid="{00000000-0005-0000-0000-0000778A0000}"/>
    <cellStyle name="v_03 Major Qty - Exora Phase I 2 2" xfId="36266" xr:uid="{00000000-0005-0000-0000-0000788A0000}"/>
    <cellStyle name="v_03 Major Qty - Exora Phase I 2 2 10" xfId="36267" xr:uid="{00000000-0005-0000-0000-0000798A0000}"/>
    <cellStyle name="v_03 Major Qty - Exora Phase I 2 2 11" xfId="36268" xr:uid="{00000000-0005-0000-0000-00007A8A0000}"/>
    <cellStyle name="v_03 Major Qty - Exora Phase I 2 2 12" xfId="36269" xr:uid="{00000000-0005-0000-0000-00007B8A0000}"/>
    <cellStyle name="v_03 Major Qty - Exora Phase I 2 2 13" xfId="36270" xr:uid="{00000000-0005-0000-0000-00007C8A0000}"/>
    <cellStyle name="v_03 Major Qty - Exora Phase I 2 2 14" xfId="36271" xr:uid="{00000000-0005-0000-0000-00007D8A0000}"/>
    <cellStyle name="v_03 Major Qty - Exora Phase I 2 2 15" xfId="36272" xr:uid="{00000000-0005-0000-0000-00007E8A0000}"/>
    <cellStyle name="v_03 Major Qty - Exora Phase I 2 2 16" xfId="36273" xr:uid="{00000000-0005-0000-0000-00007F8A0000}"/>
    <cellStyle name="v_03 Major Qty - Exora Phase I 2 2 2" xfId="36274" xr:uid="{00000000-0005-0000-0000-0000808A0000}"/>
    <cellStyle name="v_03 Major Qty - Exora Phase I 2 2 3" xfId="36275" xr:uid="{00000000-0005-0000-0000-0000818A0000}"/>
    <cellStyle name="v_03 Major Qty - Exora Phase I 2 2 4" xfId="36276" xr:uid="{00000000-0005-0000-0000-0000828A0000}"/>
    <cellStyle name="v_03 Major Qty - Exora Phase I 2 2 5" xfId="36277" xr:uid="{00000000-0005-0000-0000-0000838A0000}"/>
    <cellStyle name="v_03 Major Qty - Exora Phase I 2 2 6" xfId="36278" xr:uid="{00000000-0005-0000-0000-0000848A0000}"/>
    <cellStyle name="v_03 Major Qty - Exora Phase I 2 2 7" xfId="36279" xr:uid="{00000000-0005-0000-0000-0000858A0000}"/>
    <cellStyle name="v_03 Major Qty - Exora Phase I 2 2 8" xfId="36280" xr:uid="{00000000-0005-0000-0000-0000868A0000}"/>
    <cellStyle name="v_03 Major Qty - Exora Phase I 2 2 9" xfId="36281" xr:uid="{00000000-0005-0000-0000-0000878A0000}"/>
    <cellStyle name="v_03 Major Qty - Exora Phase I 2 3" xfId="36282" xr:uid="{00000000-0005-0000-0000-0000888A0000}"/>
    <cellStyle name="v_03 Major Qty - Exora Phase I 2 4" xfId="36283" xr:uid="{00000000-0005-0000-0000-0000898A0000}"/>
    <cellStyle name="v_03 Major Qty - Exora Phase I 2 5" xfId="36284" xr:uid="{00000000-0005-0000-0000-00008A8A0000}"/>
    <cellStyle name="v_03 Major Qty - Exora Phase I 2 6" xfId="36285" xr:uid="{00000000-0005-0000-0000-00008B8A0000}"/>
    <cellStyle name="v_03 Major Qty - Exora Phase I 2 7" xfId="36286" xr:uid="{00000000-0005-0000-0000-00008C8A0000}"/>
    <cellStyle name="v_03 Major Qty - Exora Phase I 2 8" xfId="36287" xr:uid="{00000000-0005-0000-0000-00008D8A0000}"/>
    <cellStyle name="v_03 Major Qty - Exora Phase I 2 9" xfId="36288" xr:uid="{00000000-0005-0000-0000-00008E8A0000}"/>
    <cellStyle name="v_03 Major Qty - Exora Phase I 20" xfId="36289" xr:uid="{00000000-0005-0000-0000-00008F8A0000}"/>
    <cellStyle name="v_03 Major Qty - Exora Phase I 21" xfId="36290" xr:uid="{00000000-0005-0000-0000-0000908A0000}"/>
    <cellStyle name="v_03 Major Qty - Exora Phase I 22" xfId="36291" xr:uid="{00000000-0005-0000-0000-0000918A0000}"/>
    <cellStyle name="v_03 Major Qty - Exora Phase I 23" xfId="36292" xr:uid="{00000000-0005-0000-0000-0000928A0000}"/>
    <cellStyle name="v_03 Major Qty - Exora Phase I 24" xfId="36293" xr:uid="{00000000-0005-0000-0000-0000938A0000}"/>
    <cellStyle name="v_03 Major Qty - Exora Phase I 25" xfId="36294" xr:uid="{00000000-0005-0000-0000-0000948A0000}"/>
    <cellStyle name="v_03 Major Qty - Exora Phase I 26" xfId="36295" xr:uid="{00000000-0005-0000-0000-0000958A0000}"/>
    <cellStyle name="v_03 Major Qty - Exora Phase I 3" xfId="36296" xr:uid="{00000000-0005-0000-0000-0000968A0000}"/>
    <cellStyle name="v_03 Major Qty - Exora Phase I 3 10" xfId="36297" xr:uid="{00000000-0005-0000-0000-0000978A0000}"/>
    <cellStyle name="v_03 Major Qty - Exora Phase I 3 11" xfId="36298" xr:uid="{00000000-0005-0000-0000-0000988A0000}"/>
    <cellStyle name="v_03 Major Qty - Exora Phase I 3 12" xfId="36299" xr:uid="{00000000-0005-0000-0000-0000998A0000}"/>
    <cellStyle name="v_03 Major Qty - Exora Phase I 3 13" xfId="36300" xr:uid="{00000000-0005-0000-0000-00009A8A0000}"/>
    <cellStyle name="v_03 Major Qty - Exora Phase I 3 14" xfId="36301" xr:uid="{00000000-0005-0000-0000-00009B8A0000}"/>
    <cellStyle name="v_03 Major Qty - Exora Phase I 3 15" xfId="36302" xr:uid="{00000000-0005-0000-0000-00009C8A0000}"/>
    <cellStyle name="v_03 Major Qty - Exora Phase I 3 16" xfId="36303" xr:uid="{00000000-0005-0000-0000-00009D8A0000}"/>
    <cellStyle name="v_03 Major Qty - Exora Phase I 3 17" xfId="36304" xr:uid="{00000000-0005-0000-0000-00009E8A0000}"/>
    <cellStyle name="v_03 Major Qty - Exora Phase I 3 2" xfId="36305" xr:uid="{00000000-0005-0000-0000-00009F8A0000}"/>
    <cellStyle name="v_03 Major Qty - Exora Phase I 3 2 10" xfId="36306" xr:uid="{00000000-0005-0000-0000-0000A08A0000}"/>
    <cellStyle name="v_03 Major Qty - Exora Phase I 3 2 11" xfId="36307" xr:uid="{00000000-0005-0000-0000-0000A18A0000}"/>
    <cellStyle name="v_03 Major Qty - Exora Phase I 3 2 12" xfId="36308" xr:uid="{00000000-0005-0000-0000-0000A28A0000}"/>
    <cellStyle name="v_03 Major Qty - Exora Phase I 3 2 13" xfId="36309" xr:uid="{00000000-0005-0000-0000-0000A38A0000}"/>
    <cellStyle name="v_03 Major Qty - Exora Phase I 3 2 14" xfId="36310" xr:uid="{00000000-0005-0000-0000-0000A48A0000}"/>
    <cellStyle name="v_03 Major Qty - Exora Phase I 3 2 15" xfId="36311" xr:uid="{00000000-0005-0000-0000-0000A58A0000}"/>
    <cellStyle name="v_03 Major Qty - Exora Phase I 3 2 16" xfId="36312" xr:uid="{00000000-0005-0000-0000-0000A68A0000}"/>
    <cellStyle name="v_03 Major Qty - Exora Phase I 3 2 2" xfId="36313" xr:uid="{00000000-0005-0000-0000-0000A78A0000}"/>
    <cellStyle name="v_03 Major Qty - Exora Phase I 3 2 3" xfId="36314" xr:uid="{00000000-0005-0000-0000-0000A88A0000}"/>
    <cellStyle name="v_03 Major Qty - Exora Phase I 3 2 4" xfId="36315" xr:uid="{00000000-0005-0000-0000-0000A98A0000}"/>
    <cellStyle name="v_03 Major Qty - Exora Phase I 3 2 5" xfId="36316" xr:uid="{00000000-0005-0000-0000-0000AA8A0000}"/>
    <cellStyle name="v_03 Major Qty - Exora Phase I 3 2 6" xfId="36317" xr:uid="{00000000-0005-0000-0000-0000AB8A0000}"/>
    <cellStyle name="v_03 Major Qty - Exora Phase I 3 2 7" xfId="36318" xr:uid="{00000000-0005-0000-0000-0000AC8A0000}"/>
    <cellStyle name="v_03 Major Qty - Exora Phase I 3 2 8" xfId="36319" xr:uid="{00000000-0005-0000-0000-0000AD8A0000}"/>
    <cellStyle name="v_03 Major Qty - Exora Phase I 3 2 9" xfId="36320" xr:uid="{00000000-0005-0000-0000-0000AE8A0000}"/>
    <cellStyle name="v_03 Major Qty - Exora Phase I 3 3" xfId="36321" xr:uid="{00000000-0005-0000-0000-0000AF8A0000}"/>
    <cellStyle name="v_03 Major Qty - Exora Phase I 3 4" xfId="36322" xr:uid="{00000000-0005-0000-0000-0000B08A0000}"/>
    <cellStyle name="v_03 Major Qty - Exora Phase I 3 5" xfId="36323" xr:uid="{00000000-0005-0000-0000-0000B18A0000}"/>
    <cellStyle name="v_03 Major Qty - Exora Phase I 3 6" xfId="36324" xr:uid="{00000000-0005-0000-0000-0000B28A0000}"/>
    <cellStyle name="v_03 Major Qty - Exora Phase I 3 7" xfId="36325" xr:uid="{00000000-0005-0000-0000-0000B38A0000}"/>
    <cellStyle name="v_03 Major Qty - Exora Phase I 3 8" xfId="36326" xr:uid="{00000000-0005-0000-0000-0000B48A0000}"/>
    <cellStyle name="v_03 Major Qty - Exora Phase I 3 9" xfId="36327" xr:uid="{00000000-0005-0000-0000-0000B58A0000}"/>
    <cellStyle name="v_03 Major Qty - Exora Phase I 4" xfId="36328" xr:uid="{00000000-0005-0000-0000-0000B68A0000}"/>
    <cellStyle name="v_03 Major Qty - Exora Phase I 4 10" xfId="36329" xr:uid="{00000000-0005-0000-0000-0000B78A0000}"/>
    <cellStyle name="v_03 Major Qty - Exora Phase I 4 11" xfId="36330" xr:uid="{00000000-0005-0000-0000-0000B88A0000}"/>
    <cellStyle name="v_03 Major Qty - Exora Phase I 4 12" xfId="36331" xr:uid="{00000000-0005-0000-0000-0000B98A0000}"/>
    <cellStyle name="v_03 Major Qty - Exora Phase I 4 13" xfId="36332" xr:uid="{00000000-0005-0000-0000-0000BA8A0000}"/>
    <cellStyle name="v_03 Major Qty - Exora Phase I 4 14" xfId="36333" xr:uid="{00000000-0005-0000-0000-0000BB8A0000}"/>
    <cellStyle name="v_03 Major Qty - Exora Phase I 4 15" xfId="36334" xr:uid="{00000000-0005-0000-0000-0000BC8A0000}"/>
    <cellStyle name="v_03 Major Qty - Exora Phase I 4 16" xfId="36335" xr:uid="{00000000-0005-0000-0000-0000BD8A0000}"/>
    <cellStyle name="v_03 Major Qty - Exora Phase I 4 17" xfId="36336" xr:uid="{00000000-0005-0000-0000-0000BE8A0000}"/>
    <cellStyle name="v_03 Major Qty - Exora Phase I 4 2" xfId="36337" xr:uid="{00000000-0005-0000-0000-0000BF8A0000}"/>
    <cellStyle name="v_03 Major Qty - Exora Phase I 4 2 10" xfId="36338" xr:uid="{00000000-0005-0000-0000-0000C08A0000}"/>
    <cellStyle name="v_03 Major Qty - Exora Phase I 4 2 11" xfId="36339" xr:uid="{00000000-0005-0000-0000-0000C18A0000}"/>
    <cellStyle name="v_03 Major Qty - Exora Phase I 4 2 12" xfId="36340" xr:uid="{00000000-0005-0000-0000-0000C28A0000}"/>
    <cellStyle name="v_03 Major Qty - Exora Phase I 4 2 13" xfId="36341" xr:uid="{00000000-0005-0000-0000-0000C38A0000}"/>
    <cellStyle name="v_03 Major Qty - Exora Phase I 4 2 14" xfId="36342" xr:uid="{00000000-0005-0000-0000-0000C48A0000}"/>
    <cellStyle name="v_03 Major Qty - Exora Phase I 4 2 15" xfId="36343" xr:uid="{00000000-0005-0000-0000-0000C58A0000}"/>
    <cellStyle name="v_03 Major Qty - Exora Phase I 4 2 16" xfId="36344" xr:uid="{00000000-0005-0000-0000-0000C68A0000}"/>
    <cellStyle name="v_03 Major Qty - Exora Phase I 4 2 2" xfId="36345" xr:uid="{00000000-0005-0000-0000-0000C78A0000}"/>
    <cellStyle name="v_03 Major Qty - Exora Phase I 4 2 3" xfId="36346" xr:uid="{00000000-0005-0000-0000-0000C88A0000}"/>
    <cellStyle name="v_03 Major Qty - Exora Phase I 4 2 4" xfId="36347" xr:uid="{00000000-0005-0000-0000-0000C98A0000}"/>
    <cellStyle name="v_03 Major Qty - Exora Phase I 4 2 5" xfId="36348" xr:uid="{00000000-0005-0000-0000-0000CA8A0000}"/>
    <cellStyle name="v_03 Major Qty - Exora Phase I 4 2 6" xfId="36349" xr:uid="{00000000-0005-0000-0000-0000CB8A0000}"/>
    <cellStyle name="v_03 Major Qty - Exora Phase I 4 2 7" xfId="36350" xr:uid="{00000000-0005-0000-0000-0000CC8A0000}"/>
    <cellStyle name="v_03 Major Qty - Exora Phase I 4 2 8" xfId="36351" xr:uid="{00000000-0005-0000-0000-0000CD8A0000}"/>
    <cellStyle name="v_03 Major Qty - Exora Phase I 4 2 9" xfId="36352" xr:uid="{00000000-0005-0000-0000-0000CE8A0000}"/>
    <cellStyle name="v_03 Major Qty - Exora Phase I 4 3" xfId="36353" xr:uid="{00000000-0005-0000-0000-0000CF8A0000}"/>
    <cellStyle name="v_03 Major Qty - Exora Phase I 4 4" xfId="36354" xr:uid="{00000000-0005-0000-0000-0000D08A0000}"/>
    <cellStyle name="v_03 Major Qty - Exora Phase I 4 5" xfId="36355" xr:uid="{00000000-0005-0000-0000-0000D18A0000}"/>
    <cellStyle name="v_03 Major Qty - Exora Phase I 4 6" xfId="36356" xr:uid="{00000000-0005-0000-0000-0000D28A0000}"/>
    <cellStyle name="v_03 Major Qty - Exora Phase I 4 7" xfId="36357" xr:uid="{00000000-0005-0000-0000-0000D38A0000}"/>
    <cellStyle name="v_03 Major Qty - Exora Phase I 4 8" xfId="36358" xr:uid="{00000000-0005-0000-0000-0000D48A0000}"/>
    <cellStyle name="v_03 Major Qty - Exora Phase I 4 9" xfId="36359" xr:uid="{00000000-0005-0000-0000-0000D58A0000}"/>
    <cellStyle name="v_03 Major Qty - Exora Phase I 5" xfId="36360" xr:uid="{00000000-0005-0000-0000-0000D68A0000}"/>
    <cellStyle name="v_03 Major Qty - Exora Phase I 5 10" xfId="36361" xr:uid="{00000000-0005-0000-0000-0000D78A0000}"/>
    <cellStyle name="v_03 Major Qty - Exora Phase I 5 11" xfId="36362" xr:uid="{00000000-0005-0000-0000-0000D88A0000}"/>
    <cellStyle name="v_03 Major Qty - Exora Phase I 5 12" xfId="36363" xr:uid="{00000000-0005-0000-0000-0000D98A0000}"/>
    <cellStyle name="v_03 Major Qty - Exora Phase I 5 13" xfId="36364" xr:uid="{00000000-0005-0000-0000-0000DA8A0000}"/>
    <cellStyle name="v_03 Major Qty - Exora Phase I 5 14" xfId="36365" xr:uid="{00000000-0005-0000-0000-0000DB8A0000}"/>
    <cellStyle name="v_03 Major Qty - Exora Phase I 5 15" xfId="36366" xr:uid="{00000000-0005-0000-0000-0000DC8A0000}"/>
    <cellStyle name="v_03 Major Qty - Exora Phase I 5 16" xfId="36367" xr:uid="{00000000-0005-0000-0000-0000DD8A0000}"/>
    <cellStyle name="v_03 Major Qty - Exora Phase I 5 17" xfId="36368" xr:uid="{00000000-0005-0000-0000-0000DE8A0000}"/>
    <cellStyle name="v_03 Major Qty - Exora Phase I 5 2" xfId="36369" xr:uid="{00000000-0005-0000-0000-0000DF8A0000}"/>
    <cellStyle name="v_03 Major Qty - Exora Phase I 5 2 10" xfId="36370" xr:uid="{00000000-0005-0000-0000-0000E08A0000}"/>
    <cellStyle name="v_03 Major Qty - Exora Phase I 5 2 11" xfId="36371" xr:uid="{00000000-0005-0000-0000-0000E18A0000}"/>
    <cellStyle name="v_03 Major Qty - Exora Phase I 5 2 12" xfId="36372" xr:uid="{00000000-0005-0000-0000-0000E28A0000}"/>
    <cellStyle name="v_03 Major Qty - Exora Phase I 5 2 13" xfId="36373" xr:uid="{00000000-0005-0000-0000-0000E38A0000}"/>
    <cellStyle name="v_03 Major Qty - Exora Phase I 5 2 14" xfId="36374" xr:uid="{00000000-0005-0000-0000-0000E48A0000}"/>
    <cellStyle name="v_03 Major Qty - Exora Phase I 5 2 15" xfId="36375" xr:uid="{00000000-0005-0000-0000-0000E58A0000}"/>
    <cellStyle name="v_03 Major Qty - Exora Phase I 5 2 16" xfId="36376" xr:uid="{00000000-0005-0000-0000-0000E68A0000}"/>
    <cellStyle name="v_03 Major Qty - Exora Phase I 5 2 2" xfId="36377" xr:uid="{00000000-0005-0000-0000-0000E78A0000}"/>
    <cellStyle name="v_03 Major Qty - Exora Phase I 5 2 3" xfId="36378" xr:uid="{00000000-0005-0000-0000-0000E88A0000}"/>
    <cellStyle name="v_03 Major Qty - Exora Phase I 5 2 4" xfId="36379" xr:uid="{00000000-0005-0000-0000-0000E98A0000}"/>
    <cellStyle name="v_03 Major Qty - Exora Phase I 5 2 5" xfId="36380" xr:uid="{00000000-0005-0000-0000-0000EA8A0000}"/>
    <cellStyle name="v_03 Major Qty - Exora Phase I 5 2 6" xfId="36381" xr:uid="{00000000-0005-0000-0000-0000EB8A0000}"/>
    <cellStyle name="v_03 Major Qty - Exora Phase I 5 2 7" xfId="36382" xr:uid="{00000000-0005-0000-0000-0000EC8A0000}"/>
    <cellStyle name="v_03 Major Qty - Exora Phase I 5 2 8" xfId="36383" xr:uid="{00000000-0005-0000-0000-0000ED8A0000}"/>
    <cellStyle name="v_03 Major Qty - Exora Phase I 5 2 9" xfId="36384" xr:uid="{00000000-0005-0000-0000-0000EE8A0000}"/>
    <cellStyle name="v_03 Major Qty - Exora Phase I 5 3" xfId="36385" xr:uid="{00000000-0005-0000-0000-0000EF8A0000}"/>
    <cellStyle name="v_03 Major Qty - Exora Phase I 5 4" xfId="36386" xr:uid="{00000000-0005-0000-0000-0000F08A0000}"/>
    <cellStyle name="v_03 Major Qty - Exora Phase I 5 5" xfId="36387" xr:uid="{00000000-0005-0000-0000-0000F18A0000}"/>
    <cellStyle name="v_03 Major Qty - Exora Phase I 5 6" xfId="36388" xr:uid="{00000000-0005-0000-0000-0000F28A0000}"/>
    <cellStyle name="v_03 Major Qty - Exora Phase I 5 7" xfId="36389" xr:uid="{00000000-0005-0000-0000-0000F38A0000}"/>
    <cellStyle name="v_03 Major Qty - Exora Phase I 5 8" xfId="36390" xr:uid="{00000000-0005-0000-0000-0000F48A0000}"/>
    <cellStyle name="v_03 Major Qty - Exora Phase I 5 9" xfId="36391" xr:uid="{00000000-0005-0000-0000-0000F58A0000}"/>
    <cellStyle name="v_03 Major Qty - Exora Phase I 6" xfId="36392" xr:uid="{00000000-0005-0000-0000-0000F68A0000}"/>
    <cellStyle name="v_03 Major Qty - Exora Phase I 6 10" xfId="36393" xr:uid="{00000000-0005-0000-0000-0000F78A0000}"/>
    <cellStyle name="v_03 Major Qty - Exora Phase I 6 11" xfId="36394" xr:uid="{00000000-0005-0000-0000-0000F88A0000}"/>
    <cellStyle name="v_03 Major Qty - Exora Phase I 6 12" xfId="36395" xr:uid="{00000000-0005-0000-0000-0000F98A0000}"/>
    <cellStyle name="v_03 Major Qty - Exora Phase I 6 13" xfId="36396" xr:uid="{00000000-0005-0000-0000-0000FA8A0000}"/>
    <cellStyle name="v_03 Major Qty - Exora Phase I 6 14" xfId="36397" xr:uid="{00000000-0005-0000-0000-0000FB8A0000}"/>
    <cellStyle name="v_03 Major Qty - Exora Phase I 6 15" xfId="36398" xr:uid="{00000000-0005-0000-0000-0000FC8A0000}"/>
    <cellStyle name="v_03 Major Qty - Exora Phase I 6 16" xfId="36399" xr:uid="{00000000-0005-0000-0000-0000FD8A0000}"/>
    <cellStyle name="v_03 Major Qty - Exora Phase I 6 17" xfId="36400" xr:uid="{00000000-0005-0000-0000-0000FE8A0000}"/>
    <cellStyle name="v_03 Major Qty - Exora Phase I 6 2" xfId="36401" xr:uid="{00000000-0005-0000-0000-0000FF8A0000}"/>
    <cellStyle name="v_03 Major Qty - Exora Phase I 6 2 10" xfId="36402" xr:uid="{00000000-0005-0000-0000-0000008B0000}"/>
    <cellStyle name="v_03 Major Qty - Exora Phase I 6 2 11" xfId="36403" xr:uid="{00000000-0005-0000-0000-0000018B0000}"/>
    <cellStyle name="v_03 Major Qty - Exora Phase I 6 2 12" xfId="36404" xr:uid="{00000000-0005-0000-0000-0000028B0000}"/>
    <cellStyle name="v_03 Major Qty - Exora Phase I 6 2 13" xfId="36405" xr:uid="{00000000-0005-0000-0000-0000038B0000}"/>
    <cellStyle name="v_03 Major Qty - Exora Phase I 6 2 14" xfId="36406" xr:uid="{00000000-0005-0000-0000-0000048B0000}"/>
    <cellStyle name="v_03 Major Qty - Exora Phase I 6 2 15" xfId="36407" xr:uid="{00000000-0005-0000-0000-0000058B0000}"/>
    <cellStyle name="v_03 Major Qty - Exora Phase I 6 2 16" xfId="36408" xr:uid="{00000000-0005-0000-0000-0000068B0000}"/>
    <cellStyle name="v_03 Major Qty - Exora Phase I 6 2 2" xfId="36409" xr:uid="{00000000-0005-0000-0000-0000078B0000}"/>
    <cellStyle name="v_03 Major Qty - Exora Phase I 6 2 3" xfId="36410" xr:uid="{00000000-0005-0000-0000-0000088B0000}"/>
    <cellStyle name="v_03 Major Qty - Exora Phase I 6 2 4" xfId="36411" xr:uid="{00000000-0005-0000-0000-0000098B0000}"/>
    <cellStyle name="v_03 Major Qty - Exora Phase I 6 2 5" xfId="36412" xr:uid="{00000000-0005-0000-0000-00000A8B0000}"/>
    <cellStyle name="v_03 Major Qty - Exora Phase I 6 2 6" xfId="36413" xr:uid="{00000000-0005-0000-0000-00000B8B0000}"/>
    <cellStyle name="v_03 Major Qty - Exora Phase I 6 2 7" xfId="36414" xr:uid="{00000000-0005-0000-0000-00000C8B0000}"/>
    <cellStyle name="v_03 Major Qty - Exora Phase I 6 2 8" xfId="36415" xr:uid="{00000000-0005-0000-0000-00000D8B0000}"/>
    <cellStyle name="v_03 Major Qty - Exora Phase I 6 2 9" xfId="36416" xr:uid="{00000000-0005-0000-0000-00000E8B0000}"/>
    <cellStyle name="v_03 Major Qty - Exora Phase I 6 3" xfId="36417" xr:uid="{00000000-0005-0000-0000-00000F8B0000}"/>
    <cellStyle name="v_03 Major Qty - Exora Phase I 6 4" xfId="36418" xr:uid="{00000000-0005-0000-0000-0000108B0000}"/>
    <cellStyle name="v_03 Major Qty - Exora Phase I 6 5" xfId="36419" xr:uid="{00000000-0005-0000-0000-0000118B0000}"/>
    <cellStyle name="v_03 Major Qty - Exora Phase I 6 6" xfId="36420" xr:uid="{00000000-0005-0000-0000-0000128B0000}"/>
    <cellStyle name="v_03 Major Qty - Exora Phase I 6 7" xfId="36421" xr:uid="{00000000-0005-0000-0000-0000138B0000}"/>
    <cellStyle name="v_03 Major Qty - Exora Phase I 6 8" xfId="36422" xr:uid="{00000000-0005-0000-0000-0000148B0000}"/>
    <cellStyle name="v_03 Major Qty - Exora Phase I 6 9" xfId="36423" xr:uid="{00000000-0005-0000-0000-0000158B0000}"/>
    <cellStyle name="v_03 Major Qty - Exora Phase I 7" xfId="36424" xr:uid="{00000000-0005-0000-0000-0000168B0000}"/>
    <cellStyle name="v_03 Major Qty - Exora Phase I 7 10" xfId="36425" xr:uid="{00000000-0005-0000-0000-0000178B0000}"/>
    <cellStyle name="v_03 Major Qty - Exora Phase I 7 11" xfId="36426" xr:uid="{00000000-0005-0000-0000-0000188B0000}"/>
    <cellStyle name="v_03 Major Qty - Exora Phase I 7 12" xfId="36427" xr:uid="{00000000-0005-0000-0000-0000198B0000}"/>
    <cellStyle name="v_03 Major Qty - Exora Phase I 7 13" xfId="36428" xr:uid="{00000000-0005-0000-0000-00001A8B0000}"/>
    <cellStyle name="v_03 Major Qty - Exora Phase I 7 14" xfId="36429" xr:uid="{00000000-0005-0000-0000-00001B8B0000}"/>
    <cellStyle name="v_03 Major Qty - Exora Phase I 7 15" xfId="36430" xr:uid="{00000000-0005-0000-0000-00001C8B0000}"/>
    <cellStyle name="v_03 Major Qty - Exora Phase I 7 16" xfId="36431" xr:uid="{00000000-0005-0000-0000-00001D8B0000}"/>
    <cellStyle name="v_03 Major Qty - Exora Phase I 7 17" xfId="36432" xr:uid="{00000000-0005-0000-0000-00001E8B0000}"/>
    <cellStyle name="v_03 Major Qty - Exora Phase I 7 2" xfId="36433" xr:uid="{00000000-0005-0000-0000-00001F8B0000}"/>
    <cellStyle name="v_03 Major Qty - Exora Phase I 7 2 10" xfId="36434" xr:uid="{00000000-0005-0000-0000-0000208B0000}"/>
    <cellStyle name="v_03 Major Qty - Exora Phase I 7 2 11" xfId="36435" xr:uid="{00000000-0005-0000-0000-0000218B0000}"/>
    <cellStyle name="v_03 Major Qty - Exora Phase I 7 2 12" xfId="36436" xr:uid="{00000000-0005-0000-0000-0000228B0000}"/>
    <cellStyle name="v_03 Major Qty - Exora Phase I 7 2 13" xfId="36437" xr:uid="{00000000-0005-0000-0000-0000238B0000}"/>
    <cellStyle name="v_03 Major Qty - Exora Phase I 7 2 14" xfId="36438" xr:uid="{00000000-0005-0000-0000-0000248B0000}"/>
    <cellStyle name="v_03 Major Qty - Exora Phase I 7 2 15" xfId="36439" xr:uid="{00000000-0005-0000-0000-0000258B0000}"/>
    <cellStyle name="v_03 Major Qty - Exora Phase I 7 2 16" xfId="36440" xr:uid="{00000000-0005-0000-0000-0000268B0000}"/>
    <cellStyle name="v_03 Major Qty - Exora Phase I 7 2 2" xfId="36441" xr:uid="{00000000-0005-0000-0000-0000278B0000}"/>
    <cellStyle name="v_03 Major Qty - Exora Phase I 7 2 3" xfId="36442" xr:uid="{00000000-0005-0000-0000-0000288B0000}"/>
    <cellStyle name="v_03 Major Qty - Exora Phase I 7 2 4" xfId="36443" xr:uid="{00000000-0005-0000-0000-0000298B0000}"/>
    <cellStyle name="v_03 Major Qty - Exora Phase I 7 2 5" xfId="36444" xr:uid="{00000000-0005-0000-0000-00002A8B0000}"/>
    <cellStyle name="v_03 Major Qty - Exora Phase I 7 2 6" xfId="36445" xr:uid="{00000000-0005-0000-0000-00002B8B0000}"/>
    <cellStyle name="v_03 Major Qty - Exora Phase I 7 2 7" xfId="36446" xr:uid="{00000000-0005-0000-0000-00002C8B0000}"/>
    <cellStyle name="v_03 Major Qty - Exora Phase I 7 2 8" xfId="36447" xr:uid="{00000000-0005-0000-0000-00002D8B0000}"/>
    <cellStyle name="v_03 Major Qty - Exora Phase I 7 2 9" xfId="36448" xr:uid="{00000000-0005-0000-0000-00002E8B0000}"/>
    <cellStyle name="v_03 Major Qty - Exora Phase I 7 3" xfId="36449" xr:uid="{00000000-0005-0000-0000-00002F8B0000}"/>
    <cellStyle name="v_03 Major Qty - Exora Phase I 7 4" xfId="36450" xr:uid="{00000000-0005-0000-0000-0000308B0000}"/>
    <cellStyle name="v_03 Major Qty - Exora Phase I 7 5" xfId="36451" xr:uid="{00000000-0005-0000-0000-0000318B0000}"/>
    <cellStyle name="v_03 Major Qty - Exora Phase I 7 6" xfId="36452" xr:uid="{00000000-0005-0000-0000-0000328B0000}"/>
    <cellStyle name="v_03 Major Qty - Exora Phase I 7 7" xfId="36453" xr:uid="{00000000-0005-0000-0000-0000338B0000}"/>
    <cellStyle name="v_03 Major Qty - Exora Phase I 7 8" xfId="36454" xr:uid="{00000000-0005-0000-0000-0000348B0000}"/>
    <cellStyle name="v_03 Major Qty - Exora Phase I 7 9" xfId="36455" xr:uid="{00000000-0005-0000-0000-0000358B0000}"/>
    <cellStyle name="v_03 Major Qty - Exora Phase I 8" xfId="36456" xr:uid="{00000000-0005-0000-0000-0000368B0000}"/>
    <cellStyle name="v_03 Major Qty - Exora Phase I 8 10" xfId="36457" xr:uid="{00000000-0005-0000-0000-0000378B0000}"/>
    <cellStyle name="v_03 Major Qty - Exora Phase I 8 11" xfId="36458" xr:uid="{00000000-0005-0000-0000-0000388B0000}"/>
    <cellStyle name="v_03 Major Qty - Exora Phase I 8 12" xfId="36459" xr:uid="{00000000-0005-0000-0000-0000398B0000}"/>
    <cellStyle name="v_03 Major Qty - Exora Phase I 8 13" xfId="36460" xr:uid="{00000000-0005-0000-0000-00003A8B0000}"/>
    <cellStyle name="v_03 Major Qty - Exora Phase I 8 14" xfId="36461" xr:uid="{00000000-0005-0000-0000-00003B8B0000}"/>
    <cellStyle name="v_03 Major Qty - Exora Phase I 8 15" xfId="36462" xr:uid="{00000000-0005-0000-0000-00003C8B0000}"/>
    <cellStyle name="v_03 Major Qty - Exora Phase I 8 16" xfId="36463" xr:uid="{00000000-0005-0000-0000-00003D8B0000}"/>
    <cellStyle name="v_03 Major Qty - Exora Phase I 8 17" xfId="36464" xr:uid="{00000000-0005-0000-0000-00003E8B0000}"/>
    <cellStyle name="v_03 Major Qty - Exora Phase I 8 2" xfId="36465" xr:uid="{00000000-0005-0000-0000-00003F8B0000}"/>
    <cellStyle name="v_03 Major Qty - Exora Phase I 8 2 10" xfId="36466" xr:uid="{00000000-0005-0000-0000-0000408B0000}"/>
    <cellStyle name="v_03 Major Qty - Exora Phase I 8 2 11" xfId="36467" xr:uid="{00000000-0005-0000-0000-0000418B0000}"/>
    <cellStyle name="v_03 Major Qty - Exora Phase I 8 2 12" xfId="36468" xr:uid="{00000000-0005-0000-0000-0000428B0000}"/>
    <cellStyle name="v_03 Major Qty - Exora Phase I 8 2 13" xfId="36469" xr:uid="{00000000-0005-0000-0000-0000438B0000}"/>
    <cellStyle name="v_03 Major Qty - Exora Phase I 8 2 14" xfId="36470" xr:uid="{00000000-0005-0000-0000-0000448B0000}"/>
    <cellStyle name="v_03 Major Qty - Exora Phase I 8 2 15" xfId="36471" xr:uid="{00000000-0005-0000-0000-0000458B0000}"/>
    <cellStyle name="v_03 Major Qty - Exora Phase I 8 2 16" xfId="36472" xr:uid="{00000000-0005-0000-0000-0000468B0000}"/>
    <cellStyle name="v_03 Major Qty - Exora Phase I 8 2 2" xfId="36473" xr:uid="{00000000-0005-0000-0000-0000478B0000}"/>
    <cellStyle name="v_03 Major Qty - Exora Phase I 8 2 3" xfId="36474" xr:uid="{00000000-0005-0000-0000-0000488B0000}"/>
    <cellStyle name="v_03 Major Qty - Exora Phase I 8 2 4" xfId="36475" xr:uid="{00000000-0005-0000-0000-0000498B0000}"/>
    <cellStyle name="v_03 Major Qty - Exora Phase I 8 2 5" xfId="36476" xr:uid="{00000000-0005-0000-0000-00004A8B0000}"/>
    <cellStyle name="v_03 Major Qty - Exora Phase I 8 2 6" xfId="36477" xr:uid="{00000000-0005-0000-0000-00004B8B0000}"/>
    <cellStyle name="v_03 Major Qty - Exora Phase I 8 2 7" xfId="36478" xr:uid="{00000000-0005-0000-0000-00004C8B0000}"/>
    <cellStyle name="v_03 Major Qty - Exora Phase I 8 2 8" xfId="36479" xr:uid="{00000000-0005-0000-0000-00004D8B0000}"/>
    <cellStyle name="v_03 Major Qty - Exora Phase I 8 2 9" xfId="36480" xr:uid="{00000000-0005-0000-0000-00004E8B0000}"/>
    <cellStyle name="v_03 Major Qty - Exora Phase I 8 3" xfId="36481" xr:uid="{00000000-0005-0000-0000-00004F8B0000}"/>
    <cellStyle name="v_03 Major Qty - Exora Phase I 8 4" xfId="36482" xr:uid="{00000000-0005-0000-0000-0000508B0000}"/>
    <cellStyle name="v_03 Major Qty - Exora Phase I 8 5" xfId="36483" xr:uid="{00000000-0005-0000-0000-0000518B0000}"/>
    <cellStyle name="v_03 Major Qty - Exora Phase I 8 6" xfId="36484" xr:uid="{00000000-0005-0000-0000-0000528B0000}"/>
    <cellStyle name="v_03 Major Qty - Exora Phase I 8 7" xfId="36485" xr:uid="{00000000-0005-0000-0000-0000538B0000}"/>
    <cellStyle name="v_03 Major Qty - Exora Phase I 8 8" xfId="36486" xr:uid="{00000000-0005-0000-0000-0000548B0000}"/>
    <cellStyle name="v_03 Major Qty - Exora Phase I 8 9" xfId="36487" xr:uid="{00000000-0005-0000-0000-0000558B0000}"/>
    <cellStyle name="v_03 Major Qty - Exora Phase I 9" xfId="36488" xr:uid="{00000000-0005-0000-0000-0000568B0000}"/>
    <cellStyle name="v_03 Major Qty - Exora Phase I 9 10" xfId="36489" xr:uid="{00000000-0005-0000-0000-0000578B0000}"/>
    <cellStyle name="v_03 Major Qty - Exora Phase I 9 11" xfId="36490" xr:uid="{00000000-0005-0000-0000-0000588B0000}"/>
    <cellStyle name="v_03 Major Qty - Exora Phase I 9 12" xfId="36491" xr:uid="{00000000-0005-0000-0000-0000598B0000}"/>
    <cellStyle name="v_03 Major Qty - Exora Phase I 9 13" xfId="36492" xr:uid="{00000000-0005-0000-0000-00005A8B0000}"/>
    <cellStyle name="v_03 Major Qty - Exora Phase I 9 14" xfId="36493" xr:uid="{00000000-0005-0000-0000-00005B8B0000}"/>
    <cellStyle name="v_03 Major Qty - Exora Phase I 9 15" xfId="36494" xr:uid="{00000000-0005-0000-0000-00005C8B0000}"/>
    <cellStyle name="v_03 Major Qty - Exora Phase I 9 16" xfId="36495" xr:uid="{00000000-0005-0000-0000-00005D8B0000}"/>
    <cellStyle name="v_03 Major Qty - Exora Phase I 9 17" xfId="36496" xr:uid="{00000000-0005-0000-0000-00005E8B0000}"/>
    <cellStyle name="v_03 Major Qty - Exora Phase I 9 2" xfId="36497" xr:uid="{00000000-0005-0000-0000-00005F8B0000}"/>
    <cellStyle name="v_03 Major Qty - Exora Phase I 9 2 10" xfId="36498" xr:uid="{00000000-0005-0000-0000-0000608B0000}"/>
    <cellStyle name="v_03 Major Qty - Exora Phase I 9 2 11" xfId="36499" xr:uid="{00000000-0005-0000-0000-0000618B0000}"/>
    <cellStyle name="v_03 Major Qty - Exora Phase I 9 2 12" xfId="36500" xr:uid="{00000000-0005-0000-0000-0000628B0000}"/>
    <cellStyle name="v_03 Major Qty - Exora Phase I 9 2 13" xfId="36501" xr:uid="{00000000-0005-0000-0000-0000638B0000}"/>
    <cellStyle name="v_03 Major Qty - Exora Phase I 9 2 14" xfId="36502" xr:uid="{00000000-0005-0000-0000-0000648B0000}"/>
    <cellStyle name="v_03 Major Qty - Exora Phase I 9 2 15" xfId="36503" xr:uid="{00000000-0005-0000-0000-0000658B0000}"/>
    <cellStyle name="v_03 Major Qty - Exora Phase I 9 2 16" xfId="36504" xr:uid="{00000000-0005-0000-0000-0000668B0000}"/>
    <cellStyle name="v_03 Major Qty - Exora Phase I 9 2 2" xfId="36505" xr:uid="{00000000-0005-0000-0000-0000678B0000}"/>
    <cellStyle name="v_03 Major Qty - Exora Phase I 9 2 3" xfId="36506" xr:uid="{00000000-0005-0000-0000-0000688B0000}"/>
    <cellStyle name="v_03 Major Qty - Exora Phase I 9 2 4" xfId="36507" xr:uid="{00000000-0005-0000-0000-0000698B0000}"/>
    <cellStyle name="v_03 Major Qty - Exora Phase I 9 2 5" xfId="36508" xr:uid="{00000000-0005-0000-0000-00006A8B0000}"/>
    <cellStyle name="v_03 Major Qty - Exora Phase I 9 2 6" xfId="36509" xr:uid="{00000000-0005-0000-0000-00006B8B0000}"/>
    <cellStyle name="v_03 Major Qty - Exora Phase I 9 2 7" xfId="36510" xr:uid="{00000000-0005-0000-0000-00006C8B0000}"/>
    <cellStyle name="v_03 Major Qty - Exora Phase I 9 2 8" xfId="36511" xr:uid="{00000000-0005-0000-0000-00006D8B0000}"/>
    <cellStyle name="v_03 Major Qty - Exora Phase I 9 2 9" xfId="36512" xr:uid="{00000000-0005-0000-0000-00006E8B0000}"/>
    <cellStyle name="v_03 Major Qty - Exora Phase I 9 3" xfId="36513" xr:uid="{00000000-0005-0000-0000-00006F8B0000}"/>
    <cellStyle name="v_03 Major Qty - Exora Phase I 9 4" xfId="36514" xr:uid="{00000000-0005-0000-0000-0000708B0000}"/>
    <cellStyle name="v_03 Major Qty - Exora Phase I 9 5" xfId="36515" xr:uid="{00000000-0005-0000-0000-0000718B0000}"/>
    <cellStyle name="v_03 Major Qty - Exora Phase I 9 6" xfId="36516" xr:uid="{00000000-0005-0000-0000-0000728B0000}"/>
    <cellStyle name="v_03 Major Qty - Exora Phase I 9 7" xfId="36517" xr:uid="{00000000-0005-0000-0000-0000738B0000}"/>
    <cellStyle name="v_03 Major Qty - Exora Phase I 9 8" xfId="36518" xr:uid="{00000000-0005-0000-0000-0000748B0000}"/>
    <cellStyle name="v_03 Major Qty - Exora Phase I 9 9" xfId="36519" xr:uid="{00000000-0005-0000-0000-0000758B0000}"/>
    <cellStyle name="v_Major Qty - Bagmane" xfId="36520" xr:uid="{00000000-0005-0000-0000-0000768B0000}"/>
    <cellStyle name="v_Major Qty - Bagmane 10" xfId="36521" xr:uid="{00000000-0005-0000-0000-0000778B0000}"/>
    <cellStyle name="v_Major Qty - Bagmane 10 10" xfId="36522" xr:uid="{00000000-0005-0000-0000-0000788B0000}"/>
    <cellStyle name="v_Major Qty - Bagmane 10 11" xfId="36523" xr:uid="{00000000-0005-0000-0000-0000798B0000}"/>
    <cellStyle name="v_Major Qty - Bagmane 10 12" xfId="36524" xr:uid="{00000000-0005-0000-0000-00007A8B0000}"/>
    <cellStyle name="v_Major Qty - Bagmane 10 13" xfId="36525" xr:uid="{00000000-0005-0000-0000-00007B8B0000}"/>
    <cellStyle name="v_Major Qty - Bagmane 10 14" xfId="36526" xr:uid="{00000000-0005-0000-0000-00007C8B0000}"/>
    <cellStyle name="v_Major Qty - Bagmane 10 15" xfId="36527" xr:uid="{00000000-0005-0000-0000-00007D8B0000}"/>
    <cellStyle name="v_Major Qty - Bagmane 10 16" xfId="36528" xr:uid="{00000000-0005-0000-0000-00007E8B0000}"/>
    <cellStyle name="v_Major Qty - Bagmane 10 17" xfId="36529" xr:uid="{00000000-0005-0000-0000-00007F8B0000}"/>
    <cellStyle name="v_Major Qty - Bagmane 10 2" xfId="36530" xr:uid="{00000000-0005-0000-0000-0000808B0000}"/>
    <cellStyle name="v_Major Qty - Bagmane 10 2 10" xfId="36531" xr:uid="{00000000-0005-0000-0000-0000818B0000}"/>
    <cellStyle name="v_Major Qty - Bagmane 10 2 11" xfId="36532" xr:uid="{00000000-0005-0000-0000-0000828B0000}"/>
    <cellStyle name="v_Major Qty - Bagmane 10 2 12" xfId="36533" xr:uid="{00000000-0005-0000-0000-0000838B0000}"/>
    <cellStyle name="v_Major Qty - Bagmane 10 2 13" xfId="36534" xr:uid="{00000000-0005-0000-0000-0000848B0000}"/>
    <cellStyle name="v_Major Qty - Bagmane 10 2 14" xfId="36535" xr:uid="{00000000-0005-0000-0000-0000858B0000}"/>
    <cellStyle name="v_Major Qty - Bagmane 10 2 15" xfId="36536" xr:uid="{00000000-0005-0000-0000-0000868B0000}"/>
    <cellStyle name="v_Major Qty - Bagmane 10 2 16" xfId="36537" xr:uid="{00000000-0005-0000-0000-0000878B0000}"/>
    <cellStyle name="v_Major Qty - Bagmane 10 2 2" xfId="36538" xr:uid="{00000000-0005-0000-0000-0000888B0000}"/>
    <cellStyle name="v_Major Qty - Bagmane 10 2 3" xfId="36539" xr:uid="{00000000-0005-0000-0000-0000898B0000}"/>
    <cellStyle name="v_Major Qty - Bagmane 10 2 4" xfId="36540" xr:uid="{00000000-0005-0000-0000-00008A8B0000}"/>
    <cellStyle name="v_Major Qty - Bagmane 10 2 5" xfId="36541" xr:uid="{00000000-0005-0000-0000-00008B8B0000}"/>
    <cellStyle name="v_Major Qty - Bagmane 10 2 6" xfId="36542" xr:uid="{00000000-0005-0000-0000-00008C8B0000}"/>
    <cellStyle name="v_Major Qty - Bagmane 10 2 7" xfId="36543" xr:uid="{00000000-0005-0000-0000-00008D8B0000}"/>
    <cellStyle name="v_Major Qty - Bagmane 10 2 8" xfId="36544" xr:uid="{00000000-0005-0000-0000-00008E8B0000}"/>
    <cellStyle name="v_Major Qty - Bagmane 10 2 9" xfId="36545" xr:uid="{00000000-0005-0000-0000-00008F8B0000}"/>
    <cellStyle name="v_Major Qty - Bagmane 10 3" xfId="36546" xr:uid="{00000000-0005-0000-0000-0000908B0000}"/>
    <cellStyle name="v_Major Qty - Bagmane 10 4" xfId="36547" xr:uid="{00000000-0005-0000-0000-0000918B0000}"/>
    <cellStyle name="v_Major Qty - Bagmane 10 5" xfId="36548" xr:uid="{00000000-0005-0000-0000-0000928B0000}"/>
    <cellStyle name="v_Major Qty - Bagmane 10 6" xfId="36549" xr:uid="{00000000-0005-0000-0000-0000938B0000}"/>
    <cellStyle name="v_Major Qty - Bagmane 10 7" xfId="36550" xr:uid="{00000000-0005-0000-0000-0000948B0000}"/>
    <cellStyle name="v_Major Qty - Bagmane 10 8" xfId="36551" xr:uid="{00000000-0005-0000-0000-0000958B0000}"/>
    <cellStyle name="v_Major Qty - Bagmane 10 9" xfId="36552" xr:uid="{00000000-0005-0000-0000-0000968B0000}"/>
    <cellStyle name="v_Major Qty - Bagmane 11" xfId="36553" xr:uid="{00000000-0005-0000-0000-0000978B0000}"/>
    <cellStyle name="v_Major Qty - Bagmane 11 10" xfId="36554" xr:uid="{00000000-0005-0000-0000-0000988B0000}"/>
    <cellStyle name="v_Major Qty - Bagmane 11 11" xfId="36555" xr:uid="{00000000-0005-0000-0000-0000998B0000}"/>
    <cellStyle name="v_Major Qty - Bagmane 11 12" xfId="36556" xr:uid="{00000000-0005-0000-0000-00009A8B0000}"/>
    <cellStyle name="v_Major Qty - Bagmane 11 13" xfId="36557" xr:uid="{00000000-0005-0000-0000-00009B8B0000}"/>
    <cellStyle name="v_Major Qty - Bagmane 11 14" xfId="36558" xr:uid="{00000000-0005-0000-0000-00009C8B0000}"/>
    <cellStyle name="v_Major Qty - Bagmane 11 15" xfId="36559" xr:uid="{00000000-0005-0000-0000-00009D8B0000}"/>
    <cellStyle name="v_Major Qty - Bagmane 11 16" xfId="36560" xr:uid="{00000000-0005-0000-0000-00009E8B0000}"/>
    <cellStyle name="v_Major Qty - Bagmane 11 2" xfId="36561" xr:uid="{00000000-0005-0000-0000-00009F8B0000}"/>
    <cellStyle name="v_Major Qty - Bagmane 11 3" xfId="36562" xr:uid="{00000000-0005-0000-0000-0000A08B0000}"/>
    <cellStyle name="v_Major Qty - Bagmane 11 4" xfId="36563" xr:uid="{00000000-0005-0000-0000-0000A18B0000}"/>
    <cellStyle name="v_Major Qty - Bagmane 11 5" xfId="36564" xr:uid="{00000000-0005-0000-0000-0000A28B0000}"/>
    <cellStyle name="v_Major Qty - Bagmane 11 6" xfId="36565" xr:uid="{00000000-0005-0000-0000-0000A38B0000}"/>
    <cellStyle name="v_Major Qty - Bagmane 11 7" xfId="36566" xr:uid="{00000000-0005-0000-0000-0000A48B0000}"/>
    <cellStyle name="v_Major Qty - Bagmane 11 8" xfId="36567" xr:uid="{00000000-0005-0000-0000-0000A58B0000}"/>
    <cellStyle name="v_Major Qty - Bagmane 11 9" xfId="36568" xr:uid="{00000000-0005-0000-0000-0000A68B0000}"/>
    <cellStyle name="v_Major Qty - Bagmane 12" xfId="36569" xr:uid="{00000000-0005-0000-0000-0000A78B0000}"/>
    <cellStyle name="v_Major Qty - Bagmane 13" xfId="36570" xr:uid="{00000000-0005-0000-0000-0000A88B0000}"/>
    <cellStyle name="v_Major Qty - Bagmane 14" xfId="36571" xr:uid="{00000000-0005-0000-0000-0000A98B0000}"/>
    <cellStyle name="v_Major Qty - Bagmane 15" xfId="36572" xr:uid="{00000000-0005-0000-0000-0000AA8B0000}"/>
    <cellStyle name="v_Major Qty - Bagmane 16" xfId="36573" xr:uid="{00000000-0005-0000-0000-0000AB8B0000}"/>
    <cellStyle name="v_Major Qty - Bagmane 17" xfId="36574" xr:uid="{00000000-0005-0000-0000-0000AC8B0000}"/>
    <cellStyle name="v_Major Qty - Bagmane 18" xfId="36575" xr:uid="{00000000-0005-0000-0000-0000AD8B0000}"/>
    <cellStyle name="v_Major Qty - Bagmane 19" xfId="36576" xr:uid="{00000000-0005-0000-0000-0000AE8B0000}"/>
    <cellStyle name="v_Major Qty - Bagmane 2" xfId="36577" xr:uid="{00000000-0005-0000-0000-0000AF8B0000}"/>
    <cellStyle name="v_Major Qty - Bagmane 2 10" xfId="36578" xr:uid="{00000000-0005-0000-0000-0000B08B0000}"/>
    <cellStyle name="v_Major Qty - Bagmane 2 11" xfId="36579" xr:uid="{00000000-0005-0000-0000-0000B18B0000}"/>
    <cellStyle name="v_Major Qty - Bagmane 2 12" xfId="36580" xr:uid="{00000000-0005-0000-0000-0000B28B0000}"/>
    <cellStyle name="v_Major Qty - Bagmane 2 13" xfId="36581" xr:uid="{00000000-0005-0000-0000-0000B38B0000}"/>
    <cellStyle name="v_Major Qty - Bagmane 2 14" xfId="36582" xr:uid="{00000000-0005-0000-0000-0000B48B0000}"/>
    <cellStyle name="v_Major Qty - Bagmane 2 15" xfId="36583" xr:uid="{00000000-0005-0000-0000-0000B58B0000}"/>
    <cellStyle name="v_Major Qty - Bagmane 2 16" xfId="36584" xr:uid="{00000000-0005-0000-0000-0000B68B0000}"/>
    <cellStyle name="v_Major Qty - Bagmane 2 17" xfId="36585" xr:uid="{00000000-0005-0000-0000-0000B78B0000}"/>
    <cellStyle name="v_Major Qty - Bagmane 2 2" xfId="36586" xr:uid="{00000000-0005-0000-0000-0000B88B0000}"/>
    <cellStyle name="v_Major Qty - Bagmane 2 2 10" xfId="36587" xr:uid="{00000000-0005-0000-0000-0000B98B0000}"/>
    <cellStyle name="v_Major Qty - Bagmane 2 2 11" xfId="36588" xr:uid="{00000000-0005-0000-0000-0000BA8B0000}"/>
    <cellStyle name="v_Major Qty - Bagmane 2 2 12" xfId="36589" xr:uid="{00000000-0005-0000-0000-0000BB8B0000}"/>
    <cellStyle name="v_Major Qty - Bagmane 2 2 13" xfId="36590" xr:uid="{00000000-0005-0000-0000-0000BC8B0000}"/>
    <cellStyle name="v_Major Qty - Bagmane 2 2 14" xfId="36591" xr:uid="{00000000-0005-0000-0000-0000BD8B0000}"/>
    <cellStyle name="v_Major Qty - Bagmane 2 2 15" xfId="36592" xr:uid="{00000000-0005-0000-0000-0000BE8B0000}"/>
    <cellStyle name="v_Major Qty - Bagmane 2 2 16" xfId="36593" xr:uid="{00000000-0005-0000-0000-0000BF8B0000}"/>
    <cellStyle name="v_Major Qty - Bagmane 2 2 2" xfId="36594" xr:uid="{00000000-0005-0000-0000-0000C08B0000}"/>
    <cellStyle name="v_Major Qty - Bagmane 2 2 3" xfId="36595" xr:uid="{00000000-0005-0000-0000-0000C18B0000}"/>
    <cellStyle name="v_Major Qty - Bagmane 2 2 4" xfId="36596" xr:uid="{00000000-0005-0000-0000-0000C28B0000}"/>
    <cellStyle name="v_Major Qty - Bagmane 2 2 5" xfId="36597" xr:uid="{00000000-0005-0000-0000-0000C38B0000}"/>
    <cellStyle name="v_Major Qty - Bagmane 2 2 6" xfId="36598" xr:uid="{00000000-0005-0000-0000-0000C48B0000}"/>
    <cellStyle name="v_Major Qty - Bagmane 2 2 7" xfId="36599" xr:uid="{00000000-0005-0000-0000-0000C58B0000}"/>
    <cellStyle name="v_Major Qty - Bagmane 2 2 8" xfId="36600" xr:uid="{00000000-0005-0000-0000-0000C68B0000}"/>
    <cellStyle name="v_Major Qty - Bagmane 2 2 9" xfId="36601" xr:uid="{00000000-0005-0000-0000-0000C78B0000}"/>
    <cellStyle name="v_Major Qty - Bagmane 2 3" xfId="36602" xr:uid="{00000000-0005-0000-0000-0000C88B0000}"/>
    <cellStyle name="v_Major Qty - Bagmane 2 4" xfId="36603" xr:uid="{00000000-0005-0000-0000-0000C98B0000}"/>
    <cellStyle name="v_Major Qty - Bagmane 2 5" xfId="36604" xr:uid="{00000000-0005-0000-0000-0000CA8B0000}"/>
    <cellStyle name="v_Major Qty - Bagmane 2 6" xfId="36605" xr:uid="{00000000-0005-0000-0000-0000CB8B0000}"/>
    <cellStyle name="v_Major Qty - Bagmane 2 7" xfId="36606" xr:uid="{00000000-0005-0000-0000-0000CC8B0000}"/>
    <cellStyle name="v_Major Qty - Bagmane 2 8" xfId="36607" xr:uid="{00000000-0005-0000-0000-0000CD8B0000}"/>
    <cellStyle name="v_Major Qty - Bagmane 2 9" xfId="36608" xr:uid="{00000000-0005-0000-0000-0000CE8B0000}"/>
    <cellStyle name="v_Major Qty - Bagmane 20" xfId="36609" xr:uid="{00000000-0005-0000-0000-0000CF8B0000}"/>
    <cellStyle name="v_Major Qty - Bagmane 21" xfId="36610" xr:uid="{00000000-0005-0000-0000-0000D08B0000}"/>
    <cellStyle name="v_Major Qty - Bagmane 22" xfId="36611" xr:uid="{00000000-0005-0000-0000-0000D18B0000}"/>
    <cellStyle name="v_Major Qty - Bagmane 23" xfId="36612" xr:uid="{00000000-0005-0000-0000-0000D28B0000}"/>
    <cellStyle name="v_Major Qty - Bagmane 24" xfId="36613" xr:uid="{00000000-0005-0000-0000-0000D38B0000}"/>
    <cellStyle name="v_Major Qty - Bagmane 25" xfId="36614" xr:uid="{00000000-0005-0000-0000-0000D48B0000}"/>
    <cellStyle name="v_Major Qty - Bagmane 26" xfId="36615" xr:uid="{00000000-0005-0000-0000-0000D58B0000}"/>
    <cellStyle name="v_Major Qty - Bagmane 3" xfId="36616" xr:uid="{00000000-0005-0000-0000-0000D68B0000}"/>
    <cellStyle name="v_Major Qty - Bagmane 3 10" xfId="36617" xr:uid="{00000000-0005-0000-0000-0000D78B0000}"/>
    <cellStyle name="v_Major Qty - Bagmane 3 11" xfId="36618" xr:uid="{00000000-0005-0000-0000-0000D88B0000}"/>
    <cellStyle name="v_Major Qty - Bagmane 3 12" xfId="36619" xr:uid="{00000000-0005-0000-0000-0000D98B0000}"/>
    <cellStyle name="v_Major Qty - Bagmane 3 13" xfId="36620" xr:uid="{00000000-0005-0000-0000-0000DA8B0000}"/>
    <cellStyle name="v_Major Qty - Bagmane 3 14" xfId="36621" xr:uid="{00000000-0005-0000-0000-0000DB8B0000}"/>
    <cellStyle name="v_Major Qty - Bagmane 3 15" xfId="36622" xr:uid="{00000000-0005-0000-0000-0000DC8B0000}"/>
    <cellStyle name="v_Major Qty - Bagmane 3 16" xfId="36623" xr:uid="{00000000-0005-0000-0000-0000DD8B0000}"/>
    <cellStyle name="v_Major Qty - Bagmane 3 17" xfId="36624" xr:uid="{00000000-0005-0000-0000-0000DE8B0000}"/>
    <cellStyle name="v_Major Qty - Bagmane 3 2" xfId="36625" xr:uid="{00000000-0005-0000-0000-0000DF8B0000}"/>
    <cellStyle name="v_Major Qty - Bagmane 3 2 10" xfId="36626" xr:uid="{00000000-0005-0000-0000-0000E08B0000}"/>
    <cellStyle name="v_Major Qty - Bagmane 3 2 11" xfId="36627" xr:uid="{00000000-0005-0000-0000-0000E18B0000}"/>
    <cellStyle name="v_Major Qty - Bagmane 3 2 12" xfId="36628" xr:uid="{00000000-0005-0000-0000-0000E28B0000}"/>
    <cellStyle name="v_Major Qty - Bagmane 3 2 13" xfId="36629" xr:uid="{00000000-0005-0000-0000-0000E38B0000}"/>
    <cellStyle name="v_Major Qty - Bagmane 3 2 14" xfId="36630" xr:uid="{00000000-0005-0000-0000-0000E48B0000}"/>
    <cellStyle name="v_Major Qty - Bagmane 3 2 15" xfId="36631" xr:uid="{00000000-0005-0000-0000-0000E58B0000}"/>
    <cellStyle name="v_Major Qty - Bagmane 3 2 16" xfId="36632" xr:uid="{00000000-0005-0000-0000-0000E68B0000}"/>
    <cellStyle name="v_Major Qty - Bagmane 3 2 2" xfId="36633" xr:uid="{00000000-0005-0000-0000-0000E78B0000}"/>
    <cellStyle name="v_Major Qty - Bagmane 3 2 3" xfId="36634" xr:uid="{00000000-0005-0000-0000-0000E88B0000}"/>
    <cellStyle name="v_Major Qty - Bagmane 3 2 4" xfId="36635" xr:uid="{00000000-0005-0000-0000-0000E98B0000}"/>
    <cellStyle name="v_Major Qty - Bagmane 3 2 5" xfId="36636" xr:uid="{00000000-0005-0000-0000-0000EA8B0000}"/>
    <cellStyle name="v_Major Qty - Bagmane 3 2 6" xfId="36637" xr:uid="{00000000-0005-0000-0000-0000EB8B0000}"/>
    <cellStyle name="v_Major Qty - Bagmane 3 2 7" xfId="36638" xr:uid="{00000000-0005-0000-0000-0000EC8B0000}"/>
    <cellStyle name="v_Major Qty - Bagmane 3 2 8" xfId="36639" xr:uid="{00000000-0005-0000-0000-0000ED8B0000}"/>
    <cellStyle name="v_Major Qty - Bagmane 3 2 9" xfId="36640" xr:uid="{00000000-0005-0000-0000-0000EE8B0000}"/>
    <cellStyle name="v_Major Qty - Bagmane 3 3" xfId="36641" xr:uid="{00000000-0005-0000-0000-0000EF8B0000}"/>
    <cellStyle name="v_Major Qty - Bagmane 3 4" xfId="36642" xr:uid="{00000000-0005-0000-0000-0000F08B0000}"/>
    <cellStyle name="v_Major Qty - Bagmane 3 5" xfId="36643" xr:uid="{00000000-0005-0000-0000-0000F18B0000}"/>
    <cellStyle name="v_Major Qty - Bagmane 3 6" xfId="36644" xr:uid="{00000000-0005-0000-0000-0000F28B0000}"/>
    <cellStyle name="v_Major Qty - Bagmane 3 7" xfId="36645" xr:uid="{00000000-0005-0000-0000-0000F38B0000}"/>
    <cellStyle name="v_Major Qty - Bagmane 3 8" xfId="36646" xr:uid="{00000000-0005-0000-0000-0000F48B0000}"/>
    <cellStyle name="v_Major Qty - Bagmane 3 9" xfId="36647" xr:uid="{00000000-0005-0000-0000-0000F58B0000}"/>
    <cellStyle name="v_Major Qty - Bagmane 4" xfId="36648" xr:uid="{00000000-0005-0000-0000-0000F68B0000}"/>
    <cellStyle name="v_Major Qty - Bagmane 4 10" xfId="36649" xr:uid="{00000000-0005-0000-0000-0000F78B0000}"/>
    <cellStyle name="v_Major Qty - Bagmane 4 11" xfId="36650" xr:uid="{00000000-0005-0000-0000-0000F88B0000}"/>
    <cellStyle name="v_Major Qty - Bagmane 4 12" xfId="36651" xr:uid="{00000000-0005-0000-0000-0000F98B0000}"/>
    <cellStyle name="v_Major Qty - Bagmane 4 13" xfId="36652" xr:uid="{00000000-0005-0000-0000-0000FA8B0000}"/>
    <cellStyle name="v_Major Qty - Bagmane 4 14" xfId="36653" xr:uid="{00000000-0005-0000-0000-0000FB8B0000}"/>
    <cellStyle name="v_Major Qty - Bagmane 4 15" xfId="36654" xr:uid="{00000000-0005-0000-0000-0000FC8B0000}"/>
    <cellStyle name="v_Major Qty - Bagmane 4 16" xfId="36655" xr:uid="{00000000-0005-0000-0000-0000FD8B0000}"/>
    <cellStyle name="v_Major Qty - Bagmane 4 17" xfId="36656" xr:uid="{00000000-0005-0000-0000-0000FE8B0000}"/>
    <cellStyle name="v_Major Qty - Bagmane 4 2" xfId="36657" xr:uid="{00000000-0005-0000-0000-0000FF8B0000}"/>
    <cellStyle name="v_Major Qty - Bagmane 4 2 10" xfId="36658" xr:uid="{00000000-0005-0000-0000-0000008C0000}"/>
    <cellStyle name="v_Major Qty - Bagmane 4 2 11" xfId="36659" xr:uid="{00000000-0005-0000-0000-0000018C0000}"/>
    <cellStyle name="v_Major Qty - Bagmane 4 2 12" xfId="36660" xr:uid="{00000000-0005-0000-0000-0000028C0000}"/>
    <cellStyle name="v_Major Qty - Bagmane 4 2 13" xfId="36661" xr:uid="{00000000-0005-0000-0000-0000038C0000}"/>
    <cellStyle name="v_Major Qty - Bagmane 4 2 14" xfId="36662" xr:uid="{00000000-0005-0000-0000-0000048C0000}"/>
    <cellStyle name="v_Major Qty - Bagmane 4 2 15" xfId="36663" xr:uid="{00000000-0005-0000-0000-0000058C0000}"/>
    <cellStyle name="v_Major Qty - Bagmane 4 2 16" xfId="36664" xr:uid="{00000000-0005-0000-0000-0000068C0000}"/>
    <cellStyle name="v_Major Qty - Bagmane 4 2 2" xfId="36665" xr:uid="{00000000-0005-0000-0000-0000078C0000}"/>
    <cellStyle name="v_Major Qty - Bagmane 4 2 3" xfId="36666" xr:uid="{00000000-0005-0000-0000-0000088C0000}"/>
    <cellStyle name="v_Major Qty - Bagmane 4 2 4" xfId="36667" xr:uid="{00000000-0005-0000-0000-0000098C0000}"/>
    <cellStyle name="v_Major Qty - Bagmane 4 2 5" xfId="36668" xr:uid="{00000000-0005-0000-0000-00000A8C0000}"/>
    <cellStyle name="v_Major Qty - Bagmane 4 2 6" xfId="36669" xr:uid="{00000000-0005-0000-0000-00000B8C0000}"/>
    <cellStyle name="v_Major Qty - Bagmane 4 2 7" xfId="36670" xr:uid="{00000000-0005-0000-0000-00000C8C0000}"/>
    <cellStyle name="v_Major Qty - Bagmane 4 2 8" xfId="36671" xr:uid="{00000000-0005-0000-0000-00000D8C0000}"/>
    <cellStyle name="v_Major Qty - Bagmane 4 2 9" xfId="36672" xr:uid="{00000000-0005-0000-0000-00000E8C0000}"/>
    <cellStyle name="v_Major Qty - Bagmane 4 3" xfId="36673" xr:uid="{00000000-0005-0000-0000-00000F8C0000}"/>
    <cellStyle name="v_Major Qty - Bagmane 4 4" xfId="36674" xr:uid="{00000000-0005-0000-0000-0000108C0000}"/>
    <cellStyle name="v_Major Qty - Bagmane 4 5" xfId="36675" xr:uid="{00000000-0005-0000-0000-0000118C0000}"/>
    <cellStyle name="v_Major Qty - Bagmane 4 6" xfId="36676" xr:uid="{00000000-0005-0000-0000-0000128C0000}"/>
    <cellStyle name="v_Major Qty - Bagmane 4 7" xfId="36677" xr:uid="{00000000-0005-0000-0000-0000138C0000}"/>
    <cellStyle name="v_Major Qty - Bagmane 4 8" xfId="36678" xr:uid="{00000000-0005-0000-0000-0000148C0000}"/>
    <cellStyle name="v_Major Qty - Bagmane 4 9" xfId="36679" xr:uid="{00000000-0005-0000-0000-0000158C0000}"/>
    <cellStyle name="v_Major Qty - Bagmane 5" xfId="36680" xr:uid="{00000000-0005-0000-0000-0000168C0000}"/>
    <cellStyle name="v_Major Qty - Bagmane 5 10" xfId="36681" xr:uid="{00000000-0005-0000-0000-0000178C0000}"/>
    <cellStyle name="v_Major Qty - Bagmane 5 11" xfId="36682" xr:uid="{00000000-0005-0000-0000-0000188C0000}"/>
    <cellStyle name="v_Major Qty - Bagmane 5 12" xfId="36683" xr:uid="{00000000-0005-0000-0000-0000198C0000}"/>
    <cellStyle name="v_Major Qty - Bagmane 5 13" xfId="36684" xr:uid="{00000000-0005-0000-0000-00001A8C0000}"/>
    <cellStyle name="v_Major Qty - Bagmane 5 14" xfId="36685" xr:uid="{00000000-0005-0000-0000-00001B8C0000}"/>
    <cellStyle name="v_Major Qty - Bagmane 5 15" xfId="36686" xr:uid="{00000000-0005-0000-0000-00001C8C0000}"/>
    <cellStyle name="v_Major Qty - Bagmane 5 16" xfId="36687" xr:uid="{00000000-0005-0000-0000-00001D8C0000}"/>
    <cellStyle name="v_Major Qty - Bagmane 5 17" xfId="36688" xr:uid="{00000000-0005-0000-0000-00001E8C0000}"/>
    <cellStyle name="v_Major Qty - Bagmane 5 2" xfId="36689" xr:uid="{00000000-0005-0000-0000-00001F8C0000}"/>
    <cellStyle name="v_Major Qty - Bagmane 5 2 10" xfId="36690" xr:uid="{00000000-0005-0000-0000-0000208C0000}"/>
    <cellStyle name="v_Major Qty - Bagmane 5 2 11" xfId="36691" xr:uid="{00000000-0005-0000-0000-0000218C0000}"/>
    <cellStyle name="v_Major Qty - Bagmane 5 2 12" xfId="36692" xr:uid="{00000000-0005-0000-0000-0000228C0000}"/>
    <cellStyle name="v_Major Qty - Bagmane 5 2 13" xfId="36693" xr:uid="{00000000-0005-0000-0000-0000238C0000}"/>
    <cellStyle name="v_Major Qty - Bagmane 5 2 14" xfId="36694" xr:uid="{00000000-0005-0000-0000-0000248C0000}"/>
    <cellStyle name="v_Major Qty - Bagmane 5 2 15" xfId="36695" xr:uid="{00000000-0005-0000-0000-0000258C0000}"/>
    <cellStyle name="v_Major Qty - Bagmane 5 2 16" xfId="36696" xr:uid="{00000000-0005-0000-0000-0000268C0000}"/>
    <cellStyle name="v_Major Qty - Bagmane 5 2 2" xfId="36697" xr:uid="{00000000-0005-0000-0000-0000278C0000}"/>
    <cellStyle name="v_Major Qty - Bagmane 5 2 3" xfId="36698" xr:uid="{00000000-0005-0000-0000-0000288C0000}"/>
    <cellStyle name="v_Major Qty - Bagmane 5 2 4" xfId="36699" xr:uid="{00000000-0005-0000-0000-0000298C0000}"/>
    <cellStyle name="v_Major Qty - Bagmane 5 2 5" xfId="36700" xr:uid="{00000000-0005-0000-0000-00002A8C0000}"/>
    <cellStyle name="v_Major Qty - Bagmane 5 2 6" xfId="36701" xr:uid="{00000000-0005-0000-0000-00002B8C0000}"/>
    <cellStyle name="v_Major Qty - Bagmane 5 2 7" xfId="36702" xr:uid="{00000000-0005-0000-0000-00002C8C0000}"/>
    <cellStyle name="v_Major Qty - Bagmane 5 2 8" xfId="36703" xr:uid="{00000000-0005-0000-0000-00002D8C0000}"/>
    <cellStyle name="v_Major Qty - Bagmane 5 2 9" xfId="36704" xr:uid="{00000000-0005-0000-0000-00002E8C0000}"/>
    <cellStyle name="v_Major Qty - Bagmane 5 3" xfId="36705" xr:uid="{00000000-0005-0000-0000-00002F8C0000}"/>
    <cellStyle name="v_Major Qty - Bagmane 5 4" xfId="36706" xr:uid="{00000000-0005-0000-0000-0000308C0000}"/>
    <cellStyle name="v_Major Qty - Bagmane 5 5" xfId="36707" xr:uid="{00000000-0005-0000-0000-0000318C0000}"/>
    <cellStyle name="v_Major Qty - Bagmane 5 6" xfId="36708" xr:uid="{00000000-0005-0000-0000-0000328C0000}"/>
    <cellStyle name="v_Major Qty - Bagmane 5 7" xfId="36709" xr:uid="{00000000-0005-0000-0000-0000338C0000}"/>
    <cellStyle name="v_Major Qty - Bagmane 5 8" xfId="36710" xr:uid="{00000000-0005-0000-0000-0000348C0000}"/>
    <cellStyle name="v_Major Qty - Bagmane 5 9" xfId="36711" xr:uid="{00000000-0005-0000-0000-0000358C0000}"/>
    <cellStyle name="v_Major Qty - Bagmane 6" xfId="36712" xr:uid="{00000000-0005-0000-0000-0000368C0000}"/>
    <cellStyle name="v_Major Qty - Bagmane 6 10" xfId="36713" xr:uid="{00000000-0005-0000-0000-0000378C0000}"/>
    <cellStyle name="v_Major Qty - Bagmane 6 11" xfId="36714" xr:uid="{00000000-0005-0000-0000-0000388C0000}"/>
    <cellStyle name="v_Major Qty - Bagmane 6 12" xfId="36715" xr:uid="{00000000-0005-0000-0000-0000398C0000}"/>
    <cellStyle name="v_Major Qty - Bagmane 6 13" xfId="36716" xr:uid="{00000000-0005-0000-0000-00003A8C0000}"/>
    <cellStyle name="v_Major Qty - Bagmane 6 14" xfId="36717" xr:uid="{00000000-0005-0000-0000-00003B8C0000}"/>
    <cellStyle name="v_Major Qty - Bagmane 6 15" xfId="36718" xr:uid="{00000000-0005-0000-0000-00003C8C0000}"/>
    <cellStyle name="v_Major Qty - Bagmane 6 16" xfId="36719" xr:uid="{00000000-0005-0000-0000-00003D8C0000}"/>
    <cellStyle name="v_Major Qty - Bagmane 6 17" xfId="36720" xr:uid="{00000000-0005-0000-0000-00003E8C0000}"/>
    <cellStyle name="v_Major Qty - Bagmane 6 2" xfId="36721" xr:uid="{00000000-0005-0000-0000-00003F8C0000}"/>
    <cellStyle name="v_Major Qty - Bagmane 6 2 10" xfId="36722" xr:uid="{00000000-0005-0000-0000-0000408C0000}"/>
    <cellStyle name="v_Major Qty - Bagmane 6 2 11" xfId="36723" xr:uid="{00000000-0005-0000-0000-0000418C0000}"/>
    <cellStyle name="v_Major Qty - Bagmane 6 2 12" xfId="36724" xr:uid="{00000000-0005-0000-0000-0000428C0000}"/>
    <cellStyle name="v_Major Qty - Bagmane 6 2 13" xfId="36725" xr:uid="{00000000-0005-0000-0000-0000438C0000}"/>
    <cellStyle name="v_Major Qty - Bagmane 6 2 14" xfId="36726" xr:uid="{00000000-0005-0000-0000-0000448C0000}"/>
    <cellStyle name="v_Major Qty - Bagmane 6 2 15" xfId="36727" xr:uid="{00000000-0005-0000-0000-0000458C0000}"/>
    <cellStyle name="v_Major Qty - Bagmane 6 2 16" xfId="36728" xr:uid="{00000000-0005-0000-0000-0000468C0000}"/>
    <cellStyle name="v_Major Qty - Bagmane 6 2 2" xfId="36729" xr:uid="{00000000-0005-0000-0000-0000478C0000}"/>
    <cellStyle name="v_Major Qty - Bagmane 6 2 3" xfId="36730" xr:uid="{00000000-0005-0000-0000-0000488C0000}"/>
    <cellStyle name="v_Major Qty - Bagmane 6 2 4" xfId="36731" xr:uid="{00000000-0005-0000-0000-0000498C0000}"/>
    <cellStyle name="v_Major Qty - Bagmane 6 2 5" xfId="36732" xr:uid="{00000000-0005-0000-0000-00004A8C0000}"/>
    <cellStyle name="v_Major Qty - Bagmane 6 2 6" xfId="36733" xr:uid="{00000000-0005-0000-0000-00004B8C0000}"/>
    <cellStyle name="v_Major Qty - Bagmane 6 2 7" xfId="36734" xr:uid="{00000000-0005-0000-0000-00004C8C0000}"/>
    <cellStyle name="v_Major Qty - Bagmane 6 2 8" xfId="36735" xr:uid="{00000000-0005-0000-0000-00004D8C0000}"/>
    <cellStyle name="v_Major Qty - Bagmane 6 2 9" xfId="36736" xr:uid="{00000000-0005-0000-0000-00004E8C0000}"/>
    <cellStyle name="v_Major Qty - Bagmane 6 3" xfId="36737" xr:uid="{00000000-0005-0000-0000-00004F8C0000}"/>
    <cellStyle name="v_Major Qty - Bagmane 6 4" xfId="36738" xr:uid="{00000000-0005-0000-0000-0000508C0000}"/>
    <cellStyle name="v_Major Qty - Bagmane 6 5" xfId="36739" xr:uid="{00000000-0005-0000-0000-0000518C0000}"/>
    <cellStyle name="v_Major Qty - Bagmane 6 6" xfId="36740" xr:uid="{00000000-0005-0000-0000-0000528C0000}"/>
    <cellStyle name="v_Major Qty - Bagmane 6 7" xfId="36741" xr:uid="{00000000-0005-0000-0000-0000538C0000}"/>
    <cellStyle name="v_Major Qty - Bagmane 6 8" xfId="36742" xr:uid="{00000000-0005-0000-0000-0000548C0000}"/>
    <cellStyle name="v_Major Qty - Bagmane 6 9" xfId="36743" xr:uid="{00000000-0005-0000-0000-0000558C0000}"/>
    <cellStyle name="v_Major Qty - Bagmane 7" xfId="36744" xr:uid="{00000000-0005-0000-0000-0000568C0000}"/>
    <cellStyle name="v_Major Qty - Bagmane 7 10" xfId="36745" xr:uid="{00000000-0005-0000-0000-0000578C0000}"/>
    <cellStyle name="v_Major Qty - Bagmane 7 11" xfId="36746" xr:uid="{00000000-0005-0000-0000-0000588C0000}"/>
    <cellStyle name="v_Major Qty - Bagmane 7 12" xfId="36747" xr:uid="{00000000-0005-0000-0000-0000598C0000}"/>
    <cellStyle name="v_Major Qty - Bagmane 7 13" xfId="36748" xr:uid="{00000000-0005-0000-0000-00005A8C0000}"/>
    <cellStyle name="v_Major Qty - Bagmane 7 14" xfId="36749" xr:uid="{00000000-0005-0000-0000-00005B8C0000}"/>
    <cellStyle name="v_Major Qty - Bagmane 7 15" xfId="36750" xr:uid="{00000000-0005-0000-0000-00005C8C0000}"/>
    <cellStyle name="v_Major Qty - Bagmane 7 16" xfId="36751" xr:uid="{00000000-0005-0000-0000-00005D8C0000}"/>
    <cellStyle name="v_Major Qty - Bagmane 7 17" xfId="36752" xr:uid="{00000000-0005-0000-0000-00005E8C0000}"/>
    <cellStyle name="v_Major Qty - Bagmane 7 2" xfId="36753" xr:uid="{00000000-0005-0000-0000-00005F8C0000}"/>
    <cellStyle name="v_Major Qty - Bagmane 7 2 10" xfId="36754" xr:uid="{00000000-0005-0000-0000-0000608C0000}"/>
    <cellStyle name="v_Major Qty - Bagmane 7 2 11" xfId="36755" xr:uid="{00000000-0005-0000-0000-0000618C0000}"/>
    <cellStyle name="v_Major Qty - Bagmane 7 2 12" xfId="36756" xr:uid="{00000000-0005-0000-0000-0000628C0000}"/>
    <cellStyle name="v_Major Qty - Bagmane 7 2 13" xfId="36757" xr:uid="{00000000-0005-0000-0000-0000638C0000}"/>
    <cellStyle name="v_Major Qty - Bagmane 7 2 14" xfId="36758" xr:uid="{00000000-0005-0000-0000-0000648C0000}"/>
    <cellStyle name="v_Major Qty - Bagmane 7 2 15" xfId="36759" xr:uid="{00000000-0005-0000-0000-0000658C0000}"/>
    <cellStyle name="v_Major Qty - Bagmane 7 2 16" xfId="36760" xr:uid="{00000000-0005-0000-0000-0000668C0000}"/>
    <cellStyle name="v_Major Qty - Bagmane 7 2 2" xfId="36761" xr:uid="{00000000-0005-0000-0000-0000678C0000}"/>
    <cellStyle name="v_Major Qty - Bagmane 7 2 3" xfId="36762" xr:uid="{00000000-0005-0000-0000-0000688C0000}"/>
    <cellStyle name="v_Major Qty - Bagmane 7 2 4" xfId="36763" xr:uid="{00000000-0005-0000-0000-0000698C0000}"/>
    <cellStyle name="v_Major Qty - Bagmane 7 2 5" xfId="36764" xr:uid="{00000000-0005-0000-0000-00006A8C0000}"/>
    <cellStyle name="v_Major Qty - Bagmane 7 2 6" xfId="36765" xr:uid="{00000000-0005-0000-0000-00006B8C0000}"/>
    <cellStyle name="v_Major Qty - Bagmane 7 2 7" xfId="36766" xr:uid="{00000000-0005-0000-0000-00006C8C0000}"/>
    <cellStyle name="v_Major Qty - Bagmane 7 2 8" xfId="36767" xr:uid="{00000000-0005-0000-0000-00006D8C0000}"/>
    <cellStyle name="v_Major Qty - Bagmane 7 2 9" xfId="36768" xr:uid="{00000000-0005-0000-0000-00006E8C0000}"/>
    <cellStyle name="v_Major Qty - Bagmane 7 3" xfId="36769" xr:uid="{00000000-0005-0000-0000-00006F8C0000}"/>
    <cellStyle name="v_Major Qty - Bagmane 7 4" xfId="36770" xr:uid="{00000000-0005-0000-0000-0000708C0000}"/>
    <cellStyle name="v_Major Qty - Bagmane 7 5" xfId="36771" xr:uid="{00000000-0005-0000-0000-0000718C0000}"/>
    <cellStyle name="v_Major Qty - Bagmane 7 6" xfId="36772" xr:uid="{00000000-0005-0000-0000-0000728C0000}"/>
    <cellStyle name="v_Major Qty - Bagmane 7 7" xfId="36773" xr:uid="{00000000-0005-0000-0000-0000738C0000}"/>
    <cellStyle name="v_Major Qty - Bagmane 7 8" xfId="36774" xr:uid="{00000000-0005-0000-0000-0000748C0000}"/>
    <cellStyle name="v_Major Qty - Bagmane 7 9" xfId="36775" xr:uid="{00000000-0005-0000-0000-0000758C0000}"/>
    <cellStyle name="v_Major Qty - Bagmane 8" xfId="36776" xr:uid="{00000000-0005-0000-0000-0000768C0000}"/>
    <cellStyle name="v_Major Qty - Bagmane 8 10" xfId="36777" xr:uid="{00000000-0005-0000-0000-0000778C0000}"/>
    <cellStyle name="v_Major Qty - Bagmane 8 11" xfId="36778" xr:uid="{00000000-0005-0000-0000-0000788C0000}"/>
    <cellStyle name="v_Major Qty - Bagmane 8 12" xfId="36779" xr:uid="{00000000-0005-0000-0000-0000798C0000}"/>
    <cellStyle name="v_Major Qty - Bagmane 8 13" xfId="36780" xr:uid="{00000000-0005-0000-0000-00007A8C0000}"/>
    <cellStyle name="v_Major Qty - Bagmane 8 14" xfId="36781" xr:uid="{00000000-0005-0000-0000-00007B8C0000}"/>
    <cellStyle name="v_Major Qty - Bagmane 8 15" xfId="36782" xr:uid="{00000000-0005-0000-0000-00007C8C0000}"/>
    <cellStyle name="v_Major Qty - Bagmane 8 16" xfId="36783" xr:uid="{00000000-0005-0000-0000-00007D8C0000}"/>
    <cellStyle name="v_Major Qty - Bagmane 8 17" xfId="36784" xr:uid="{00000000-0005-0000-0000-00007E8C0000}"/>
    <cellStyle name="v_Major Qty - Bagmane 8 2" xfId="36785" xr:uid="{00000000-0005-0000-0000-00007F8C0000}"/>
    <cellStyle name="v_Major Qty - Bagmane 8 2 10" xfId="36786" xr:uid="{00000000-0005-0000-0000-0000808C0000}"/>
    <cellStyle name="v_Major Qty - Bagmane 8 2 11" xfId="36787" xr:uid="{00000000-0005-0000-0000-0000818C0000}"/>
    <cellStyle name="v_Major Qty - Bagmane 8 2 12" xfId="36788" xr:uid="{00000000-0005-0000-0000-0000828C0000}"/>
    <cellStyle name="v_Major Qty - Bagmane 8 2 13" xfId="36789" xr:uid="{00000000-0005-0000-0000-0000838C0000}"/>
    <cellStyle name="v_Major Qty - Bagmane 8 2 14" xfId="36790" xr:uid="{00000000-0005-0000-0000-0000848C0000}"/>
    <cellStyle name="v_Major Qty - Bagmane 8 2 15" xfId="36791" xr:uid="{00000000-0005-0000-0000-0000858C0000}"/>
    <cellStyle name="v_Major Qty - Bagmane 8 2 16" xfId="36792" xr:uid="{00000000-0005-0000-0000-0000868C0000}"/>
    <cellStyle name="v_Major Qty - Bagmane 8 2 2" xfId="36793" xr:uid="{00000000-0005-0000-0000-0000878C0000}"/>
    <cellStyle name="v_Major Qty - Bagmane 8 2 3" xfId="36794" xr:uid="{00000000-0005-0000-0000-0000888C0000}"/>
    <cellStyle name="v_Major Qty - Bagmane 8 2 4" xfId="36795" xr:uid="{00000000-0005-0000-0000-0000898C0000}"/>
    <cellStyle name="v_Major Qty - Bagmane 8 2 5" xfId="36796" xr:uid="{00000000-0005-0000-0000-00008A8C0000}"/>
    <cellStyle name="v_Major Qty - Bagmane 8 2 6" xfId="36797" xr:uid="{00000000-0005-0000-0000-00008B8C0000}"/>
    <cellStyle name="v_Major Qty - Bagmane 8 2 7" xfId="36798" xr:uid="{00000000-0005-0000-0000-00008C8C0000}"/>
    <cellStyle name="v_Major Qty - Bagmane 8 2 8" xfId="36799" xr:uid="{00000000-0005-0000-0000-00008D8C0000}"/>
    <cellStyle name="v_Major Qty - Bagmane 8 2 9" xfId="36800" xr:uid="{00000000-0005-0000-0000-00008E8C0000}"/>
    <cellStyle name="v_Major Qty - Bagmane 8 3" xfId="36801" xr:uid="{00000000-0005-0000-0000-00008F8C0000}"/>
    <cellStyle name="v_Major Qty - Bagmane 8 4" xfId="36802" xr:uid="{00000000-0005-0000-0000-0000908C0000}"/>
    <cellStyle name="v_Major Qty - Bagmane 8 5" xfId="36803" xr:uid="{00000000-0005-0000-0000-0000918C0000}"/>
    <cellStyle name="v_Major Qty - Bagmane 8 6" xfId="36804" xr:uid="{00000000-0005-0000-0000-0000928C0000}"/>
    <cellStyle name="v_Major Qty - Bagmane 8 7" xfId="36805" xr:uid="{00000000-0005-0000-0000-0000938C0000}"/>
    <cellStyle name="v_Major Qty - Bagmane 8 8" xfId="36806" xr:uid="{00000000-0005-0000-0000-0000948C0000}"/>
    <cellStyle name="v_Major Qty - Bagmane 8 9" xfId="36807" xr:uid="{00000000-0005-0000-0000-0000958C0000}"/>
    <cellStyle name="v_Major Qty - Bagmane 9" xfId="36808" xr:uid="{00000000-0005-0000-0000-0000968C0000}"/>
    <cellStyle name="v_Major Qty - Bagmane 9 10" xfId="36809" xr:uid="{00000000-0005-0000-0000-0000978C0000}"/>
    <cellStyle name="v_Major Qty - Bagmane 9 11" xfId="36810" xr:uid="{00000000-0005-0000-0000-0000988C0000}"/>
    <cellStyle name="v_Major Qty - Bagmane 9 12" xfId="36811" xr:uid="{00000000-0005-0000-0000-0000998C0000}"/>
    <cellStyle name="v_Major Qty - Bagmane 9 13" xfId="36812" xr:uid="{00000000-0005-0000-0000-00009A8C0000}"/>
    <cellStyle name="v_Major Qty - Bagmane 9 14" xfId="36813" xr:uid="{00000000-0005-0000-0000-00009B8C0000}"/>
    <cellStyle name="v_Major Qty - Bagmane 9 15" xfId="36814" xr:uid="{00000000-0005-0000-0000-00009C8C0000}"/>
    <cellStyle name="v_Major Qty - Bagmane 9 16" xfId="36815" xr:uid="{00000000-0005-0000-0000-00009D8C0000}"/>
    <cellStyle name="v_Major Qty - Bagmane 9 17" xfId="36816" xr:uid="{00000000-0005-0000-0000-00009E8C0000}"/>
    <cellStyle name="v_Major Qty - Bagmane 9 2" xfId="36817" xr:uid="{00000000-0005-0000-0000-00009F8C0000}"/>
    <cellStyle name="v_Major Qty - Bagmane 9 2 10" xfId="36818" xr:uid="{00000000-0005-0000-0000-0000A08C0000}"/>
    <cellStyle name="v_Major Qty - Bagmane 9 2 11" xfId="36819" xr:uid="{00000000-0005-0000-0000-0000A18C0000}"/>
    <cellStyle name="v_Major Qty - Bagmane 9 2 12" xfId="36820" xr:uid="{00000000-0005-0000-0000-0000A28C0000}"/>
    <cellStyle name="v_Major Qty - Bagmane 9 2 13" xfId="36821" xr:uid="{00000000-0005-0000-0000-0000A38C0000}"/>
    <cellStyle name="v_Major Qty - Bagmane 9 2 14" xfId="36822" xr:uid="{00000000-0005-0000-0000-0000A48C0000}"/>
    <cellStyle name="v_Major Qty - Bagmane 9 2 15" xfId="36823" xr:uid="{00000000-0005-0000-0000-0000A58C0000}"/>
    <cellStyle name="v_Major Qty - Bagmane 9 2 16" xfId="36824" xr:uid="{00000000-0005-0000-0000-0000A68C0000}"/>
    <cellStyle name="v_Major Qty - Bagmane 9 2 2" xfId="36825" xr:uid="{00000000-0005-0000-0000-0000A78C0000}"/>
    <cellStyle name="v_Major Qty - Bagmane 9 2 3" xfId="36826" xr:uid="{00000000-0005-0000-0000-0000A88C0000}"/>
    <cellStyle name="v_Major Qty - Bagmane 9 2 4" xfId="36827" xr:uid="{00000000-0005-0000-0000-0000A98C0000}"/>
    <cellStyle name="v_Major Qty - Bagmane 9 2 5" xfId="36828" xr:uid="{00000000-0005-0000-0000-0000AA8C0000}"/>
    <cellStyle name="v_Major Qty - Bagmane 9 2 6" xfId="36829" xr:uid="{00000000-0005-0000-0000-0000AB8C0000}"/>
    <cellStyle name="v_Major Qty - Bagmane 9 2 7" xfId="36830" xr:uid="{00000000-0005-0000-0000-0000AC8C0000}"/>
    <cellStyle name="v_Major Qty - Bagmane 9 2 8" xfId="36831" xr:uid="{00000000-0005-0000-0000-0000AD8C0000}"/>
    <cellStyle name="v_Major Qty - Bagmane 9 2 9" xfId="36832" xr:uid="{00000000-0005-0000-0000-0000AE8C0000}"/>
    <cellStyle name="v_Major Qty - Bagmane 9 3" xfId="36833" xr:uid="{00000000-0005-0000-0000-0000AF8C0000}"/>
    <cellStyle name="v_Major Qty - Bagmane 9 4" xfId="36834" xr:uid="{00000000-0005-0000-0000-0000B08C0000}"/>
    <cellStyle name="v_Major Qty - Bagmane 9 5" xfId="36835" xr:uid="{00000000-0005-0000-0000-0000B18C0000}"/>
    <cellStyle name="v_Major Qty - Bagmane 9 6" xfId="36836" xr:uid="{00000000-0005-0000-0000-0000B28C0000}"/>
    <cellStyle name="v_Major Qty - Bagmane 9 7" xfId="36837" xr:uid="{00000000-0005-0000-0000-0000B38C0000}"/>
    <cellStyle name="v_Major Qty - Bagmane 9 8" xfId="36838" xr:uid="{00000000-0005-0000-0000-0000B48C0000}"/>
    <cellStyle name="v_Major Qty - Bagmane 9 9" xfId="36839" xr:uid="{00000000-0005-0000-0000-0000B58C0000}"/>
    <cellStyle name="v_RMZ GALLERIA LABOUR PORTION workings " xfId="36840" xr:uid="{00000000-0005-0000-0000-0000B68C0000}"/>
    <cellStyle name="v_RMZ GALLERIA LABOUR PORTION workings  10" xfId="36841" xr:uid="{00000000-0005-0000-0000-0000B78C0000}"/>
    <cellStyle name="v_RMZ GALLERIA LABOUR PORTION workings  10 10" xfId="36842" xr:uid="{00000000-0005-0000-0000-0000B88C0000}"/>
    <cellStyle name="v_RMZ GALLERIA LABOUR PORTION workings  10 11" xfId="36843" xr:uid="{00000000-0005-0000-0000-0000B98C0000}"/>
    <cellStyle name="v_RMZ GALLERIA LABOUR PORTION workings  10 12" xfId="36844" xr:uid="{00000000-0005-0000-0000-0000BA8C0000}"/>
    <cellStyle name="v_RMZ GALLERIA LABOUR PORTION workings  10 13" xfId="36845" xr:uid="{00000000-0005-0000-0000-0000BB8C0000}"/>
    <cellStyle name="v_RMZ GALLERIA LABOUR PORTION workings  10 14" xfId="36846" xr:uid="{00000000-0005-0000-0000-0000BC8C0000}"/>
    <cellStyle name="v_RMZ GALLERIA LABOUR PORTION workings  10 15" xfId="36847" xr:uid="{00000000-0005-0000-0000-0000BD8C0000}"/>
    <cellStyle name="v_RMZ GALLERIA LABOUR PORTION workings  10 16" xfId="36848" xr:uid="{00000000-0005-0000-0000-0000BE8C0000}"/>
    <cellStyle name="v_RMZ GALLERIA LABOUR PORTION workings  10 17" xfId="36849" xr:uid="{00000000-0005-0000-0000-0000BF8C0000}"/>
    <cellStyle name="v_RMZ GALLERIA LABOUR PORTION workings  10 2" xfId="36850" xr:uid="{00000000-0005-0000-0000-0000C08C0000}"/>
    <cellStyle name="v_RMZ GALLERIA LABOUR PORTION workings  10 2 10" xfId="36851" xr:uid="{00000000-0005-0000-0000-0000C18C0000}"/>
    <cellStyle name="v_RMZ GALLERIA LABOUR PORTION workings  10 2 11" xfId="36852" xr:uid="{00000000-0005-0000-0000-0000C28C0000}"/>
    <cellStyle name="v_RMZ GALLERIA LABOUR PORTION workings  10 2 12" xfId="36853" xr:uid="{00000000-0005-0000-0000-0000C38C0000}"/>
    <cellStyle name="v_RMZ GALLERIA LABOUR PORTION workings  10 2 13" xfId="36854" xr:uid="{00000000-0005-0000-0000-0000C48C0000}"/>
    <cellStyle name="v_RMZ GALLERIA LABOUR PORTION workings  10 2 14" xfId="36855" xr:uid="{00000000-0005-0000-0000-0000C58C0000}"/>
    <cellStyle name="v_RMZ GALLERIA LABOUR PORTION workings  10 2 15" xfId="36856" xr:uid="{00000000-0005-0000-0000-0000C68C0000}"/>
    <cellStyle name="v_RMZ GALLERIA LABOUR PORTION workings  10 2 16" xfId="36857" xr:uid="{00000000-0005-0000-0000-0000C78C0000}"/>
    <cellStyle name="v_RMZ GALLERIA LABOUR PORTION workings  10 2 2" xfId="36858" xr:uid="{00000000-0005-0000-0000-0000C88C0000}"/>
    <cellStyle name="v_RMZ GALLERIA LABOUR PORTION workings  10 2 3" xfId="36859" xr:uid="{00000000-0005-0000-0000-0000C98C0000}"/>
    <cellStyle name="v_RMZ GALLERIA LABOUR PORTION workings  10 2 4" xfId="36860" xr:uid="{00000000-0005-0000-0000-0000CA8C0000}"/>
    <cellStyle name="v_RMZ GALLERIA LABOUR PORTION workings  10 2 5" xfId="36861" xr:uid="{00000000-0005-0000-0000-0000CB8C0000}"/>
    <cellStyle name="v_RMZ GALLERIA LABOUR PORTION workings  10 2 6" xfId="36862" xr:uid="{00000000-0005-0000-0000-0000CC8C0000}"/>
    <cellStyle name="v_RMZ GALLERIA LABOUR PORTION workings  10 2 7" xfId="36863" xr:uid="{00000000-0005-0000-0000-0000CD8C0000}"/>
    <cellStyle name="v_RMZ GALLERIA LABOUR PORTION workings  10 2 8" xfId="36864" xr:uid="{00000000-0005-0000-0000-0000CE8C0000}"/>
    <cellStyle name="v_RMZ GALLERIA LABOUR PORTION workings  10 2 9" xfId="36865" xr:uid="{00000000-0005-0000-0000-0000CF8C0000}"/>
    <cellStyle name="v_RMZ GALLERIA LABOUR PORTION workings  10 3" xfId="36866" xr:uid="{00000000-0005-0000-0000-0000D08C0000}"/>
    <cellStyle name="v_RMZ GALLERIA LABOUR PORTION workings  10 4" xfId="36867" xr:uid="{00000000-0005-0000-0000-0000D18C0000}"/>
    <cellStyle name="v_RMZ GALLERIA LABOUR PORTION workings  10 5" xfId="36868" xr:uid="{00000000-0005-0000-0000-0000D28C0000}"/>
    <cellStyle name="v_RMZ GALLERIA LABOUR PORTION workings  10 6" xfId="36869" xr:uid="{00000000-0005-0000-0000-0000D38C0000}"/>
    <cellStyle name="v_RMZ GALLERIA LABOUR PORTION workings  10 7" xfId="36870" xr:uid="{00000000-0005-0000-0000-0000D48C0000}"/>
    <cellStyle name="v_RMZ GALLERIA LABOUR PORTION workings  10 8" xfId="36871" xr:uid="{00000000-0005-0000-0000-0000D58C0000}"/>
    <cellStyle name="v_RMZ GALLERIA LABOUR PORTION workings  10 9" xfId="36872" xr:uid="{00000000-0005-0000-0000-0000D68C0000}"/>
    <cellStyle name="v_RMZ GALLERIA LABOUR PORTION workings  11" xfId="36873" xr:uid="{00000000-0005-0000-0000-0000D78C0000}"/>
    <cellStyle name="v_RMZ GALLERIA LABOUR PORTION workings  11 10" xfId="36874" xr:uid="{00000000-0005-0000-0000-0000D88C0000}"/>
    <cellStyle name="v_RMZ GALLERIA LABOUR PORTION workings  11 11" xfId="36875" xr:uid="{00000000-0005-0000-0000-0000D98C0000}"/>
    <cellStyle name="v_RMZ GALLERIA LABOUR PORTION workings  11 12" xfId="36876" xr:uid="{00000000-0005-0000-0000-0000DA8C0000}"/>
    <cellStyle name="v_RMZ GALLERIA LABOUR PORTION workings  11 13" xfId="36877" xr:uid="{00000000-0005-0000-0000-0000DB8C0000}"/>
    <cellStyle name="v_RMZ GALLERIA LABOUR PORTION workings  11 14" xfId="36878" xr:uid="{00000000-0005-0000-0000-0000DC8C0000}"/>
    <cellStyle name="v_RMZ GALLERIA LABOUR PORTION workings  11 15" xfId="36879" xr:uid="{00000000-0005-0000-0000-0000DD8C0000}"/>
    <cellStyle name="v_RMZ GALLERIA LABOUR PORTION workings  11 16" xfId="36880" xr:uid="{00000000-0005-0000-0000-0000DE8C0000}"/>
    <cellStyle name="v_RMZ GALLERIA LABOUR PORTION workings  11 2" xfId="36881" xr:uid="{00000000-0005-0000-0000-0000DF8C0000}"/>
    <cellStyle name="v_RMZ GALLERIA LABOUR PORTION workings  11 3" xfId="36882" xr:uid="{00000000-0005-0000-0000-0000E08C0000}"/>
    <cellStyle name="v_RMZ GALLERIA LABOUR PORTION workings  11 4" xfId="36883" xr:uid="{00000000-0005-0000-0000-0000E18C0000}"/>
    <cellStyle name="v_RMZ GALLERIA LABOUR PORTION workings  11 5" xfId="36884" xr:uid="{00000000-0005-0000-0000-0000E28C0000}"/>
    <cellStyle name="v_RMZ GALLERIA LABOUR PORTION workings  11 6" xfId="36885" xr:uid="{00000000-0005-0000-0000-0000E38C0000}"/>
    <cellStyle name="v_RMZ GALLERIA LABOUR PORTION workings  11 7" xfId="36886" xr:uid="{00000000-0005-0000-0000-0000E48C0000}"/>
    <cellStyle name="v_RMZ GALLERIA LABOUR PORTION workings  11 8" xfId="36887" xr:uid="{00000000-0005-0000-0000-0000E58C0000}"/>
    <cellStyle name="v_RMZ GALLERIA LABOUR PORTION workings  11 9" xfId="36888" xr:uid="{00000000-0005-0000-0000-0000E68C0000}"/>
    <cellStyle name="v_RMZ GALLERIA LABOUR PORTION workings  12" xfId="36889" xr:uid="{00000000-0005-0000-0000-0000E78C0000}"/>
    <cellStyle name="v_RMZ GALLERIA LABOUR PORTION workings  13" xfId="36890" xr:uid="{00000000-0005-0000-0000-0000E88C0000}"/>
    <cellStyle name="v_RMZ GALLERIA LABOUR PORTION workings  14" xfId="36891" xr:uid="{00000000-0005-0000-0000-0000E98C0000}"/>
    <cellStyle name="v_RMZ GALLERIA LABOUR PORTION workings  15" xfId="36892" xr:uid="{00000000-0005-0000-0000-0000EA8C0000}"/>
    <cellStyle name="v_RMZ GALLERIA LABOUR PORTION workings  16" xfId="36893" xr:uid="{00000000-0005-0000-0000-0000EB8C0000}"/>
    <cellStyle name="v_RMZ GALLERIA LABOUR PORTION workings  17" xfId="36894" xr:uid="{00000000-0005-0000-0000-0000EC8C0000}"/>
    <cellStyle name="v_RMZ GALLERIA LABOUR PORTION workings  18" xfId="36895" xr:uid="{00000000-0005-0000-0000-0000ED8C0000}"/>
    <cellStyle name="v_RMZ GALLERIA LABOUR PORTION workings  19" xfId="36896" xr:uid="{00000000-0005-0000-0000-0000EE8C0000}"/>
    <cellStyle name="v_RMZ GALLERIA LABOUR PORTION workings  2" xfId="36897" xr:uid="{00000000-0005-0000-0000-0000EF8C0000}"/>
    <cellStyle name="v_RMZ GALLERIA LABOUR PORTION workings  2 10" xfId="36898" xr:uid="{00000000-0005-0000-0000-0000F08C0000}"/>
    <cellStyle name="v_RMZ GALLERIA LABOUR PORTION workings  2 11" xfId="36899" xr:uid="{00000000-0005-0000-0000-0000F18C0000}"/>
    <cellStyle name="v_RMZ GALLERIA LABOUR PORTION workings  2 12" xfId="36900" xr:uid="{00000000-0005-0000-0000-0000F28C0000}"/>
    <cellStyle name="v_RMZ GALLERIA LABOUR PORTION workings  2 13" xfId="36901" xr:uid="{00000000-0005-0000-0000-0000F38C0000}"/>
    <cellStyle name="v_RMZ GALLERIA LABOUR PORTION workings  2 14" xfId="36902" xr:uid="{00000000-0005-0000-0000-0000F48C0000}"/>
    <cellStyle name="v_RMZ GALLERIA LABOUR PORTION workings  2 15" xfId="36903" xr:uid="{00000000-0005-0000-0000-0000F58C0000}"/>
    <cellStyle name="v_RMZ GALLERIA LABOUR PORTION workings  2 16" xfId="36904" xr:uid="{00000000-0005-0000-0000-0000F68C0000}"/>
    <cellStyle name="v_RMZ GALLERIA LABOUR PORTION workings  2 17" xfId="36905" xr:uid="{00000000-0005-0000-0000-0000F78C0000}"/>
    <cellStyle name="v_RMZ GALLERIA LABOUR PORTION workings  2 2" xfId="36906" xr:uid="{00000000-0005-0000-0000-0000F88C0000}"/>
    <cellStyle name="v_RMZ GALLERIA LABOUR PORTION workings  2 2 10" xfId="36907" xr:uid="{00000000-0005-0000-0000-0000F98C0000}"/>
    <cellStyle name="v_RMZ GALLERIA LABOUR PORTION workings  2 2 11" xfId="36908" xr:uid="{00000000-0005-0000-0000-0000FA8C0000}"/>
    <cellStyle name="v_RMZ GALLERIA LABOUR PORTION workings  2 2 12" xfId="36909" xr:uid="{00000000-0005-0000-0000-0000FB8C0000}"/>
    <cellStyle name="v_RMZ GALLERIA LABOUR PORTION workings  2 2 13" xfId="36910" xr:uid="{00000000-0005-0000-0000-0000FC8C0000}"/>
    <cellStyle name="v_RMZ GALLERIA LABOUR PORTION workings  2 2 14" xfId="36911" xr:uid="{00000000-0005-0000-0000-0000FD8C0000}"/>
    <cellStyle name="v_RMZ GALLERIA LABOUR PORTION workings  2 2 15" xfId="36912" xr:uid="{00000000-0005-0000-0000-0000FE8C0000}"/>
    <cellStyle name="v_RMZ GALLERIA LABOUR PORTION workings  2 2 16" xfId="36913" xr:uid="{00000000-0005-0000-0000-0000FF8C0000}"/>
    <cellStyle name="v_RMZ GALLERIA LABOUR PORTION workings  2 2 2" xfId="36914" xr:uid="{00000000-0005-0000-0000-0000008D0000}"/>
    <cellStyle name="v_RMZ GALLERIA LABOUR PORTION workings  2 2 3" xfId="36915" xr:uid="{00000000-0005-0000-0000-0000018D0000}"/>
    <cellStyle name="v_RMZ GALLERIA LABOUR PORTION workings  2 2 4" xfId="36916" xr:uid="{00000000-0005-0000-0000-0000028D0000}"/>
    <cellStyle name="v_RMZ GALLERIA LABOUR PORTION workings  2 2 5" xfId="36917" xr:uid="{00000000-0005-0000-0000-0000038D0000}"/>
    <cellStyle name="v_RMZ GALLERIA LABOUR PORTION workings  2 2 6" xfId="36918" xr:uid="{00000000-0005-0000-0000-0000048D0000}"/>
    <cellStyle name="v_RMZ GALLERIA LABOUR PORTION workings  2 2 7" xfId="36919" xr:uid="{00000000-0005-0000-0000-0000058D0000}"/>
    <cellStyle name="v_RMZ GALLERIA LABOUR PORTION workings  2 2 8" xfId="36920" xr:uid="{00000000-0005-0000-0000-0000068D0000}"/>
    <cellStyle name="v_RMZ GALLERIA LABOUR PORTION workings  2 2 9" xfId="36921" xr:uid="{00000000-0005-0000-0000-0000078D0000}"/>
    <cellStyle name="v_RMZ GALLERIA LABOUR PORTION workings  2 3" xfId="36922" xr:uid="{00000000-0005-0000-0000-0000088D0000}"/>
    <cellStyle name="v_RMZ GALLERIA LABOUR PORTION workings  2 4" xfId="36923" xr:uid="{00000000-0005-0000-0000-0000098D0000}"/>
    <cellStyle name="v_RMZ GALLERIA LABOUR PORTION workings  2 5" xfId="36924" xr:uid="{00000000-0005-0000-0000-00000A8D0000}"/>
    <cellStyle name="v_RMZ GALLERIA LABOUR PORTION workings  2 6" xfId="36925" xr:uid="{00000000-0005-0000-0000-00000B8D0000}"/>
    <cellStyle name="v_RMZ GALLERIA LABOUR PORTION workings  2 7" xfId="36926" xr:uid="{00000000-0005-0000-0000-00000C8D0000}"/>
    <cellStyle name="v_RMZ GALLERIA LABOUR PORTION workings  2 8" xfId="36927" xr:uid="{00000000-0005-0000-0000-00000D8D0000}"/>
    <cellStyle name="v_RMZ GALLERIA LABOUR PORTION workings  2 9" xfId="36928" xr:uid="{00000000-0005-0000-0000-00000E8D0000}"/>
    <cellStyle name="v_RMZ GALLERIA LABOUR PORTION workings  20" xfId="36929" xr:uid="{00000000-0005-0000-0000-00000F8D0000}"/>
    <cellStyle name="v_RMZ GALLERIA LABOUR PORTION workings  21" xfId="36930" xr:uid="{00000000-0005-0000-0000-0000108D0000}"/>
    <cellStyle name="v_RMZ GALLERIA LABOUR PORTION workings  22" xfId="36931" xr:uid="{00000000-0005-0000-0000-0000118D0000}"/>
    <cellStyle name="v_RMZ GALLERIA LABOUR PORTION workings  23" xfId="36932" xr:uid="{00000000-0005-0000-0000-0000128D0000}"/>
    <cellStyle name="v_RMZ GALLERIA LABOUR PORTION workings  24" xfId="36933" xr:uid="{00000000-0005-0000-0000-0000138D0000}"/>
    <cellStyle name="v_RMZ GALLERIA LABOUR PORTION workings  25" xfId="36934" xr:uid="{00000000-0005-0000-0000-0000148D0000}"/>
    <cellStyle name="v_RMZ GALLERIA LABOUR PORTION workings  26" xfId="36935" xr:uid="{00000000-0005-0000-0000-0000158D0000}"/>
    <cellStyle name="v_RMZ GALLERIA LABOUR PORTION workings  3" xfId="36936" xr:uid="{00000000-0005-0000-0000-0000168D0000}"/>
    <cellStyle name="v_RMZ GALLERIA LABOUR PORTION workings  3 10" xfId="36937" xr:uid="{00000000-0005-0000-0000-0000178D0000}"/>
    <cellStyle name="v_RMZ GALLERIA LABOUR PORTION workings  3 11" xfId="36938" xr:uid="{00000000-0005-0000-0000-0000188D0000}"/>
    <cellStyle name="v_RMZ GALLERIA LABOUR PORTION workings  3 12" xfId="36939" xr:uid="{00000000-0005-0000-0000-0000198D0000}"/>
    <cellStyle name="v_RMZ GALLERIA LABOUR PORTION workings  3 13" xfId="36940" xr:uid="{00000000-0005-0000-0000-00001A8D0000}"/>
    <cellStyle name="v_RMZ GALLERIA LABOUR PORTION workings  3 14" xfId="36941" xr:uid="{00000000-0005-0000-0000-00001B8D0000}"/>
    <cellStyle name="v_RMZ GALLERIA LABOUR PORTION workings  3 15" xfId="36942" xr:uid="{00000000-0005-0000-0000-00001C8D0000}"/>
    <cellStyle name="v_RMZ GALLERIA LABOUR PORTION workings  3 16" xfId="36943" xr:uid="{00000000-0005-0000-0000-00001D8D0000}"/>
    <cellStyle name="v_RMZ GALLERIA LABOUR PORTION workings  3 17" xfId="36944" xr:uid="{00000000-0005-0000-0000-00001E8D0000}"/>
    <cellStyle name="v_RMZ GALLERIA LABOUR PORTION workings  3 2" xfId="36945" xr:uid="{00000000-0005-0000-0000-00001F8D0000}"/>
    <cellStyle name="v_RMZ GALLERIA LABOUR PORTION workings  3 2 10" xfId="36946" xr:uid="{00000000-0005-0000-0000-0000208D0000}"/>
    <cellStyle name="v_RMZ GALLERIA LABOUR PORTION workings  3 2 11" xfId="36947" xr:uid="{00000000-0005-0000-0000-0000218D0000}"/>
    <cellStyle name="v_RMZ GALLERIA LABOUR PORTION workings  3 2 12" xfId="36948" xr:uid="{00000000-0005-0000-0000-0000228D0000}"/>
    <cellStyle name="v_RMZ GALLERIA LABOUR PORTION workings  3 2 13" xfId="36949" xr:uid="{00000000-0005-0000-0000-0000238D0000}"/>
    <cellStyle name="v_RMZ GALLERIA LABOUR PORTION workings  3 2 14" xfId="36950" xr:uid="{00000000-0005-0000-0000-0000248D0000}"/>
    <cellStyle name="v_RMZ GALLERIA LABOUR PORTION workings  3 2 15" xfId="36951" xr:uid="{00000000-0005-0000-0000-0000258D0000}"/>
    <cellStyle name="v_RMZ GALLERIA LABOUR PORTION workings  3 2 16" xfId="36952" xr:uid="{00000000-0005-0000-0000-0000268D0000}"/>
    <cellStyle name="v_RMZ GALLERIA LABOUR PORTION workings  3 2 2" xfId="36953" xr:uid="{00000000-0005-0000-0000-0000278D0000}"/>
    <cellStyle name="v_RMZ GALLERIA LABOUR PORTION workings  3 2 3" xfId="36954" xr:uid="{00000000-0005-0000-0000-0000288D0000}"/>
    <cellStyle name="v_RMZ GALLERIA LABOUR PORTION workings  3 2 4" xfId="36955" xr:uid="{00000000-0005-0000-0000-0000298D0000}"/>
    <cellStyle name="v_RMZ GALLERIA LABOUR PORTION workings  3 2 5" xfId="36956" xr:uid="{00000000-0005-0000-0000-00002A8D0000}"/>
    <cellStyle name="v_RMZ GALLERIA LABOUR PORTION workings  3 2 6" xfId="36957" xr:uid="{00000000-0005-0000-0000-00002B8D0000}"/>
    <cellStyle name="v_RMZ GALLERIA LABOUR PORTION workings  3 2 7" xfId="36958" xr:uid="{00000000-0005-0000-0000-00002C8D0000}"/>
    <cellStyle name="v_RMZ GALLERIA LABOUR PORTION workings  3 2 8" xfId="36959" xr:uid="{00000000-0005-0000-0000-00002D8D0000}"/>
    <cellStyle name="v_RMZ GALLERIA LABOUR PORTION workings  3 2 9" xfId="36960" xr:uid="{00000000-0005-0000-0000-00002E8D0000}"/>
    <cellStyle name="v_RMZ GALLERIA LABOUR PORTION workings  3 3" xfId="36961" xr:uid="{00000000-0005-0000-0000-00002F8D0000}"/>
    <cellStyle name="v_RMZ GALLERIA LABOUR PORTION workings  3 4" xfId="36962" xr:uid="{00000000-0005-0000-0000-0000308D0000}"/>
    <cellStyle name="v_RMZ GALLERIA LABOUR PORTION workings  3 5" xfId="36963" xr:uid="{00000000-0005-0000-0000-0000318D0000}"/>
    <cellStyle name="v_RMZ GALLERIA LABOUR PORTION workings  3 6" xfId="36964" xr:uid="{00000000-0005-0000-0000-0000328D0000}"/>
    <cellStyle name="v_RMZ GALLERIA LABOUR PORTION workings  3 7" xfId="36965" xr:uid="{00000000-0005-0000-0000-0000338D0000}"/>
    <cellStyle name="v_RMZ GALLERIA LABOUR PORTION workings  3 8" xfId="36966" xr:uid="{00000000-0005-0000-0000-0000348D0000}"/>
    <cellStyle name="v_RMZ GALLERIA LABOUR PORTION workings  3 9" xfId="36967" xr:uid="{00000000-0005-0000-0000-0000358D0000}"/>
    <cellStyle name="v_RMZ GALLERIA LABOUR PORTION workings  4" xfId="36968" xr:uid="{00000000-0005-0000-0000-0000368D0000}"/>
    <cellStyle name="v_RMZ GALLERIA LABOUR PORTION workings  4 10" xfId="36969" xr:uid="{00000000-0005-0000-0000-0000378D0000}"/>
    <cellStyle name="v_RMZ GALLERIA LABOUR PORTION workings  4 11" xfId="36970" xr:uid="{00000000-0005-0000-0000-0000388D0000}"/>
    <cellStyle name="v_RMZ GALLERIA LABOUR PORTION workings  4 12" xfId="36971" xr:uid="{00000000-0005-0000-0000-0000398D0000}"/>
    <cellStyle name="v_RMZ GALLERIA LABOUR PORTION workings  4 13" xfId="36972" xr:uid="{00000000-0005-0000-0000-00003A8D0000}"/>
    <cellStyle name="v_RMZ GALLERIA LABOUR PORTION workings  4 14" xfId="36973" xr:uid="{00000000-0005-0000-0000-00003B8D0000}"/>
    <cellStyle name="v_RMZ GALLERIA LABOUR PORTION workings  4 15" xfId="36974" xr:uid="{00000000-0005-0000-0000-00003C8D0000}"/>
    <cellStyle name="v_RMZ GALLERIA LABOUR PORTION workings  4 16" xfId="36975" xr:uid="{00000000-0005-0000-0000-00003D8D0000}"/>
    <cellStyle name="v_RMZ GALLERIA LABOUR PORTION workings  4 17" xfId="36976" xr:uid="{00000000-0005-0000-0000-00003E8D0000}"/>
    <cellStyle name="v_RMZ GALLERIA LABOUR PORTION workings  4 2" xfId="36977" xr:uid="{00000000-0005-0000-0000-00003F8D0000}"/>
    <cellStyle name="v_RMZ GALLERIA LABOUR PORTION workings  4 2 10" xfId="36978" xr:uid="{00000000-0005-0000-0000-0000408D0000}"/>
    <cellStyle name="v_RMZ GALLERIA LABOUR PORTION workings  4 2 11" xfId="36979" xr:uid="{00000000-0005-0000-0000-0000418D0000}"/>
    <cellStyle name="v_RMZ GALLERIA LABOUR PORTION workings  4 2 12" xfId="36980" xr:uid="{00000000-0005-0000-0000-0000428D0000}"/>
    <cellStyle name="v_RMZ GALLERIA LABOUR PORTION workings  4 2 13" xfId="36981" xr:uid="{00000000-0005-0000-0000-0000438D0000}"/>
    <cellStyle name="v_RMZ GALLERIA LABOUR PORTION workings  4 2 14" xfId="36982" xr:uid="{00000000-0005-0000-0000-0000448D0000}"/>
    <cellStyle name="v_RMZ GALLERIA LABOUR PORTION workings  4 2 15" xfId="36983" xr:uid="{00000000-0005-0000-0000-0000458D0000}"/>
    <cellStyle name="v_RMZ GALLERIA LABOUR PORTION workings  4 2 16" xfId="36984" xr:uid="{00000000-0005-0000-0000-0000468D0000}"/>
    <cellStyle name="v_RMZ GALLERIA LABOUR PORTION workings  4 2 2" xfId="36985" xr:uid="{00000000-0005-0000-0000-0000478D0000}"/>
    <cellStyle name="v_RMZ GALLERIA LABOUR PORTION workings  4 2 3" xfId="36986" xr:uid="{00000000-0005-0000-0000-0000488D0000}"/>
    <cellStyle name="v_RMZ GALLERIA LABOUR PORTION workings  4 2 4" xfId="36987" xr:uid="{00000000-0005-0000-0000-0000498D0000}"/>
    <cellStyle name="v_RMZ GALLERIA LABOUR PORTION workings  4 2 5" xfId="36988" xr:uid="{00000000-0005-0000-0000-00004A8D0000}"/>
    <cellStyle name="v_RMZ GALLERIA LABOUR PORTION workings  4 2 6" xfId="36989" xr:uid="{00000000-0005-0000-0000-00004B8D0000}"/>
    <cellStyle name="v_RMZ GALLERIA LABOUR PORTION workings  4 2 7" xfId="36990" xr:uid="{00000000-0005-0000-0000-00004C8D0000}"/>
    <cellStyle name="v_RMZ GALLERIA LABOUR PORTION workings  4 2 8" xfId="36991" xr:uid="{00000000-0005-0000-0000-00004D8D0000}"/>
    <cellStyle name="v_RMZ GALLERIA LABOUR PORTION workings  4 2 9" xfId="36992" xr:uid="{00000000-0005-0000-0000-00004E8D0000}"/>
    <cellStyle name="v_RMZ GALLERIA LABOUR PORTION workings  4 3" xfId="36993" xr:uid="{00000000-0005-0000-0000-00004F8D0000}"/>
    <cellStyle name="v_RMZ GALLERIA LABOUR PORTION workings  4 4" xfId="36994" xr:uid="{00000000-0005-0000-0000-0000508D0000}"/>
    <cellStyle name="v_RMZ GALLERIA LABOUR PORTION workings  4 5" xfId="36995" xr:uid="{00000000-0005-0000-0000-0000518D0000}"/>
    <cellStyle name="v_RMZ GALLERIA LABOUR PORTION workings  4 6" xfId="36996" xr:uid="{00000000-0005-0000-0000-0000528D0000}"/>
    <cellStyle name="v_RMZ GALLERIA LABOUR PORTION workings  4 7" xfId="36997" xr:uid="{00000000-0005-0000-0000-0000538D0000}"/>
    <cellStyle name="v_RMZ GALLERIA LABOUR PORTION workings  4 8" xfId="36998" xr:uid="{00000000-0005-0000-0000-0000548D0000}"/>
    <cellStyle name="v_RMZ GALLERIA LABOUR PORTION workings  4 9" xfId="36999" xr:uid="{00000000-0005-0000-0000-0000558D0000}"/>
    <cellStyle name="v_RMZ GALLERIA LABOUR PORTION workings  5" xfId="37000" xr:uid="{00000000-0005-0000-0000-0000568D0000}"/>
    <cellStyle name="v_RMZ GALLERIA LABOUR PORTION workings  5 10" xfId="37001" xr:uid="{00000000-0005-0000-0000-0000578D0000}"/>
    <cellStyle name="v_RMZ GALLERIA LABOUR PORTION workings  5 11" xfId="37002" xr:uid="{00000000-0005-0000-0000-0000588D0000}"/>
    <cellStyle name="v_RMZ GALLERIA LABOUR PORTION workings  5 12" xfId="37003" xr:uid="{00000000-0005-0000-0000-0000598D0000}"/>
    <cellStyle name="v_RMZ GALLERIA LABOUR PORTION workings  5 13" xfId="37004" xr:uid="{00000000-0005-0000-0000-00005A8D0000}"/>
    <cellStyle name="v_RMZ GALLERIA LABOUR PORTION workings  5 14" xfId="37005" xr:uid="{00000000-0005-0000-0000-00005B8D0000}"/>
    <cellStyle name="v_RMZ GALLERIA LABOUR PORTION workings  5 15" xfId="37006" xr:uid="{00000000-0005-0000-0000-00005C8D0000}"/>
    <cellStyle name="v_RMZ GALLERIA LABOUR PORTION workings  5 16" xfId="37007" xr:uid="{00000000-0005-0000-0000-00005D8D0000}"/>
    <cellStyle name="v_RMZ GALLERIA LABOUR PORTION workings  5 17" xfId="37008" xr:uid="{00000000-0005-0000-0000-00005E8D0000}"/>
    <cellStyle name="v_RMZ GALLERIA LABOUR PORTION workings  5 2" xfId="37009" xr:uid="{00000000-0005-0000-0000-00005F8D0000}"/>
    <cellStyle name="v_RMZ GALLERIA LABOUR PORTION workings  5 2 10" xfId="37010" xr:uid="{00000000-0005-0000-0000-0000608D0000}"/>
    <cellStyle name="v_RMZ GALLERIA LABOUR PORTION workings  5 2 11" xfId="37011" xr:uid="{00000000-0005-0000-0000-0000618D0000}"/>
    <cellStyle name="v_RMZ GALLERIA LABOUR PORTION workings  5 2 12" xfId="37012" xr:uid="{00000000-0005-0000-0000-0000628D0000}"/>
    <cellStyle name="v_RMZ GALLERIA LABOUR PORTION workings  5 2 13" xfId="37013" xr:uid="{00000000-0005-0000-0000-0000638D0000}"/>
    <cellStyle name="v_RMZ GALLERIA LABOUR PORTION workings  5 2 14" xfId="37014" xr:uid="{00000000-0005-0000-0000-0000648D0000}"/>
    <cellStyle name="v_RMZ GALLERIA LABOUR PORTION workings  5 2 15" xfId="37015" xr:uid="{00000000-0005-0000-0000-0000658D0000}"/>
    <cellStyle name="v_RMZ GALLERIA LABOUR PORTION workings  5 2 16" xfId="37016" xr:uid="{00000000-0005-0000-0000-0000668D0000}"/>
    <cellStyle name="v_RMZ GALLERIA LABOUR PORTION workings  5 2 2" xfId="37017" xr:uid="{00000000-0005-0000-0000-0000678D0000}"/>
    <cellStyle name="v_RMZ GALLERIA LABOUR PORTION workings  5 2 3" xfId="37018" xr:uid="{00000000-0005-0000-0000-0000688D0000}"/>
    <cellStyle name="v_RMZ GALLERIA LABOUR PORTION workings  5 2 4" xfId="37019" xr:uid="{00000000-0005-0000-0000-0000698D0000}"/>
    <cellStyle name="v_RMZ GALLERIA LABOUR PORTION workings  5 2 5" xfId="37020" xr:uid="{00000000-0005-0000-0000-00006A8D0000}"/>
    <cellStyle name="v_RMZ GALLERIA LABOUR PORTION workings  5 2 6" xfId="37021" xr:uid="{00000000-0005-0000-0000-00006B8D0000}"/>
    <cellStyle name="v_RMZ GALLERIA LABOUR PORTION workings  5 2 7" xfId="37022" xr:uid="{00000000-0005-0000-0000-00006C8D0000}"/>
    <cellStyle name="v_RMZ GALLERIA LABOUR PORTION workings  5 2 8" xfId="37023" xr:uid="{00000000-0005-0000-0000-00006D8D0000}"/>
    <cellStyle name="v_RMZ GALLERIA LABOUR PORTION workings  5 2 9" xfId="37024" xr:uid="{00000000-0005-0000-0000-00006E8D0000}"/>
    <cellStyle name="v_RMZ GALLERIA LABOUR PORTION workings  5 3" xfId="37025" xr:uid="{00000000-0005-0000-0000-00006F8D0000}"/>
    <cellStyle name="v_RMZ GALLERIA LABOUR PORTION workings  5 4" xfId="37026" xr:uid="{00000000-0005-0000-0000-0000708D0000}"/>
    <cellStyle name="v_RMZ GALLERIA LABOUR PORTION workings  5 5" xfId="37027" xr:uid="{00000000-0005-0000-0000-0000718D0000}"/>
    <cellStyle name="v_RMZ GALLERIA LABOUR PORTION workings  5 6" xfId="37028" xr:uid="{00000000-0005-0000-0000-0000728D0000}"/>
    <cellStyle name="v_RMZ GALLERIA LABOUR PORTION workings  5 7" xfId="37029" xr:uid="{00000000-0005-0000-0000-0000738D0000}"/>
    <cellStyle name="v_RMZ GALLERIA LABOUR PORTION workings  5 8" xfId="37030" xr:uid="{00000000-0005-0000-0000-0000748D0000}"/>
    <cellStyle name="v_RMZ GALLERIA LABOUR PORTION workings  5 9" xfId="37031" xr:uid="{00000000-0005-0000-0000-0000758D0000}"/>
    <cellStyle name="v_RMZ GALLERIA LABOUR PORTION workings  6" xfId="37032" xr:uid="{00000000-0005-0000-0000-0000768D0000}"/>
    <cellStyle name="v_RMZ GALLERIA LABOUR PORTION workings  6 10" xfId="37033" xr:uid="{00000000-0005-0000-0000-0000778D0000}"/>
    <cellStyle name="v_RMZ GALLERIA LABOUR PORTION workings  6 11" xfId="37034" xr:uid="{00000000-0005-0000-0000-0000788D0000}"/>
    <cellStyle name="v_RMZ GALLERIA LABOUR PORTION workings  6 12" xfId="37035" xr:uid="{00000000-0005-0000-0000-0000798D0000}"/>
    <cellStyle name="v_RMZ GALLERIA LABOUR PORTION workings  6 13" xfId="37036" xr:uid="{00000000-0005-0000-0000-00007A8D0000}"/>
    <cellStyle name="v_RMZ GALLERIA LABOUR PORTION workings  6 14" xfId="37037" xr:uid="{00000000-0005-0000-0000-00007B8D0000}"/>
    <cellStyle name="v_RMZ GALLERIA LABOUR PORTION workings  6 15" xfId="37038" xr:uid="{00000000-0005-0000-0000-00007C8D0000}"/>
    <cellStyle name="v_RMZ GALLERIA LABOUR PORTION workings  6 16" xfId="37039" xr:uid="{00000000-0005-0000-0000-00007D8D0000}"/>
    <cellStyle name="v_RMZ GALLERIA LABOUR PORTION workings  6 17" xfId="37040" xr:uid="{00000000-0005-0000-0000-00007E8D0000}"/>
    <cellStyle name="v_RMZ GALLERIA LABOUR PORTION workings  6 2" xfId="37041" xr:uid="{00000000-0005-0000-0000-00007F8D0000}"/>
    <cellStyle name="v_RMZ GALLERIA LABOUR PORTION workings  6 2 10" xfId="37042" xr:uid="{00000000-0005-0000-0000-0000808D0000}"/>
    <cellStyle name="v_RMZ GALLERIA LABOUR PORTION workings  6 2 11" xfId="37043" xr:uid="{00000000-0005-0000-0000-0000818D0000}"/>
    <cellStyle name="v_RMZ GALLERIA LABOUR PORTION workings  6 2 12" xfId="37044" xr:uid="{00000000-0005-0000-0000-0000828D0000}"/>
    <cellStyle name="v_RMZ GALLERIA LABOUR PORTION workings  6 2 13" xfId="37045" xr:uid="{00000000-0005-0000-0000-0000838D0000}"/>
    <cellStyle name="v_RMZ GALLERIA LABOUR PORTION workings  6 2 14" xfId="37046" xr:uid="{00000000-0005-0000-0000-0000848D0000}"/>
    <cellStyle name="v_RMZ GALLERIA LABOUR PORTION workings  6 2 15" xfId="37047" xr:uid="{00000000-0005-0000-0000-0000858D0000}"/>
    <cellStyle name="v_RMZ GALLERIA LABOUR PORTION workings  6 2 16" xfId="37048" xr:uid="{00000000-0005-0000-0000-0000868D0000}"/>
    <cellStyle name="v_RMZ GALLERIA LABOUR PORTION workings  6 2 2" xfId="37049" xr:uid="{00000000-0005-0000-0000-0000878D0000}"/>
    <cellStyle name="v_RMZ GALLERIA LABOUR PORTION workings  6 2 3" xfId="37050" xr:uid="{00000000-0005-0000-0000-0000888D0000}"/>
    <cellStyle name="v_RMZ GALLERIA LABOUR PORTION workings  6 2 4" xfId="37051" xr:uid="{00000000-0005-0000-0000-0000898D0000}"/>
    <cellStyle name="v_RMZ GALLERIA LABOUR PORTION workings  6 2 5" xfId="37052" xr:uid="{00000000-0005-0000-0000-00008A8D0000}"/>
    <cellStyle name="v_RMZ GALLERIA LABOUR PORTION workings  6 2 6" xfId="37053" xr:uid="{00000000-0005-0000-0000-00008B8D0000}"/>
    <cellStyle name="v_RMZ GALLERIA LABOUR PORTION workings  6 2 7" xfId="37054" xr:uid="{00000000-0005-0000-0000-00008C8D0000}"/>
    <cellStyle name="v_RMZ GALLERIA LABOUR PORTION workings  6 2 8" xfId="37055" xr:uid="{00000000-0005-0000-0000-00008D8D0000}"/>
    <cellStyle name="v_RMZ GALLERIA LABOUR PORTION workings  6 2 9" xfId="37056" xr:uid="{00000000-0005-0000-0000-00008E8D0000}"/>
    <cellStyle name="v_RMZ GALLERIA LABOUR PORTION workings  6 3" xfId="37057" xr:uid="{00000000-0005-0000-0000-00008F8D0000}"/>
    <cellStyle name="v_RMZ GALLERIA LABOUR PORTION workings  6 4" xfId="37058" xr:uid="{00000000-0005-0000-0000-0000908D0000}"/>
    <cellStyle name="v_RMZ GALLERIA LABOUR PORTION workings  6 5" xfId="37059" xr:uid="{00000000-0005-0000-0000-0000918D0000}"/>
    <cellStyle name="v_RMZ GALLERIA LABOUR PORTION workings  6 6" xfId="37060" xr:uid="{00000000-0005-0000-0000-0000928D0000}"/>
    <cellStyle name="v_RMZ GALLERIA LABOUR PORTION workings  6 7" xfId="37061" xr:uid="{00000000-0005-0000-0000-0000938D0000}"/>
    <cellStyle name="v_RMZ GALLERIA LABOUR PORTION workings  6 8" xfId="37062" xr:uid="{00000000-0005-0000-0000-0000948D0000}"/>
    <cellStyle name="v_RMZ GALLERIA LABOUR PORTION workings  6 9" xfId="37063" xr:uid="{00000000-0005-0000-0000-0000958D0000}"/>
    <cellStyle name="v_RMZ GALLERIA LABOUR PORTION workings  7" xfId="37064" xr:uid="{00000000-0005-0000-0000-0000968D0000}"/>
    <cellStyle name="v_RMZ GALLERIA LABOUR PORTION workings  7 10" xfId="37065" xr:uid="{00000000-0005-0000-0000-0000978D0000}"/>
    <cellStyle name="v_RMZ GALLERIA LABOUR PORTION workings  7 11" xfId="37066" xr:uid="{00000000-0005-0000-0000-0000988D0000}"/>
    <cellStyle name="v_RMZ GALLERIA LABOUR PORTION workings  7 12" xfId="37067" xr:uid="{00000000-0005-0000-0000-0000998D0000}"/>
    <cellStyle name="v_RMZ GALLERIA LABOUR PORTION workings  7 13" xfId="37068" xr:uid="{00000000-0005-0000-0000-00009A8D0000}"/>
    <cellStyle name="v_RMZ GALLERIA LABOUR PORTION workings  7 14" xfId="37069" xr:uid="{00000000-0005-0000-0000-00009B8D0000}"/>
    <cellStyle name="v_RMZ GALLERIA LABOUR PORTION workings  7 15" xfId="37070" xr:uid="{00000000-0005-0000-0000-00009C8D0000}"/>
    <cellStyle name="v_RMZ GALLERIA LABOUR PORTION workings  7 16" xfId="37071" xr:uid="{00000000-0005-0000-0000-00009D8D0000}"/>
    <cellStyle name="v_RMZ GALLERIA LABOUR PORTION workings  7 17" xfId="37072" xr:uid="{00000000-0005-0000-0000-00009E8D0000}"/>
    <cellStyle name="v_RMZ GALLERIA LABOUR PORTION workings  7 2" xfId="37073" xr:uid="{00000000-0005-0000-0000-00009F8D0000}"/>
    <cellStyle name="v_RMZ GALLERIA LABOUR PORTION workings  7 2 10" xfId="37074" xr:uid="{00000000-0005-0000-0000-0000A08D0000}"/>
    <cellStyle name="v_RMZ GALLERIA LABOUR PORTION workings  7 2 11" xfId="37075" xr:uid="{00000000-0005-0000-0000-0000A18D0000}"/>
    <cellStyle name="v_RMZ GALLERIA LABOUR PORTION workings  7 2 12" xfId="37076" xr:uid="{00000000-0005-0000-0000-0000A28D0000}"/>
    <cellStyle name="v_RMZ GALLERIA LABOUR PORTION workings  7 2 13" xfId="37077" xr:uid="{00000000-0005-0000-0000-0000A38D0000}"/>
    <cellStyle name="v_RMZ GALLERIA LABOUR PORTION workings  7 2 14" xfId="37078" xr:uid="{00000000-0005-0000-0000-0000A48D0000}"/>
    <cellStyle name="v_RMZ GALLERIA LABOUR PORTION workings  7 2 15" xfId="37079" xr:uid="{00000000-0005-0000-0000-0000A58D0000}"/>
    <cellStyle name="v_RMZ GALLERIA LABOUR PORTION workings  7 2 16" xfId="37080" xr:uid="{00000000-0005-0000-0000-0000A68D0000}"/>
    <cellStyle name="v_RMZ GALLERIA LABOUR PORTION workings  7 2 2" xfId="37081" xr:uid="{00000000-0005-0000-0000-0000A78D0000}"/>
    <cellStyle name="v_RMZ GALLERIA LABOUR PORTION workings  7 2 3" xfId="37082" xr:uid="{00000000-0005-0000-0000-0000A88D0000}"/>
    <cellStyle name="v_RMZ GALLERIA LABOUR PORTION workings  7 2 4" xfId="37083" xr:uid="{00000000-0005-0000-0000-0000A98D0000}"/>
    <cellStyle name="v_RMZ GALLERIA LABOUR PORTION workings  7 2 5" xfId="37084" xr:uid="{00000000-0005-0000-0000-0000AA8D0000}"/>
    <cellStyle name="v_RMZ GALLERIA LABOUR PORTION workings  7 2 6" xfId="37085" xr:uid="{00000000-0005-0000-0000-0000AB8D0000}"/>
    <cellStyle name="v_RMZ GALLERIA LABOUR PORTION workings  7 2 7" xfId="37086" xr:uid="{00000000-0005-0000-0000-0000AC8D0000}"/>
    <cellStyle name="v_RMZ GALLERIA LABOUR PORTION workings  7 2 8" xfId="37087" xr:uid="{00000000-0005-0000-0000-0000AD8D0000}"/>
    <cellStyle name="v_RMZ GALLERIA LABOUR PORTION workings  7 2 9" xfId="37088" xr:uid="{00000000-0005-0000-0000-0000AE8D0000}"/>
    <cellStyle name="v_RMZ GALLERIA LABOUR PORTION workings  7 3" xfId="37089" xr:uid="{00000000-0005-0000-0000-0000AF8D0000}"/>
    <cellStyle name="v_RMZ GALLERIA LABOUR PORTION workings  7 4" xfId="37090" xr:uid="{00000000-0005-0000-0000-0000B08D0000}"/>
    <cellStyle name="v_RMZ GALLERIA LABOUR PORTION workings  7 5" xfId="37091" xr:uid="{00000000-0005-0000-0000-0000B18D0000}"/>
    <cellStyle name="v_RMZ GALLERIA LABOUR PORTION workings  7 6" xfId="37092" xr:uid="{00000000-0005-0000-0000-0000B28D0000}"/>
    <cellStyle name="v_RMZ GALLERIA LABOUR PORTION workings  7 7" xfId="37093" xr:uid="{00000000-0005-0000-0000-0000B38D0000}"/>
    <cellStyle name="v_RMZ GALLERIA LABOUR PORTION workings  7 8" xfId="37094" xr:uid="{00000000-0005-0000-0000-0000B48D0000}"/>
    <cellStyle name="v_RMZ GALLERIA LABOUR PORTION workings  7 9" xfId="37095" xr:uid="{00000000-0005-0000-0000-0000B58D0000}"/>
    <cellStyle name="v_RMZ GALLERIA LABOUR PORTION workings  8" xfId="37096" xr:uid="{00000000-0005-0000-0000-0000B68D0000}"/>
    <cellStyle name="v_RMZ GALLERIA LABOUR PORTION workings  8 10" xfId="37097" xr:uid="{00000000-0005-0000-0000-0000B78D0000}"/>
    <cellStyle name="v_RMZ GALLERIA LABOUR PORTION workings  8 11" xfId="37098" xr:uid="{00000000-0005-0000-0000-0000B88D0000}"/>
    <cellStyle name="v_RMZ GALLERIA LABOUR PORTION workings  8 12" xfId="37099" xr:uid="{00000000-0005-0000-0000-0000B98D0000}"/>
    <cellStyle name="v_RMZ GALLERIA LABOUR PORTION workings  8 13" xfId="37100" xr:uid="{00000000-0005-0000-0000-0000BA8D0000}"/>
    <cellStyle name="v_RMZ GALLERIA LABOUR PORTION workings  8 14" xfId="37101" xr:uid="{00000000-0005-0000-0000-0000BB8D0000}"/>
    <cellStyle name="v_RMZ GALLERIA LABOUR PORTION workings  8 15" xfId="37102" xr:uid="{00000000-0005-0000-0000-0000BC8D0000}"/>
    <cellStyle name="v_RMZ GALLERIA LABOUR PORTION workings  8 16" xfId="37103" xr:uid="{00000000-0005-0000-0000-0000BD8D0000}"/>
    <cellStyle name="v_RMZ GALLERIA LABOUR PORTION workings  8 17" xfId="37104" xr:uid="{00000000-0005-0000-0000-0000BE8D0000}"/>
    <cellStyle name="v_RMZ GALLERIA LABOUR PORTION workings  8 2" xfId="37105" xr:uid="{00000000-0005-0000-0000-0000BF8D0000}"/>
    <cellStyle name="v_RMZ GALLERIA LABOUR PORTION workings  8 2 10" xfId="37106" xr:uid="{00000000-0005-0000-0000-0000C08D0000}"/>
    <cellStyle name="v_RMZ GALLERIA LABOUR PORTION workings  8 2 11" xfId="37107" xr:uid="{00000000-0005-0000-0000-0000C18D0000}"/>
    <cellStyle name="v_RMZ GALLERIA LABOUR PORTION workings  8 2 12" xfId="37108" xr:uid="{00000000-0005-0000-0000-0000C28D0000}"/>
    <cellStyle name="v_RMZ GALLERIA LABOUR PORTION workings  8 2 13" xfId="37109" xr:uid="{00000000-0005-0000-0000-0000C38D0000}"/>
    <cellStyle name="v_RMZ GALLERIA LABOUR PORTION workings  8 2 14" xfId="37110" xr:uid="{00000000-0005-0000-0000-0000C48D0000}"/>
    <cellStyle name="v_RMZ GALLERIA LABOUR PORTION workings  8 2 15" xfId="37111" xr:uid="{00000000-0005-0000-0000-0000C58D0000}"/>
    <cellStyle name="v_RMZ GALLERIA LABOUR PORTION workings  8 2 16" xfId="37112" xr:uid="{00000000-0005-0000-0000-0000C68D0000}"/>
    <cellStyle name="v_RMZ GALLERIA LABOUR PORTION workings  8 2 2" xfId="37113" xr:uid="{00000000-0005-0000-0000-0000C78D0000}"/>
    <cellStyle name="v_RMZ GALLERIA LABOUR PORTION workings  8 2 3" xfId="37114" xr:uid="{00000000-0005-0000-0000-0000C88D0000}"/>
    <cellStyle name="v_RMZ GALLERIA LABOUR PORTION workings  8 2 4" xfId="37115" xr:uid="{00000000-0005-0000-0000-0000C98D0000}"/>
    <cellStyle name="v_RMZ GALLERIA LABOUR PORTION workings  8 2 5" xfId="37116" xr:uid="{00000000-0005-0000-0000-0000CA8D0000}"/>
    <cellStyle name="v_RMZ GALLERIA LABOUR PORTION workings  8 2 6" xfId="37117" xr:uid="{00000000-0005-0000-0000-0000CB8D0000}"/>
    <cellStyle name="v_RMZ GALLERIA LABOUR PORTION workings  8 2 7" xfId="37118" xr:uid="{00000000-0005-0000-0000-0000CC8D0000}"/>
    <cellStyle name="v_RMZ GALLERIA LABOUR PORTION workings  8 2 8" xfId="37119" xr:uid="{00000000-0005-0000-0000-0000CD8D0000}"/>
    <cellStyle name="v_RMZ GALLERIA LABOUR PORTION workings  8 2 9" xfId="37120" xr:uid="{00000000-0005-0000-0000-0000CE8D0000}"/>
    <cellStyle name="v_RMZ GALLERIA LABOUR PORTION workings  8 3" xfId="37121" xr:uid="{00000000-0005-0000-0000-0000CF8D0000}"/>
    <cellStyle name="v_RMZ GALLERIA LABOUR PORTION workings  8 4" xfId="37122" xr:uid="{00000000-0005-0000-0000-0000D08D0000}"/>
    <cellStyle name="v_RMZ GALLERIA LABOUR PORTION workings  8 5" xfId="37123" xr:uid="{00000000-0005-0000-0000-0000D18D0000}"/>
    <cellStyle name="v_RMZ GALLERIA LABOUR PORTION workings  8 6" xfId="37124" xr:uid="{00000000-0005-0000-0000-0000D28D0000}"/>
    <cellStyle name="v_RMZ GALLERIA LABOUR PORTION workings  8 7" xfId="37125" xr:uid="{00000000-0005-0000-0000-0000D38D0000}"/>
    <cellStyle name="v_RMZ GALLERIA LABOUR PORTION workings  8 8" xfId="37126" xr:uid="{00000000-0005-0000-0000-0000D48D0000}"/>
    <cellStyle name="v_RMZ GALLERIA LABOUR PORTION workings  8 9" xfId="37127" xr:uid="{00000000-0005-0000-0000-0000D58D0000}"/>
    <cellStyle name="v_RMZ GALLERIA LABOUR PORTION workings  9" xfId="37128" xr:uid="{00000000-0005-0000-0000-0000D68D0000}"/>
    <cellStyle name="v_RMZ GALLERIA LABOUR PORTION workings  9 10" xfId="37129" xr:uid="{00000000-0005-0000-0000-0000D78D0000}"/>
    <cellStyle name="v_RMZ GALLERIA LABOUR PORTION workings  9 11" xfId="37130" xr:uid="{00000000-0005-0000-0000-0000D88D0000}"/>
    <cellStyle name="v_RMZ GALLERIA LABOUR PORTION workings  9 12" xfId="37131" xr:uid="{00000000-0005-0000-0000-0000D98D0000}"/>
    <cellStyle name="v_RMZ GALLERIA LABOUR PORTION workings  9 13" xfId="37132" xr:uid="{00000000-0005-0000-0000-0000DA8D0000}"/>
    <cellStyle name="v_RMZ GALLERIA LABOUR PORTION workings  9 14" xfId="37133" xr:uid="{00000000-0005-0000-0000-0000DB8D0000}"/>
    <cellStyle name="v_RMZ GALLERIA LABOUR PORTION workings  9 15" xfId="37134" xr:uid="{00000000-0005-0000-0000-0000DC8D0000}"/>
    <cellStyle name="v_RMZ GALLERIA LABOUR PORTION workings  9 16" xfId="37135" xr:uid="{00000000-0005-0000-0000-0000DD8D0000}"/>
    <cellStyle name="v_RMZ GALLERIA LABOUR PORTION workings  9 17" xfId="37136" xr:uid="{00000000-0005-0000-0000-0000DE8D0000}"/>
    <cellStyle name="v_RMZ GALLERIA LABOUR PORTION workings  9 2" xfId="37137" xr:uid="{00000000-0005-0000-0000-0000DF8D0000}"/>
    <cellStyle name="v_RMZ GALLERIA LABOUR PORTION workings  9 2 10" xfId="37138" xr:uid="{00000000-0005-0000-0000-0000E08D0000}"/>
    <cellStyle name="v_RMZ GALLERIA LABOUR PORTION workings  9 2 11" xfId="37139" xr:uid="{00000000-0005-0000-0000-0000E18D0000}"/>
    <cellStyle name="v_RMZ GALLERIA LABOUR PORTION workings  9 2 12" xfId="37140" xr:uid="{00000000-0005-0000-0000-0000E28D0000}"/>
    <cellStyle name="v_RMZ GALLERIA LABOUR PORTION workings  9 2 13" xfId="37141" xr:uid="{00000000-0005-0000-0000-0000E38D0000}"/>
    <cellStyle name="v_RMZ GALLERIA LABOUR PORTION workings  9 2 14" xfId="37142" xr:uid="{00000000-0005-0000-0000-0000E48D0000}"/>
    <cellStyle name="v_RMZ GALLERIA LABOUR PORTION workings  9 2 15" xfId="37143" xr:uid="{00000000-0005-0000-0000-0000E58D0000}"/>
    <cellStyle name="v_RMZ GALLERIA LABOUR PORTION workings  9 2 16" xfId="37144" xr:uid="{00000000-0005-0000-0000-0000E68D0000}"/>
    <cellStyle name="v_RMZ GALLERIA LABOUR PORTION workings  9 2 2" xfId="37145" xr:uid="{00000000-0005-0000-0000-0000E78D0000}"/>
    <cellStyle name="v_RMZ GALLERIA LABOUR PORTION workings  9 2 3" xfId="37146" xr:uid="{00000000-0005-0000-0000-0000E88D0000}"/>
    <cellStyle name="v_RMZ GALLERIA LABOUR PORTION workings  9 2 4" xfId="37147" xr:uid="{00000000-0005-0000-0000-0000E98D0000}"/>
    <cellStyle name="v_RMZ GALLERIA LABOUR PORTION workings  9 2 5" xfId="37148" xr:uid="{00000000-0005-0000-0000-0000EA8D0000}"/>
    <cellStyle name="v_RMZ GALLERIA LABOUR PORTION workings  9 2 6" xfId="37149" xr:uid="{00000000-0005-0000-0000-0000EB8D0000}"/>
    <cellStyle name="v_RMZ GALLERIA LABOUR PORTION workings  9 2 7" xfId="37150" xr:uid="{00000000-0005-0000-0000-0000EC8D0000}"/>
    <cellStyle name="v_RMZ GALLERIA LABOUR PORTION workings  9 2 8" xfId="37151" xr:uid="{00000000-0005-0000-0000-0000ED8D0000}"/>
    <cellStyle name="v_RMZ GALLERIA LABOUR PORTION workings  9 2 9" xfId="37152" xr:uid="{00000000-0005-0000-0000-0000EE8D0000}"/>
    <cellStyle name="v_RMZ GALLERIA LABOUR PORTION workings  9 3" xfId="37153" xr:uid="{00000000-0005-0000-0000-0000EF8D0000}"/>
    <cellStyle name="v_RMZ GALLERIA LABOUR PORTION workings  9 4" xfId="37154" xr:uid="{00000000-0005-0000-0000-0000F08D0000}"/>
    <cellStyle name="v_RMZ GALLERIA LABOUR PORTION workings  9 5" xfId="37155" xr:uid="{00000000-0005-0000-0000-0000F18D0000}"/>
    <cellStyle name="v_RMZ GALLERIA LABOUR PORTION workings  9 6" xfId="37156" xr:uid="{00000000-0005-0000-0000-0000F28D0000}"/>
    <cellStyle name="v_RMZ GALLERIA LABOUR PORTION workings  9 7" xfId="37157" xr:uid="{00000000-0005-0000-0000-0000F38D0000}"/>
    <cellStyle name="v_RMZ GALLERIA LABOUR PORTION workings  9 8" xfId="37158" xr:uid="{00000000-0005-0000-0000-0000F48D0000}"/>
    <cellStyle name="v_RMZ GALLERIA LABOUR PORTION workings  9 9" xfId="37159" xr:uid="{00000000-0005-0000-0000-0000F58D0000}"/>
    <cellStyle name="Valuta (0)_laroux" xfId="37160" xr:uid="{00000000-0005-0000-0000-0000F68D0000}"/>
    <cellStyle name="Valuta_laroux" xfId="37161" xr:uid="{00000000-0005-0000-0000-0000F78D0000}"/>
    <cellStyle name="Warning Text 2" xfId="169" xr:uid="{00000000-0005-0000-0000-000085030000}"/>
    <cellStyle name="Warning Text 2 10" xfId="37162" xr:uid="{00000000-0005-0000-0000-0000F98D0000}"/>
    <cellStyle name="Warning Text 2 11" xfId="37163" xr:uid="{00000000-0005-0000-0000-0000FA8D0000}"/>
    <cellStyle name="Warning Text 2 12" xfId="37164" xr:uid="{00000000-0005-0000-0000-0000FB8D0000}"/>
    <cellStyle name="Warning Text 2 13" xfId="37165" xr:uid="{00000000-0005-0000-0000-0000FC8D0000}"/>
    <cellStyle name="Warning Text 2 14" xfId="37166" xr:uid="{00000000-0005-0000-0000-0000FD8D0000}"/>
    <cellStyle name="Warning Text 2 15" xfId="37167" xr:uid="{00000000-0005-0000-0000-0000FE8D0000}"/>
    <cellStyle name="Warning Text 2 16" xfId="37168" xr:uid="{00000000-0005-0000-0000-0000FF8D0000}"/>
    <cellStyle name="Warning Text 2 17" xfId="37169" xr:uid="{00000000-0005-0000-0000-0000008E0000}"/>
    <cellStyle name="Warning Text 2 18" xfId="37170" xr:uid="{00000000-0005-0000-0000-0000018E0000}"/>
    <cellStyle name="Warning Text 2 19" xfId="37171" xr:uid="{00000000-0005-0000-0000-0000028E0000}"/>
    <cellStyle name="Warning Text 2 2" xfId="37172" xr:uid="{00000000-0005-0000-0000-0000038E0000}"/>
    <cellStyle name="Warning Text 2 2 10" xfId="37173" xr:uid="{00000000-0005-0000-0000-0000048E0000}"/>
    <cellStyle name="Warning Text 2 2 11" xfId="37174" xr:uid="{00000000-0005-0000-0000-0000058E0000}"/>
    <cellStyle name="Warning Text 2 2 12" xfId="37175" xr:uid="{00000000-0005-0000-0000-0000068E0000}"/>
    <cellStyle name="Warning Text 2 2 13" xfId="37176" xr:uid="{00000000-0005-0000-0000-0000078E0000}"/>
    <cellStyle name="Warning Text 2 2 14" xfId="37177" xr:uid="{00000000-0005-0000-0000-0000088E0000}"/>
    <cellStyle name="Warning Text 2 2 15" xfId="37178" xr:uid="{00000000-0005-0000-0000-0000098E0000}"/>
    <cellStyle name="Warning Text 2 2 16" xfId="37179" xr:uid="{00000000-0005-0000-0000-00000A8E0000}"/>
    <cellStyle name="Warning Text 2 2 2" xfId="37180" xr:uid="{00000000-0005-0000-0000-00000B8E0000}"/>
    <cellStyle name="Warning Text 2 2 3" xfId="37181" xr:uid="{00000000-0005-0000-0000-00000C8E0000}"/>
    <cellStyle name="Warning Text 2 2 4" xfId="37182" xr:uid="{00000000-0005-0000-0000-00000D8E0000}"/>
    <cellStyle name="Warning Text 2 2 5" xfId="37183" xr:uid="{00000000-0005-0000-0000-00000E8E0000}"/>
    <cellStyle name="Warning Text 2 2 6" xfId="37184" xr:uid="{00000000-0005-0000-0000-00000F8E0000}"/>
    <cellStyle name="Warning Text 2 2 7" xfId="37185" xr:uid="{00000000-0005-0000-0000-0000108E0000}"/>
    <cellStyle name="Warning Text 2 2 8" xfId="37186" xr:uid="{00000000-0005-0000-0000-0000118E0000}"/>
    <cellStyle name="Warning Text 2 2 9" xfId="37187" xr:uid="{00000000-0005-0000-0000-0000128E0000}"/>
    <cellStyle name="Warning Text 2 20" xfId="37188" xr:uid="{00000000-0005-0000-0000-0000138E0000}"/>
    <cellStyle name="Warning Text 2 3" xfId="37189" xr:uid="{00000000-0005-0000-0000-0000148E0000}"/>
    <cellStyle name="Warning Text 2 3 10" xfId="37190" xr:uid="{00000000-0005-0000-0000-0000158E0000}"/>
    <cellStyle name="Warning Text 2 3 11" xfId="37191" xr:uid="{00000000-0005-0000-0000-0000168E0000}"/>
    <cellStyle name="Warning Text 2 3 12" xfId="37192" xr:uid="{00000000-0005-0000-0000-0000178E0000}"/>
    <cellStyle name="Warning Text 2 3 13" xfId="37193" xr:uid="{00000000-0005-0000-0000-0000188E0000}"/>
    <cellStyle name="Warning Text 2 3 14" xfId="37194" xr:uid="{00000000-0005-0000-0000-0000198E0000}"/>
    <cellStyle name="Warning Text 2 3 15" xfId="37195" xr:uid="{00000000-0005-0000-0000-00001A8E0000}"/>
    <cellStyle name="Warning Text 2 3 16" xfId="37196" xr:uid="{00000000-0005-0000-0000-00001B8E0000}"/>
    <cellStyle name="Warning Text 2 3 2" xfId="37197" xr:uid="{00000000-0005-0000-0000-00001C8E0000}"/>
    <cellStyle name="Warning Text 2 3 3" xfId="37198" xr:uid="{00000000-0005-0000-0000-00001D8E0000}"/>
    <cellStyle name="Warning Text 2 3 4" xfId="37199" xr:uid="{00000000-0005-0000-0000-00001E8E0000}"/>
    <cellStyle name="Warning Text 2 3 5" xfId="37200" xr:uid="{00000000-0005-0000-0000-00001F8E0000}"/>
    <cellStyle name="Warning Text 2 3 6" xfId="37201" xr:uid="{00000000-0005-0000-0000-0000208E0000}"/>
    <cellStyle name="Warning Text 2 3 7" xfId="37202" xr:uid="{00000000-0005-0000-0000-0000218E0000}"/>
    <cellStyle name="Warning Text 2 3 8" xfId="37203" xr:uid="{00000000-0005-0000-0000-0000228E0000}"/>
    <cellStyle name="Warning Text 2 3 9" xfId="37204" xr:uid="{00000000-0005-0000-0000-0000238E0000}"/>
    <cellStyle name="Warning Text 2 4" xfId="37205" xr:uid="{00000000-0005-0000-0000-0000248E0000}"/>
    <cellStyle name="Warning Text 2 4 10" xfId="37206" xr:uid="{00000000-0005-0000-0000-0000258E0000}"/>
    <cellStyle name="Warning Text 2 4 11" xfId="37207" xr:uid="{00000000-0005-0000-0000-0000268E0000}"/>
    <cellStyle name="Warning Text 2 4 12" xfId="37208" xr:uid="{00000000-0005-0000-0000-0000278E0000}"/>
    <cellStyle name="Warning Text 2 4 13" xfId="37209" xr:uid="{00000000-0005-0000-0000-0000288E0000}"/>
    <cellStyle name="Warning Text 2 4 14" xfId="37210" xr:uid="{00000000-0005-0000-0000-0000298E0000}"/>
    <cellStyle name="Warning Text 2 4 15" xfId="37211" xr:uid="{00000000-0005-0000-0000-00002A8E0000}"/>
    <cellStyle name="Warning Text 2 4 16" xfId="37212" xr:uid="{00000000-0005-0000-0000-00002B8E0000}"/>
    <cellStyle name="Warning Text 2 4 2" xfId="37213" xr:uid="{00000000-0005-0000-0000-00002C8E0000}"/>
    <cellStyle name="Warning Text 2 4 3" xfId="37214" xr:uid="{00000000-0005-0000-0000-00002D8E0000}"/>
    <cellStyle name="Warning Text 2 4 4" xfId="37215" xr:uid="{00000000-0005-0000-0000-00002E8E0000}"/>
    <cellStyle name="Warning Text 2 4 5" xfId="37216" xr:uid="{00000000-0005-0000-0000-00002F8E0000}"/>
    <cellStyle name="Warning Text 2 4 6" xfId="37217" xr:uid="{00000000-0005-0000-0000-0000308E0000}"/>
    <cellStyle name="Warning Text 2 4 7" xfId="37218" xr:uid="{00000000-0005-0000-0000-0000318E0000}"/>
    <cellStyle name="Warning Text 2 4 8" xfId="37219" xr:uid="{00000000-0005-0000-0000-0000328E0000}"/>
    <cellStyle name="Warning Text 2 4 9" xfId="37220" xr:uid="{00000000-0005-0000-0000-0000338E0000}"/>
    <cellStyle name="Warning Text 2 5" xfId="37221" xr:uid="{00000000-0005-0000-0000-0000348E0000}"/>
    <cellStyle name="Warning Text 2 5 2" xfId="37222" xr:uid="{00000000-0005-0000-0000-0000358E0000}"/>
    <cellStyle name="Warning Text 2 5 3" xfId="37223" xr:uid="{00000000-0005-0000-0000-0000368E0000}"/>
    <cellStyle name="Warning Text 2 6" xfId="37224" xr:uid="{00000000-0005-0000-0000-0000378E0000}"/>
    <cellStyle name="Warning Text 2 7" xfId="37225" xr:uid="{00000000-0005-0000-0000-0000388E0000}"/>
    <cellStyle name="Warning Text 2 8" xfId="37226" xr:uid="{00000000-0005-0000-0000-0000398E0000}"/>
    <cellStyle name="Warning Text 2 9" xfId="37227" xr:uid="{00000000-0005-0000-0000-00003A8E0000}"/>
    <cellStyle name="Warning Text 3" xfId="37228" xr:uid="{00000000-0005-0000-0000-00003B8E0000}"/>
    <cellStyle name="Warning Text 4" xfId="37229" xr:uid="{00000000-0005-0000-0000-00003C8E0000}"/>
    <cellStyle name="Warning Text 5" xfId="37230" xr:uid="{00000000-0005-0000-0000-00003D8E0000}"/>
    <cellStyle name="パーセント 2" xfId="879" xr:uid="{00000000-0005-0000-0000-000086030000}"/>
    <cellStyle name="一般_Sheet1" xfId="37257" xr:uid="{00000000-0005-0000-0000-00003E8E0000}"/>
    <cellStyle name="桁区切り [0.00]_0098 China Embassy AQ Summary" xfId="37231" xr:uid="{00000000-0005-0000-0000-00003F8E0000}"/>
    <cellStyle name="桁区切り_0098 China Embassy AQ Summary" xfId="37232" xr:uid="{00000000-0005-0000-0000-0000408E0000}"/>
    <cellStyle name="標準 2" xfId="880" xr:uid="{00000000-0005-0000-0000-000087030000}"/>
    <cellStyle name="標準 2 2" xfId="37266" xr:uid="{FE97B25E-AC15-4F00-B49E-F9B047FAEDAF}"/>
    <cellStyle name="標準_0098 China Embassy AQ Summary" xfId="37233" xr:uid="{00000000-0005-0000-0000-0000418E0000}"/>
    <cellStyle name="通貨 [0.00]_0098 China Embassy AQ Summary" xfId="37234" xr:uid="{00000000-0005-0000-0000-0000428E0000}"/>
    <cellStyle name="通貨_0098 China Embassy AQ Summary" xfId="37235" xr:uid="{00000000-0005-0000-0000-0000438E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sharedStrings" Target="sharedString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jpeg"/><Relationship Id="rId1" Type="http://schemas.openxmlformats.org/officeDocument/2006/relationships/image" Target="../media/image11.jpeg"/><Relationship Id="rId5" Type="http://schemas.openxmlformats.org/officeDocument/2006/relationships/image" Target="../media/image15.png"/><Relationship Id="rId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2</xdr:col>
      <xdr:colOff>489857</xdr:colOff>
      <xdr:row>332</xdr:row>
      <xdr:rowOff>99785</xdr:rowOff>
    </xdr:from>
    <xdr:to>
      <xdr:col>2</xdr:col>
      <xdr:colOff>1279072</xdr:colOff>
      <xdr:row>332</xdr:row>
      <xdr:rowOff>945456</xdr:rowOff>
    </xdr:to>
    <xdr:pic>
      <xdr:nvPicPr>
        <xdr:cNvPr id="10" name="Picture 9" descr="C:\Users\SM_L\Downloads\WhatsApp Image 2025-08-29 at 19.49.53 (1).jpeg">
          <a:extLst>
            <a:ext uri="{FF2B5EF4-FFF2-40B4-BE49-F238E27FC236}">
              <a16:creationId xmlns:a16="http://schemas.microsoft.com/office/drawing/2014/main" id="{429E92C6-6D13-4431-9F27-7516AB1701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6786" y="77034571"/>
          <a:ext cx="789215" cy="845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531813</xdr:colOff>
      <xdr:row>218</xdr:row>
      <xdr:rowOff>63500</xdr:rowOff>
    </xdr:from>
    <xdr:to>
      <xdr:col>2</xdr:col>
      <xdr:colOff>1440536</xdr:colOff>
      <xdr:row>218</xdr:row>
      <xdr:rowOff>1143500</xdr:rowOff>
    </xdr:to>
    <xdr:pic>
      <xdr:nvPicPr>
        <xdr:cNvPr id="3" name="Picture 2">
          <a:extLst>
            <a:ext uri="{FF2B5EF4-FFF2-40B4-BE49-F238E27FC236}">
              <a16:creationId xmlns:a16="http://schemas.microsoft.com/office/drawing/2014/main" id="{1C7AF349-6018-4CBF-BF3E-3AE239FDF415}"/>
            </a:ext>
          </a:extLst>
        </xdr:cNvPr>
        <xdr:cNvPicPr>
          <a:picLocks noChangeAspect="1"/>
        </xdr:cNvPicPr>
      </xdr:nvPicPr>
      <xdr:blipFill>
        <a:blip xmlns:r="http://schemas.openxmlformats.org/officeDocument/2006/relationships" r:embed="rId2"/>
        <a:stretch>
          <a:fillRect/>
        </a:stretch>
      </xdr:blipFill>
      <xdr:spPr>
        <a:xfrm>
          <a:off x="6619876" y="71175563"/>
          <a:ext cx="908723" cy="1080000"/>
        </a:xfrm>
        <a:prstGeom prst="rect">
          <a:avLst/>
        </a:prstGeom>
      </xdr:spPr>
    </xdr:pic>
    <xdr:clientData/>
  </xdr:twoCellAnchor>
  <xdr:twoCellAnchor editAs="oneCell">
    <xdr:from>
      <xdr:col>2</xdr:col>
      <xdr:colOff>63500</xdr:colOff>
      <xdr:row>221</xdr:row>
      <xdr:rowOff>31750</xdr:rowOff>
    </xdr:from>
    <xdr:to>
      <xdr:col>2</xdr:col>
      <xdr:colOff>1722437</xdr:colOff>
      <xdr:row>221</xdr:row>
      <xdr:rowOff>1182688</xdr:rowOff>
    </xdr:to>
    <xdr:pic>
      <xdr:nvPicPr>
        <xdr:cNvPr id="4" name="Picture 3">
          <a:extLst>
            <a:ext uri="{FF2B5EF4-FFF2-40B4-BE49-F238E27FC236}">
              <a16:creationId xmlns:a16="http://schemas.microsoft.com/office/drawing/2014/main" id="{26BBC47E-29FD-4547-B98D-C36C04016CA8}"/>
            </a:ext>
          </a:extLst>
        </xdr:cNvPr>
        <xdr:cNvPicPr>
          <a:picLocks noChangeAspect="1"/>
        </xdr:cNvPicPr>
      </xdr:nvPicPr>
      <xdr:blipFill>
        <a:blip xmlns:r="http://schemas.openxmlformats.org/officeDocument/2006/relationships" r:embed="rId3"/>
        <a:stretch>
          <a:fillRect/>
        </a:stretch>
      </xdr:blipFill>
      <xdr:spPr>
        <a:xfrm>
          <a:off x="6151563" y="72834500"/>
          <a:ext cx="1658937" cy="1150938"/>
        </a:xfrm>
        <a:prstGeom prst="rect">
          <a:avLst/>
        </a:prstGeom>
      </xdr:spPr>
    </xdr:pic>
    <xdr:clientData/>
  </xdr:twoCellAnchor>
  <xdr:twoCellAnchor editAs="oneCell">
    <xdr:from>
      <xdr:col>2</xdr:col>
      <xdr:colOff>111124</xdr:colOff>
      <xdr:row>224</xdr:row>
      <xdr:rowOff>87312</xdr:rowOff>
    </xdr:from>
    <xdr:to>
      <xdr:col>2</xdr:col>
      <xdr:colOff>1587499</xdr:colOff>
      <xdr:row>224</xdr:row>
      <xdr:rowOff>1155156</xdr:rowOff>
    </xdr:to>
    <xdr:pic>
      <xdr:nvPicPr>
        <xdr:cNvPr id="5" name="Picture 4">
          <a:extLst>
            <a:ext uri="{FF2B5EF4-FFF2-40B4-BE49-F238E27FC236}">
              <a16:creationId xmlns:a16="http://schemas.microsoft.com/office/drawing/2014/main" id="{CDAB96A1-06CF-435B-924D-3245F56168FA}"/>
            </a:ext>
          </a:extLst>
        </xdr:cNvPr>
        <xdr:cNvPicPr>
          <a:picLocks noChangeAspect="1"/>
        </xdr:cNvPicPr>
      </xdr:nvPicPr>
      <xdr:blipFill>
        <a:blip xmlns:r="http://schemas.openxmlformats.org/officeDocument/2006/relationships" r:embed="rId4"/>
        <a:stretch>
          <a:fillRect/>
        </a:stretch>
      </xdr:blipFill>
      <xdr:spPr>
        <a:xfrm>
          <a:off x="6199187" y="64150875"/>
          <a:ext cx="1476375" cy="10678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95251</xdr:colOff>
      <xdr:row>3</xdr:row>
      <xdr:rowOff>127000</xdr:rowOff>
    </xdr:from>
    <xdr:to>
      <xdr:col>2</xdr:col>
      <xdr:colOff>1397215</xdr:colOff>
      <xdr:row>3</xdr:row>
      <xdr:rowOff>882650</xdr:rowOff>
    </xdr:to>
    <xdr:pic>
      <xdr:nvPicPr>
        <xdr:cNvPr id="2" name="Picture 1">
          <a:extLst>
            <a:ext uri="{FF2B5EF4-FFF2-40B4-BE49-F238E27FC236}">
              <a16:creationId xmlns:a16="http://schemas.microsoft.com/office/drawing/2014/main" id="{DCFD0932-C804-48E4-B609-F87BB0B09DA5}"/>
            </a:ext>
          </a:extLst>
        </xdr:cNvPr>
        <xdr:cNvPicPr>
          <a:picLocks noChangeAspect="1"/>
        </xdr:cNvPicPr>
      </xdr:nvPicPr>
      <xdr:blipFill>
        <a:blip xmlns:r="http://schemas.openxmlformats.org/officeDocument/2006/relationships" r:embed="rId1"/>
        <a:stretch>
          <a:fillRect/>
        </a:stretch>
      </xdr:blipFill>
      <xdr:spPr>
        <a:xfrm>
          <a:off x="6184901" y="679450"/>
          <a:ext cx="1301964" cy="755650"/>
        </a:xfrm>
        <a:prstGeom prst="rect">
          <a:avLst/>
        </a:prstGeom>
      </xdr:spPr>
    </xdr:pic>
    <xdr:clientData/>
  </xdr:twoCellAnchor>
  <xdr:twoCellAnchor editAs="oneCell">
    <xdr:from>
      <xdr:col>2</xdr:col>
      <xdr:colOff>196850</xdr:colOff>
      <xdr:row>4</xdr:row>
      <xdr:rowOff>38101</xdr:rowOff>
    </xdr:from>
    <xdr:to>
      <xdr:col>2</xdr:col>
      <xdr:colOff>1517650</xdr:colOff>
      <xdr:row>4</xdr:row>
      <xdr:rowOff>1314579</xdr:rowOff>
    </xdr:to>
    <xdr:pic>
      <xdr:nvPicPr>
        <xdr:cNvPr id="3" name="Picture 2">
          <a:extLst>
            <a:ext uri="{FF2B5EF4-FFF2-40B4-BE49-F238E27FC236}">
              <a16:creationId xmlns:a16="http://schemas.microsoft.com/office/drawing/2014/main" id="{9F2334CF-10D0-44D7-8C12-1F5B34845281}"/>
            </a:ext>
          </a:extLst>
        </xdr:cNvPr>
        <xdr:cNvPicPr>
          <a:picLocks noChangeAspect="1"/>
        </xdr:cNvPicPr>
      </xdr:nvPicPr>
      <xdr:blipFill>
        <a:blip xmlns:r="http://schemas.openxmlformats.org/officeDocument/2006/relationships" r:embed="rId2"/>
        <a:stretch>
          <a:fillRect/>
        </a:stretch>
      </xdr:blipFill>
      <xdr:spPr>
        <a:xfrm>
          <a:off x="6286500" y="2228851"/>
          <a:ext cx="1320800" cy="1276478"/>
        </a:xfrm>
        <a:prstGeom prst="rect">
          <a:avLst/>
        </a:prstGeom>
      </xdr:spPr>
    </xdr:pic>
    <xdr:clientData/>
  </xdr:twoCellAnchor>
  <xdr:twoCellAnchor editAs="oneCell">
    <xdr:from>
      <xdr:col>2</xdr:col>
      <xdr:colOff>273050</xdr:colOff>
      <xdr:row>6</xdr:row>
      <xdr:rowOff>25400</xdr:rowOff>
    </xdr:from>
    <xdr:to>
      <xdr:col>2</xdr:col>
      <xdr:colOff>1054002</xdr:colOff>
      <xdr:row>6</xdr:row>
      <xdr:rowOff>1101590</xdr:rowOff>
    </xdr:to>
    <xdr:pic>
      <xdr:nvPicPr>
        <xdr:cNvPr id="4" name="Picture 3">
          <a:extLst>
            <a:ext uri="{FF2B5EF4-FFF2-40B4-BE49-F238E27FC236}">
              <a16:creationId xmlns:a16="http://schemas.microsoft.com/office/drawing/2014/main" id="{5A8769EA-4902-471E-A09D-57B0E61453F4}"/>
            </a:ext>
          </a:extLst>
        </xdr:cNvPr>
        <xdr:cNvPicPr>
          <a:picLocks noChangeAspect="1"/>
        </xdr:cNvPicPr>
      </xdr:nvPicPr>
      <xdr:blipFill>
        <a:blip xmlns:r="http://schemas.openxmlformats.org/officeDocument/2006/relationships" r:embed="rId3"/>
        <a:stretch>
          <a:fillRect/>
        </a:stretch>
      </xdr:blipFill>
      <xdr:spPr>
        <a:xfrm>
          <a:off x="6362700" y="3797300"/>
          <a:ext cx="780952" cy="10761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525780</xdr:colOff>
      <xdr:row>299</xdr:row>
      <xdr:rowOff>74957</xdr:rowOff>
    </xdr:from>
    <xdr:to>
      <xdr:col>8</xdr:col>
      <xdr:colOff>1072178</xdr:colOff>
      <xdr:row>302</xdr:row>
      <xdr:rowOff>85768</xdr:rowOff>
    </xdr:to>
    <xdr:pic>
      <xdr:nvPicPr>
        <xdr:cNvPr id="2" name="Picture 1">
          <a:extLst>
            <a:ext uri="{FF2B5EF4-FFF2-40B4-BE49-F238E27FC236}">
              <a16:creationId xmlns:a16="http://schemas.microsoft.com/office/drawing/2014/main" id="{B22FF3E2-86A8-47B9-A642-B193B347C4C7}"/>
            </a:ext>
          </a:extLst>
        </xdr:cNvPr>
        <xdr:cNvPicPr>
          <a:picLocks noChangeAspect="1"/>
        </xdr:cNvPicPr>
      </xdr:nvPicPr>
      <xdr:blipFill>
        <a:blip xmlns:r="http://schemas.openxmlformats.org/officeDocument/2006/relationships" r:embed="rId1"/>
        <a:stretch>
          <a:fillRect/>
        </a:stretch>
      </xdr:blipFill>
      <xdr:spPr>
        <a:xfrm>
          <a:off x="12882880" y="75697107"/>
          <a:ext cx="546398" cy="582311"/>
        </a:xfrm>
        <a:prstGeom prst="rect">
          <a:avLst/>
        </a:prstGeom>
      </xdr:spPr>
    </xdr:pic>
    <xdr:clientData/>
  </xdr:twoCellAnchor>
  <xdr:twoCellAnchor editAs="oneCell">
    <xdr:from>
      <xdr:col>8</xdr:col>
      <xdr:colOff>525780</xdr:colOff>
      <xdr:row>320</xdr:row>
      <xdr:rowOff>74957</xdr:rowOff>
    </xdr:from>
    <xdr:to>
      <xdr:col>8</xdr:col>
      <xdr:colOff>1072178</xdr:colOff>
      <xdr:row>323</xdr:row>
      <xdr:rowOff>92117</xdr:rowOff>
    </xdr:to>
    <xdr:pic>
      <xdr:nvPicPr>
        <xdr:cNvPr id="3" name="Picture 2">
          <a:extLst>
            <a:ext uri="{FF2B5EF4-FFF2-40B4-BE49-F238E27FC236}">
              <a16:creationId xmlns:a16="http://schemas.microsoft.com/office/drawing/2014/main" id="{C5EFEB32-8A49-42FA-97E9-9B07D1E23625}"/>
            </a:ext>
          </a:extLst>
        </xdr:cNvPr>
        <xdr:cNvPicPr>
          <a:picLocks noChangeAspect="1"/>
        </xdr:cNvPicPr>
      </xdr:nvPicPr>
      <xdr:blipFill>
        <a:blip xmlns:r="http://schemas.openxmlformats.org/officeDocument/2006/relationships" r:embed="rId2" cstate="print"/>
        <a:stretch>
          <a:fillRect/>
        </a:stretch>
      </xdr:blipFill>
      <xdr:spPr>
        <a:xfrm>
          <a:off x="13143230" y="81875657"/>
          <a:ext cx="546398" cy="582311"/>
        </a:xfrm>
        <a:prstGeom prst="rect">
          <a:avLst/>
        </a:prstGeom>
      </xdr:spPr>
    </xdr:pic>
    <xdr:clientData/>
  </xdr:twoCellAnchor>
  <xdr:twoCellAnchor editAs="oneCell">
    <xdr:from>
      <xdr:col>8</xdr:col>
      <xdr:colOff>537883</xdr:colOff>
      <xdr:row>330</xdr:row>
      <xdr:rowOff>114193</xdr:rowOff>
    </xdr:from>
    <xdr:to>
      <xdr:col>8</xdr:col>
      <xdr:colOff>1552941</xdr:colOff>
      <xdr:row>332</xdr:row>
      <xdr:rowOff>6188</xdr:rowOff>
    </xdr:to>
    <xdr:pic>
      <xdr:nvPicPr>
        <xdr:cNvPr id="4" name="Picture 3">
          <a:extLst>
            <a:ext uri="{FF2B5EF4-FFF2-40B4-BE49-F238E27FC236}">
              <a16:creationId xmlns:a16="http://schemas.microsoft.com/office/drawing/2014/main" id="{670DFCD7-3AA9-4272-840E-BB09DB9A5104}"/>
            </a:ext>
          </a:extLst>
        </xdr:cNvPr>
        <xdr:cNvPicPr>
          <a:picLocks noChangeAspect="1"/>
        </xdr:cNvPicPr>
      </xdr:nvPicPr>
      <xdr:blipFill>
        <a:blip xmlns:r="http://schemas.openxmlformats.org/officeDocument/2006/relationships" r:embed="rId3"/>
        <a:stretch>
          <a:fillRect/>
        </a:stretch>
      </xdr:blipFill>
      <xdr:spPr>
        <a:xfrm>
          <a:off x="13155333" y="86010643"/>
          <a:ext cx="1015058" cy="76406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0</xdr:colOff>
      <xdr:row>26</xdr:row>
      <xdr:rowOff>0</xdr:rowOff>
    </xdr:from>
    <xdr:to>
      <xdr:col>3</xdr:col>
      <xdr:colOff>304800</xdr:colOff>
      <xdr:row>27</xdr:row>
      <xdr:rowOff>129540</xdr:rowOff>
    </xdr:to>
    <xdr:sp macro="" textlink="">
      <xdr:nvSpPr>
        <xdr:cNvPr id="2" name="AutoShape 1" descr="Use this for the main software">
          <a:extLst>
            <a:ext uri="{FF2B5EF4-FFF2-40B4-BE49-F238E27FC236}">
              <a16:creationId xmlns:a16="http://schemas.microsoft.com/office/drawing/2014/main" id="{2593485A-13BA-49C2-A71E-301071031E29}"/>
            </a:ext>
          </a:extLst>
        </xdr:cNvPr>
        <xdr:cNvSpPr>
          <a:spLocks noChangeAspect="1" noChangeArrowheads="1"/>
        </xdr:cNvSpPr>
      </xdr:nvSpPr>
      <xdr:spPr>
        <a:xfrm>
          <a:off x="7880350" y="12757150"/>
          <a:ext cx="304800" cy="3073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315564</xdr:colOff>
      <xdr:row>6</xdr:row>
      <xdr:rowOff>203624</xdr:rowOff>
    </xdr:from>
    <xdr:to>
      <xdr:col>2</xdr:col>
      <xdr:colOff>1491584</xdr:colOff>
      <xdr:row>6</xdr:row>
      <xdr:rowOff>1413299</xdr:rowOff>
    </xdr:to>
    <xdr:pic>
      <xdr:nvPicPr>
        <xdr:cNvPr id="3" name="Picture 2" descr="Lutron Vive PowPak RMKS-DAL4-SZ DALI Dimmer | Gil-Lec">
          <a:extLst>
            <a:ext uri="{FF2B5EF4-FFF2-40B4-BE49-F238E27FC236}">
              <a16:creationId xmlns:a16="http://schemas.microsoft.com/office/drawing/2014/main" id="{557B0693-5BCF-42D1-9CF9-60590CDC9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335364" y="1537124"/>
          <a:ext cx="1188720" cy="1209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448733</xdr:colOff>
      <xdr:row>8</xdr:row>
      <xdr:rowOff>239184</xdr:rowOff>
    </xdr:from>
    <xdr:to>
      <xdr:col>2</xdr:col>
      <xdr:colOff>1279313</xdr:colOff>
      <xdr:row>9</xdr:row>
      <xdr:rowOff>134772</xdr:rowOff>
    </xdr:to>
    <xdr:pic>
      <xdr:nvPicPr>
        <xdr:cNvPr id="4" name="Picture 3" descr="Buy Lutron LRF2-OCR2B-P-WH Radio Powr Savr Wireless Ceiling-Mounted  Occupancy/Vacancy Sensor, White Online at Low Prices in India - Amazon.in">
          <a:extLst>
            <a:ext uri="{FF2B5EF4-FFF2-40B4-BE49-F238E27FC236}">
              <a16:creationId xmlns:a16="http://schemas.microsoft.com/office/drawing/2014/main" id="{AE099008-180E-45CC-BF01-C93571A7DA1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6468533" y="4811184"/>
          <a:ext cx="843280" cy="8798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385233</xdr:colOff>
      <xdr:row>7</xdr:row>
      <xdr:rowOff>150283</xdr:rowOff>
    </xdr:from>
    <xdr:to>
      <xdr:col>2</xdr:col>
      <xdr:colOff>1442508</xdr:colOff>
      <xdr:row>7</xdr:row>
      <xdr:rowOff>1354968</xdr:rowOff>
    </xdr:to>
    <xdr:pic>
      <xdr:nvPicPr>
        <xdr:cNvPr id="5" name="Picture 4">
          <a:extLst>
            <a:ext uri="{FF2B5EF4-FFF2-40B4-BE49-F238E27FC236}">
              <a16:creationId xmlns:a16="http://schemas.microsoft.com/office/drawing/2014/main" id="{69106831-CEAF-47D3-BD04-8BCE921EF7E2}"/>
            </a:ext>
          </a:extLst>
        </xdr:cNvPr>
        <xdr:cNvPicPr>
          <a:picLocks noChangeAspect="1"/>
        </xdr:cNvPicPr>
      </xdr:nvPicPr>
      <xdr:blipFill>
        <a:blip xmlns:r="http://schemas.openxmlformats.org/officeDocument/2006/relationships" r:embed="rId3"/>
        <a:stretch>
          <a:fillRect/>
        </a:stretch>
      </xdr:blipFill>
      <xdr:spPr>
        <a:xfrm>
          <a:off x="6405033" y="3103033"/>
          <a:ext cx="1069975" cy="1204685"/>
        </a:xfrm>
        <a:prstGeom prst="rect">
          <a:avLst/>
        </a:prstGeom>
      </xdr:spPr>
    </xdr:pic>
    <xdr:clientData/>
  </xdr:twoCellAnchor>
  <xdr:oneCellAnchor>
    <xdr:from>
      <xdr:col>2</xdr:col>
      <xdr:colOff>58420</xdr:colOff>
      <xdr:row>9</xdr:row>
      <xdr:rowOff>172720</xdr:rowOff>
    </xdr:from>
    <xdr:ext cx="1513205" cy="1193165"/>
    <xdr:pic>
      <xdr:nvPicPr>
        <xdr:cNvPr id="6" name="Picture 5" descr="Lutron Pico Wireless control Overview">
          <a:extLst>
            <a:ext uri="{FF2B5EF4-FFF2-40B4-BE49-F238E27FC236}">
              <a16:creationId xmlns:a16="http://schemas.microsoft.com/office/drawing/2014/main" id="{445158BC-994D-4B3A-B0CD-C7F10A07022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r="57900"/>
        <a:stretch>
          <a:fillRect/>
        </a:stretch>
      </xdr:blipFill>
      <xdr:spPr>
        <a:xfrm>
          <a:off x="6078220" y="6363970"/>
          <a:ext cx="1513205" cy="1193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xdr:col>
      <xdr:colOff>219710</xdr:colOff>
      <xdr:row>10</xdr:row>
      <xdr:rowOff>191135</xdr:rowOff>
    </xdr:from>
    <xdr:to>
      <xdr:col>2</xdr:col>
      <xdr:colOff>1604010</xdr:colOff>
      <xdr:row>10</xdr:row>
      <xdr:rowOff>1608909</xdr:rowOff>
    </xdr:to>
    <xdr:pic>
      <xdr:nvPicPr>
        <xdr:cNvPr id="7" name="Picture 6">
          <a:extLst>
            <a:ext uri="{FF2B5EF4-FFF2-40B4-BE49-F238E27FC236}">
              <a16:creationId xmlns:a16="http://schemas.microsoft.com/office/drawing/2014/main" id="{96D89E2D-5AB2-41CA-AD4E-5354C953BF34}"/>
            </a:ext>
          </a:extLst>
        </xdr:cNvPr>
        <xdr:cNvPicPr>
          <a:picLocks noChangeAspect="1"/>
        </xdr:cNvPicPr>
      </xdr:nvPicPr>
      <xdr:blipFill>
        <a:blip xmlns:r="http://schemas.openxmlformats.org/officeDocument/2006/relationships" r:embed="rId5"/>
        <a:stretch>
          <a:fillRect/>
        </a:stretch>
      </xdr:blipFill>
      <xdr:spPr>
        <a:xfrm>
          <a:off x="6239510" y="8001635"/>
          <a:ext cx="1397000" cy="1417774"/>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chandrashekar\Cable%20-%20Sch.%20-late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eepak\e\STANDARD%20DOCUMENTS\poly%20cab-%20Rating%20&amp;%20volt.drop%20dt.18.1.0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eepak\e\MANJU\Aurigene%20Discovery%20Technology,%20B'lore\Cable%20-%20Sch.%20-lates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eepak\e\CJV\STANDARD%20DOCUMENTS\Standard-Cable%20-%20Rating%20&amp;%20volt.drop%20dt.1.1.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eepak\e\STANDARD%20DOCUMENTS\cable%20Vdrop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orkings%20-%20Indegene%20BOQ%20-%203rd%20Floor(06-01-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ble-data"/>
      <sheetName val="XLPE.PVC COPPER"/>
      <sheetName val="PVC.PVC COPPER"/>
      <sheetName val="PVC.PVC ALLUMINIUM"/>
      <sheetName val="Cable_data"/>
      <sheetName val="RCC,Ret. Wall"/>
      <sheetName val="drum"/>
      <sheetName val="summary"/>
      <sheetName val="PANELS"/>
      <sheetName val="Break up Sheet"/>
      <sheetName val="Field Values"/>
      <sheetName val="Rate analysis"/>
      <sheetName val="RA-markate"/>
      <sheetName val="Boq - Flats"/>
      <sheetName val="p&amp;m"/>
      <sheetName val="Boq"/>
      <sheetName val="Footings"/>
      <sheetName val="Sheet1"/>
    </sheetNames>
    <sheetDataSet>
      <sheetData sheetId="0">
        <row r="8">
          <cell r="A8">
            <v>2.5</v>
          </cell>
          <cell r="B8">
            <v>9.4499999999999993</v>
          </cell>
          <cell r="C8">
            <v>9.7600000000000006E-2</v>
          </cell>
          <cell r="D8">
            <v>15.237119999999999</v>
          </cell>
          <cell r="E8">
            <v>2.5</v>
          </cell>
          <cell r="F8">
            <v>36</v>
          </cell>
          <cell r="G8">
            <v>34</v>
          </cell>
          <cell r="H8">
            <v>29</v>
          </cell>
          <cell r="I8">
            <v>44</v>
          </cell>
          <cell r="J8">
            <v>45</v>
          </cell>
          <cell r="K8">
            <v>37</v>
          </cell>
        </row>
        <row r="9">
          <cell r="A9">
            <v>4</v>
          </cell>
          <cell r="B9">
            <v>5.88</v>
          </cell>
          <cell r="C9">
            <v>9.2100000000000001E-2</v>
          </cell>
          <cell r="D9">
            <v>9.5185199999999988</v>
          </cell>
          <cell r="E9">
            <v>4</v>
          </cell>
          <cell r="F9">
            <v>47</v>
          </cell>
          <cell r="G9">
            <v>45</v>
          </cell>
          <cell r="H9">
            <v>38</v>
          </cell>
          <cell r="I9">
            <v>56</v>
          </cell>
          <cell r="J9">
            <v>58</v>
          </cell>
          <cell r="K9">
            <v>49</v>
          </cell>
        </row>
        <row r="10">
          <cell r="A10">
            <v>6</v>
          </cell>
          <cell r="B10">
            <v>3.93</v>
          </cell>
          <cell r="C10">
            <v>8.5000000000000006E-2</v>
          </cell>
          <cell r="D10">
            <v>6.3900000000000006</v>
          </cell>
          <cell r="E10">
            <v>6</v>
          </cell>
          <cell r="F10">
            <v>61</v>
          </cell>
          <cell r="G10">
            <v>57</v>
          </cell>
          <cell r="H10">
            <v>48</v>
          </cell>
          <cell r="I10">
            <v>70</v>
          </cell>
          <cell r="J10">
            <v>75</v>
          </cell>
          <cell r="K10">
            <v>61</v>
          </cell>
        </row>
        <row r="11">
          <cell r="A11">
            <v>10</v>
          </cell>
          <cell r="B11">
            <v>2.33</v>
          </cell>
          <cell r="C11">
            <v>8.0699999999999994E-2</v>
          </cell>
          <cell r="D11">
            <v>3.82484</v>
          </cell>
          <cell r="E11">
            <v>10</v>
          </cell>
          <cell r="F11">
            <v>85</v>
          </cell>
          <cell r="G11">
            <v>79</v>
          </cell>
          <cell r="H11">
            <v>66</v>
          </cell>
          <cell r="I11">
            <v>94</v>
          </cell>
          <cell r="J11">
            <v>98</v>
          </cell>
          <cell r="K11">
            <v>81</v>
          </cell>
        </row>
        <row r="12">
          <cell r="A12">
            <v>16</v>
          </cell>
          <cell r="B12">
            <v>1.47</v>
          </cell>
          <cell r="C12">
            <v>7.7700000000000005E-2</v>
          </cell>
          <cell r="D12">
            <v>2.4452400000000001</v>
          </cell>
          <cell r="E12">
            <v>16</v>
          </cell>
          <cell r="F12">
            <v>113</v>
          </cell>
          <cell r="G12">
            <v>105</v>
          </cell>
          <cell r="H12">
            <v>88</v>
          </cell>
          <cell r="I12">
            <v>120</v>
          </cell>
          <cell r="J12">
            <v>125</v>
          </cell>
          <cell r="K12">
            <v>100</v>
          </cell>
        </row>
        <row r="13">
          <cell r="A13">
            <v>25</v>
          </cell>
          <cell r="B13">
            <v>0.92700000000000005</v>
          </cell>
          <cell r="C13">
            <v>7.8399999999999997E-2</v>
          </cell>
          <cell r="D13">
            <v>1.57728</v>
          </cell>
          <cell r="E13">
            <v>25</v>
          </cell>
          <cell r="F13">
            <v>150</v>
          </cell>
          <cell r="G13">
            <v>140</v>
          </cell>
          <cell r="H13">
            <v>115</v>
          </cell>
          <cell r="I13">
            <v>155</v>
          </cell>
          <cell r="J13">
            <v>165</v>
          </cell>
          <cell r="K13">
            <v>135</v>
          </cell>
        </row>
        <row r="14">
          <cell r="A14">
            <v>35</v>
          </cell>
          <cell r="B14">
            <v>0.66800000000000004</v>
          </cell>
          <cell r="C14">
            <v>7.5700000000000003E-2</v>
          </cell>
          <cell r="D14">
            <v>1.1596400000000002</v>
          </cell>
          <cell r="E14">
            <v>35</v>
          </cell>
          <cell r="F14">
            <v>181</v>
          </cell>
          <cell r="G14">
            <v>168</v>
          </cell>
          <cell r="H14">
            <v>141</v>
          </cell>
          <cell r="I14">
            <v>190</v>
          </cell>
          <cell r="J14">
            <v>197</v>
          </cell>
          <cell r="K14">
            <v>162</v>
          </cell>
        </row>
        <row r="15">
          <cell r="A15">
            <v>50</v>
          </cell>
          <cell r="B15">
            <v>0.49399999999999999</v>
          </cell>
          <cell r="C15">
            <v>7.4899999999999994E-2</v>
          </cell>
          <cell r="D15">
            <v>0.88027999999999995</v>
          </cell>
          <cell r="E15">
            <v>50</v>
          </cell>
          <cell r="F15">
            <v>265</v>
          </cell>
          <cell r="G15">
            <v>215</v>
          </cell>
          <cell r="H15">
            <v>178</v>
          </cell>
          <cell r="I15">
            <v>250</v>
          </cell>
          <cell r="J15">
            <v>240</v>
          </cell>
          <cell r="K15">
            <v>200</v>
          </cell>
        </row>
        <row r="16">
          <cell r="A16">
            <v>70</v>
          </cell>
          <cell r="B16">
            <v>0.34200000000000003</v>
          </cell>
          <cell r="C16">
            <v>7.3700000000000002E-2</v>
          </cell>
          <cell r="D16">
            <v>0.63563999999999998</v>
          </cell>
          <cell r="E16">
            <v>70</v>
          </cell>
          <cell r="F16">
            <v>290</v>
          </cell>
          <cell r="G16">
            <v>265</v>
          </cell>
          <cell r="H16">
            <v>220</v>
          </cell>
          <cell r="I16">
            <v>270</v>
          </cell>
          <cell r="J16">
            <v>290</v>
          </cell>
          <cell r="K16">
            <v>240</v>
          </cell>
        </row>
        <row r="17">
          <cell r="A17">
            <v>95</v>
          </cell>
          <cell r="B17">
            <v>0.247</v>
          </cell>
          <cell r="C17">
            <v>7.1900000000000006E-2</v>
          </cell>
          <cell r="D17">
            <v>0.48148000000000002</v>
          </cell>
          <cell r="E17">
            <v>95</v>
          </cell>
          <cell r="F17">
            <v>347</v>
          </cell>
          <cell r="G17">
            <v>316</v>
          </cell>
          <cell r="H17">
            <v>263</v>
          </cell>
          <cell r="I17">
            <v>320</v>
          </cell>
          <cell r="J17">
            <v>345</v>
          </cell>
          <cell r="K17">
            <v>285</v>
          </cell>
        </row>
        <row r="18">
          <cell r="A18">
            <v>120</v>
          </cell>
          <cell r="B18">
            <v>0.19600000000000001</v>
          </cell>
          <cell r="C18">
            <v>7.1300000000000002E-2</v>
          </cell>
          <cell r="D18">
            <v>0.39916000000000007</v>
          </cell>
          <cell r="E18">
            <v>120</v>
          </cell>
          <cell r="F18">
            <v>410</v>
          </cell>
          <cell r="G18">
            <v>370</v>
          </cell>
          <cell r="H18">
            <v>300</v>
          </cell>
          <cell r="I18">
            <v>370</v>
          </cell>
          <cell r="J18">
            <v>380</v>
          </cell>
          <cell r="K18">
            <v>325</v>
          </cell>
        </row>
        <row r="19">
          <cell r="A19">
            <v>150</v>
          </cell>
          <cell r="B19">
            <v>0.16</v>
          </cell>
          <cell r="C19">
            <v>7.1599999999999997E-2</v>
          </cell>
          <cell r="D19">
            <v>0.34192</v>
          </cell>
          <cell r="E19">
            <v>150</v>
          </cell>
          <cell r="F19">
            <v>470</v>
          </cell>
          <cell r="G19">
            <v>430</v>
          </cell>
          <cell r="H19">
            <v>350</v>
          </cell>
          <cell r="I19">
            <v>420</v>
          </cell>
          <cell r="J19">
            <v>450</v>
          </cell>
          <cell r="K19">
            <v>370</v>
          </cell>
        </row>
        <row r="20">
          <cell r="A20">
            <v>185</v>
          </cell>
          <cell r="B20">
            <v>0.128</v>
          </cell>
          <cell r="C20">
            <v>7.17E-2</v>
          </cell>
          <cell r="D20">
            <v>0.29083999999999999</v>
          </cell>
          <cell r="E20">
            <v>185</v>
          </cell>
          <cell r="F20">
            <v>530</v>
          </cell>
          <cell r="G20">
            <v>485</v>
          </cell>
          <cell r="H20">
            <v>409</v>
          </cell>
          <cell r="I20">
            <v>465</v>
          </cell>
          <cell r="J20">
            <v>500</v>
          </cell>
          <cell r="K20">
            <v>410</v>
          </cell>
        </row>
        <row r="21">
          <cell r="A21">
            <v>240</v>
          </cell>
          <cell r="B21">
            <v>9.8699999999999996E-2</v>
          </cell>
          <cell r="C21">
            <v>7.0900000000000005E-2</v>
          </cell>
          <cell r="D21">
            <v>0.24299999999999999</v>
          </cell>
          <cell r="E21">
            <v>240</v>
          </cell>
          <cell r="F21">
            <v>640</v>
          </cell>
          <cell r="G21">
            <v>570</v>
          </cell>
          <cell r="H21">
            <v>480</v>
          </cell>
          <cell r="I21">
            <v>550</v>
          </cell>
          <cell r="J21">
            <v>580</v>
          </cell>
          <cell r="K21">
            <v>480</v>
          </cell>
        </row>
        <row r="22">
          <cell r="A22">
            <v>300</v>
          </cell>
          <cell r="B22">
            <v>7.9799999999999996E-2</v>
          </cell>
          <cell r="C22">
            <v>7.1300000000000002E-2</v>
          </cell>
          <cell r="D22">
            <v>0.21323999999999999</v>
          </cell>
          <cell r="E22">
            <v>300</v>
          </cell>
          <cell r="F22">
            <v>725</v>
          </cell>
          <cell r="G22">
            <v>680</v>
          </cell>
          <cell r="H22">
            <v>574</v>
          </cell>
          <cell r="I22">
            <v>615</v>
          </cell>
          <cell r="J22">
            <v>650</v>
          </cell>
          <cell r="K22">
            <v>535</v>
          </cell>
        </row>
        <row r="23">
          <cell r="A23">
            <v>400</v>
          </cell>
          <cell r="B23">
            <v>6.3899999999999998E-2</v>
          </cell>
          <cell r="C23">
            <v>7.0699999999999999E-2</v>
          </cell>
          <cell r="D23">
            <v>0.18708</v>
          </cell>
          <cell r="E23">
            <v>400</v>
          </cell>
          <cell r="F23">
            <v>845</v>
          </cell>
          <cell r="G23">
            <v>780</v>
          </cell>
          <cell r="H23">
            <v>670</v>
          </cell>
          <cell r="I23">
            <v>740</v>
          </cell>
          <cell r="J23">
            <v>780</v>
          </cell>
          <cell r="K23">
            <v>640</v>
          </cell>
        </row>
      </sheetData>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ble-data"/>
      <sheetName val="XLPE. ALLUMINIUM) (2)"/>
      <sheetName val="XLPE. ALLUMINIUM)"/>
      <sheetName val="XLPE COPPER"/>
      <sheetName val="PVC ALLUMINIUM"/>
      <sheetName val="PVC COPPER"/>
      <sheetName val="Cable_data"/>
      <sheetName val="Sheet1"/>
      <sheetName val="IO LIST"/>
      <sheetName val="R20_R30_work"/>
      <sheetName val="Formulas"/>
      <sheetName val="PRSH"/>
      <sheetName val="Factors "/>
      <sheetName val="96수출"/>
      <sheetName val="RCC,Ret. Wall"/>
      <sheetName val="PCS"/>
      <sheetName val="CABLE DATA"/>
      <sheetName val="Field Values"/>
      <sheetName val="Rate Card"/>
      <sheetName val="Variation Statement"/>
      <sheetName val="Costing"/>
      <sheetName val="horizontal"/>
      <sheetName val="Labels"/>
      <sheetName val="XLPE__ALLUMINIUM)_(2)"/>
      <sheetName val="XLPE__ALLUMINIUM)"/>
      <sheetName val="XLPE_COPPER"/>
      <sheetName val="PVC_ALLUMINIUM"/>
      <sheetName val="PVC_COPPER"/>
      <sheetName val="Break_Up"/>
      <sheetName val="Approved MTD Proj #'s"/>
      <sheetName val="RCC_Ret_ Wall"/>
      <sheetName val="RA-markate"/>
      <sheetName val="Break up Sheet"/>
      <sheetName val="10. &amp; 11. Rate Code &amp; BQ"/>
      <sheetName val="Footings"/>
      <sheetName val="Sheet2"/>
      <sheetName val="Query Results ALL"/>
      <sheetName val="Voucher"/>
      <sheetName val="Fill this out first..."/>
      <sheetName val="Cost summary"/>
      <sheetName val="Results"/>
      <sheetName val="Inc.St.-Link"/>
      <sheetName val="PLGroupings"/>
      <sheetName val="合成単価作成・-BLDG"/>
      <sheetName val="RCC,Ret__Wall"/>
      <sheetName val="Factors_"/>
      <sheetName val="XLPE__ALLUMINIUM)_(2)1"/>
      <sheetName val="XLPE__ALLUMINIUM)1"/>
      <sheetName val="XLPE_COPPER1"/>
      <sheetName val="PVC_ALLUMINIUM1"/>
      <sheetName val="PVC_COPPER1"/>
      <sheetName val="RCC,Ret__Wall1"/>
      <sheetName val="Factors_1"/>
      <sheetName val="IO_LIST"/>
      <sheetName val="Legend"/>
      <sheetName val="電気設備表"/>
      <sheetName val="AD ST"/>
      <sheetName val="Headings"/>
      <sheetName val="strand"/>
      <sheetName val="2000 MOR"/>
      <sheetName val="Pay_Sep06"/>
      <sheetName val="Cul_detail"/>
      <sheetName val="Rates_PVC"/>
      <sheetName val="#REF"/>
      <sheetName val="CASHFLOWS"/>
    </sheetNames>
    <sheetDataSet>
      <sheetData sheetId="0" refreshError="1">
        <row r="33">
          <cell r="A33">
            <v>2.5</v>
          </cell>
          <cell r="B33">
            <v>0</v>
          </cell>
          <cell r="C33">
            <v>0</v>
          </cell>
          <cell r="D33">
            <v>0</v>
          </cell>
          <cell r="E33">
            <v>2.5</v>
          </cell>
          <cell r="F33" t="str">
            <v>-</v>
          </cell>
          <cell r="G33">
            <v>0</v>
          </cell>
          <cell r="H33">
            <v>0</v>
          </cell>
          <cell r="I33">
            <v>25</v>
          </cell>
          <cell r="J33" t="str">
            <v>-</v>
          </cell>
          <cell r="K33" t="str">
            <v>-</v>
          </cell>
        </row>
        <row r="34">
          <cell r="A34">
            <v>4</v>
          </cell>
          <cell r="B34">
            <v>8.89</v>
          </cell>
          <cell r="C34">
            <v>9.6000000000000002E-2</v>
          </cell>
          <cell r="D34">
            <v>14.339200000000002</v>
          </cell>
          <cell r="E34">
            <v>4</v>
          </cell>
          <cell r="F34" t="str">
            <v>-</v>
          </cell>
          <cell r="G34">
            <v>29</v>
          </cell>
          <cell r="H34">
            <v>23</v>
          </cell>
          <cell r="I34">
            <v>15.7</v>
          </cell>
          <cell r="J34">
            <v>38</v>
          </cell>
          <cell r="K34">
            <v>32</v>
          </cell>
        </row>
        <row r="35">
          <cell r="A35">
            <v>6</v>
          </cell>
          <cell r="B35">
            <v>5.53</v>
          </cell>
          <cell r="C35">
            <v>9.11E-2</v>
          </cell>
          <cell r="D35">
            <v>8.9573200000000011</v>
          </cell>
          <cell r="E35">
            <v>6</v>
          </cell>
          <cell r="F35" t="str">
            <v>-</v>
          </cell>
          <cell r="G35">
            <v>36</v>
          </cell>
          <cell r="H35">
            <v>30</v>
          </cell>
          <cell r="I35">
            <v>10.4</v>
          </cell>
          <cell r="J35">
            <v>47</v>
          </cell>
          <cell r="K35">
            <v>41</v>
          </cell>
        </row>
        <row r="36">
          <cell r="A36">
            <v>10</v>
          </cell>
          <cell r="B36">
            <v>3.7</v>
          </cell>
          <cell r="C36">
            <v>8.5099999999999995E-2</v>
          </cell>
          <cell r="D36">
            <v>6.022120000000001</v>
          </cell>
          <cell r="E36">
            <v>10</v>
          </cell>
          <cell r="F36" t="str">
            <v>-</v>
          </cell>
          <cell r="G36">
            <v>49</v>
          </cell>
          <cell r="H36">
            <v>40</v>
          </cell>
          <cell r="I36">
            <v>6.2</v>
          </cell>
          <cell r="J36">
            <v>63</v>
          </cell>
          <cell r="K36">
            <v>53</v>
          </cell>
        </row>
        <row r="37">
          <cell r="A37">
            <v>16</v>
          </cell>
          <cell r="B37">
            <v>2.29</v>
          </cell>
          <cell r="C37">
            <v>7.2999999999999995E-2</v>
          </cell>
          <cell r="D37">
            <v>3.7516000000000003</v>
          </cell>
          <cell r="E37">
            <v>16</v>
          </cell>
          <cell r="F37" t="str">
            <v>-</v>
          </cell>
          <cell r="G37">
            <v>66</v>
          </cell>
          <cell r="H37">
            <v>51</v>
          </cell>
          <cell r="I37">
            <v>4</v>
          </cell>
          <cell r="J37">
            <v>82</v>
          </cell>
          <cell r="K37">
            <v>69</v>
          </cell>
        </row>
        <row r="38">
          <cell r="A38">
            <v>25</v>
          </cell>
          <cell r="B38">
            <v>1.44</v>
          </cell>
          <cell r="C38">
            <v>7.2099999999999997E-2</v>
          </cell>
          <cell r="D38">
            <v>2.39052</v>
          </cell>
          <cell r="E38">
            <v>25</v>
          </cell>
          <cell r="F38" t="str">
            <v>-</v>
          </cell>
          <cell r="G38">
            <v>86</v>
          </cell>
          <cell r="H38">
            <v>70</v>
          </cell>
          <cell r="I38">
            <v>2.5</v>
          </cell>
          <cell r="J38">
            <v>105</v>
          </cell>
          <cell r="K38">
            <v>89</v>
          </cell>
        </row>
        <row r="39">
          <cell r="A39">
            <v>35</v>
          </cell>
          <cell r="B39">
            <v>1.04</v>
          </cell>
          <cell r="C39">
            <v>6.88E-2</v>
          </cell>
          <cell r="D39">
            <v>1.7465600000000001</v>
          </cell>
          <cell r="E39">
            <v>35</v>
          </cell>
          <cell r="F39" t="str">
            <v>-</v>
          </cell>
          <cell r="G39">
            <v>105</v>
          </cell>
          <cell r="H39">
            <v>86</v>
          </cell>
          <cell r="I39">
            <v>1.8</v>
          </cell>
          <cell r="J39">
            <v>130</v>
          </cell>
          <cell r="K39">
            <v>105</v>
          </cell>
        </row>
        <row r="40">
          <cell r="A40">
            <v>50</v>
          </cell>
          <cell r="B40">
            <v>0.77</v>
          </cell>
          <cell r="C40">
            <v>6.88E-2</v>
          </cell>
          <cell r="D40">
            <v>1.3145600000000002</v>
          </cell>
          <cell r="E40">
            <v>50</v>
          </cell>
          <cell r="F40">
            <v>150</v>
          </cell>
          <cell r="G40">
            <v>125</v>
          </cell>
          <cell r="H40">
            <v>105</v>
          </cell>
          <cell r="I40">
            <v>1.3</v>
          </cell>
          <cell r="J40">
            <v>150</v>
          </cell>
          <cell r="K40">
            <v>125</v>
          </cell>
        </row>
        <row r="41">
          <cell r="A41">
            <v>70</v>
          </cell>
          <cell r="B41">
            <v>0.53200000000000003</v>
          </cell>
          <cell r="C41">
            <v>6.5799999999999997E-2</v>
          </cell>
          <cell r="D41">
            <v>0.9301600000000001</v>
          </cell>
          <cell r="E41">
            <v>70</v>
          </cell>
          <cell r="F41">
            <v>185</v>
          </cell>
          <cell r="G41">
            <v>170</v>
          </cell>
          <cell r="H41">
            <v>130</v>
          </cell>
          <cell r="I41">
            <v>0.93</v>
          </cell>
          <cell r="J41">
            <v>190</v>
          </cell>
          <cell r="K41">
            <v>155</v>
          </cell>
        </row>
        <row r="42">
          <cell r="A42">
            <v>95</v>
          </cell>
          <cell r="B42">
            <v>0.38500000000000001</v>
          </cell>
          <cell r="C42">
            <v>6.54E-2</v>
          </cell>
          <cell r="D42">
            <v>0.6944800000000001</v>
          </cell>
          <cell r="E42">
            <v>95</v>
          </cell>
          <cell r="F42">
            <v>220</v>
          </cell>
          <cell r="G42">
            <v>205</v>
          </cell>
          <cell r="H42">
            <v>155</v>
          </cell>
          <cell r="I42">
            <v>0.68</v>
          </cell>
          <cell r="J42">
            <v>225</v>
          </cell>
          <cell r="K42">
            <v>185</v>
          </cell>
        </row>
        <row r="43">
          <cell r="A43">
            <v>120</v>
          </cell>
          <cell r="B43">
            <v>0.30499999999999999</v>
          </cell>
          <cell r="C43">
            <v>6.3700000000000007E-2</v>
          </cell>
          <cell r="D43">
            <v>0.56444000000000005</v>
          </cell>
          <cell r="E43">
            <v>120</v>
          </cell>
          <cell r="F43">
            <v>265</v>
          </cell>
          <cell r="G43">
            <v>230</v>
          </cell>
          <cell r="H43">
            <v>180</v>
          </cell>
          <cell r="I43">
            <v>0.54</v>
          </cell>
          <cell r="J43">
            <v>260</v>
          </cell>
          <cell r="K43">
            <v>215</v>
          </cell>
        </row>
        <row r="44">
          <cell r="A44">
            <v>150</v>
          </cell>
          <cell r="B44">
            <v>0.248</v>
          </cell>
          <cell r="C44">
            <v>6.3799999999999996E-2</v>
          </cell>
          <cell r="D44">
            <v>0.47336</v>
          </cell>
          <cell r="E44">
            <v>150</v>
          </cell>
          <cell r="F44">
            <v>285</v>
          </cell>
          <cell r="G44">
            <v>270</v>
          </cell>
          <cell r="H44">
            <v>205</v>
          </cell>
          <cell r="I44">
            <v>0.46</v>
          </cell>
          <cell r="J44">
            <v>285</v>
          </cell>
          <cell r="K44">
            <v>240</v>
          </cell>
        </row>
        <row r="45">
          <cell r="A45">
            <v>185</v>
          </cell>
          <cell r="B45">
            <v>0.19800000000000001</v>
          </cell>
          <cell r="C45">
            <v>6.3799999999999996E-2</v>
          </cell>
          <cell r="D45">
            <v>0.39336000000000004</v>
          </cell>
          <cell r="E45">
            <v>185</v>
          </cell>
          <cell r="F45">
            <v>350</v>
          </cell>
          <cell r="G45">
            <v>305</v>
          </cell>
          <cell r="H45">
            <v>240</v>
          </cell>
          <cell r="I45">
            <v>0.38</v>
          </cell>
          <cell r="J45">
            <v>325</v>
          </cell>
          <cell r="K45">
            <v>270</v>
          </cell>
        </row>
        <row r="46">
          <cell r="A46">
            <v>240</v>
          </cell>
          <cell r="B46">
            <v>0.152</v>
          </cell>
          <cell r="C46">
            <v>6.3200000000000006E-2</v>
          </cell>
          <cell r="D46">
            <v>0.31903999999999999</v>
          </cell>
          <cell r="E46">
            <v>240</v>
          </cell>
          <cell r="F46">
            <v>405</v>
          </cell>
          <cell r="G46">
            <v>360</v>
          </cell>
          <cell r="H46">
            <v>280</v>
          </cell>
          <cell r="I46">
            <v>0.28000000000000003</v>
          </cell>
          <cell r="J46">
            <v>380</v>
          </cell>
          <cell r="K46">
            <v>320</v>
          </cell>
        </row>
        <row r="47">
          <cell r="A47">
            <v>300</v>
          </cell>
          <cell r="B47">
            <v>0.123</v>
          </cell>
          <cell r="C47">
            <v>6.2799999999999995E-2</v>
          </cell>
          <cell r="D47">
            <v>0.27216000000000001</v>
          </cell>
          <cell r="E47">
            <v>300</v>
          </cell>
          <cell r="F47">
            <v>460</v>
          </cell>
          <cell r="G47">
            <v>420</v>
          </cell>
          <cell r="H47">
            <v>315</v>
          </cell>
          <cell r="I47">
            <v>0.25</v>
          </cell>
          <cell r="J47">
            <v>430</v>
          </cell>
          <cell r="K47">
            <v>355</v>
          </cell>
        </row>
        <row r="48">
          <cell r="A48">
            <v>400</v>
          </cell>
          <cell r="B48">
            <v>9.6600000000000005E-2</v>
          </cell>
          <cell r="C48">
            <v>6.2300000000000001E-2</v>
          </cell>
          <cell r="D48">
            <v>0.22932000000000002</v>
          </cell>
          <cell r="E48">
            <v>400</v>
          </cell>
          <cell r="F48">
            <v>570</v>
          </cell>
          <cell r="G48" t="str">
            <v>-</v>
          </cell>
          <cell r="H48">
            <v>375</v>
          </cell>
          <cell r="I48">
            <v>0.22</v>
          </cell>
          <cell r="J48" t="str">
            <v>-</v>
          </cell>
          <cell r="K48">
            <v>375</v>
          </cell>
        </row>
      </sheetData>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ble-data"/>
      <sheetName val="drum"/>
      <sheetName val="summary"/>
      <sheetName val="PANELS"/>
      <sheetName val="Cable_data"/>
      <sheetName val="Break up Sheet"/>
      <sheetName val="Field Values"/>
      <sheetName val="RCC,Ret. Wall"/>
      <sheetName val="Rate analysis"/>
      <sheetName val="RA-markate"/>
      <sheetName val="Boq - Flats"/>
      <sheetName val="p&amp;m"/>
      <sheetName val="Boq"/>
      <sheetName val="Footings"/>
      <sheetName val="XLPE.PVC COPPER"/>
      <sheetName val="PVC.PVC COPPER"/>
      <sheetName val="PVC.PVC ALLUMINIUM"/>
      <sheetName val="Sheet1"/>
      <sheetName val="ELEC_BOQ"/>
      <sheetName val="PCC"/>
      <sheetName val="Master Info"/>
      <sheetName val="Break_up_Sheet"/>
      <sheetName val="Field_Values"/>
      <sheetName val="RCC,Ret__Wall"/>
      <sheetName val="Rate_analysis"/>
      <sheetName val="Boq_-_Flats"/>
      <sheetName val="XLPE_PVC_COPPER"/>
      <sheetName val="PVC_PVC_COPPER"/>
      <sheetName val="PVC_PVC_ALLUMINIUM"/>
      <sheetName val="Fee Rate Summary"/>
      <sheetName val="det_est"/>
      <sheetName val="Labor abs-NMR"/>
      <sheetName val="Detail"/>
      <sheetName val="Project Budget Worksheet"/>
    </sheetNames>
    <sheetDataSet>
      <sheetData sheetId="0" refreshError="1">
        <row r="8">
          <cell r="A8">
            <v>2.5</v>
          </cell>
        </row>
        <row r="55">
          <cell r="A55">
            <v>2.5</v>
          </cell>
          <cell r="B55">
            <v>8.8699999999999992</v>
          </cell>
          <cell r="C55">
            <v>9.6699999999999994E-2</v>
          </cell>
          <cell r="D55">
            <v>0</v>
          </cell>
          <cell r="E55">
            <v>2.5</v>
          </cell>
          <cell r="F55" t="str">
            <v>-</v>
          </cell>
          <cell r="G55">
            <v>25</v>
          </cell>
          <cell r="H55">
            <v>21</v>
          </cell>
          <cell r="I55" t="str">
            <v>-</v>
          </cell>
          <cell r="J55">
            <v>35</v>
          </cell>
          <cell r="K55">
            <v>30</v>
          </cell>
        </row>
        <row r="56">
          <cell r="A56">
            <v>4</v>
          </cell>
          <cell r="B56">
            <v>5.52</v>
          </cell>
          <cell r="C56">
            <v>9.6500000000000002E-2</v>
          </cell>
          <cell r="D56">
            <v>0</v>
          </cell>
          <cell r="E56">
            <v>4</v>
          </cell>
          <cell r="F56" t="str">
            <v>-</v>
          </cell>
          <cell r="G56">
            <v>33</v>
          </cell>
          <cell r="H56">
            <v>28</v>
          </cell>
          <cell r="I56" t="str">
            <v>-</v>
          </cell>
          <cell r="J56">
            <v>46</v>
          </cell>
          <cell r="K56">
            <v>39</v>
          </cell>
        </row>
        <row r="57">
          <cell r="A57">
            <v>6</v>
          </cell>
          <cell r="B57">
            <v>3.69</v>
          </cell>
          <cell r="C57">
            <v>9.11E-2</v>
          </cell>
          <cell r="D57">
            <v>0</v>
          </cell>
          <cell r="E57">
            <v>6</v>
          </cell>
          <cell r="F57" t="str">
            <v>-</v>
          </cell>
          <cell r="G57">
            <v>43</v>
          </cell>
          <cell r="H57">
            <v>36</v>
          </cell>
          <cell r="I57" t="str">
            <v>-</v>
          </cell>
          <cell r="J57">
            <v>58</v>
          </cell>
          <cell r="K57">
            <v>50</v>
          </cell>
        </row>
        <row r="58">
          <cell r="A58">
            <v>10</v>
          </cell>
          <cell r="B58">
            <v>2.19</v>
          </cell>
          <cell r="C58">
            <v>8.5099999999999995E-2</v>
          </cell>
          <cell r="D58">
            <v>0</v>
          </cell>
          <cell r="E58">
            <v>10</v>
          </cell>
          <cell r="F58" t="str">
            <v>-</v>
          </cell>
          <cell r="G58">
            <v>59</v>
          </cell>
          <cell r="H58">
            <v>50</v>
          </cell>
          <cell r="I58" t="str">
            <v>-</v>
          </cell>
          <cell r="J58">
            <v>77</v>
          </cell>
          <cell r="K58">
            <v>65</v>
          </cell>
        </row>
        <row r="59">
          <cell r="A59">
            <v>16</v>
          </cell>
          <cell r="B59">
            <v>1.38</v>
          </cell>
          <cell r="C59">
            <v>7.2999999999999995E-2</v>
          </cell>
          <cell r="D59">
            <v>0</v>
          </cell>
          <cell r="E59">
            <v>16</v>
          </cell>
          <cell r="F59" t="str">
            <v>-</v>
          </cell>
          <cell r="G59">
            <v>77</v>
          </cell>
          <cell r="H59">
            <v>66</v>
          </cell>
          <cell r="I59" t="str">
            <v>-</v>
          </cell>
          <cell r="J59">
            <v>100</v>
          </cell>
          <cell r="K59">
            <v>86</v>
          </cell>
        </row>
        <row r="60">
          <cell r="A60">
            <v>25</v>
          </cell>
          <cell r="B60">
            <v>0.87</v>
          </cell>
          <cell r="C60">
            <v>7.2099999999999997E-2</v>
          </cell>
          <cell r="D60">
            <v>0</v>
          </cell>
          <cell r="E60">
            <v>25</v>
          </cell>
          <cell r="F60" t="str">
            <v>-</v>
          </cell>
          <cell r="G60">
            <v>105</v>
          </cell>
          <cell r="H60">
            <v>88</v>
          </cell>
          <cell r="I60" t="str">
            <v>-</v>
          </cell>
          <cell r="J60">
            <v>130</v>
          </cell>
          <cell r="K60">
            <v>115</v>
          </cell>
        </row>
        <row r="61">
          <cell r="A61">
            <v>35</v>
          </cell>
          <cell r="B61">
            <v>0.627</v>
          </cell>
          <cell r="C61">
            <v>6.88E-2</v>
          </cell>
          <cell r="D61">
            <v>0</v>
          </cell>
          <cell r="E61">
            <v>35</v>
          </cell>
          <cell r="F61" t="str">
            <v>-</v>
          </cell>
          <cell r="G61">
            <v>130</v>
          </cell>
          <cell r="H61">
            <v>110</v>
          </cell>
          <cell r="I61" t="str">
            <v>-</v>
          </cell>
          <cell r="J61">
            <v>160</v>
          </cell>
          <cell r="K61">
            <v>135</v>
          </cell>
        </row>
        <row r="62">
          <cell r="A62">
            <v>50</v>
          </cell>
          <cell r="B62">
            <v>0.46400000000000002</v>
          </cell>
          <cell r="C62">
            <v>6.88E-2</v>
          </cell>
          <cell r="D62">
            <v>0</v>
          </cell>
          <cell r="E62">
            <v>50</v>
          </cell>
          <cell r="F62">
            <v>165</v>
          </cell>
          <cell r="G62">
            <v>150</v>
          </cell>
          <cell r="H62">
            <v>130</v>
          </cell>
          <cell r="I62">
            <v>185</v>
          </cell>
          <cell r="J62">
            <v>190</v>
          </cell>
          <cell r="K62">
            <v>160</v>
          </cell>
        </row>
        <row r="63">
          <cell r="A63">
            <v>70</v>
          </cell>
          <cell r="B63">
            <v>0.32200000000000001</v>
          </cell>
          <cell r="C63">
            <v>6.5799999999999997E-2</v>
          </cell>
          <cell r="D63">
            <v>0</v>
          </cell>
          <cell r="E63">
            <v>70</v>
          </cell>
          <cell r="F63">
            <v>210</v>
          </cell>
          <cell r="G63">
            <v>190</v>
          </cell>
          <cell r="H63">
            <v>165</v>
          </cell>
          <cell r="I63">
            <v>225</v>
          </cell>
          <cell r="J63">
            <v>235</v>
          </cell>
          <cell r="K63">
            <v>195</v>
          </cell>
        </row>
        <row r="64">
          <cell r="A64">
            <v>95</v>
          </cell>
          <cell r="B64">
            <v>0.23200000000000001</v>
          </cell>
          <cell r="C64">
            <v>6.54E-2</v>
          </cell>
          <cell r="D64">
            <v>0</v>
          </cell>
          <cell r="E64">
            <v>95</v>
          </cell>
          <cell r="F64">
            <v>260</v>
          </cell>
          <cell r="G64">
            <v>230</v>
          </cell>
          <cell r="H64">
            <v>200</v>
          </cell>
          <cell r="I64">
            <v>270</v>
          </cell>
          <cell r="J64">
            <v>275</v>
          </cell>
          <cell r="K64">
            <v>235</v>
          </cell>
        </row>
        <row r="65">
          <cell r="A65">
            <v>120</v>
          </cell>
          <cell r="B65">
            <v>0.185</v>
          </cell>
          <cell r="C65">
            <v>6.3700000000000007E-2</v>
          </cell>
          <cell r="D65">
            <v>0</v>
          </cell>
          <cell r="E65">
            <v>120</v>
          </cell>
          <cell r="F65">
            <v>305</v>
          </cell>
          <cell r="G65">
            <v>270</v>
          </cell>
          <cell r="H65">
            <v>230</v>
          </cell>
          <cell r="I65">
            <v>305</v>
          </cell>
          <cell r="J65">
            <v>315</v>
          </cell>
          <cell r="K65">
            <v>265</v>
          </cell>
        </row>
        <row r="66">
          <cell r="A66">
            <v>150</v>
          </cell>
          <cell r="B66">
            <v>0.15</v>
          </cell>
          <cell r="C66">
            <v>6.3799999999999996E-2</v>
          </cell>
          <cell r="D66">
            <v>0</v>
          </cell>
          <cell r="E66">
            <v>150</v>
          </cell>
          <cell r="F66">
            <v>350</v>
          </cell>
          <cell r="G66">
            <v>305</v>
          </cell>
          <cell r="H66">
            <v>270</v>
          </cell>
          <cell r="I66">
            <v>345</v>
          </cell>
          <cell r="J66">
            <v>355</v>
          </cell>
          <cell r="K66">
            <v>300</v>
          </cell>
        </row>
        <row r="67">
          <cell r="A67">
            <v>185</v>
          </cell>
          <cell r="B67">
            <v>0.121</v>
          </cell>
          <cell r="C67">
            <v>6.3799999999999996E-2</v>
          </cell>
          <cell r="D67">
            <v>0</v>
          </cell>
          <cell r="E67">
            <v>185</v>
          </cell>
          <cell r="F67">
            <v>405</v>
          </cell>
          <cell r="G67">
            <v>350</v>
          </cell>
          <cell r="H67">
            <v>305</v>
          </cell>
          <cell r="I67">
            <v>395</v>
          </cell>
          <cell r="J67">
            <v>400</v>
          </cell>
          <cell r="K67">
            <v>335</v>
          </cell>
        </row>
        <row r="68">
          <cell r="A68">
            <v>240</v>
          </cell>
          <cell r="B68">
            <v>9.3399999999999997E-2</v>
          </cell>
          <cell r="C68">
            <v>6.3200000000000006E-2</v>
          </cell>
          <cell r="D68">
            <v>0</v>
          </cell>
          <cell r="E68">
            <v>240</v>
          </cell>
          <cell r="F68">
            <v>515</v>
          </cell>
          <cell r="G68">
            <v>415</v>
          </cell>
          <cell r="H68">
            <v>360</v>
          </cell>
          <cell r="I68">
            <v>460</v>
          </cell>
          <cell r="J68">
            <v>465</v>
          </cell>
          <cell r="K68">
            <v>395</v>
          </cell>
        </row>
        <row r="69">
          <cell r="A69">
            <v>300</v>
          </cell>
          <cell r="B69">
            <v>7.5899999999999995E-2</v>
          </cell>
          <cell r="C69">
            <v>6.2799999999999995E-2</v>
          </cell>
          <cell r="D69">
            <v>0</v>
          </cell>
          <cell r="E69">
            <v>300</v>
          </cell>
          <cell r="F69">
            <v>600</v>
          </cell>
          <cell r="G69">
            <v>470</v>
          </cell>
          <cell r="H69">
            <v>410</v>
          </cell>
          <cell r="I69">
            <v>520</v>
          </cell>
          <cell r="J69">
            <v>520</v>
          </cell>
          <cell r="K69">
            <v>440</v>
          </cell>
        </row>
        <row r="70">
          <cell r="A70">
            <v>400</v>
          </cell>
          <cell r="B70">
            <v>6.1400000000000003E-2</v>
          </cell>
          <cell r="C70">
            <v>6.2300000000000001E-2</v>
          </cell>
          <cell r="D70">
            <v>0</v>
          </cell>
          <cell r="E70">
            <v>400</v>
          </cell>
          <cell r="F70">
            <v>690</v>
          </cell>
          <cell r="G70">
            <v>535</v>
          </cell>
          <cell r="H70">
            <v>470</v>
          </cell>
          <cell r="I70">
            <v>585</v>
          </cell>
          <cell r="J70">
            <v>580</v>
          </cell>
          <cell r="K70">
            <v>490</v>
          </cell>
        </row>
      </sheetData>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ble-data"/>
      <sheetName val="XLPE. ALLUMINIUM"/>
      <sheetName val="XLPE COPPER"/>
      <sheetName val="PVC ALLUMINIUM"/>
      <sheetName val="PVC COPPER"/>
      <sheetName val="Cable_data"/>
      <sheetName val="Break up Sheet"/>
      <sheetName val="Rate analysis"/>
      <sheetName val="Footings"/>
      <sheetName val="Field Values"/>
      <sheetName val="Lead"/>
      <sheetName val="horizontal"/>
      <sheetName val="sept-plan"/>
      <sheetName val="Sheet1"/>
      <sheetName val="CABLE DATA"/>
      <sheetName val="XLPE__ALLUMINIUM"/>
      <sheetName val="XLPE_COPPER"/>
      <sheetName val="PVC_ALLUMINIUM"/>
      <sheetName val="PVC_COPPER"/>
      <sheetName val="Break_up_Sheet"/>
      <sheetName val="Rate_analysis"/>
      <sheetName val="Field_Values"/>
      <sheetName val="Standard-Cable - Rating &amp; volt"/>
      <sheetName val="LTG-STG"/>
      <sheetName val="RA-markate"/>
      <sheetName val="13. Steel - Ratio"/>
      <sheetName val="Boq"/>
      <sheetName val="Labor abs-NMR"/>
      <sheetName val="RCC,Ret. Wall"/>
      <sheetName val="WWR"/>
      <sheetName val="Finishes"/>
    </sheetNames>
    <sheetDataSet>
      <sheetData sheetId="0" refreshError="1">
        <row r="33">
          <cell r="A33">
            <v>2.5</v>
          </cell>
          <cell r="B33">
            <v>0</v>
          </cell>
          <cell r="C33">
            <v>0</v>
          </cell>
          <cell r="D33">
            <v>0</v>
          </cell>
          <cell r="E33">
            <v>2.5</v>
          </cell>
          <cell r="F33" t="str">
            <v>-</v>
          </cell>
          <cell r="G33">
            <v>0</v>
          </cell>
          <cell r="H33">
            <v>21</v>
          </cell>
          <cell r="I33" t="str">
            <v>-</v>
          </cell>
          <cell r="J33" t="str">
            <v>-</v>
          </cell>
          <cell r="K33" t="str">
            <v>-</v>
          </cell>
        </row>
        <row r="34">
          <cell r="A34">
            <v>4</v>
          </cell>
          <cell r="B34">
            <v>8.89</v>
          </cell>
          <cell r="C34">
            <v>9.6000000000000002E-2</v>
          </cell>
          <cell r="D34">
            <v>14.339200000000002</v>
          </cell>
          <cell r="E34">
            <v>4</v>
          </cell>
          <cell r="F34" t="str">
            <v>-</v>
          </cell>
          <cell r="G34">
            <v>29</v>
          </cell>
          <cell r="H34">
            <v>24</v>
          </cell>
          <cell r="I34" t="str">
            <v>-</v>
          </cell>
          <cell r="J34">
            <v>38</v>
          </cell>
          <cell r="K34">
            <v>32</v>
          </cell>
        </row>
        <row r="35">
          <cell r="A35">
            <v>6</v>
          </cell>
          <cell r="B35">
            <v>5.53</v>
          </cell>
          <cell r="C35">
            <v>9.11E-2</v>
          </cell>
          <cell r="D35">
            <v>8.9573200000000011</v>
          </cell>
          <cell r="E35">
            <v>6</v>
          </cell>
          <cell r="F35" t="str">
            <v>-</v>
          </cell>
          <cell r="G35">
            <v>36</v>
          </cell>
          <cell r="H35">
            <v>31</v>
          </cell>
          <cell r="I35" t="str">
            <v>-</v>
          </cell>
          <cell r="J35">
            <v>47</v>
          </cell>
          <cell r="K35">
            <v>41</v>
          </cell>
        </row>
        <row r="36">
          <cell r="A36">
            <v>10</v>
          </cell>
          <cell r="B36">
            <v>3.7</v>
          </cell>
          <cell r="C36">
            <v>8.5099999999999995E-2</v>
          </cell>
          <cell r="D36">
            <v>6.022120000000001</v>
          </cell>
          <cell r="E36">
            <v>10</v>
          </cell>
          <cell r="F36" t="str">
            <v>-</v>
          </cell>
          <cell r="G36">
            <v>49</v>
          </cell>
          <cell r="H36">
            <v>41</v>
          </cell>
          <cell r="I36" t="str">
            <v>-</v>
          </cell>
          <cell r="J36">
            <v>63</v>
          </cell>
          <cell r="K36">
            <v>53</v>
          </cell>
        </row>
        <row r="37">
          <cell r="A37">
            <v>16</v>
          </cell>
          <cell r="B37">
            <v>2.29</v>
          </cell>
          <cell r="C37">
            <v>7.2999999999999995E-2</v>
          </cell>
          <cell r="D37">
            <v>3.7516000000000003</v>
          </cell>
          <cell r="E37">
            <v>16</v>
          </cell>
          <cell r="F37" t="str">
            <v>-</v>
          </cell>
          <cell r="G37">
            <v>66</v>
          </cell>
          <cell r="H37">
            <v>55</v>
          </cell>
          <cell r="I37" t="str">
            <v>-</v>
          </cell>
          <cell r="J37">
            <v>82</v>
          </cell>
          <cell r="K37">
            <v>69</v>
          </cell>
        </row>
        <row r="38">
          <cell r="A38">
            <v>25</v>
          </cell>
          <cell r="B38">
            <v>1.44</v>
          </cell>
          <cell r="C38">
            <v>7.2099999999999997E-2</v>
          </cell>
          <cell r="D38">
            <v>2.39052</v>
          </cell>
          <cell r="E38">
            <v>25</v>
          </cell>
          <cell r="F38" t="str">
            <v>-</v>
          </cell>
          <cell r="G38">
            <v>86</v>
          </cell>
          <cell r="H38">
            <v>72</v>
          </cell>
          <cell r="I38" t="str">
            <v>-</v>
          </cell>
          <cell r="J38">
            <v>105</v>
          </cell>
          <cell r="K38">
            <v>89</v>
          </cell>
        </row>
        <row r="39">
          <cell r="A39">
            <v>35</v>
          </cell>
          <cell r="B39">
            <v>1.04</v>
          </cell>
          <cell r="C39">
            <v>6.88E-2</v>
          </cell>
          <cell r="D39">
            <v>1.7465600000000001</v>
          </cell>
          <cell r="E39">
            <v>35</v>
          </cell>
          <cell r="F39" t="str">
            <v>-</v>
          </cell>
          <cell r="G39">
            <v>105</v>
          </cell>
          <cell r="H39">
            <v>90</v>
          </cell>
          <cell r="I39" t="str">
            <v>-</v>
          </cell>
          <cell r="J39">
            <v>130</v>
          </cell>
          <cell r="K39">
            <v>105</v>
          </cell>
        </row>
        <row r="40">
          <cell r="A40">
            <v>50</v>
          </cell>
          <cell r="B40">
            <v>0.77</v>
          </cell>
          <cell r="C40">
            <v>6.88E-2</v>
          </cell>
          <cell r="D40">
            <v>1.3145600000000002</v>
          </cell>
          <cell r="E40">
            <v>50</v>
          </cell>
          <cell r="F40">
            <v>150</v>
          </cell>
          <cell r="G40">
            <v>125</v>
          </cell>
          <cell r="H40">
            <v>105</v>
          </cell>
          <cell r="I40">
            <v>150</v>
          </cell>
          <cell r="J40">
            <v>150</v>
          </cell>
          <cell r="K40">
            <v>125</v>
          </cell>
        </row>
        <row r="41">
          <cell r="A41">
            <v>70</v>
          </cell>
          <cell r="B41">
            <v>0.53200000000000003</v>
          </cell>
          <cell r="C41">
            <v>6.5799999999999997E-2</v>
          </cell>
          <cell r="D41">
            <v>0.9301600000000001</v>
          </cell>
          <cell r="E41">
            <v>70</v>
          </cell>
          <cell r="F41">
            <v>185</v>
          </cell>
          <cell r="G41">
            <v>170</v>
          </cell>
          <cell r="H41">
            <v>140</v>
          </cell>
          <cell r="I41">
            <v>185</v>
          </cell>
          <cell r="J41">
            <v>190</v>
          </cell>
          <cell r="K41">
            <v>155</v>
          </cell>
        </row>
        <row r="42">
          <cell r="A42">
            <v>95</v>
          </cell>
          <cell r="B42">
            <v>0.38500000000000001</v>
          </cell>
          <cell r="C42">
            <v>6.54E-2</v>
          </cell>
          <cell r="D42">
            <v>0.6944800000000001</v>
          </cell>
          <cell r="E42">
            <v>95</v>
          </cell>
          <cell r="F42">
            <v>220</v>
          </cell>
          <cell r="G42">
            <v>205</v>
          </cell>
          <cell r="H42">
            <v>165</v>
          </cell>
          <cell r="I42">
            <v>215</v>
          </cell>
          <cell r="J42">
            <v>225</v>
          </cell>
          <cell r="K42">
            <v>185</v>
          </cell>
        </row>
        <row r="43">
          <cell r="A43">
            <v>120</v>
          </cell>
          <cell r="B43">
            <v>0.30499999999999999</v>
          </cell>
          <cell r="C43">
            <v>6.3700000000000007E-2</v>
          </cell>
          <cell r="D43">
            <v>0.56444000000000005</v>
          </cell>
          <cell r="E43">
            <v>120</v>
          </cell>
          <cell r="F43">
            <v>265</v>
          </cell>
          <cell r="G43">
            <v>230</v>
          </cell>
          <cell r="H43">
            <v>195</v>
          </cell>
          <cell r="I43">
            <v>250</v>
          </cell>
          <cell r="J43">
            <v>260</v>
          </cell>
          <cell r="K43">
            <v>215</v>
          </cell>
        </row>
        <row r="44">
          <cell r="A44">
            <v>150</v>
          </cell>
          <cell r="B44">
            <v>0.248</v>
          </cell>
          <cell r="C44">
            <v>6.3799999999999996E-2</v>
          </cell>
          <cell r="D44">
            <v>0.47336</v>
          </cell>
          <cell r="E44">
            <v>150</v>
          </cell>
          <cell r="F44">
            <v>285</v>
          </cell>
          <cell r="G44">
            <v>270</v>
          </cell>
          <cell r="H44">
            <v>235</v>
          </cell>
          <cell r="I44">
            <v>280</v>
          </cell>
          <cell r="J44">
            <v>285</v>
          </cell>
          <cell r="K44">
            <v>240</v>
          </cell>
        </row>
        <row r="45">
          <cell r="A45">
            <v>185</v>
          </cell>
          <cell r="B45">
            <v>0.19800000000000001</v>
          </cell>
          <cell r="C45">
            <v>6.3799999999999996E-2</v>
          </cell>
          <cell r="D45">
            <v>0.39336000000000004</v>
          </cell>
          <cell r="E45">
            <v>185</v>
          </cell>
          <cell r="F45">
            <v>350</v>
          </cell>
          <cell r="G45">
            <v>305</v>
          </cell>
          <cell r="H45">
            <v>255</v>
          </cell>
          <cell r="I45">
            <v>320</v>
          </cell>
          <cell r="J45">
            <v>325</v>
          </cell>
          <cell r="K45">
            <v>270</v>
          </cell>
        </row>
        <row r="46">
          <cell r="A46">
            <v>240</v>
          </cell>
          <cell r="B46">
            <v>0.152</v>
          </cell>
          <cell r="C46">
            <v>6.3200000000000006E-2</v>
          </cell>
          <cell r="D46">
            <v>0.31903999999999999</v>
          </cell>
          <cell r="E46">
            <v>240</v>
          </cell>
          <cell r="F46">
            <v>405</v>
          </cell>
          <cell r="G46">
            <v>360</v>
          </cell>
          <cell r="H46">
            <v>295</v>
          </cell>
          <cell r="I46">
            <v>365</v>
          </cell>
          <cell r="J46">
            <v>380</v>
          </cell>
          <cell r="K46">
            <v>320</v>
          </cell>
        </row>
        <row r="47">
          <cell r="A47">
            <v>300</v>
          </cell>
          <cell r="B47">
            <v>0.123</v>
          </cell>
          <cell r="C47">
            <v>6.2799999999999995E-2</v>
          </cell>
          <cell r="D47">
            <v>0.27216000000000001</v>
          </cell>
          <cell r="E47">
            <v>300</v>
          </cell>
          <cell r="F47">
            <v>460</v>
          </cell>
          <cell r="G47">
            <v>420</v>
          </cell>
          <cell r="H47">
            <v>355</v>
          </cell>
          <cell r="I47">
            <v>420</v>
          </cell>
          <cell r="J47">
            <v>430</v>
          </cell>
          <cell r="K47">
            <v>355</v>
          </cell>
        </row>
        <row r="48">
          <cell r="A48">
            <v>400</v>
          </cell>
          <cell r="B48">
            <v>9.6600000000000005E-2</v>
          </cell>
          <cell r="C48">
            <v>6.2300000000000001E-2</v>
          </cell>
          <cell r="D48">
            <v>0.22932000000000002</v>
          </cell>
          <cell r="E48">
            <v>400</v>
          </cell>
          <cell r="F48">
            <v>570</v>
          </cell>
          <cell r="G48" t="str">
            <v>-</v>
          </cell>
          <cell r="H48">
            <v>405</v>
          </cell>
          <cell r="I48">
            <v>495</v>
          </cell>
          <cell r="J48" t="str">
            <v>-</v>
          </cell>
          <cell r="K48">
            <v>375</v>
          </cell>
        </row>
      </sheetData>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
      <sheetName val="VD FOR LIGHTING"/>
      <sheetName val="CABLE DATA"/>
      <sheetName val="Sheet1"/>
      <sheetName val="Cable-data"/>
      <sheetName val="R20_R30_work"/>
      <sheetName val="Rates_PVC"/>
      <sheetName val="PRSH"/>
      <sheetName val="Formulas"/>
      <sheetName val="______"/>
      <sheetName val="VD_FOR_LIGHTING"/>
      <sheetName val="CABLE_DATA"/>
      <sheetName val="Basement Budget"/>
      <sheetName val="Break up Sheet"/>
      <sheetName val="Rate analysis"/>
      <sheetName val="Footings"/>
      <sheetName val="Field Values"/>
      <sheetName val="______1"/>
      <sheetName val="VD_FOR_LIGHTING1"/>
      <sheetName val="CABLE_DATA1"/>
      <sheetName val="Basement_Budget"/>
      <sheetName val="Break_up_Sheet"/>
      <sheetName val="Rate_analysis"/>
      <sheetName val="BOQ "/>
      <sheetName val="Flooring"/>
      <sheetName val="ELEC_BOQ"/>
      <sheetName val="Sheet2"/>
      <sheetName val="horizontal"/>
      <sheetName val="RA-markate"/>
      <sheetName val="Headings"/>
      <sheetName val="INDIGINEOUS ITEMS "/>
      <sheetName val="d-safe DELUXE"/>
      <sheetName val="Reference Information"/>
      <sheetName val="Employee List"/>
      <sheetName val="Sales Office"/>
      <sheetName val="IO LIST"/>
      <sheetName val="10. &amp; 11. Rate Code &amp; BQ"/>
      <sheetName val="Factors "/>
      <sheetName val="AD ST"/>
      <sheetName val="CPIPE"/>
      <sheetName val="Results"/>
      <sheetName val="PLGroupings"/>
      <sheetName val="13. Steel - Ratio"/>
      <sheetName val="Project Details.."/>
    </sheetNames>
    <sheetDataSet>
      <sheetData sheetId="0"/>
      <sheetData sheetId="1"/>
      <sheetData sheetId="2" refreshError="1">
        <row r="31">
          <cell r="A31">
            <v>2.5</v>
          </cell>
          <cell r="B31" t="str">
            <v>-</v>
          </cell>
          <cell r="C31" t="str">
            <v>-</v>
          </cell>
        </row>
        <row r="32">
          <cell r="A32">
            <v>4</v>
          </cell>
          <cell r="B32">
            <v>8.89</v>
          </cell>
          <cell r="C32">
            <v>9.6000000000000002E-2</v>
          </cell>
        </row>
        <row r="33">
          <cell r="A33">
            <v>6</v>
          </cell>
          <cell r="B33">
            <v>5.53</v>
          </cell>
          <cell r="C33">
            <v>9.11E-2</v>
          </cell>
        </row>
        <row r="34">
          <cell r="A34">
            <v>10</v>
          </cell>
          <cell r="B34">
            <v>3.7</v>
          </cell>
          <cell r="C34">
            <v>8.5099999999999995E-2</v>
          </cell>
        </row>
        <row r="35">
          <cell r="A35">
            <v>16</v>
          </cell>
          <cell r="B35">
            <v>2.29</v>
          </cell>
          <cell r="C35">
            <v>7.2999999999999995E-2</v>
          </cell>
        </row>
        <row r="36">
          <cell r="A36">
            <v>25</v>
          </cell>
          <cell r="B36">
            <v>1.44</v>
          </cell>
          <cell r="C36">
            <v>7.2099999999999997E-2</v>
          </cell>
        </row>
        <row r="37">
          <cell r="A37">
            <v>35</v>
          </cell>
          <cell r="B37">
            <v>1.04</v>
          </cell>
          <cell r="C37">
            <v>6.88E-2</v>
          </cell>
        </row>
        <row r="38">
          <cell r="A38">
            <v>50</v>
          </cell>
          <cell r="B38">
            <v>0.77</v>
          </cell>
          <cell r="C38">
            <v>6.88E-2</v>
          </cell>
        </row>
        <row r="39">
          <cell r="A39">
            <v>70</v>
          </cell>
          <cell r="B39">
            <v>0.53200000000000003</v>
          </cell>
          <cell r="C39">
            <v>6.5799999999999997E-2</v>
          </cell>
        </row>
        <row r="40">
          <cell r="A40">
            <v>95</v>
          </cell>
          <cell r="B40">
            <v>0.38500000000000001</v>
          </cell>
          <cell r="C40">
            <v>6.54E-2</v>
          </cell>
        </row>
        <row r="41">
          <cell r="A41">
            <v>120</v>
          </cell>
          <cell r="B41">
            <v>0.30499999999999999</v>
          </cell>
          <cell r="C41">
            <v>6.3700000000000007E-2</v>
          </cell>
        </row>
        <row r="42">
          <cell r="A42">
            <v>150</v>
          </cell>
          <cell r="B42">
            <v>0.248</v>
          </cell>
          <cell r="C42">
            <v>6.3799999999999996E-2</v>
          </cell>
        </row>
        <row r="43">
          <cell r="A43">
            <v>185</v>
          </cell>
          <cell r="B43">
            <v>0.19800000000000001</v>
          </cell>
          <cell r="C43">
            <v>6.3799999999999996E-2</v>
          </cell>
        </row>
        <row r="44">
          <cell r="A44">
            <v>240</v>
          </cell>
          <cell r="B44">
            <v>0.152</v>
          </cell>
          <cell r="C44">
            <v>6.3200000000000006E-2</v>
          </cell>
        </row>
        <row r="45">
          <cell r="A45">
            <v>300</v>
          </cell>
          <cell r="B45">
            <v>0.123</v>
          </cell>
          <cell r="C45">
            <v>6.2799999999999995E-2</v>
          </cell>
        </row>
        <row r="46">
          <cell r="A46">
            <v>400</v>
          </cell>
          <cell r="B46">
            <v>9.6600000000000005E-2</v>
          </cell>
          <cell r="C46">
            <v>6.2300000000000001E-2</v>
          </cell>
        </row>
      </sheetData>
      <sheetData sheetId="3"/>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 sheetId="14" refreshError="1"/>
      <sheetData sheetId="15" refreshError="1"/>
      <sheetData sheetId="16" refreshError="1"/>
      <sheetData sheetId="17">
        <row r="31">
          <cell r="A31">
            <v>2.5</v>
          </cell>
        </row>
      </sheetData>
      <sheetData sheetId="18">
        <row r="31">
          <cell r="A31">
            <v>2.5</v>
          </cell>
        </row>
      </sheetData>
      <sheetData sheetId="19">
        <row r="31">
          <cell r="A31">
            <v>2.5</v>
          </cell>
        </row>
      </sheetData>
      <sheetData sheetId="20">
        <row r="31">
          <cell r="A31">
            <v>2.5</v>
          </cell>
        </row>
      </sheetData>
      <sheetData sheetId="21"/>
      <sheetData sheetId="22"/>
      <sheetData sheetId="23"/>
      <sheetData sheetId="24">
        <row r="31">
          <cell r="A31">
            <v>2.5</v>
          </cell>
        </row>
      </sheetData>
      <sheetData sheetId="25">
        <row r="31">
          <cell r="A31">
            <v>2.5</v>
          </cell>
        </row>
      </sheetData>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Summary- C&amp;I"/>
      <sheetName val="BOQ-C&amp;I"/>
      <sheetName val="M Sheet"/>
      <sheetName val="Workings"/>
      <sheetName val="Modular"/>
      <sheetName val="Outdoor Furniture"/>
      <sheetName val="Toilet Work"/>
      <sheetName val="Summary  Electrical "/>
      <sheetName val="Internal Electrical Works "/>
      <sheetName val="UPS (Installation )"/>
      <sheetName val="IT"/>
      <sheetName val="CCTV"/>
      <sheetName val="ACS"/>
      <sheetName val="Fire &amp; Life Safety"/>
      <sheetName val="WLD System"/>
      <sheetName val="Rodent Repellent System"/>
      <sheetName val="HVAC Cost-Summary"/>
      <sheetName val="HVAC Lowside works- Part A"/>
      <sheetName val="DX &amp; VRV AC Works- Part B"/>
      <sheetName val="VAV Supply &amp; Install- Part-C"/>
      <sheetName val="PHE Cost-Summary"/>
      <sheetName val="Sanitary Fixtures &amp; CP Fittings"/>
      <sheetName val="PHE -Internal Works"/>
      <sheetName val="Exclusions"/>
    </sheetNames>
    <sheetDataSet>
      <sheetData sheetId="0" refreshError="1"/>
      <sheetData sheetId="1" refreshError="1"/>
      <sheetData sheetId="2">
        <row r="417">
          <cell r="B417" t="str">
            <v>PELMET</v>
          </cell>
        </row>
        <row r="418">
          <cell r="B418" t="str">
            <v>Providing and fixing pelmets made of 18mm Pre laminated ply of size 150x150mm wide along windows and glazed area and with  necessary wood support, and also to mount the Blinds and Pull Down screens. The edges on the glazing side has to finished with enamel paint / Edge banding .  Vertical support Ply to be anchored to the structural beam. Fixing detail may vary as per site conditions. Rate to be inclusive of the same. Make of Ply- Archid ply, Green ply, Century</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0FDF7-9073-4210-B164-AE5566047D24}">
  <dimension ref="A1:F19"/>
  <sheetViews>
    <sheetView tabSelected="1" workbookViewId="0">
      <selection sqref="A1:D1"/>
    </sheetView>
  </sheetViews>
  <sheetFormatPr defaultColWidth="9.1796875" defaultRowHeight="14.5"/>
  <cols>
    <col min="1" max="1" width="9.1796875" style="1"/>
    <col min="2" max="2" width="26.1796875" style="1" customWidth="1"/>
    <col min="3" max="4" width="18.453125" style="1" bestFit="1" customWidth="1"/>
    <col min="5" max="5" width="12.08984375" style="1" bestFit="1" customWidth="1"/>
    <col min="6" max="6" width="12" style="1" customWidth="1"/>
    <col min="7" max="16384" width="9.1796875" style="1"/>
  </cols>
  <sheetData>
    <row r="1" spans="1:6">
      <c r="A1" s="1456" t="s">
        <v>0</v>
      </c>
      <c r="B1" s="1457"/>
      <c r="C1" s="1457"/>
      <c r="D1" s="1457"/>
    </row>
    <row r="2" spans="1:6">
      <c r="A2" s="24"/>
      <c r="B2" s="24"/>
      <c r="C2" s="24"/>
      <c r="D2" s="24"/>
    </row>
    <row r="3" spans="1:6">
      <c r="A3" s="24" t="s">
        <v>1</v>
      </c>
      <c r="B3" s="24" t="s">
        <v>4</v>
      </c>
      <c r="C3" s="24" t="s">
        <v>3</v>
      </c>
      <c r="D3" s="24" t="s">
        <v>2575</v>
      </c>
    </row>
    <row r="4" spans="1:6">
      <c r="A4" s="4"/>
      <c r="B4" s="4"/>
      <c r="C4" s="4"/>
      <c r="D4" s="26">
        <f>ROUND(37575.27786,2)</f>
        <v>37575.279999999999</v>
      </c>
    </row>
    <row r="5" spans="1:6">
      <c r="A5" s="4">
        <v>1</v>
      </c>
      <c r="B5" s="4" t="s">
        <v>158</v>
      </c>
      <c r="C5" s="25">
        <f>'Summary- C&amp;I'!C17</f>
        <v>82578609.299999997</v>
      </c>
      <c r="D5" s="25">
        <f>C5/$D$4</f>
        <v>2197.68446968326</v>
      </c>
      <c r="F5" s="1454"/>
    </row>
    <row r="6" spans="1:6">
      <c r="A6" s="4">
        <f>A5+1</f>
        <v>2</v>
      </c>
      <c r="B6" s="4" t="s">
        <v>409</v>
      </c>
      <c r="C6" s="25">
        <f>'Summary  Electrical '!E20</f>
        <v>13295070</v>
      </c>
      <c r="D6" s="25">
        <f t="shared" ref="D6:D15" si="0">C6/$D$4</f>
        <v>353.82490829076988</v>
      </c>
    </row>
    <row r="7" spans="1:6">
      <c r="A7" s="4">
        <f t="shared" ref="A7:A15" si="1">A6+1</f>
        <v>3</v>
      </c>
      <c r="B7" s="506" t="s">
        <v>2515</v>
      </c>
      <c r="C7" s="908">
        <f>'Summary  Electrical '!E22</f>
        <v>4700000</v>
      </c>
      <c r="D7" s="25">
        <f t="shared" si="0"/>
        <v>125.082234916147</v>
      </c>
    </row>
    <row r="8" spans="1:6">
      <c r="A8" s="4">
        <f t="shared" si="1"/>
        <v>4</v>
      </c>
      <c r="B8" s="4" t="s">
        <v>1139</v>
      </c>
      <c r="C8" s="25">
        <f>'Summary  Electrical '!E26</f>
        <v>2930397.5</v>
      </c>
      <c r="D8" s="25">
        <f t="shared" si="0"/>
        <v>77.987376275040404</v>
      </c>
    </row>
    <row r="9" spans="1:6">
      <c r="A9" s="4">
        <f t="shared" si="1"/>
        <v>5</v>
      </c>
      <c r="B9" s="4" t="s">
        <v>1012</v>
      </c>
      <c r="C9" s="25">
        <f>'Summary  Electrical '!E27</f>
        <v>741914</v>
      </c>
      <c r="D9" s="25">
        <f t="shared" si="0"/>
        <v>19.744736433101764</v>
      </c>
    </row>
    <row r="10" spans="1:6">
      <c r="A10" s="4">
        <f t="shared" si="1"/>
        <v>6</v>
      </c>
      <c r="B10" s="4" t="s">
        <v>1013</v>
      </c>
      <c r="C10" s="25">
        <f>'Summary  Electrical '!E28</f>
        <v>210700</v>
      </c>
      <c r="D10" s="25">
        <f t="shared" si="0"/>
        <v>5.6074099780493984</v>
      </c>
    </row>
    <row r="11" spans="1:6">
      <c r="A11" s="4">
        <f t="shared" si="1"/>
        <v>7</v>
      </c>
      <c r="B11" s="716" t="s">
        <v>1429</v>
      </c>
      <c r="C11" s="717">
        <f>'Summary  Electrical '!E29</f>
        <v>1115760</v>
      </c>
      <c r="D11" s="25">
        <f t="shared" si="0"/>
        <v>29.693990304263867</v>
      </c>
    </row>
    <row r="12" spans="1:6">
      <c r="A12" s="4">
        <f t="shared" si="1"/>
        <v>8</v>
      </c>
      <c r="B12" s="4" t="s">
        <v>410</v>
      </c>
      <c r="C12" s="25">
        <f>'HVAC Cost-Summary'!C8</f>
        <v>14039993</v>
      </c>
      <c r="D12" s="25">
        <f t="shared" si="0"/>
        <v>373.64972396745947</v>
      </c>
    </row>
    <row r="13" spans="1:6">
      <c r="A13" s="4">
        <f t="shared" si="1"/>
        <v>9</v>
      </c>
      <c r="B13" s="4" t="s">
        <v>1138</v>
      </c>
      <c r="C13" s="25">
        <f>Sprinkler!G34</f>
        <v>2425066</v>
      </c>
      <c r="D13" s="25">
        <f t="shared" si="0"/>
        <v>64.538867042374676</v>
      </c>
    </row>
    <row r="14" spans="1:6">
      <c r="A14" s="4">
        <f t="shared" si="1"/>
        <v>10</v>
      </c>
      <c r="B14" s="4" t="s">
        <v>411</v>
      </c>
      <c r="C14" s="25">
        <f>'PHE Cost-Summary'!$C$9</f>
        <v>3428797</v>
      </c>
      <c r="D14" s="25">
        <f t="shared" si="0"/>
        <v>91.251402517825554</v>
      </c>
    </row>
    <row r="15" spans="1:6">
      <c r="A15" s="4">
        <f t="shared" si="1"/>
        <v>11</v>
      </c>
      <c r="B15" s="506" t="s">
        <v>1895</v>
      </c>
      <c r="C15" s="908">
        <f>'Outdoor Furniture'!F14</f>
        <v>2341875</v>
      </c>
      <c r="D15" s="25">
        <f t="shared" si="0"/>
        <v>62.324884871117398</v>
      </c>
    </row>
    <row r="16" spans="1:6">
      <c r="A16" s="4"/>
      <c r="B16" s="4"/>
      <c r="C16" s="4"/>
      <c r="D16" s="4"/>
    </row>
    <row r="17" spans="1:5">
      <c r="A17" s="4"/>
      <c r="B17" s="26" t="s">
        <v>57</v>
      </c>
      <c r="C17" s="27">
        <f>SUM(C4:C16)</f>
        <v>127808181.8</v>
      </c>
      <c r="D17" s="27">
        <f t="shared" ref="D17" si="2">C17/$D$4</f>
        <v>3401.3900042794094</v>
      </c>
      <c r="E17" s="70"/>
    </row>
    <row r="18" spans="1:5">
      <c r="A18" s="4"/>
      <c r="B18" s="26" t="s">
        <v>160</v>
      </c>
      <c r="C18" s="75">
        <f>C17*18%</f>
        <v>23005472.723999999</v>
      </c>
      <c r="D18" s="27"/>
    </row>
    <row r="19" spans="1:5">
      <c r="A19" s="4"/>
      <c r="B19" s="26" t="s">
        <v>159</v>
      </c>
      <c r="C19" s="27">
        <f>SUM(C17:C18)</f>
        <v>150813654.52399999</v>
      </c>
      <c r="D19" s="27"/>
    </row>
  </sheetData>
  <mergeCells count="1">
    <mergeCell ref="A1:D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9"/>
  <sheetViews>
    <sheetView workbookViewId="0">
      <selection activeCell="D12" sqref="D12"/>
    </sheetView>
  </sheetViews>
  <sheetFormatPr defaultColWidth="9.1796875" defaultRowHeight="14.5"/>
  <cols>
    <col min="1" max="1" width="9.1796875" style="1"/>
    <col min="2" max="2" width="26.1796875" style="1" customWidth="1"/>
    <col min="3" max="3" width="18.453125" style="1" bestFit="1" customWidth="1"/>
    <col min="4" max="4" width="17.1796875" style="1" bestFit="1" customWidth="1"/>
    <col min="5" max="5" width="14.81640625" style="1" bestFit="1" customWidth="1"/>
    <col min="6" max="6" width="14" style="1" bestFit="1" customWidth="1"/>
    <col min="7" max="16384" width="9.1796875" style="1"/>
  </cols>
  <sheetData>
    <row r="1" spans="1:5">
      <c r="A1" s="1458" t="s">
        <v>0</v>
      </c>
      <c r="B1" s="1458"/>
      <c r="C1" s="1458"/>
    </row>
    <row r="2" spans="1:5">
      <c r="A2" s="24"/>
      <c r="B2" s="24"/>
      <c r="C2" s="24"/>
    </row>
    <row r="3" spans="1:5">
      <c r="A3" s="24" t="s">
        <v>1</v>
      </c>
      <c r="B3" s="24" t="s">
        <v>4</v>
      </c>
      <c r="C3" s="24" t="s">
        <v>3</v>
      </c>
    </row>
    <row r="4" spans="1:5">
      <c r="A4" s="4"/>
      <c r="B4" s="4"/>
      <c r="C4" s="4"/>
    </row>
    <row r="5" spans="1:5">
      <c r="A5" s="4">
        <v>1</v>
      </c>
      <c r="B5" s="4" t="s">
        <v>105</v>
      </c>
      <c r="C5" s="25">
        <f>'BOQ-C&amp;I'!G47</f>
        <v>2445286.5</v>
      </c>
      <c r="D5" s="70"/>
      <c r="E5" s="70"/>
    </row>
    <row r="6" spans="1:5">
      <c r="A6" s="4">
        <v>2</v>
      </c>
      <c r="B6" s="4" t="s">
        <v>25</v>
      </c>
      <c r="C6" s="381">
        <f>'BOQ-C&amp;I'!G112</f>
        <v>10198405</v>
      </c>
      <c r="D6" s="70"/>
      <c r="E6" s="70"/>
    </row>
    <row r="7" spans="1:5">
      <c r="A7" s="4">
        <v>3</v>
      </c>
      <c r="B7" s="4" t="s">
        <v>72</v>
      </c>
      <c r="C7" s="25">
        <f>'BOQ-C&amp;I'!G248</f>
        <v>5418443</v>
      </c>
      <c r="D7" s="70"/>
      <c r="E7" s="70"/>
    </row>
    <row r="8" spans="1:5">
      <c r="A8" s="4">
        <v>4</v>
      </c>
      <c r="B8" s="4" t="s">
        <v>42</v>
      </c>
      <c r="C8" s="381">
        <f>'BOQ-C&amp;I'!G348</f>
        <v>21727072</v>
      </c>
      <c r="D8" s="70"/>
      <c r="E8" s="70"/>
    </row>
    <row r="9" spans="1:5">
      <c r="A9" s="4">
        <v>5</v>
      </c>
      <c r="B9" s="4" t="s">
        <v>64</v>
      </c>
      <c r="C9" s="25">
        <f>'BOQ-C&amp;I'!G373</f>
        <v>3818750</v>
      </c>
      <c r="D9" s="70"/>
      <c r="E9" s="70"/>
    </row>
    <row r="10" spans="1:5">
      <c r="A10" s="4">
        <v>6</v>
      </c>
      <c r="B10" s="4" t="s">
        <v>134</v>
      </c>
      <c r="C10" s="25">
        <f>'BOQ-C&amp;I'!G429</f>
        <v>5777491.7999999998</v>
      </c>
      <c r="D10" s="70"/>
      <c r="E10" s="70"/>
    </row>
    <row r="11" spans="1:5">
      <c r="A11" s="4">
        <v>7</v>
      </c>
      <c r="B11" s="4" t="s">
        <v>82</v>
      </c>
      <c r="C11" s="25">
        <f>'BOQ-C&amp;I'!G463</f>
        <v>4068562</v>
      </c>
      <c r="D11" s="70"/>
      <c r="E11" s="70"/>
    </row>
    <row r="12" spans="1:5">
      <c r="A12" s="4">
        <v>8</v>
      </c>
      <c r="B12" s="4" t="s">
        <v>83</v>
      </c>
      <c r="C12" s="25">
        <f>'BOQ-C&amp;I'!G545</f>
        <v>3594484</v>
      </c>
      <c r="D12" s="70"/>
      <c r="E12" s="70"/>
    </row>
    <row r="13" spans="1:5">
      <c r="A13" s="4">
        <v>9</v>
      </c>
      <c r="B13" s="4" t="s">
        <v>155</v>
      </c>
      <c r="C13" s="25">
        <f>Modular!G74</f>
        <v>21214157</v>
      </c>
      <c r="D13" s="70"/>
      <c r="E13" s="70"/>
    </row>
    <row r="14" spans="1:5">
      <c r="A14" s="4">
        <v>11</v>
      </c>
      <c r="B14" s="4" t="s">
        <v>330</v>
      </c>
      <c r="C14" s="25">
        <f>'Toilet Work'!F82</f>
        <v>3865958</v>
      </c>
      <c r="D14" s="70"/>
      <c r="E14" s="70"/>
    </row>
    <row r="15" spans="1:5">
      <c r="A15" s="506">
        <v>12</v>
      </c>
      <c r="B15" s="506" t="s">
        <v>2215</v>
      </c>
      <c r="C15" s="908">
        <f>'Kitchen Equipment'!G9</f>
        <v>450000</v>
      </c>
      <c r="D15" s="70"/>
      <c r="E15" s="70"/>
    </row>
    <row r="16" spans="1:5">
      <c r="A16" s="4"/>
      <c r="B16" s="4"/>
      <c r="C16" s="4"/>
      <c r="E16" s="70"/>
    </row>
    <row r="17" spans="1:6">
      <c r="A17" s="4"/>
      <c r="B17" s="26" t="s">
        <v>57</v>
      </c>
      <c r="C17" s="27">
        <f>SUM(C5:C16)</f>
        <v>82578609.299999997</v>
      </c>
      <c r="D17" s="70"/>
      <c r="E17" s="70"/>
      <c r="F17" s="70"/>
    </row>
    <row r="19" spans="1:6">
      <c r="C19" s="70"/>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45"/>
  <sheetViews>
    <sheetView zoomScale="80" zoomScaleNormal="80" workbookViewId="0">
      <selection sqref="A1:G1"/>
    </sheetView>
  </sheetViews>
  <sheetFormatPr defaultColWidth="9.1796875" defaultRowHeight="14.5"/>
  <cols>
    <col min="1" max="1" width="11.1796875" style="2" bestFit="1" customWidth="1"/>
    <col min="2" max="2" width="76" style="2" customWidth="1"/>
    <col min="3" max="3" width="26.54296875" style="2" customWidth="1"/>
    <col min="4" max="4" width="9.1796875" style="3"/>
    <col min="5" max="5" width="10" style="2" customWidth="1"/>
    <col min="6" max="6" width="12" style="2" customWidth="1"/>
    <col min="7" max="7" width="19" style="5" customWidth="1"/>
    <col min="8" max="8" width="14.1796875" style="2" bestFit="1" customWidth="1"/>
    <col min="9" max="9" width="12.453125" style="2" bestFit="1" customWidth="1"/>
    <col min="10" max="10" width="16.54296875" style="2" bestFit="1" customWidth="1"/>
    <col min="11" max="11" width="11.453125" style="2" bestFit="1" customWidth="1"/>
    <col min="12" max="16384" width="9.1796875" style="2"/>
  </cols>
  <sheetData>
    <row r="1" spans="1:10">
      <c r="A1" s="1459" t="s">
        <v>5</v>
      </c>
      <c r="B1" s="1459"/>
      <c r="C1" s="1459"/>
      <c r="D1" s="1459"/>
      <c r="E1" s="1459"/>
      <c r="F1" s="1459"/>
      <c r="G1" s="1459"/>
    </row>
    <row r="2" spans="1:10">
      <c r="A2" s="6"/>
      <c r="B2" s="6"/>
      <c r="C2" s="6"/>
      <c r="D2" s="7"/>
      <c r="E2" s="6"/>
      <c r="F2" s="6"/>
      <c r="G2" s="8"/>
    </row>
    <row r="3" spans="1:10">
      <c r="A3" s="7" t="s">
        <v>6</v>
      </c>
      <c r="B3" s="7" t="s">
        <v>2</v>
      </c>
      <c r="C3" s="7" t="s">
        <v>27</v>
      </c>
      <c r="D3" s="7" t="s">
        <v>7</v>
      </c>
      <c r="E3" s="7" t="s">
        <v>57</v>
      </c>
      <c r="F3" s="7" t="s">
        <v>8</v>
      </c>
      <c r="G3" s="9" t="s">
        <v>9</v>
      </c>
    </row>
    <row r="4" spans="1:10">
      <c r="A4" s="10">
        <v>1</v>
      </c>
      <c r="B4" s="10" t="s">
        <v>106</v>
      </c>
      <c r="C4" s="11"/>
      <c r="D4" s="12"/>
      <c r="E4" s="11"/>
      <c r="F4" s="11"/>
      <c r="G4" s="13"/>
    </row>
    <row r="5" spans="1:10">
      <c r="A5" s="10">
        <f>A4+0.01</f>
        <v>1.01</v>
      </c>
      <c r="B5" s="10" t="s">
        <v>1165</v>
      </c>
      <c r="C5" s="11"/>
      <c r="D5" s="12" t="s">
        <v>10</v>
      </c>
      <c r="E5" s="380">
        <v>3102</v>
      </c>
      <c r="F5" s="11">
        <v>67</v>
      </c>
      <c r="G5" s="13">
        <f>F5*E5</f>
        <v>207834</v>
      </c>
    </row>
    <row r="6" spans="1:10" ht="29">
      <c r="A6" s="11"/>
      <c r="B6" s="14" t="s">
        <v>1906</v>
      </c>
      <c r="C6" s="11"/>
      <c r="D6" s="12"/>
      <c r="E6" s="11"/>
      <c r="F6" s="11"/>
      <c r="G6" s="13"/>
    </row>
    <row r="7" spans="1:10">
      <c r="A7" s="10"/>
      <c r="B7" s="10"/>
      <c r="C7" s="11"/>
      <c r="D7" s="12"/>
      <c r="E7" s="11"/>
      <c r="F7" s="11"/>
      <c r="G7" s="13"/>
    </row>
    <row r="8" spans="1:10">
      <c r="A8" s="10">
        <f>A5+0.01</f>
        <v>1.02</v>
      </c>
      <c r="B8" s="10" t="s">
        <v>112</v>
      </c>
      <c r="C8" s="11"/>
      <c r="D8" s="12" t="s">
        <v>10</v>
      </c>
      <c r="E8" s="380">
        <v>1531.5</v>
      </c>
      <c r="F8" s="11">
        <v>673</v>
      </c>
      <c r="G8" s="13">
        <f>F8*E8</f>
        <v>1030699.5</v>
      </c>
      <c r="J8" s="378"/>
    </row>
    <row r="9" spans="1:10" ht="87">
      <c r="A9" s="11"/>
      <c r="B9" s="14" t="s">
        <v>2517</v>
      </c>
      <c r="C9" s="11"/>
      <c r="D9" s="12"/>
      <c r="E9" s="11"/>
      <c r="F9" s="11"/>
      <c r="G9" s="13"/>
    </row>
    <row r="10" spans="1:10">
      <c r="A10" s="10"/>
      <c r="B10" s="10"/>
      <c r="C10" s="11"/>
      <c r="D10" s="12"/>
      <c r="E10" s="11"/>
      <c r="F10" s="11"/>
      <c r="G10" s="13"/>
    </row>
    <row r="11" spans="1:10">
      <c r="A11" s="10">
        <f>A8+0.01</f>
        <v>1.03</v>
      </c>
      <c r="B11" s="10" t="s">
        <v>109</v>
      </c>
      <c r="C11" s="11"/>
      <c r="D11" s="12" t="s">
        <v>10</v>
      </c>
      <c r="E11" s="19">
        <v>288</v>
      </c>
      <c r="F11" s="11">
        <v>1816</v>
      </c>
      <c r="G11" s="13">
        <f>F11*E11</f>
        <v>523008</v>
      </c>
    </row>
    <row r="12" spans="1:10" ht="87">
      <c r="A12" s="11"/>
      <c r="B12" s="14" t="s">
        <v>177</v>
      </c>
      <c r="C12" s="11"/>
      <c r="D12" s="12"/>
      <c r="E12" s="11"/>
      <c r="F12" s="11"/>
      <c r="G12" s="13"/>
    </row>
    <row r="13" spans="1:10">
      <c r="A13" s="10"/>
      <c r="B13" s="10"/>
      <c r="C13" s="11"/>
      <c r="D13" s="12"/>
      <c r="E13" s="11"/>
      <c r="F13" s="11"/>
      <c r="G13" s="13"/>
    </row>
    <row r="14" spans="1:10">
      <c r="A14" s="10">
        <f>A11+0.01</f>
        <v>1.04</v>
      </c>
      <c r="B14" s="10" t="s">
        <v>1923</v>
      </c>
      <c r="C14" s="11"/>
      <c r="D14" s="12" t="s">
        <v>10</v>
      </c>
      <c r="E14" s="19">
        <v>0</v>
      </c>
      <c r="F14" s="11">
        <v>1547</v>
      </c>
      <c r="G14" s="13">
        <f>F14*E14</f>
        <v>0</v>
      </c>
    </row>
    <row r="15" spans="1:10" ht="87">
      <c r="A15" s="11"/>
      <c r="B15" s="14" t="s">
        <v>177</v>
      </c>
      <c r="C15" s="11"/>
      <c r="D15" s="12"/>
      <c r="E15" s="11"/>
      <c r="F15" s="11"/>
      <c r="G15" s="13"/>
    </row>
    <row r="16" spans="1:10">
      <c r="A16" s="497"/>
      <c r="B16" s="507"/>
      <c r="C16" s="497"/>
      <c r="D16" s="498"/>
      <c r="E16" s="497"/>
      <c r="F16" s="497"/>
      <c r="G16" s="499"/>
    </row>
    <row r="17" spans="1:7">
      <c r="A17" s="10">
        <f>A11+0.01</f>
        <v>1.04</v>
      </c>
      <c r="B17" s="10" t="s">
        <v>1179</v>
      </c>
      <c r="C17" s="11"/>
      <c r="D17" s="12" t="s">
        <v>10</v>
      </c>
      <c r="E17" s="19">
        <v>187</v>
      </c>
      <c r="F17" s="11">
        <v>484</v>
      </c>
      <c r="G17" s="13">
        <f>F17*E17</f>
        <v>90508</v>
      </c>
    </row>
    <row r="18" spans="1:7" ht="58">
      <c r="A18" s="11"/>
      <c r="B18" s="14" t="s">
        <v>179</v>
      </c>
      <c r="C18" s="11"/>
      <c r="D18" s="12"/>
      <c r="E18" s="11"/>
      <c r="F18" s="11"/>
      <c r="G18" s="13"/>
    </row>
    <row r="19" spans="1:7">
      <c r="A19" s="10"/>
      <c r="B19" s="10"/>
      <c r="C19" s="11"/>
      <c r="D19" s="12"/>
      <c r="E19" s="11"/>
      <c r="F19" s="11"/>
      <c r="G19" s="13"/>
    </row>
    <row r="20" spans="1:7">
      <c r="A20" s="10">
        <f>A11+0.01</f>
        <v>1.04</v>
      </c>
      <c r="B20" s="10" t="s">
        <v>1157</v>
      </c>
      <c r="C20" s="11"/>
      <c r="D20" s="12" t="s">
        <v>10</v>
      </c>
      <c r="E20" s="19">
        <v>414</v>
      </c>
      <c r="F20" s="11">
        <v>471</v>
      </c>
      <c r="G20" s="13">
        <f>F20*E20</f>
        <v>194994</v>
      </c>
    </row>
    <row r="21" spans="1:7" ht="43.5">
      <c r="A21" s="11"/>
      <c r="B21" s="379" t="s">
        <v>1159</v>
      </c>
      <c r="C21" s="11"/>
      <c r="D21" s="12"/>
      <c r="E21" s="11"/>
      <c r="F21" s="11"/>
      <c r="G21" s="13"/>
    </row>
    <row r="22" spans="1:7">
      <c r="A22" s="10"/>
      <c r="B22" s="10"/>
      <c r="C22" s="11"/>
      <c r="D22" s="12"/>
      <c r="E22" s="11"/>
      <c r="F22" s="11"/>
      <c r="G22" s="13"/>
    </row>
    <row r="23" spans="1:7">
      <c r="A23" s="10">
        <f>A20+0.01</f>
        <v>1.05</v>
      </c>
      <c r="B23" s="10" t="s">
        <v>110</v>
      </c>
      <c r="C23" s="11"/>
      <c r="D23" s="12" t="s">
        <v>31</v>
      </c>
      <c r="E23" s="19">
        <v>14</v>
      </c>
      <c r="F23" s="11">
        <v>1046</v>
      </c>
      <c r="G23" s="13">
        <f>F23*E23</f>
        <v>14644</v>
      </c>
    </row>
    <row r="24" spans="1:7" ht="43.5">
      <c r="A24" s="11"/>
      <c r="B24" s="14" t="s">
        <v>111</v>
      </c>
      <c r="C24" s="11"/>
      <c r="D24" s="12"/>
      <c r="E24" s="11"/>
      <c r="F24" s="11"/>
      <c r="G24" s="13"/>
    </row>
    <row r="25" spans="1:7">
      <c r="A25" s="11"/>
      <c r="B25" s="28"/>
      <c r="C25" s="11"/>
      <c r="D25" s="12"/>
      <c r="E25" s="11"/>
      <c r="F25" s="11"/>
      <c r="G25" s="13"/>
    </row>
    <row r="26" spans="1:7">
      <c r="A26" s="10">
        <f>A23+0.01</f>
        <v>1.06</v>
      </c>
      <c r="B26" s="10" t="s">
        <v>117</v>
      </c>
      <c r="C26" s="11"/>
      <c r="D26" s="12" t="s">
        <v>10</v>
      </c>
      <c r="E26" s="19">
        <v>91</v>
      </c>
      <c r="F26" s="11">
        <v>1009</v>
      </c>
      <c r="G26" s="13">
        <f>F26*E26</f>
        <v>91819</v>
      </c>
    </row>
    <row r="27" spans="1:7" ht="116">
      <c r="A27" s="11"/>
      <c r="B27" s="28" t="s">
        <v>118</v>
      </c>
      <c r="C27" s="11"/>
      <c r="D27" s="12"/>
      <c r="E27" s="11"/>
      <c r="F27" s="11"/>
      <c r="G27" s="13"/>
    </row>
    <row r="28" spans="1:7" s="952" customFormat="1">
      <c r="A28" s="11"/>
      <c r="B28" s="28"/>
      <c r="C28" s="11"/>
      <c r="D28" s="12"/>
      <c r="E28" s="11"/>
      <c r="F28" s="11"/>
      <c r="G28" s="13"/>
    </row>
    <row r="29" spans="1:7" s="952" customFormat="1">
      <c r="A29" s="10">
        <f>A26+0.01</f>
        <v>1.07</v>
      </c>
      <c r="B29" s="10" t="s">
        <v>2542</v>
      </c>
      <c r="C29" s="11"/>
      <c r="D29" s="12" t="s">
        <v>2541</v>
      </c>
      <c r="E29" s="19">
        <v>25</v>
      </c>
      <c r="F29" s="11">
        <v>636</v>
      </c>
      <c r="G29" s="13">
        <f>F29*E29</f>
        <v>15900</v>
      </c>
    </row>
    <row r="30" spans="1:7" s="952" customFormat="1" ht="116">
      <c r="A30" s="11"/>
      <c r="B30" s="28" t="s">
        <v>118</v>
      </c>
      <c r="C30" s="11"/>
      <c r="D30" s="12"/>
      <c r="E30" s="11"/>
      <c r="F30" s="11"/>
      <c r="G30" s="13"/>
    </row>
    <row r="31" spans="1:7">
      <c r="A31" s="11"/>
      <c r="B31" s="28"/>
      <c r="C31" s="11"/>
      <c r="D31" s="12"/>
      <c r="E31" s="11"/>
      <c r="F31" s="11"/>
      <c r="G31" s="13"/>
    </row>
    <row r="32" spans="1:7">
      <c r="A32" s="10">
        <f>A26+0.01</f>
        <v>1.07</v>
      </c>
      <c r="B32" s="10" t="s">
        <v>1187</v>
      </c>
      <c r="C32" s="11"/>
      <c r="D32" s="12" t="s">
        <v>1964</v>
      </c>
      <c r="E32" s="19">
        <v>14</v>
      </c>
      <c r="F32" s="11">
        <v>13889</v>
      </c>
      <c r="G32" s="13">
        <f>F32*E32</f>
        <v>194446</v>
      </c>
    </row>
    <row r="33" spans="1:7" ht="72.5">
      <c r="A33" s="11"/>
      <c r="B33" s="14" t="s">
        <v>352</v>
      </c>
      <c r="C33" s="11"/>
      <c r="D33" s="12"/>
      <c r="E33" s="11"/>
      <c r="F33" s="11"/>
      <c r="G33" s="13"/>
    </row>
    <row r="34" spans="1:7">
      <c r="A34" s="11"/>
      <c r="B34" s="28"/>
      <c r="C34" s="11"/>
      <c r="D34" s="12"/>
      <c r="E34" s="11"/>
      <c r="F34" s="11"/>
      <c r="G34" s="13"/>
    </row>
    <row r="35" spans="1:7">
      <c r="A35" s="10">
        <f>A32+0.01</f>
        <v>1.08</v>
      </c>
      <c r="B35" s="79" t="s">
        <v>353</v>
      </c>
      <c r="C35" s="11"/>
      <c r="D35" s="12" t="s">
        <v>10</v>
      </c>
      <c r="E35" s="19">
        <v>50</v>
      </c>
      <c r="F35" s="11">
        <v>673</v>
      </c>
      <c r="G35" s="13">
        <f>F35*E35</f>
        <v>33650</v>
      </c>
    </row>
    <row r="36" spans="1:7" ht="72.5">
      <c r="A36" s="11"/>
      <c r="B36" s="14" t="s">
        <v>354</v>
      </c>
      <c r="C36" s="11"/>
      <c r="D36" s="12"/>
      <c r="E36" s="11"/>
      <c r="F36" s="11"/>
      <c r="G36" s="13"/>
    </row>
    <row r="37" spans="1:7">
      <c r="A37" s="497"/>
      <c r="B37" s="507"/>
      <c r="C37" s="497"/>
      <c r="D37" s="498"/>
      <c r="E37" s="497"/>
      <c r="F37" s="497"/>
      <c r="G37" s="499"/>
    </row>
    <row r="38" spans="1:7">
      <c r="A38" s="500">
        <f>A35+0.01</f>
        <v>1.0900000000000001</v>
      </c>
      <c r="B38" s="508" t="s">
        <v>1966</v>
      </c>
      <c r="C38" s="497"/>
      <c r="D38" s="498" t="s">
        <v>16</v>
      </c>
      <c r="E38" s="497">
        <v>1</v>
      </c>
      <c r="F38" s="497">
        <v>5699</v>
      </c>
      <c r="G38" s="13">
        <f>F38*E38</f>
        <v>5699</v>
      </c>
    </row>
    <row r="39" spans="1:7" ht="43.5">
      <c r="A39" s="500"/>
      <c r="B39" s="507" t="s">
        <v>2079</v>
      </c>
      <c r="C39" s="497" t="s">
        <v>1325</v>
      </c>
      <c r="D39" s="498"/>
      <c r="E39" s="497"/>
      <c r="F39" s="497"/>
      <c r="G39" s="499"/>
    </row>
    <row r="40" spans="1:7">
      <c r="A40" s="497"/>
      <c r="B40" s="507"/>
      <c r="C40" s="497"/>
      <c r="D40" s="498"/>
      <c r="E40" s="497"/>
      <c r="F40" s="497"/>
      <c r="G40" s="499"/>
    </row>
    <row r="41" spans="1:7">
      <c r="A41" s="500">
        <f>A38+0.01</f>
        <v>1.1000000000000001</v>
      </c>
      <c r="B41" s="508" t="s">
        <v>371</v>
      </c>
      <c r="C41" s="497"/>
      <c r="D41" s="498" t="s">
        <v>31</v>
      </c>
      <c r="E41" s="501">
        <v>21</v>
      </c>
      <c r="F41" s="497">
        <v>1390</v>
      </c>
      <c r="G41" s="13">
        <f>F41*E41</f>
        <v>29190</v>
      </c>
    </row>
    <row r="42" spans="1:7" ht="43.5">
      <c r="A42" s="500"/>
      <c r="B42" s="507" t="s">
        <v>1967</v>
      </c>
      <c r="C42" s="497" t="s">
        <v>1325</v>
      </c>
      <c r="D42" s="498"/>
      <c r="E42" s="497"/>
      <c r="F42" s="497"/>
      <c r="G42" s="499"/>
    </row>
    <row r="43" spans="1:7" s="952" customFormat="1">
      <c r="A43" s="951"/>
      <c r="B43" s="507"/>
      <c r="C43" s="951"/>
      <c r="D43" s="498"/>
      <c r="E43" s="951"/>
      <c r="F43" s="951"/>
      <c r="G43" s="499"/>
    </row>
    <row r="44" spans="1:7" s="952" customFormat="1">
      <c r="A44" s="500">
        <f>A41+0.01</f>
        <v>1.1100000000000001</v>
      </c>
      <c r="B44" s="508" t="s">
        <v>2124</v>
      </c>
      <c r="C44" s="951"/>
      <c r="D44" s="498" t="s">
        <v>10</v>
      </c>
      <c r="E44" s="501">
        <v>1</v>
      </c>
      <c r="F44" s="951">
        <v>12895</v>
      </c>
      <c r="G44" s="13">
        <f>F44*E44</f>
        <v>12895</v>
      </c>
    </row>
    <row r="45" spans="1:7" s="952" customFormat="1" ht="43.5">
      <c r="A45" s="500"/>
      <c r="B45" s="507" t="s">
        <v>2125</v>
      </c>
      <c r="C45" s="951" t="s">
        <v>1325</v>
      </c>
      <c r="D45" s="498"/>
      <c r="E45" s="951"/>
      <c r="F45" s="951"/>
      <c r="G45" s="499"/>
    </row>
    <row r="46" spans="1:7">
      <c r="A46" s="11"/>
      <c r="B46" s="14"/>
      <c r="C46" s="11"/>
      <c r="D46" s="12"/>
      <c r="E46" s="11"/>
      <c r="F46" s="11"/>
      <c r="G46" s="13"/>
    </row>
    <row r="47" spans="1:7">
      <c r="A47" s="22"/>
      <c r="B47" s="22" t="s">
        <v>24</v>
      </c>
      <c r="C47" s="22"/>
      <c r="D47" s="22"/>
      <c r="E47" s="22"/>
      <c r="F47" s="22"/>
      <c r="G47" s="23">
        <f>SUM(G4:G46)</f>
        <v>2445286.5</v>
      </c>
    </row>
    <row r="48" spans="1:7">
      <c r="A48" s="10">
        <v>3</v>
      </c>
      <c r="B48" s="10" t="s">
        <v>26</v>
      </c>
      <c r="C48" s="11"/>
      <c r="D48" s="12"/>
      <c r="E48" s="11"/>
      <c r="F48" s="11"/>
      <c r="G48" s="13"/>
    </row>
    <row r="49" spans="1:10">
      <c r="A49" s="11"/>
      <c r="B49" s="28"/>
      <c r="C49" s="11"/>
      <c r="D49" s="12"/>
      <c r="E49" s="11"/>
      <c r="F49" s="11"/>
      <c r="G49" s="13"/>
    </row>
    <row r="50" spans="1:10">
      <c r="A50" s="10">
        <f>A48+0.01</f>
        <v>3.01</v>
      </c>
      <c r="B50" s="10" t="s">
        <v>100</v>
      </c>
      <c r="C50" s="11"/>
      <c r="D50" s="12" t="s">
        <v>10</v>
      </c>
      <c r="E50" s="19">
        <v>257</v>
      </c>
      <c r="F50" s="11">
        <v>2125</v>
      </c>
      <c r="G50" s="13">
        <f>F50*E50</f>
        <v>546125</v>
      </c>
    </row>
    <row r="51" spans="1:10" ht="145">
      <c r="A51" s="11"/>
      <c r="B51" s="53" t="s">
        <v>101</v>
      </c>
      <c r="C51" s="74" t="s">
        <v>2225</v>
      </c>
      <c r="D51" s="12"/>
      <c r="E51" s="11"/>
      <c r="F51" s="11"/>
      <c r="G51" s="13"/>
    </row>
    <row r="52" spans="1:10">
      <c r="A52" s="11"/>
      <c r="B52" s="53"/>
      <c r="C52" s="11"/>
      <c r="D52" s="12"/>
      <c r="E52" s="11"/>
      <c r="F52" s="11"/>
      <c r="G52" s="13"/>
    </row>
    <row r="53" spans="1:10">
      <c r="A53" s="10">
        <f>A50+0.01</f>
        <v>3.0199999999999996</v>
      </c>
      <c r="B53" s="53" t="s">
        <v>187</v>
      </c>
      <c r="C53" s="11" t="s">
        <v>188</v>
      </c>
      <c r="D53" s="12" t="s">
        <v>10</v>
      </c>
      <c r="E53" s="19">
        <v>93</v>
      </c>
      <c r="F53" s="11">
        <v>1899</v>
      </c>
      <c r="G53" s="13">
        <f>F53*E53</f>
        <v>176607</v>
      </c>
    </row>
    <row r="54" spans="1:10">
      <c r="A54" s="500"/>
      <c r="B54" s="502"/>
      <c r="C54" s="497"/>
      <c r="D54" s="498"/>
      <c r="E54" s="501"/>
      <c r="F54" s="497"/>
      <c r="G54" s="499"/>
    </row>
    <row r="55" spans="1:10">
      <c r="A55" s="500">
        <f>A53+0.01</f>
        <v>3.0299999999999994</v>
      </c>
      <c r="B55" s="53" t="s">
        <v>187</v>
      </c>
      <c r="C55" s="11" t="s">
        <v>1203</v>
      </c>
      <c r="D55" s="12" t="s">
        <v>10</v>
      </c>
      <c r="E55" s="19">
        <v>0</v>
      </c>
      <c r="F55" s="11">
        <v>2049</v>
      </c>
      <c r="G55" s="13">
        <f>F55*E55</f>
        <v>0</v>
      </c>
    </row>
    <row r="56" spans="1:10">
      <c r="A56" s="500"/>
      <c r="B56" s="502"/>
      <c r="C56" s="497"/>
      <c r="D56" s="498"/>
      <c r="E56" s="501"/>
      <c r="F56" s="497"/>
      <c r="G56" s="499"/>
    </row>
    <row r="57" spans="1:10">
      <c r="A57" s="500">
        <f>A55+0.01</f>
        <v>3.0399999999999991</v>
      </c>
      <c r="B57" s="53" t="s">
        <v>187</v>
      </c>
      <c r="C57" s="11" t="s">
        <v>1141</v>
      </c>
      <c r="D57" s="12" t="s">
        <v>10</v>
      </c>
      <c r="E57" s="19">
        <v>93</v>
      </c>
      <c r="F57" s="11">
        <v>4163</v>
      </c>
      <c r="G57" s="13">
        <f>F57*E57</f>
        <v>387159</v>
      </c>
    </row>
    <row r="58" spans="1:10">
      <c r="A58" s="11"/>
      <c r="B58" s="11"/>
      <c r="C58" s="11"/>
      <c r="D58" s="12"/>
      <c r="E58" s="11"/>
      <c r="F58" s="11"/>
      <c r="G58" s="13"/>
    </row>
    <row r="59" spans="1:10">
      <c r="A59" s="10">
        <f>A55+0.01</f>
        <v>3.0399999999999991</v>
      </c>
      <c r="B59" s="10" t="s">
        <v>189</v>
      </c>
      <c r="C59" s="11"/>
      <c r="D59" s="12"/>
      <c r="E59" s="11"/>
      <c r="F59" s="11"/>
      <c r="G59" s="13"/>
    </row>
    <row r="60" spans="1:10" ht="58">
      <c r="A60" s="10"/>
      <c r="B60" s="53" t="s">
        <v>2518</v>
      </c>
      <c r="C60" s="11" t="s">
        <v>2576</v>
      </c>
      <c r="D60" s="12" t="s">
        <v>10</v>
      </c>
      <c r="E60" s="19">
        <v>755</v>
      </c>
      <c r="F60" s="74">
        <v>4400</v>
      </c>
      <c r="G60" s="13">
        <f>F60*E60</f>
        <v>3322000</v>
      </c>
      <c r="I60" s="5"/>
      <c r="J60" s="378"/>
    </row>
    <row r="61" spans="1:10">
      <c r="A61" s="11"/>
      <c r="B61" s="11"/>
      <c r="C61" s="11"/>
      <c r="D61" s="12"/>
      <c r="E61" s="11"/>
      <c r="F61" s="11"/>
      <c r="G61" s="13"/>
    </row>
    <row r="62" spans="1:10">
      <c r="A62" s="10">
        <f>A59+0.01</f>
        <v>3.0499999999999989</v>
      </c>
      <c r="B62" s="10" t="s">
        <v>1197</v>
      </c>
      <c r="C62" s="11"/>
      <c r="D62" s="12"/>
      <c r="E62" s="11"/>
      <c r="F62" s="11"/>
      <c r="G62" s="13"/>
    </row>
    <row r="63" spans="1:10" ht="130.5">
      <c r="A63" s="10"/>
      <c r="B63" s="53" t="s">
        <v>1324</v>
      </c>
      <c r="C63" s="11" t="s">
        <v>1903</v>
      </c>
      <c r="D63" s="12" t="s">
        <v>10</v>
      </c>
      <c r="E63" s="19" t="s">
        <v>1198</v>
      </c>
      <c r="F63" s="74">
        <v>4529</v>
      </c>
      <c r="G63" s="912"/>
      <c r="I63" s="378"/>
    </row>
    <row r="64" spans="1:10">
      <c r="A64" s="11"/>
      <c r="B64" s="11"/>
      <c r="C64" s="11"/>
      <c r="D64" s="12"/>
      <c r="E64" s="11"/>
      <c r="F64" s="11"/>
      <c r="G64" s="13"/>
    </row>
    <row r="65" spans="1:9">
      <c r="A65" s="10">
        <f>A50+0.01</f>
        <v>3.0199999999999996</v>
      </c>
      <c r="B65" s="10" t="s">
        <v>2519</v>
      </c>
      <c r="C65" s="11"/>
      <c r="D65" s="12" t="s">
        <v>10</v>
      </c>
      <c r="E65" s="19">
        <v>65</v>
      </c>
      <c r="F65" s="74">
        <v>2239</v>
      </c>
      <c r="G65" s="13">
        <f>F65*E65</f>
        <v>145535</v>
      </c>
      <c r="I65" s="378"/>
    </row>
    <row r="66" spans="1:9" ht="58">
      <c r="A66" s="11"/>
      <c r="B66" s="28" t="s">
        <v>2520</v>
      </c>
      <c r="C66" s="74" t="s">
        <v>2521</v>
      </c>
      <c r="D66" s="12"/>
      <c r="E66" s="11"/>
      <c r="F66" s="11"/>
      <c r="G66" s="13"/>
    </row>
    <row r="67" spans="1:9">
      <c r="A67" s="11"/>
      <c r="B67" s="11"/>
      <c r="C67" s="11"/>
      <c r="D67" s="12"/>
      <c r="E67" s="11"/>
      <c r="F67" s="11"/>
      <c r="G67" s="13"/>
    </row>
    <row r="68" spans="1:9">
      <c r="A68" s="10">
        <f>A65+0.01</f>
        <v>3.0299999999999994</v>
      </c>
      <c r="B68" s="10" t="s">
        <v>120</v>
      </c>
      <c r="C68" s="11"/>
      <c r="D68" s="12" t="s">
        <v>10</v>
      </c>
      <c r="E68" s="19">
        <v>104</v>
      </c>
      <c r="F68" s="19">
        <v>1749</v>
      </c>
      <c r="G68" s="13">
        <f>F68*E68</f>
        <v>181896</v>
      </c>
    </row>
    <row r="69" spans="1:9" ht="101.5">
      <c r="A69" s="11"/>
      <c r="B69" s="28" t="s">
        <v>121</v>
      </c>
      <c r="C69" s="11"/>
      <c r="D69" s="12"/>
      <c r="E69" s="11"/>
      <c r="F69" s="11"/>
      <c r="G69" s="13"/>
    </row>
    <row r="70" spans="1:9">
      <c r="A70" s="11"/>
      <c r="B70" s="28"/>
      <c r="C70" s="11"/>
      <c r="D70" s="12"/>
      <c r="E70" s="11"/>
      <c r="F70" s="11"/>
      <c r="G70" s="13"/>
    </row>
    <row r="71" spans="1:9">
      <c r="A71" s="10">
        <f>A68+0.01</f>
        <v>3.0399999999999991</v>
      </c>
      <c r="B71" s="65" t="s">
        <v>124</v>
      </c>
      <c r="C71" s="11"/>
      <c r="D71" s="12" t="s">
        <v>10</v>
      </c>
      <c r="E71" s="19">
        <v>1401</v>
      </c>
      <c r="F71" s="11">
        <v>1968</v>
      </c>
      <c r="G71" s="13">
        <f>F71*E71</f>
        <v>2757168</v>
      </c>
    </row>
    <row r="72" spans="1:9" ht="101.5">
      <c r="A72" s="11"/>
      <c r="B72" s="28" t="s">
        <v>125</v>
      </c>
      <c r="C72" s="11" t="s">
        <v>2522</v>
      </c>
      <c r="D72" s="12"/>
      <c r="E72" s="11"/>
      <c r="F72" s="11"/>
      <c r="G72" s="13"/>
    </row>
    <row r="73" spans="1:9">
      <c r="A73" s="11"/>
      <c r="B73" s="28"/>
      <c r="C73" s="11"/>
      <c r="D73" s="12"/>
      <c r="E73" s="11"/>
      <c r="F73" s="11"/>
      <c r="G73" s="13"/>
    </row>
    <row r="74" spans="1:9">
      <c r="A74" s="10">
        <f>A71+0.01</f>
        <v>3.0499999999999989</v>
      </c>
      <c r="B74" s="28" t="s">
        <v>1240</v>
      </c>
      <c r="C74" s="11" t="s">
        <v>2226</v>
      </c>
      <c r="D74" s="12" t="s">
        <v>10</v>
      </c>
      <c r="E74" s="19">
        <v>111</v>
      </c>
      <c r="F74" s="11">
        <v>2317</v>
      </c>
      <c r="G74" s="13">
        <f>F74*E74</f>
        <v>257187</v>
      </c>
    </row>
    <row r="75" spans="1:9">
      <c r="A75" s="11"/>
      <c r="B75" s="28"/>
      <c r="C75" s="11"/>
      <c r="D75" s="12"/>
      <c r="E75" s="11"/>
      <c r="F75" s="11"/>
      <c r="G75" s="13"/>
    </row>
    <row r="76" spans="1:9">
      <c r="A76" s="10">
        <f>A74+0.01</f>
        <v>3.0599999999999987</v>
      </c>
      <c r="B76" s="65" t="s">
        <v>209</v>
      </c>
      <c r="C76" s="11"/>
      <c r="D76" s="12" t="s">
        <v>10</v>
      </c>
      <c r="E76" s="19">
        <v>22</v>
      </c>
      <c r="F76" s="11">
        <v>5352</v>
      </c>
      <c r="G76" s="13">
        <f>F76*E76</f>
        <v>117744</v>
      </c>
    </row>
    <row r="77" spans="1:9" ht="232">
      <c r="A77" s="11"/>
      <c r="B77" s="28" t="s">
        <v>210</v>
      </c>
      <c r="C77" s="11"/>
      <c r="D77" s="12"/>
      <c r="E77" s="11"/>
      <c r="F77" s="11"/>
      <c r="G77" s="13"/>
    </row>
    <row r="78" spans="1:9">
      <c r="A78" s="11"/>
      <c r="B78" s="28"/>
      <c r="C78" s="11"/>
      <c r="D78" s="12"/>
      <c r="E78" s="11"/>
      <c r="F78" s="11"/>
      <c r="G78" s="13"/>
    </row>
    <row r="79" spans="1:9">
      <c r="A79" s="10">
        <f>A76+0.01</f>
        <v>3.0699999999999985</v>
      </c>
      <c r="B79" s="65" t="s">
        <v>1245</v>
      </c>
      <c r="C79" s="11"/>
      <c r="D79" s="12" t="s">
        <v>10</v>
      </c>
      <c r="E79" s="19">
        <v>15</v>
      </c>
      <c r="F79" s="11">
        <v>10428</v>
      </c>
      <c r="G79" s="13">
        <f>F79*E79</f>
        <v>156420</v>
      </c>
    </row>
    <row r="80" spans="1:9" ht="29">
      <c r="A80" s="11"/>
      <c r="B80" s="28" t="s">
        <v>1246</v>
      </c>
      <c r="C80" s="11" t="s">
        <v>1247</v>
      </c>
      <c r="D80" s="12"/>
      <c r="E80" s="11"/>
      <c r="F80" s="11"/>
      <c r="G80" s="13"/>
    </row>
    <row r="81" spans="1:7">
      <c r="A81" s="11"/>
      <c r="B81" s="28"/>
      <c r="C81" s="11"/>
      <c r="D81" s="12"/>
      <c r="E81" s="11"/>
      <c r="F81" s="11"/>
      <c r="G81" s="13"/>
    </row>
    <row r="82" spans="1:7">
      <c r="A82" s="10">
        <f>A79+0.01</f>
        <v>3.0799999999999983</v>
      </c>
      <c r="B82" s="65" t="s">
        <v>1250</v>
      </c>
      <c r="C82" s="11"/>
      <c r="D82" s="12" t="s">
        <v>10</v>
      </c>
      <c r="E82" s="19">
        <v>16</v>
      </c>
      <c r="F82" s="11">
        <v>2431</v>
      </c>
      <c r="G82" s="13">
        <f>F82*E82</f>
        <v>38896</v>
      </c>
    </row>
    <row r="83" spans="1:7" ht="58">
      <c r="A83" s="11"/>
      <c r="B83" s="53" t="s">
        <v>1253</v>
      </c>
      <c r="C83" s="11" t="s">
        <v>1148</v>
      </c>
      <c r="D83" s="12"/>
      <c r="E83" s="11"/>
      <c r="F83" s="11"/>
      <c r="G83" s="13"/>
    </row>
    <row r="84" spans="1:7">
      <c r="A84" s="11"/>
      <c r="B84" s="28"/>
      <c r="C84" s="11"/>
      <c r="D84" s="12"/>
      <c r="E84" s="11"/>
      <c r="F84" s="11"/>
      <c r="G84" s="13"/>
    </row>
    <row r="85" spans="1:7">
      <c r="A85" s="10">
        <f>A76+0.01</f>
        <v>3.0699999999999985</v>
      </c>
      <c r="B85" s="10" t="s">
        <v>30</v>
      </c>
      <c r="C85" s="11"/>
      <c r="D85" s="12" t="s">
        <v>31</v>
      </c>
      <c r="E85" s="19">
        <v>1178</v>
      </c>
      <c r="F85" s="11">
        <v>347</v>
      </c>
      <c r="G85" s="13">
        <f>F85*E85</f>
        <v>408766</v>
      </c>
    </row>
    <row r="86" spans="1:7" ht="58">
      <c r="A86" s="11"/>
      <c r="B86" s="28" t="s">
        <v>2227</v>
      </c>
      <c r="C86" s="11"/>
      <c r="D86" s="12"/>
      <c r="E86" s="11"/>
      <c r="F86" s="11"/>
      <c r="G86" s="13"/>
    </row>
    <row r="87" spans="1:7">
      <c r="A87" s="11"/>
      <c r="B87" s="28"/>
      <c r="C87" s="11"/>
      <c r="D87" s="12"/>
      <c r="E87" s="11"/>
      <c r="F87" s="11"/>
      <c r="G87" s="13"/>
    </row>
    <row r="88" spans="1:7">
      <c r="A88" s="10">
        <f>A85+0.01</f>
        <v>3.0799999999999983</v>
      </c>
      <c r="B88" s="10" t="s">
        <v>288</v>
      </c>
      <c r="C88" s="11"/>
      <c r="D88" s="12" t="s">
        <v>31</v>
      </c>
      <c r="E88" s="19">
        <v>186</v>
      </c>
      <c r="F88" s="11">
        <v>311</v>
      </c>
      <c r="G88" s="13">
        <f>F88*E88</f>
        <v>57846</v>
      </c>
    </row>
    <row r="89" spans="1:7" ht="101.5">
      <c r="A89" s="11"/>
      <c r="B89" s="53" t="s">
        <v>2228</v>
      </c>
      <c r="C89" s="11"/>
      <c r="D89" s="12"/>
      <c r="E89" s="11"/>
      <c r="F89" s="11"/>
      <c r="G89" s="13"/>
    </row>
    <row r="90" spans="1:7">
      <c r="A90" s="11"/>
      <c r="B90" s="28"/>
      <c r="C90" s="11"/>
      <c r="D90" s="12"/>
      <c r="E90" s="11"/>
      <c r="F90" s="11"/>
      <c r="G90" s="13"/>
    </row>
    <row r="91" spans="1:7">
      <c r="A91" s="10">
        <f>A85+0.01</f>
        <v>3.0799999999999983</v>
      </c>
      <c r="B91" s="10" t="s">
        <v>33</v>
      </c>
      <c r="C91" s="11"/>
      <c r="D91" s="12" t="s">
        <v>31</v>
      </c>
      <c r="E91" s="19">
        <v>106</v>
      </c>
      <c r="F91" s="11">
        <v>674</v>
      </c>
      <c r="G91" s="13">
        <f>F91*E91</f>
        <v>71444</v>
      </c>
    </row>
    <row r="92" spans="1:7" ht="29">
      <c r="A92" s="11"/>
      <c r="B92" s="28" t="s">
        <v>34</v>
      </c>
      <c r="C92" s="11"/>
      <c r="D92" s="12"/>
      <c r="E92" s="11"/>
      <c r="F92" s="11"/>
      <c r="G92" s="13"/>
    </row>
    <row r="93" spans="1:7" s="952" customFormat="1">
      <c r="A93" s="11"/>
      <c r="B93" s="28"/>
      <c r="C93" s="11"/>
      <c r="D93" s="12"/>
      <c r="E93" s="11"/>
      <c r="F93" s="11"/>
      <c r="G93" s="13"/>
    </row>
    <row r="94" spans="1:7" s="952" customFormat="1">
      <c r="A94" s="10">
        <f>A88+0.01</f>
        <v>3.0899999999999981</v>
      </c>
      <c r="B94" s="10" t="s">
        <v>2572</v>
      </c>
      <c r="C94" s="11"/>
      <c r="D94" s="12" t="s">
        <v>31</v>
      </c>
      <c r="E94" s="19">
        <v>247</v>
      </c>
      <c r="F94" s="11">
        <v>4407</v>
      </c>
      <c r="G94" s="13">
        <f>F94*E94</f>
        <v>1088529</v>
      </c>
    </row>
    <row r="95" spans="1:7" s="952" customFormat="1" ht="29">
      <c r="A95" s="11"/>
      <c r="B95" s="28" t="s">
        <v>34</v>
      </c>
      <c r="C95" s="11"/>
      <c r="D95" s="12"/>
      <c r="E95" s="11"/>
      <c r="F95" s="11"/>
      <c r="G95" s="13"/>
    </row>
    <row r="96" spans="1:7">
      <c r="A96" s="11"/>
      <c r="B96" s="28"/>
      <c r="C96" s="11"/>
      <c r="D96" s="12"/>
      <c r="E96" s="11"/>
      <c r="F96" s="11"/>
      <c r="G96" s="13"/>
    </row>
    <row r="97" spans="1:7">
      <c r="A97" s="10">
        <f>A94+0.01</f>
        <v>3.0999999999999979</v>
      </c>
      <c r="B97" s="65" t="s">
        <v>127</v>
      </c>
      <c r="C97" s="11"/>
      <c r="D97" s="12" t="s">
        <v>31</v>
      </c>
      <c r="E97" s="19">
        <v>32</v>
      </c>
      <c r="F97" s="19">
        <v>1038</v>
      </c>
      <c r="G97" s="13">
        <f>F97*E97</f>
        <v>33216</v>
      </c>
    </row>
    <row r="98" spans="1:7" ht="87">
      <c r="A98" s="11"/>
      <c r="B98" s="28" t="s">
        <v>207</v>
      </c>
      <c r="C98" s="11" t="s">
        <v>1141</v>
      </c>
      <c r="D98" s="12"/>
      <c r="E98" s="11"/>
      <c r="F98" s="11"/>
      <c r="G98" s="13"/>
    </row>
    <row r="99" spans="1:7">
      <c r="A99" s="11"/>
      <c r="B99" s="28"/>
      <c r="C99" s="11"/>
      <c r="D99" s="12"/>
      <c r="E99" s="11"/>
      <c r="F99" s="11"/>
      <c r="G99" s="13"/>
    </row>
    <row r="100" spans="1:7">
      <c r="A100" s="10">
        <f>A97+0.01</f>
        <v>3.1099999999999977</v>
      </c>
      <c r="B100" s="65" t="s">
        <v>1321</v>
      </c>
      <c r="C100" s="11"/>
      <c r="D100" s="12" t="s">
        <v>10</v>
      </c>
      <c r="E100" s="19">
        <v>6</v>
      </c>
      <c r="F100" s="19">
        <v>2287</v>
      </c>
      <c r="G100" s="13">
        <f>F100*E100</f>
        <v>13722</v>
      </c>
    </row>
    <row r="101" spans="1:7" ht="43.5">
      <c r="A101" s="11"/>
      <c r="B101" s="28" t="s">
        <v>1322</v>
      </c>
      <c r="C101" s="11"/>
      <c r="D101" s="12"/>
      <c r="E101" s="11"/>
      <c r="F101" s="11"/>
      <c r="G101" s="13"/>
    </row>
    <row r="102" spans="1:7">
      <c r="A102" s="11"/>
      <c r="B102" s="28"/>
      <c r="C102" s="11"/>
      <c r="D102" s="12"/>
      <c r="E102" s="11"/>
      <c r="F102" s="11"/>
      <c r="G102" s="13"/>
    </row>
    <row r="103" spans="1:7">
      <c r="A103" s="10">
        <f>A100+0.01</f>
        <v>3.1199999999999974</v>
      </c>
      <c r="B103" s="65" t="s">
        <v>2081</v>
      </c>
      <c r="C103" s="11"/>
      <c r="D103" s="12" t="s">
        <v>10</v>
      </c>
      <c r="E103" s="19">
        <v>1</v>
      </c>
      <c r="F103" s="19">
        <v>10741</v>
      </c>
      <c r="G103" s="13">
        <f>F103*E103</f>
        <v>10741</v>
      </c>
    </row>
    <row r="104" spans="1:7" ht="58">
      <c r="A104" s="11"/>
      <c r="B104" s="28" t="s">
        <v>2082</v>
      </c>
      <c r="C104" s="11"/>
      <c r="D104" s="12"/>
      <c r="E104" s="11"/>
      <c r="F104" s="11"/>
      <c r="G104" s="13"/>
    </row>
    <row r="105" spans="1:7" s="952" customFormat="1">
      <c r="A105" s="11"/>
      <c r="B105" s="28"/>
      <c r="C105" s="11"/>
      <c r="D105" s="12"/>
      <c r="E105" s="11"/>
      <c r="F105" s="11"/>
      <c r="G105" s="13"/>
    </row>
    <row r="106" spans="1:7" s="952" customFormat="1">
      <c r="A106" s="10">
        <f>A103+0.01</f>
        <v>3.1299999999999972</v>
      </c>
      <c r="B106" s="65" t="s">
        <v>2127</v>
      </c>
      <c r="C106" s="11"/>
      <c r="D106" s="12" t="s">
        <v>10</v>
      </c>
      <c r="E106" s="19">
        <v>12</v>
      </c>
      <c r="F106" s="19">
        <v>5517</v>
      </c>
      <c r="G106" s="13">
        <f>F106*E106</f>
        <v>66204</v>
      </c>
    </row>
    <row r="107" spans="1:7" s="952" customFormat="1">
      <c r="A107" s="11"/>
      <c r="B107" s="28" t="s">
        <v>2128</v>
      </c>
      <c r="C107" s="11"/>
      <c r="D107" s="12"/>
      <c r="E107" s="11"/>
      <c r="F107" s="11"/>
      <c r="G107" s="13"/>
    </row>
    <row r="108" spans="1:7" s="952" customFormat="1">
      <c r="A108" s="11"/>
      <c r="B108" s="28"/>
      <c r="C108" s="11"/>
      <c r="D108" s="12"/>
      <c r="E108" s="11"/>
      <c r="F108" s="11"/>
      <c r="G108" s="13"/>
    </row>
    <row r="109" spans="1:7" s="952" customFormat="1">
      <c r="A109" s="10">
        <f>A106+0.01</f>
        <v>3.139999999999997</v>
      </c>
      <c r="B109" s="65" t="s">
        <v>2130</v>
      </c>
      <c r="C109" s="11"/>
      <c r="D109" s="12" t="s">
        <v>10</v>
      </c>
      <c r="E109" s="19">
        <v>210</v>
      </c>
      <c r="F109" s="380">
        <v>1720</v>
      </c>
      <c r="G109" s="13">
        <f>F109*E109</f>
        <v>361200</v>
      </c>
    </row>
    <row r="110" spans="1:7" s="952" customFormat="1" ht="101.5">
      <c r="A110" s="11"/>
      <c r="B110" s="28" t="s">
        <v>2131</v>
      </c>
      <c r="C110" s="11" t="s">
        <v>2523</v>
      </c>
      <c r="D110" s="12"/>
      <c r="E110" s="11"/>
      <c r="F110" s="11"/>
      <c r="G110" s="13"/>
    </row>
    <row r="111" spans="1:7">
      <c r="A111" s="11"/>
      <c r="B111" s="11"/>
      <c r="C111" s="11"/>
      <c r="D111" s="12"/>
      <c r="E111" s="11"/>
      <c r="F111" s="11"/>
      <c r="G111" s="13"/>
    </row>
    <row r="112" spans="1:7">
      <c r="A112" s="22"/>
      <c r="B112" s="22" t="s">
        <v>24</v>
      </c>
      <c r="C112" s="22"/>
      <c r="D112" s="22"/>
      <c r="E112" s="22"/>
      <c r="F112" s="22"/>
      <c r="G112" s="23">
        <f>SUM(G48:G111)</f>
        <v>10198405</v>
      </c>
    </row>
    <row r="113" spans="1:13">
      <c r="A113" s="10">
        <v>4</v>
      </c>
      <c r="B113" s="10" t="s">
        <v>37</v>
      </c>
      <c r="C113" s="11"/>
      <c r="D113" s="12"/>
      <c r="E113" s="11"/>
      <c r="F113" s="11"/>
      <c r="G113" s="13"/>
    </row>
    <row r="114" spans="1:13">
      <c r="A114" s="10">
        <f>A113+0.01</f>
        <v>4.01</v>
      </c>
      <c r="B114" s="10" t="s">
        <v>38</v>
      </c>
      <c r="C114" s="11"/>
      <c r="D114" s="12" t="s">
        <v>10</v>
      </c>
      <c r="E114" s="19">
        <v>617</v>
      </c>
      <c r="F114" s="11">
        <v>1278</v>
      </c>
      <c r="G114" s="13">
        <f>F114*E114</f>
        <v>788526</v>
      </c>
      <c r="H114" s="956"/>
      <c r="J114" s="378"/>
      <c r="K114" s="378"/>
      <c r="L114" s="956">
        <f>E126</f>
        <v>189</v>
      </c>
      <c r="M114" s="2">
        <f>L114*25*1.25*10.764</f>
        <v>63574.874999999993</v>
      </c>
    </row>
    <row r="115" spans="1:13" ht="101.5">
      <c r="A115" s="11"/>
      <c r="B115" s="14" t="s">
        <v>40</v>
      </c>
      <c r="C115" s="11"/>
      <c r="D115" s="12"/>
      <c r="E115" s="11"/>
      <c r="F115" s="11"/>
      <c r="G115" s="13"/>
    </row>
    <row r="116" spans="1:13" ht="101.5">
      <c r="A116" s="11"/>
      <c r="B116" s="14" t="s">
        <v>39</v>
      </c>
      <c r="C116" s="11"/>
      <c r="D116" s="12"/>
      <c r="E116" s="11"/>
      <c r="F116" s="11"/>
      <c r="G116" s="13"/>
    </row>
    <row r="117" spans="1:13">
      <c r="A117" s="11"/>
      <c r="B117" s="14"/>
      <c r="C117" s="11"/>
      <c r="D117" s="12"/>
      <c r="E117" s="11"/>
      <c r="F117" s="11"/>
      <c r="G117" s="13"/>
    </row>
    <row r="118" spans="1:13">
      <c r="A118" s="10">
        <f>A114+0.01</f>
        <v>4.0199999999999996</v>
      </c>
      <c r="B118" s="10" t="s">
        <v>1916</v>
      </c>
      <c r="C118" s="11"/>
      <c r="D118" s="12" t="s">
        <v>31</v>
      </c>
      <c r="E118" s="19">
        <v>527</v>
      </c>
      <c r="F118" s="11">
        <v>328</v>
      </c>
      <c r="G118" s="912">
        <f>F118*E118</f>
        <v>172856</v>
      </c>
      <c r="H118" s="5"/>
      <c r="I118" s="378"/>
      <c r="J118" s="378"/>
    </row>
    <row r="119" spans="1:13">
      <c r="A119" s="11"/>
      <c r="B119" s="14"/>
      <c r="C119" s="11"/>
      <c r="D119" s="12"/>
      <c r="E119" s="11"/>
      <c r="F119" s="11"/>
      <c r="G119" s="13"/>
    </row>
    <row r="120" spans="1:13">
      <c r="A120" s="10">
        <f>A118+0.01</f>
        <v>4.0299999999999994</v>
      </c>
      <c r="B120" s="10" t="s">
        <v>1986</v>
      </c>
      <c r="C120" s="11"/>
      <c r="D120" s="12" t="s">
        <v>31</v>
      </c>
      <c r="E120" s="19">
        <v>27</v>
      </c>
      <c r="F120" s="11">
        <v>984</v>
      </c>
      <c r="G120" s="912">
        <f>F120*E120</f>
        <v>26568</v>
      </c>
      <c r="H120" s="5"/>
      <c r="I120" s="378"/>
      <c r="J120" s="378"/>
    </row>
    <row r="121" spans="1:13">
      <c r="A121" s="500"/>
      <c r="B121" s="500"/>
      <c r="C121" s="497"/>
      <c r="D121" s="498"/>
      <c r="E121" s="501"/>
      <c r="F121" s="497"/>
      <c r="G121" s="940"/>
      <c r="H121" s="5"/>
      <c r="I121" s="378"/>
      <c r="J121" s="378"/>
    </row>
    <row r="122" spans="1:13">
      <c r="A122" s="10">
        <f>A120+0.01</f>
        <v>4.0399999999999991</v>
      </c>
      <c r="B122" s="10" t="s">
        <v>2060</v>
      </c>
      <c r="C122" s="11"/>
      <c r="D122" s="12" t="s">
        <v>10</v>
      </c>
      <c r="E122" s="19">
        <v>4</v>
      </c>
      <c r="F122" s="11">
        <v>1615</v>
      </c>
      <c r="G122" s="13">
        <f>F122*E122</f>
        <v>6460</v>
      </c>
    </row>
    <row r="123" spans="1:13" ht="101.5">
      <c r="A123" s="11"/>
      <c r="B123" s="14" t="s">
        <v>2061</v>
      </c>
      <c r="C123" s="11"/>
      <c r="D123" s="12"/>
      <c r="E123" s="11"/>
      <c r="F123" s="11"/>
      <c r="G123" s="13"/>
    </row>
    <row r="124" spans="1:13" ht="101.5">
      <c r="A124" s="11"/>
      <c r="B124" s="14" t="s">
        <v>39</v>
      </c>
      <c r="C124" s="11"/>
      <c r="D124" s="12"/>
      <c r="E124" s="11"/>
      <c r="F124" s="11"/>
      <c r="G124" s="13"/>
    </row>
    <row r="125" spans="1:13" s="952" customFormat="1">
      <c r="A125" s="11"/>
      <c r="B125" s="14"/>
      <c r="C125" s="11"/>
      <c r="D125" s="12"/>
      <c r="E125" s="11"/>
      <c r="F125" s="11"/>
      <c r="G125" s="13"/>
    </row>
    <row r="126" spans="1:13" s="952" customFormat="1">
      <c r="A126" s="10">
        <f>A122+0.01</f>
        <v>4.0499999999999989</v>
      </c>
      <c r="B126" s="79" t="s">
        <v>2122</v>
      </c>
      <c r="C126" s="11"/>
      <c r="D126" s="12" t="s">
        <v>10</v>
      </c>
      <c r="E126" s="19">
        <v>189</v>
      </c>
      <c r="F126" s="11">
        <v>2431</v>
      </c>
      <c r="G126" s="13">
        <f>F126*E126</f>
        <v>459459</v>
      </c>
    </row>
    <row r="127" spans="1:13" s="952" customFormat="1">
      <c r="A127" s="10"/>
      <c r="B127" s="77" t="s">
        <v>254</v>
      </c>
      <c r="C127" s="11"/>
      <c r="D127" s="12"/>
      <c r="E127" s="11"/>
      <c r="F127" s="11"/>
      <c r="G127" s="13"/>
    </row>
    <row r="128" spans="1:13" s="952" customFormat="1">
      <c r="A128" s="10"/>
      <c r="B128" s="77" t="s">
        <v>255</v>
      </c>
      <c r="C128" s="11"/>
      <c r="D128" s="12"/>
      <c r="E128" s="11"/>
      <c r="F128" s="11"/>
      <c r="G128" s="13"/>
    </row>
    <row r="129" spans="1:7" s="952" customFormat="1" ht="34.5">
      <c r="A129" s="10"/>
      <c r="B129" s="77" t="s">
        <v>256</v>
      </c>
      <c r="C129" s="11"/>
      <c r="D129" s="12"/>
      <c r="E129" s="11"/>
      <c r="F129" s="11"/>
      <c r="G129" s="13"/>
    </row>
    <row r="130" spans="1:7" s="952" customFormat="1">
      <c r="A130" s="10"/>
      <c r="B130" s="77" t="s">
        <v>257</v>
      </c>
      <c r="C130" s="11"/>
      <c r="D130" s="12"/>
      <c r="E130" s="11"/>
      <c r="F130" s="11"/>
      <c r="G130" s="13"/>
    </row>
    <row r="131" spans="1:7" s="952" customFormat="1">
      <c r="A131" s="10"/>
      <c r="B131" s="77" t="s">
        <v>258</v>
      </c>
      <c r="C131" s="11"/>
      <c r="D131" s="12"/>
      <c r="E131" s="11"/>
      <c r="F131" s="11"/>
      <c r="G131" s="13"/>
    </row>
    <row r="132" spans="1:7" s="952" customFormat="1">
      <c r="A132" s="10"/>
      <c r="B132" s="77" t="s">
        <v>259</v>
      </c>
      <c r="C132" s="11"/>
      <c r="D132" s="12"/>
      <c r="E132" s="11"/>
      <c r="F132" s="11"/>
      <c r="G132" s="13"/>
    </row>
    <row r="133" spans="1:7" s="952" customFormat="1">
      <c r="A133" s="10"/>
      <c r="B133" s="80" t="s">
        <v>260</v>
      </c>
      <c r="C133" s="11"/>
      <c r="D133" s="12"/>
      <c r="E133" s="11"/>
      <c r="F133" s="11"/>
      <c r="G133" s="13"/>
    </row>
    <row r="134" spans="1:7" s="952" customFormat="1">
      <c r="A134" s="10"/>
      <c r="B134" s="80" t="s">
        <v>1142</v>
      </c>
      <c r="C134" s="11"/>
      <c r="D134" s="12"/>
      <c r="E134" s="11"/>
      <c r="F134" s="11"/>
      <c r="G134" s="13"/>
    </row>
    <row r="135" spans="1:7" s="952" customFormat="1">
      <c r="A135" s="10"/>
      <c r="B135" s="80" t="s">
        <v>261</v>
      </c>
      <c r="C135" s="11"/>
      <c r="D135" s="12"/>
      <c r="E135" s="11"/>
      <c r="F135" s="11"/>
      <c r="G135" s="13"/>
    </row>
    <row r="136" spans="1:7" s="952" customFormat="1">
      <c r="A136" s="10"/>
      <c r="B136" s="80" t="s">
        <v>262</v>
      </c>
      <c r="C136" s="11"/>
      <c r="D136" s="12"/>
      <c r="E136" s="11"/>
      <c r="F136" s="11"/>
      <c r="G136" s="13"/>
    </row>
    <row r="137" spans="1:7" s="952" customFormat="1">
      <c r="A137" s="10"/>
      <c r="B137" s="80" t="s">
        <v>263</v>
      </c>
      <c r="C137" s="11"/>
      <c r="D137" s="12"/>
      <c r="E137" s="11"/>
      <c r="F137" s="11"/>
      <c r="G137" s="13"/>
    </row>
    <row r="138" spans="1:7" s="952" customFormat="1">
      <c r="A138" s="10"/>
      <c r="B138" s="80" t="s">
        <v>264</v>
      </c>
      <c r="C138" s="11"/>
      <c r="D138" s="12"/>
      <c r="E138" s="11"/>
      <c r="F138" s="11"/>
      <c r="G138" s="13"/>
    </row>
    <row r="139" spans="1:7" s="952" customFormat="1">
      <c r="A139" s="10"/>
      <c r="B139" s="80" t="s">
        <v>265</v>
      </c>
      <c r="C139" s="11"/>
      <c r="D139" s="12"/>
      <c r="E139" s="11"/>
      <c r="F139" s="11"/>
      <c r="G139" s="13"/>
    </row>
    <row r="140" spans="1:7" s="952" customFormat="1">
      <c r="A140" s="10"/>
      <c r="B140" s="80" t="s">
        <v>2123</v>
      </c>
      <c r="C140" s="11"/>
      <c r="D140" s="12"/>
      <c r="E140" s="11"/>
      <c r="F140" s="11"/>
      <c r="G140" s="13"/>
    </row>
    <row r="141" spans="1:7" s="952" customFormat="1">
      <c r="A141" s="10"/>
      <c r="B141" s="80" t="s">
        <v>266</v>
      </c>
      <c r="C141" s="11"/>
      <c r="D141" s="12"/>
      <c r="E141" s="11"/>
      <c r="F141" s="11"/>
      <c r="G141" s="13"/>
    </row>
    <row r="142" spans="1:7" s="952" customFormat="1">
      <c r="A142" s="10"/>
      <c r="B142" s="80" t="s">
        <v>267</v>
      </c>
      <c r="C142" s="11"/>
      <c r="D142" s="12"/>
      <c r="E142" s="11"/>
      <c r="F142" s="11"/>
      <c r="G142" s="13"/>
    </row>
    <row r="143" spans="1:7" s="952" customFormat="1">
      <c r="A143" s="10"/>
      <c r="B143" s="77" t="s">
        <v>268</v>
      </c>
      <c r="C143" s="11"/>
      <c r="D143" s="12"/>
      <c r="E143" s="11"/>
      <c r="F143" s="11"/>
      <c r="G143" s="13"/>
    </row>
    <row r="144" spans="1:7" s="952" customFormat="1">
      <c r="A144" s="10"/>
      <c r="B144" s="77" t="s">
        <v>269</v>
      </c>
      <c r="C144" s="11"/>
      <c r="D144" s="12"/>
      <c r="E144" s="11"/>
      <c r="F144" s="11"/>
      <c r="G144" s="13"/>
    </row>
    <row r="145" spans="1:7" s="952" customFormat="1" ht="46">
      <c r="A145" s="10"/>
      <c r="B145" s="77" t="s">
        <v>270</v>
      </c>
      <c r="C145" s="11"/>
      <c r="D145" s="12"/>
      <c r="E145" s="11"/>
      <c r="F145" s="11"/>
      <c r="G145" s="13"/>
    </row>
    <row r="146" spans="1:7" s="952" customFormat="1" ht="34.5">
      <c r="A146" s="10"/>
      <c r="B146" s="77" t="s">
        <v>271</v>
      </c>
      <c r="C146" s="11"/>
      <c r="D146" s="12"/>
      <c r="E146" s="11"/>
      <c r="F146" s="11"/>
      <c r="G146" s="13"/>
    </row>
    <row r="147" spans="1:7" s="952" customFormat="1" ht="34.5">
      <c r="A147" s="10"/>
      <c r="B147" s="77" t="s">
        <v>272</v>
      </c>
      <c r="C147" s="11"/>
      <c r="D147" s="12"/>
      <c r="E147" s="11"/>
      <c r="F147" s="11"/>
      <c r="G147" s="13"/>
    </row>
    <row r="148" spans="1:7" s="952" customFormat="1">
      <c r="A148" s="10"/>
      <c r="B148" s="77" t="s">
        <v>273</v>
      </c>
      <c r="C148" s="11"/>
      <c r="D148" s="12"/>
      <c r="E148" s="11"/>
      <c r="F148" s="11"/>
      <c r="G148" s="13"/>
    </row>
    <row r="149" spans="1:7" s="952" customFormat="1">
      <c r="A149" s="10"/>
      <c r="B149" s="77" t="s">
        <v>274</v>
      </c>
      <c r="C149" s="11"/>
      <c r="D149" s="12"/>
      <c r="E149" s="11"/>
      <c r="F149" s="11"/>
      <c r="G149" s="13"/>
    </row>
    <row r="150" spans="1:7" s="952" customFormat="1">
      <c r="A150" s="10"/>
      <c r="B150" s="77" t="s">
        <v>275</v>
      </c>
      <c r="C150" s="11"/>
      <c r="D150" s="12"/>
      <c r="E150" s="11"/>
      <c r="F150" s="11"/>
      <c r="G150" s="13"/>
    </row>
    <row r="151" spans="1:7" s="952" customFormat="1">
      <c r="A151" s="10"/>
      <c r="B151" s="80" t="s">
        <v>276</v>
      </c>
      <c r="C151" s="11"/>
      <c r="D151" s="12"/>
      <c r="E151" s="11"/>
      <c r="F151" s="11"/>
      <c r="G151" s="13"/>
    </row>
    <row r="152" spans="1:7" s="952" customFormat="1" ht="23">
      <c r="A152" s="10"/>
      <c r="B152" s="77" t="s">
        <v>277</v>
      </c>
      <c r="C152" s="11"/>
      <c r="D152" s="12"/>
      <c r="E152" s="11"/>
      <c r="F152" s="11"/>
      <c r="G152" s="13"/>
    </row>
    <row r="153" spans="1:7" s="952" customFormat="1">
      <c r="A153" s="10"/>
      <c r="B153" s="77" t="s">
        <v>278</v>
      </c>
      <c r="C153" s="11"/>
      <c r="D153" s="12"/>
      <c r="E153" s="11"/>
      <c r="F153" s="11"/>
      <c r="G153" s="13"/>
    </row>
    <row r="154" spans="1:7">
      <c r="A154" s="11"/>
      <c r="B154" s="14"/>
      <c r="C154" s="11"/>
      <c r="D154" s="12"/>
      <c r="E154" s="11"/>
      <c r="F154" s="11"/>
      <c r="G154" s="13"/>
    </row>
    <row r="155" spans="1:7">
      <c r="A155" s="10">
        <f>A122+0.01</f>
        <v>4.0499999999999989</v>
      </c>
      <c r="B155" s="79" t="s">
        <v>1330</v>
      </c>
      <c r="C155" s="11"/>
      <c r="D155" s="12" t="s">
        <v>10</v>
      </c>
      <c r="E155" s="19">
        <v>64</v>
      </c>
      <c r="F155" s="11">
        <v>1926</v>
      </c>
      <c r="G155" s="13">
        <f>F155*E155</f>
        <v>123264</v>
      </c>
    </row>
    <row r="156" spans="1:7">
      <c r="A156" s="10"/>
      <c r="B156" s="77" t="s">
        <v>254</v>
      </c>
      <c r="C156" s="11"/>
      <c r="D156" s="12"/>
      <c r="E156" s="11"/>
      <c r="F156" s="11"/>
      <c r="G156" s="13"/>
    </row>
    <row r="157" spans="1:7">
      <c r="A157" s="10"/>
      <c r="B157" s="77" t="s">
        <v>255</v>
      </c>
      <c r="C157" s="11"/>
      <c r="D157" s="12"/>
      <c r="E157" s="11"/>
      <c r="F157" s="11"/>
      <c r="G157" s="13"/>
    </row>
    <row r="158" spans="1:7" ht="34.5">
      <c r="A158" s="10"/>
      <c r="B158" s="77" t="s">
        <v>256</v>
      </c>
      <c r="C158" s="11"/>
      <c r="D158" s="12"/>
      <c r="E158" s="11"/>
      <c r="F158" s="11"/>
      <c r="G158" s="13"/>
    </row>
    <row r="159" spans="1:7">
      <c r="A159" s="10"/>
      <c r="B159" s="77" t="s">
        <v>257</v>
      </c>
      <c r="C159" s="11"/>
      <c r="D159" s="12"/>
      <c r="E159" s="11"/>
      <c r="F159" s="11"/>
      <c r="G159" s="13"/>
    </row>
    <row r="160" spans="1:7">
      <c r="A160" s="10"/>
      <c r="B160" s="77" t="s">
        <v>258</v>
      </c>
      <c r="C160" s="11"/>
      <c r="D160" s="12"/>
      <c r="E160" s="11"/>
      <c r="F160" s="11"/>
      <c r="G160" s="13"/>
    </row>
    <row r="161" spans="1:7">
      <c r="A161" s="10"/>
      <c r="B161" s="77" t="s">
        <v>259</v>
      </c>
      <c r="C161" s="11"/>
      <c r="D161" s="12"/>
      <c r="E161" s="11"/>
      <c r="F161" s="11"/>
      <c r="G161" s="13"/>
    </row>
    <row r="162" spans="1:7">
      <c r="A162" s="10"/>
      <c r="B162" s="80" t="s">
        <v>260</v>
      </c>
      <c r="C162" s="11"/>
      <c r="D162" s="12"/>
      <c r="E162" s="11"/>
      <c r="F162" s="11"/>
      <c r="G162" s="13"/>
    </row>
    <row r="163" spans="1:7">
      <c r="A163" s="10"/>
      <c r="B163" s="80" t="s">
        <v>1142</v>
      </c>
      <c r="C163" s="11"/>
      <c r="D163" s="12"/>
      <c r="E163" s="11"/>
      <c r="F163" s="11"/>
      <c r="G163" s="13"/>
    </row>
    <row r="164" spans="1:7">
      <c r="A164" s="10"/>
      <c r="B164" s="80" t="s">
        <v>261</v>
      </c>
      <c r="C164" s="11"/>
      <c r="D164" s="12"/>
      <c r="E164" s="11"/>
      <c r="F164" s="11"/>
      <c r="G164" s="13"/>
    </row>
    <row r="165" spans="1:7">
      <c r="A165" s="10"/>
      <c r="B165" s="80" t="s">
        <v>262</v>
      </c>
      <c r="C165" s="11"/>
      <c r="D165" s="12"/>
      <c r="E165" s="11"/>
      <c r="F165" s="11"/>
      <c r="G165" s="13"/>
    </row>
    <row r="166" spans="1:7">
      <c r="A166" s="10"/>
      <c r="B166" s="80" t="s">
        <v>263</v>
      </c>
      <c r="C166" s="11"/>
      <c r="D166" s="12"/>
      <c r="E166" s="11"/>
      <c r="F166" s="11"/>
      <c r="G166" s="13"/>
    </row>
    <row r="167" spans="1:7">
      <c r="A167" s="10"/>
      <c r="B167" s="80" t="s">
        <v>264</v>
      </c>
      <c r="C167" s="11"/>
      <c r="D167" s="12"/>
      <c r="E167" s="11"/>
      <c r="F167" s="11"/>
      <c r="G167" s="13"/>
    </row>
    <row r="168" spans="1:7">
      <c r="A168" s="10"/>
      <c r="B168" s="80" t="s">
        <v>265</v>
      </c>
      <c r="C168" s="11"/>
      <c r="D168" s="12"/>
      <c r="E168" s="11"/>
      <c r="F168" s="11"/>
      <c r="G168" s="13"/>
    </row>
    <row r="169" spans="1:7">
      <c r="A169" s="10"/>
      <c r="B169" s="80" t="s">
        <v>1331</v>
      </c>
      <c r="C169" s="11"/>
      <c r="D169" s="12"/>
      <c r="E169" s="11"/>
      <c r="F169" s="11"/>
      <c r="G169" s="13"/>
    </row>
    <row r="170" spans="1:7">
      <c r="A170" s="10"/>
      <c r="B170" s="80" t="s">
        <v>266</v>
      </c>
      <c r="C170" s="11"/>
      <c r="D170" s="12"/>
      <c r="E170" s="11"/>
      <c r="F170" s="11"/>
      <c r="G170" s="13"/>
    </row>
    <row r="171" spans="1:7">
      <c r="A171" s="10"/>
      <c r="B171" s="80" t="s">
        <v>267</v>
      </c>
      <c r="C171" s="11"/>
      <c r="D171" s="12"/>
      <c r="E171" s="11"/>
      <c r="F171" s="11"/>
      <c r="G171" s="13"/>
    </row>
    <row r="172" spans="1:7">
      <c r="A172" s="10"/>
      <c r="B172" s="77" t="s">
        <v>268</v>
      </c>
      <c r="C172" s="11"/>
      <c r="D172" s="12"/>
      <c r="E172" s="11"/>
      <c r="F172" s="11"/>
      <c r="G172" s="13"/>
    </row>
    <row r="173" spans="1:7">
      <c r="A173" s="10"/>
      <c r="B173" s="77" t="s">
        <v>269</v>
      </c>
      <c r="C173" s="11"/>
      <c r="D173" s="12"/>
      <c r="E173" s="11"/>
      <c r="F173" s="11"/>
      <c r="G173" s="13"/>
    </row>
    <row r="174" spans="1:7" ht="46">
      <c r="A174" s="10"/>
      <c r="B174" s="77" t="s">
        <v>270</v>
      </c>
      <c r="C174" s="11"/>
      <c r="D174" s="12"/>
      <c r="E174" s="11"/>
      <c r="F174" s="11"/>
      <c r="G174" s="13"/>
    </row>
    <row r="175" spans="1:7" ht="34.5">
      <c r="A175" s="10"/>
      <c r="B175" s="77" t="s">
        <v>271</v>
      </c>
      <c r="C175" s="11"/>
      <c r="D175" s="12"/>
      <c r="E175" s="11"/>
      <c r="F175" s="11"/>
      <c r="G175" s="13"/>
    </row>
    <row r="176" spans="1:7" ht="34.5">
      <c r="A176" s="10"/>
      <c r="B176" s="77" t="s">
        <v>272</v>
      </c>
      <c r="C176" s="11"/>
      <c r="D176" s="12"/>
      <c r="E176" s="11"/>
      <c r="F176" s="11"/>
      <c r="G176" s="13"/>
    </row>
    <row r="177" spans="1:7">
      <c r="A177" s="10"/>
      <c r="B177" s="77" t="s">
        <v>273</v>
      </c>
      <c r="C177" s="11"/>
      <c r="D177" s="12"/>
      <c r="E177" s="11"/>
      <c r="F177" s="11"/>
      <c r="G177" s="13"/>
    </row>
    <row r="178" spans="1:7">
      <c r="A178" s="10"/>
      <c r="B178" s="77" t="s">
        <v>274</v>
      </c>
      <c r="C178" s="11"/>
      <c r="D178" s="12"/>
      <c r="E178" s="11"/>
      <c r="F178" s="11"/>
      <c r="G178" s="13"/>
    </row>
    <row r="179" spans="1:7">
      <c r="A179" s="10"/>
      <c r="B179" s="77" t="s">
        <v>275</v>
      </c>
      <c r="C179" s="11"/>
      <c r="D179" s="12"/>
      <c r="E179" s="11"/>
      <c r="F179" s="11"/>
      <c r="G179" s="13"/>
    </row>
    <row r="180" spans="1:7">
      <c r="A180" s="10"/>
      <c r="B180" s="80" t="s">
        <v>276</v>
      </c>
      <c r="C180" s="11"/>
      <c r="D180" s="12"/>
      <c r="E180" s="11"/>
      <c r="F180" s="11"/>
      <c r="G180" s="13"/>
    </row>
    <row r="181" spans="1:7" ht="23">
      <c r="A181" s="10"/>
      <c r="B181" s="77" t="s">
        <v>277</v>
      </c>
      <c r="C181" s="11"/>
      <c r="D181" s="12"/>
      <c r="E181" s="11"/>
      <c r="F181" s="11"/>
      <c r="G181" s="13"/>
    </row>
    <row r="182" spans="1:7">
      <c r="A182" s="10"/>
      <c r="B182" s="77" t="s">
        <v>278</v>
      </c>
      <c r="C182" s="11"/>
      <c r="D182" s="12"/>
      <c r="E182" s="11"/>
      <c r="F182" s="11"/>
      <c r="G182" s="13"/>
    </row>
    <row r="183" spans="1:7">
      <c r="A183" s="500"/>
      <c r="B183" s="511"/>
      <c r="C183" s="497"/>
      <c r="D183" s="498"/>
      <c r="E183" s="497"/>
      <c r="F183" s="497"/>
      <c r="G183" s="499"/>
    </row>
    <row r="184" spans="1:7">
      <c r="A184" s="10">
        <f>A155+0.01</f>
        <v>4.0599999999999987</v>
      </c>
      <c r="B184" s="79" t="s">
        <v>1368</v>
      </c>
      <c r="C184" s="11"/>
      <c r="D184" s="12" t="s">
        <v>10</v>
      </c>
      <c r="E184" s="19">
        <v>131</v>
      </c>
      <c r="F184" s="11">
        <v>3656</v>
      </c>
      <c r="G184" s="13">
        <f>F184*E184</f>
        <v>478936</v>
      </c>
    </row>
    <row r="185" spans="1:7">
      <c r="A185" s="10"/>
      <c r="B185" s="77" t="s">
        <v>1369</v>
      </c>
      <c r="C185" s="11"/>
      <c r="D185" s="12"/>
      <c r="E185" s="11"/>
      <c r="F185" s="11"/>
      <c r="G185" s="13"/>
    </row>
    <row r="186" spans="1:7">
      <c r="A186" s="10"/>
      <c r="B186" s="77" t="s">
        <v>1370</v>
      </c>
      <c r="C186" s="11"/>
      <c r="D186" s="12"/>
      <c r="E186" s="11"/>
      <c r="F186" s="11"/>
      <c r="G186" s="13"/>
    </row>
    <row r="187" spans="1:7">
      <c r="A187" s="10"/>
      <c r="B187" s="77" t="s">
        <v>1377</v>
      </c>
      <c r="C187" s="11"/>
      <c r="D187" s="12"/>
      <c r="E187" s="11"/>
      <c r="F187" s="11"/>
      <c r="G187" s="13"/>
    </row>
    <row r="188" spans="1:7">
      <c r="A188" s="10"/>
      <c r="B188" s="77" t="s">
        <v>1371</v>
      </c>
      <c r="C188" s="11"/>
      <c r="D188" s="12"/>
      <c r="E188" s="11"/>
      <c r="F188" s="11"/>
      <c r="G188" s="13"/>
    </row>
    <row r="189" spans="1:7">
      <c r="A189" s="10"/>
      <c r="B189" s="77" t="s">
        <v>1378</v>
      </c>
      <c r="C189" s="11"/>
      <c r="D189" s="12"/>
      <c r="E189" s="11"/>
      <c r="F189" s="11"/>
      <c r="G189" s="13"/>
    </row>
    <row r="190" spans="1:7">
      <c r="A190" s="10"/>
      <c r="B190" s="77" t="s">
        <v>1372</v>
      </c>
      <c r="C190" s="11"/>
      <c r="D190" s="12"/>
      <c r="E190" s="11"/>
      <c r="F190" s="11"/>
      <c r="G190" s="13"/>
    </row>
    <row r="191" spans="1:7">
      <c r="A191" s="10"/>
      <c r="B191" s="77" t="s">
        <v>1379</v>
      </c>
      <c r="C191" s="11"/>
      <c r="D191" s="12"/>
      <c r="E191" s="11"/>
      <c r="F191" s="11"/>
      <c r="G191" s="13"/>
    </row>
    <row r="192" spans="1:7">
      <c r="A192" s="10"/>
      <c r="B192" s="77" t="s">
        <v>1380</v>
      </c>
      <c r="C192" s="11"/>
      <c r="D192" s="12"/>
      <c r="E192" s="11"/>
      <c r="F192" s="11"/>
      <c r="G192" s="13"/>
    </row>
    <row r="193" spans="1:7">
      <c r="A193" s="10"/>
      <c r="B193" s="77" t="s">
        <v>1381</v>
      </c>
      <c r="C193" s="11"/>
      <c r="D193" s="12"/>
      <c r="E193" s="11"/>
      <c r="F193" s="11"/>
      <c r="G193" s="13"/>
    </row>
    <row r="194" spans="1:7">
      <c r="A194" s="10"/>
      <c r="B194" s="77" t="s">
        <v>1382</v>
      </c>
      <c r="C194" s="11"/>
      <c r="D194" s="12"/>
      <c r="E194" s="11"/>
      <c r="F194" s="11"/>
      <c r="G194" s="13"/>
    </row>
    <row r="195" spans="1:7">
      <c r="A195" s="10"/>
      <c r="B195" s="77" t="s">
        <v>1383</v>
      </c>
      <c r="C195" s="11"/>
      <c r="D195" s="12"/>
      <c r="E195" s="11"/>
      <c r="F195" s="11"/>
      <c r="G195" s="13"/>
    </row>
    <row r="196" spans="1:7">
      <c r="A196" s="10"/>
      <c r="B196" s="77" t="s">
        <v>1373</v>
      </c>
      <c r="C196" s="11"/>
      <c r="D196" s="12"/>
      <c r="E196" s="11"/>
      <c r="F196" s="11"/>
      <c r="G196" s="13"/>
    </row>
    <row r="197" spans="1:7">
      <c r="A197" s="10"/>
      <c r="B197" s="77" t="s">
        <v>1384</v>
      </c>
      <c r="C197" s="11"/>
      <c r="D197" s="12"/>
      <c r="E197" s="11"/>
      <c r="F197" s="11"/>
      <c r="G197" s="13"/>
    </row>
    <row r="198" spans="1:7">
      <c r="A198" s="10"/>
      <c r="B198" s="77" t="s">
        <v>1385</v>
      </c>
      <c r="C198" s="11"/>
      <c r="D198" s="12"/>
      <c r="E198" s="11"/>
      <c r="F198" s="11"/>
      <c r="G198" s="13"/>
    </row>
    <row r="199" spans="1:7">
      <c r="A199" s="10"/>
      <c r="B199" s="77" t="s">
        <v>1386</v>
      </c>
      <c r="C199" s="11"/>
      <c r="D199" s="12"/>
      <c r="E199" s="11"/>
      <c r="F199" s="11"/>
      <c r="G199" s="13"/>
    </row>
    <row r="200" spans="1:7">
      <c r="A200" s="10"/>
      <c r="B200" s="77" t="s">
        <v>1387</v>
      </c>
      <c r="C200" s="11"/>
      <c r="D200" s="12"/>
      <c r="E200" s="11"/>
      <c r="F200" s="11"/>
      <c r="G200" s="13"/>
    </row>
    <row r="201" spans="1:7">
      <c r="A201" s="10"/>
      <c r="B201" s="77" t="s">
        <v>1388</v>
      </c>
      <c r="C201" s="11"/>
      <c r="D201" s="12"/>
      <c r="E201" s="11"/>
      <c r="F201" s="11"/>
      <c r="G201" s="13"/>
    </row>
    <row r="202" spans="1:7">
      <c r="A202" s="10"/>
      <c r="B202" s="77" t="s">
        <v>269</v>
      </c>
      <c r="C202" s="11"/>
      <c r="D202" s="12"/>
      <c r="E202" s="11"/>
      <c r="F202" s="11"/>
      <c r="G202" s="13"/>
    </row>
    <row r="203" spans="1:7" ht="46">
      <c r="A203" s="10"/>
      <c r="B203" s="77" t="s">
        <v>1374</v>
      </c>
      <c r="C203" s="11"/>
      <c r="D203" s="12"/>
      <c r="E203" s="11"/>
      <c r="F203" s="11"/>
      <c r="G203" s="13"/>
    </row>
    <row r="204" spans="1:7" ht="34.5">
      <c r="A204" s="10"/>
      <c r="B204" s="77" t="s">
        <v>1375</v>
      </c>
      <c r="C204" s="11"/>
      <c r="D204" s="12"/>
      <c r="E204" s="11"/>
      <c r="F204" s="11"/>
      <c r="G204" s="13"/>
    </row>
    <row r="205" spans="1:7" ht="34.5">
      <c r="A205" s="10"/>
      <c r="B205" s="77" t="s">
        <v>272</v>
      </c>
      <c r="C205" s="11"/>
      <c r="D205" s="12"/>
      <c r="E205" s="11"/>
      <c r="F205" s="11"/>
      <c r="G205" s="13"/>
    </row>
    <row r="206" spans="1:7">
      <c r="A206" s="10"/>
      <c r="B206" s="77" t="s">
        <v>273</v>
      </c>
      <c r="C206" s="11"/>
      <c r="D206" s="12"/>
      <c r="E206" s="11"/>
      <c r="F206" s="11"/>
      <c r="G206" s="13"/>
    </row>
    <row r="207" spans="1:7">
      <c r="A207" s="10"/>
      <c r="B207" s="77" t="s">
        <v>1389</v>
      </c>
      <c r="C207" s="11"/>
      <c r="D207" s="12"/>
      <c r="E207" s="11"/>
      <c r="F207" s="11"/>
      <c r="G207" s="13"/>
    </row>
    <row r="208" spans="1:7">
      <c r="A208" s="10"/>
      <c r="B208" s="77" t="s">
        <v>1390</v>
      </c>
      <c r="C208" s="11"/>
      <c r="D208" s="12"/>
      <c r="E208" s="11"/>
      <c r="F208" s="11"/>
      <c r="G208" s="13"/>
    </row>
    <row r="209" spans="1:8">
      <c r="A209" s="10"/>
      <c r="B209" s="77" t="s">
        <v>1391</v>
      </c>
      <c r="C209" s="11"/>
      <c r="D209" s="12"/>
      <c r="E209" s="11"/>
      <c r="F209" s="11"/>
      <c r="G209" s="13"/>
    </row>
    <row r="210" spans="1:8" ht="23">
      <c r="A210" s="10"/>
      <c r="B210" s="77" t="s">
        <v>277</v>
      </c>
      <c r="C210" s="11"/>
      <c r="D210" s="12"/>
      <c r="E210" s="11"/>
      <c r="F210" s="11"/>
      <c r="G210" s="13"/>
    </row>
    <row r="211" spans="1:8">
      <c r="A211" s="10"/>
      <c r="B211" s="77" t="s">
        <v>278</v>
      </c>
      <c r="C211" s="11"/>
      <c r="D211" s="12"/>
      <c r="E211" s="11"/>
      <c r="F211" s="11"/>
      <c r="G211" s="13"/>
    </row>
    <row r="212" spans="1:8" ht="23">
      <c r="A212" s="10"/>
      <c r="B212" s="77" t="s">
        <v>1376</v>
      </c>
      <c r="C212" s="11"/>
      <c r="D212" s="12"/>
      <c r="E212" s="11"/>
      <c r="F212" s="11"/>
      <c r="G212" s="13"/>
    </row>
    <row r="213" spans="1:8" s="952" customFormat="1">
      <c r="A213" s="500"/>
      <c r="B213" s="511"/>
      <c r="C213" s="951"/>
      <c r="D213" s="498"/>
      <c r="E213" s="951"/>
      <c r="F213" s="951"/>
      <c r="G213" s="499"/>
    </row>
    <row r="214" spans="1:8" s="952" customFormat="1">
      <c r="A214" s="10">
        <f>A184+0.01</f>
        <v>4.0699999999999985</v>
      </c>
      <c r="B214" s="79" t="s">
        <v>2133</v>
      </c>
      <c r="C214" s="11"/>
      <c r="D214" s="12" t="s">
        <v>31</v>
      </c>
      <c r="E214" s="19">
        <v>258</v>
      </c>
      <c r="F214" s="19">
        <v>933</v>
      </c>
      <c r="G214" s="13">
        <f>F214*E214</f>
        <v>240714</v>
      </c>
    </row>
    <row r="215" spans="1:8" s="952" customFormat="1" ht="69">
      <c r="A215" s="10"/>
      <c r="B215" s="77" t="s">
        <v>2134</v>
      </c>
      <c r="C215" s="11"/>
      <c r="D215" s="12"/>
      <c r="E215" s="11"/>
      <c r="F215" s="11"/>
      <c r="G215" s="13"/>
    </row>
    <row r="216" spans="1:8">
      <c r="A216" s="500"/>
      <c r="B216" s="511"/>
      <c r="C216" s="497"/>
      <c r="D216" s="498"/>
      <c r="E216" s="497"/>
      <c r="F216" s="497"/>
      <c r="G216" s="499"/>
    </row>
    <row r="217" spans="1:8">
      <c r="A217" s="10">
        <f>A184+0.01</f>
        <v>4.0699999999999985</v>
      </c>
      <c r="B217" s="79" t="s">
        <v>1999</v>
      </c>
      <c r="C217" s="11"/>
      <c r="D217" s="12" t="s">
        <v>31</v>
      </c>
      <c r="E217" s="19">
        <v>32</v>
      </c>
      <c r="F217" s="11">
        <v>4568</v>
      </c>
      <c r="G217" s="13">
        <f>F217*E217</f>
        <v>146176</v>
      </c>
    </row>
    <row r="218" spans="1:8">
      <c r="A218" s="500"/>
      <c r="B218" s="511" t="s">
        <v>2063</v>
      </c>
      <c r="C218" s="497"/>
      <c r="D218" s="498"/>
      <c r="E218" s="497"/>
      <c r="F218" s="497"/>
      <c r="G218" s="499"/>
    </row>
    <row r="219" spans="1:8" ht="104.5" customHeight="1">
      <c r="A219" s="500"/>
      <c r="B219" s="511" t="s">
        <v>2229</v>
      </c>
      <c r="C219" s="497"/>
      <c r="D219" s="498"/>
      <c r="E219" s="497"/>
      <c r="F219" s="497"/>
      <c r="G219" s="499"/>
    </row>
    <row r="220" spans="1:8">
      <c r="A220" s="500"/>
      <c r="B220" s="511"/>
      <c r="C220" s="497"/>
      <c r="D220" s="498"/>
      <c r="E220" s="497"/>
      <c r="F220" s="497"/>
      <c r="G220" s="499"/>
    </row>
    <row r="221" spans="1:8">
      <c r="A221" s="10">
        <f>A217+0.01</f>
        <v>4.0799999999999983</v>
      </c>
      <c r="B221" s="79" t="s">
        <v>2064</v>
      </c>
      <c r="C221" s="11"/>
      <c r="D221" s="12" t="s">
        <v>10</v>
      </c>
      <c r="E221" s="19">
        <v>41</v>
      </c>
      <c r="F221" s="74">
        <v>8489</v>
      </c>
      <c r="G221" s="13">
        <f>F221*E221</f>
        <v>348049</v>
      </c>
    </row>
    <row r="222" spans="1:8" ht="109.5" customHeight="1">
      <c r="A222" s="11"/>
      <c r="B222" s="77" t="s">
        <v>2524</v>
      </c>
      <c r="C222" s="485"/>
      <c r="D222" s="12"/>
      <c r="E222" s="11"/>
      <c r="F222" s="74"/>
      <c r="G222" s="13"/>
    </row>
    <row r="223" spans="1:8">
      <c r="A223" s="497"/>
      <c r="B223" s="511"/>
      <c r="C223"/>
      <c r="D223" s="498"/>
      <c r="E223" s="497"/>
      <c r="F223" s="941"/>
      <c r="G223" s="499"/>
    </row>
    <row r="224" spans="1:8">
      <c r="A224" s="10">
        <f>A221+0.01</f>
        <v>4.0899999999999981</v>
      </c>
      <c r="B224" s="79" t="s">
        <v>2066</v>
      </c>
      <c r="C224" s="11"/>
      <c r="D224" s="12" t="s">
        <v>10</v>
      </c>
      <c r="E224" s="19">
        <v>139</v>
      </c>
      <c r="F224" s="74">
        <v>5380</v>
      </c>
      <c r="G224" s="912">
        <f>F224*E224</f>
        <v>747820</v>
      </c>
      <c r="H224" s="378"/>
    </row>
    <row r="225" spans="1:8" ht="101.5">
      <c r="A225" s="11"/>
      <c r="B225" s="14" t="s">
        <v>2230</v>
      </c>
      <c r="C225" s="485"/>
      <c r="D225" s="12"/>
      <c r="E225" s="11"/>
      <c r="F225" s="74"/>
      <c r="G225" s="13"/>
      <c r="H225" s="378"/>
    </row>
    <row r="226" spans="1:8">
      <c r="A226" s="497"/>
      <c r="B226" s="511"/>
      <c r="C226"/>
      <c r="D226" s="498"/>
      <c r="E226" s="497"/>
      <c r="F226" s="941"/>
      <c r="G226" s="499"/>
    </row>
    <row r="227" spans="1:8">
      <c r="A227" s="81">
        <f>A224+0.01</f>
        <v>4.0999999999999979</v>
      </c>
      <c r="B227" s="79" t="s">
        <v>2068</v>
      </c>
      <c r="C227" s="11"/>
      <c r="D227" s="12" t="s">
        <v>10</v>
      </c>
      <c r="E227" s="19">
        <v>79</v>
      </c>
      <c r="F227" s="74">
        <v>8300</v>
      </c>
      <c r="G227" s="912">
        <f>F227*E227</f>
        <v>655700</v>
      </c>
      <c r="H227" s="378"/>
    </row>
    <row r="228" spans="1:8" ht="87">
      <c r="A228" s="11"/>
      <c r="B228" s="14" t="s">
        <v>2069</v>
      </c>
      <c r="C228" s="11"/>
      <c r="D228" s="12"/>
      <c r="E228" s="11"/>
      <c r="F228" s="74"/>
      <c r="G228" s="13"/>
      <c r="H228" s="378"/>
    </row>
    <row r="229" spans="1:8">
      <c r="A229" s="497"/>
      <c r="B229" s="511"/>
      <c r="C229"/>
      <c r="D229" s="498"/>
      <c r="E229" s="497"/>
      <c r="F229" s="941"/>
      <c r="G229" s="499"/>
    </row>
    <row r="230" spans="1:8">
      <c r="A230" s="10">
        <f>A227+0.01</f>
        <v>4.1099999999999977</v>
      </c>
      <c r="B230" s="79" t="s">
        <v>2071</v>
      </c>
      <c r="C230" s="11"/>
      <c r="D230" s="12" t="s">
        <v>10</v>
      </c>
      <c r="E230" s="19">
        <v>8</v>
      </c>
      <c r="F230" s="74">
        <v>6728</v>
      </c>
      <c r="G230" s="912">
        <f>F230*E230</f>
        <v>53824</v>
      </c>
      <c r="H230" s="378"/>
    </row>
    <row r="231" spans="1:8" ht="87">
      <c r="A231" s="11"/>
      <c r="B231" s="14" t="s">
        <v>2072</v>
      </c>
      <c r="C231"/>
      <c r="D231" s="12"/>
      <c r="E231" s="11"/>
      <c r="F231" s="74"/>
      <c r="G231" s="13"/>
      <c r="H231" s="378"/>
    </row>
    <row r="232" spans="1:8">
      <c r="A232" s="11"/>
      <c r="B232"/>
      <c r="C232" s="11"/>
      <c r="D232" s="12"/>
      <c r="E232" s="11"/>
      <c r="F232" s="74"/>
      <c r="G232" s="13"/>
      <c r="H232" s="378"/>
    </row>
    <row r="233" spans="1:8">
      <c r="A233" s="10">
        <f>A227+0.01</f>
        <v>4.1099999999999977</v>
      </c>
      <c r="B233" s="79" t="s">
        <v>1338</v>
      </c>
      <c r="C233" s="11"/>
      <c r="D233" s="12" t="s">
        <v>10</v>
      </c>
      <c r="E233" s="19">
        <v>18</v>
      </c>
      <c r="F233" s="74">
        <v>3079</v>
      </c>
      <c r="G233" s="13">
        <f>F233*E233</f>
        <v>55422</v>
      </c>
    </row>
    <row r="234" spans="1:8" ht="87">
      <c r="A234" s="11"/>
      <c r="B234" s="507" t="s">
        <v>1336</v>
      </c>
      <c r="C234" s="11"/>
      <c r="D234" s="12"/>
      <c r="E234" s="11"/>
      <c r="F234" s="11"/>
      <c r="G234" s="13"/>
    </row>
    <row r="235" spans="1:8">
      <c r="A235" s="11"/>
      <c r="B235" s="14"/>
      <c r="C235" s="11"/>
      <c r="D235" s="12"/>
      <c r="E235" s="11"/>
      <c r="F235" s="11"/>
      <c r="G235" s="13"/>
    </row>
    <row r="236" spans="1:8">
      <c r="A236" s="10">
        <f>A233+0.01</f>
        <v>4.1199999999999974</v>
      </c>
      <c r="B236" s="79" t="s">
        <v>2075</v>
      </c>
      <c r="C236" s="11"/>
      <c r="D236" s="12" t="s">
        <v>10</v>
      </c>
      <c r="E236" s="19">
        <v>80</v>
      </c>
      <c r="F236" s="11">
        <v>5081</v>
      </c>
      <c r="G236" s="13">
        <f>F236*E236</f>
        <v>406480</v>
      </c>
    </row>
    <row r="237" spans="1:8" ht="101.5">
      <c r="A237" s="11"/>
      <c r="B237" s="14" t="s">
        <v>2076</v>
      </c>
      <c r="C237" s="11"/>
      <c r="D237" s="12"/>
      <c r="E237" s="11"/>
      <c r="F237" s="11"/>
      <c r="G237" s="13"/>
    </row>
    <row r="238" spans="1:8">
      <c r="A238" s="11"/>
      <c r="B238" s="14"/>
      <c r="C238" s="11"/>
      <c r="D238" s="12"/>
      <c r="E238" s="11"/>
      <c r="F238" s="11"/>
      <c r="G238" s="13"/>
    </row>
    <row r="239" spans="1:8">
      <c r="A239" s="10">
        <f>A236+0.01</f>
        <v>4.1299999999999972</v>
      </c>
      <c r="B239" s="79" t="s">
        <v>294</v>
      </c>
      <c r="C239" s="11"/>
      <c r="D239" s="12" t="s">
        <v>10</v>
      </c>
      <c r="E239" s="19">
        <v>67</v>
      </c>
      <c r="F239" s="11">
        <v>5230</v>
      </c>
      <c r="G239" s="13">
        <f>F239*E239</f>
        <v>350410</v>
      </c>
    </row>
    <row r="240" spans="1:8" ht="101.5">
      <c r="A240" s="11"/>
      <c r="B240" s="14" t="s">
        <v>1341</v>
      </c>
      <c r="C240" s="37" t="s">
        <v>2573</v>
      </c>
      <c r="D240" s="12"/>
      <c r="E240" s="11"/>
      <c r="F240" s="11"/>
      <c r="G240" s="13"/>
    </row>
    <row r="241" spans="1:7" s="952" customFormat="1">
      <c r="A241" s="11"/>
      <c r="B241" s="14"/>
      <c r="C241" s="11"/>
      <c r="D241" s="12"/>
      <c r="E241" s="11"/>
      <c r="F241" s="11"/>
      <c r="G241" s="13"/>
    </row>
    <row r="242" spans="1:7" s="952" customFormat="1">
      <c r="A242" s="10">
        <f>A239+0.01</f>
        <v>4.139999999999997</v>
      </c>
      <c r="B242" s="79" t="s">
        <v>2137</v>
      </c>
      <c r="C242" s="11"/>
      <c r="D242" s="12" t="s">
        <v>10</v>
      </c>
      <c r="E242" s="19">
        <v>6</v>
      </c>
      <c r="F242" s="74">
        <v>16819</v>
      </c>
      <c r="G242" s="13">
        <f>F242*E242</f>
        <v>100914</v>
      </c>
    </row>
    <row r="243" spans="1:7" s="952" customFormat="1" ht="101.5">
      <c r="A243" s="11"/>
      <c r="B243" s="14" t="s">
        <v>2138</v>
      </c>
      <c r="C243" s="11"/>
      <c r="D243" s="12"/>
      <c r="E243" s="11"/>
      <c r="F243" s="11"/>
      <c r="G243" s="13"/>
    </row>
    <row r="244" spans="1:7" s="35" customFormat="1">
      <c r="A244" s="36"/>
      <c r="B244" s="49"/>
      <c r="C244" s="49"/>
      <c r="D244" s="68"/>
      <c r="E244" s="69"/>
      <c r="F244" s="69"/>
      <c r="G244" s="63"/>
    </row>
    <row r="245" spans="1:7" s="35" customFormat="1">
      <c r="A245" s="10">
        <f>A242+0.01</f>
        <v>4.1499999999999968</v>
      </c>
      <c r="B245" s="64" t="s">
        <v>139</v>
      </c>
      <c r="C245" s="49"/>
      <c r="D245" s="67" t="s">
        <v>31</v>
      </c>
      <c r="E245" s="69">
        <v>179</v>
      </c>
      <c r="F245" s="69">
        <v>1435</v>
      </c>
      <c r="G245" s="13">
        <f>F245*E245</f>
        <v>256865</v>
      </c>
    </row>
    <row r="246" spans="1:7" s="35" customFormat="1" ht="87">
      <c r="A246" s="36"/>
      <c r="B246" s="49" t="s">
        <v>140</v>
      </c>
      <c r="C246" s="49"/>
      <c r="D246" s="68"/>
      <c r="E246" s="69"/>
      <c r="F246" s="69"/>
      <c r="G246" s="63"/>
    </row>
    <row r="247" spans="1:7">
      <c r="A247" s="11"/>
      <c r="B247" s="11"/>
      <c r="C247" s="11"/>
      <c r="D247" s="12"/>
      <c r="E247" s="11"/>
      <c r="F247" s="11"/>
      <c r="G247" s="13"/>
    </row>
    <row r="248" spans="1:7">
      <c r="A248" s="22"/>
      <c r="B248" s="22" t="s">
        <v>24</v>
      </c>
      <c r="C248" s="22"/>
      <c r="D248" s="22"/>
      <c r="E248" s="22"/>
      <c r="F248" s="22"/>
      <c r="G248" s="23">
        <f>SUM(G113:G247)</f>
        <v>5418443</v>
      </c>
    </row>
    <row r="249" spans="1:7">
      <c r="A249" s="11"/>
      <c r="B249" s="11"/>
      <c r="C249" s="11"/>
      <c r="D249" s="12"/>
      <c r="E249" s="11"/>
      <c r="F249" s="11"/>
      <c r="G249" s="13"/>
    </row>
    <row r="250" spans="1:7">
      <c r="A250" s="10">
        <v>5</v>
      </c>
      <c r="B250" s="10" t="s">
        <v>43</v>
      </c>
      <c r="C250" s="11"/>
      <c r="D250" s="12"/>
      <c r="E250" s="11"/>
      <c r="F250" s="11"/>
      <c r="G250" s="13"/>
    </row>
    <row r="251" spans="1:7">
      <c r="A251" s="10">
        <f>A250+0.01</f>
        <v>5.01</v>
      </c>
      <c r="B251" s="10" t="s">
        <v>44</v>
      </c>
      <c r="C251" s="11"/>
      <c r="D251" s="12" t="s">
        <v>10</v>
      </c>
      <c r="E251" s="19">
        <v>2518</v>
      </c>
      <c r="F251" s="11">
        <v>1816</v>
      </c>
      <c r="G251" s="13">
        <f>F251*E251</f>
        <v>4572688</v>
      </c>
    </row>
    <row r="252" spans="1:7" ht="101.5">
      <c r="A252" s="11"/>
      <c r="B252" s="14" t="s">
        <v>1153</v>
      </c>
      <c r="C252" s="11"/>
      <c r="D252" s="12"/>
      <c r="E252" s="11"/>
      <c r="F252" s="11"/>
      <c r="G252" s="13"/>
    </row>
    <row r="253" spans="1:7">
      <c r="A253" s="11"/>
      <c r="B253" s="11"/>
      <c r="C253" s="11"/>
      <c r="D253" s="12"/>
      <c r="E253" s="11"/>
      <c r="F253" s="11"/>
      <c r="G253" s="13"/>
    </row>
    <row r="254" spans="1:7">
      <c r="A254" s="10">
        <f>A251+0.01</f>
        <v>5.0199999999999996</v>
      </c>
      <c r="B254" s="10" t="s">
        <v>211</v>
      </c>
      <c r="C254" s="11"/>
      <c r="D254" s="12" t="s">
        <v>10</v>
      </c>
      <c r="E254" s="19">
        <v>0</v>
      </c>
      <c r="F254" s="11">
        <v>875</v>
      </c>
      <c r="G254" s="13">
        <f>F254*E254</f>
        <v>0</v>
      </c>
    </row>
    <row r="255" spans="1:7" ht="275.5">
      <c r="A255" s="11"/>
      <c r="B255" s="14" t="s">
        <v>212</v>
      </c>
      <c r="C255" s="11"/>
      <c r="D255" s="12"/>
      <c r="E255" s="11"/>
      <c r="F255" s="11"/>
      <c r="G255" s="13"/>
    </row>
    <row r="256" spans="1:7">
      <c r="A256" s="11"/>
      <c r="B256" s="11"/>
      <c r="C256" s="11"/>
      <c r="D256" s="12"/>
      <c r="E256" s="11"/>
      <c r="F256" s="11"/>
      <c r="G256" s="13"/>
    </row>
    <row r="257" spans="1:7">
      <c r="A257" s="10">
        <f>A254+0.01</f>
        <v>5.0299999999999994</v>
      </c>
      <c r="B257" s="10" t="s">
        <v>2036</v>
      </c>
      <c r="C257" s="11"/>
      <c r="D257" s="12" t="s">
        <v>10</v>
      </c>
      <c r="E257" s="19">
        <v>0</v>
      </c>
      <c r="F257" s="11">
        <v>2018</v>
      </c>
      <c r="G257" s="13">
        <f>F257*E257</f>
        <v>0</v>
      </c>
    </row>
    <row r="258" spans="1:7" ht="116">
      <c r="A258" s="11"/>
      <c r="B258" s="14" t="s">
        <v>2037</v>
      </c>
      <c r="C258" s="11"/>
      <c r="D258" s="12"/>
      <c r="E258" s="11"/>
      <c r="F258" s="11"/>
      <c r="G258" s="13"/>
    </row>
    <row r="259" spans="1:7">
      <c r="A259" s="11"/>
      <c r="B259" s="11"/>
      <c r="C259" s="11"/>
      <c r="D259" s="12"/>
      <c r="E259" s="11"/>
      <c r="F259" s="11"/>
      <c r="G259" s="13"/>
    </row>
    <row r="260" spans="1:7">
      <c r="A260" s="10">
        <f>A254+0.01</f>
        <v>5.0299999999999994</v>
      </c>
      <c r="B260" s="10" t="s">
        <v>1366</v>
      </c>
      <c r="C260" s="11"/>
      <c r="D260" s="12" t="s">
        <v>10</v>
      </c>
      <c r="E260" s="19">
        <v>24</v>
      </c>
      <c r="F260" s="11">
        <v>5853</v>
      </c>
      <c r="G260" s="13">
        <f>F260*E260</f>
        <v>140472</v>
      </c>
    </row>
    <row r="261" spans="1:7" ht="58">
      <c r="A261" s="11"/>
      <c r="B261" s="379" t="s">
        <v>1360</v>
      </c>
      <c r="C261" s="11"/>
      <c r="D261" s="12"/>
      <c r="E261" s="11"/>
      <c r="F261" s="11"/>
      <c r="G261" s="13"/>
    </row>
    <row r="262" spans="1:7">
      <c r="A262" s="11"/>
      <c r="B262" s="11"/>
      <c r="C262" s="11"/>
      <c r="D262" s="12"/>
      <c r="E262" s="11"/>
      <c r="F262" s="11"/>
      <c r="G262" s="13"/>
    </row>
    <row r="263" spans="1:7">
      <c r="A263" s="10">
        <f>A260+0.01</f>
        <v>5.0399999999999991</v>
      </c>
      <c r="B263" s="10" t="s">
        <v>1364</v>
      </c>
      <c r="C263" s="11"/>
      <c r="D263" s="12" t="s">
        <v>10</v>
      </c>
      <c r="E263" s="19">
        <v>0</v>
      </c>
      <c r="F263" s="11">
        <v>5348</v>
      </c>
      <c r="G263" s="13">
        <f>F263*E263</f>
        <v>0</v>
      </c>
    </row>
    <row r="264" spans="1:7" ht="58">
      <c r="A264" s="11"/>
      <c r="B264" s="379" t="s">
        <v>1365</v>
      </c>
      <c r="C264" s="11"/>
      <c r="D264" s="12"/>
      <c r="E264" s="11"/>
      <c r="F264" s="11"/>
      <c r="G264" s="13"/>
    </row>
    <row r="265" spans="1:7">
      <c r="A265" s="11"/>
      <c r="B265" s="11"/>
      <c r="C265" s="11"/>
      <c r="D265" s="12"/>
      <c r="E265" s="11"/>
      <c r="F265" s="11"/>
      <c r="G265" s="13"/>
    </row>
    <row r="266" spans="1:7">
      <c r="A266" s="10">
        <f>A263+0.01</f>
        <v>5.0499999999999989</v>
      </c>
      <c r="B266" s="10" t="s">
        <v>2508</v>
      </c>
      <c r="C266" s="11"/>
      <c r="D266" s="12" t="s">
        <v>10</v>
      </c>
      <c r="E266" s="19">
        <v>80</v>
      </c>
      <c r="F266" s="11">
        <v>4743</v>
      </c>
      <c r="G266" s="13">
        <f>F266*E266</f>
        <v>379440</v>
      </c>
    </row>
    <row r="267" spans="1:7" ht="58">
      <c r="A267" s="11"/>
      <c r="B267" s="379" t="s">
        <v>1367</v>
      </c>
      <c r="C267" s="11"/>
      <c r="D267" s="12"/>
      <c r="E267" s="11"/>
      <c r="F267" s="11"/>
      <c r="G267" s="13"/>
    </row>
    <row r="268" spans="1:7">
      <c r="A268" s="11"/>
      <c r="B268" s="11"/>
      <c r="C268" s="11"/>
      <c r="D268" s="12"/>
      <c r="E268" s="11"/>
      <c r="F268" s="11"/>
      <c r="G268" s="13"/>
    </row>
    <row r="269" spans="1:7">
      <c r="A269" s="1418">
        <f>A266+0.01</f>
        <v>5.0599999999999987</v>
      </c>
      <c r="B269" s="1418" t="s">
        <v>309</v>
      </c>
      <c r="C269" s="74"/>
      <c r="D269" s="1419" t="s">
        <v>10</v>
      </c>
      <c r="E269" s="380">
        <v>317</v>
      </c>
      <c r="F269" s="74">
        <v>4037</v>
      </c>
      <c r="G269" s="912">
        <f>F269*E269</f>
        <v>1279729</v>
      </c>
    </row>
    <row r="270" spans="1:7" ht="217.5">
      <c r="A270" s="74"/>
      <c r="B270" s="379" t="s">
        <v>2509</v>
      </c>
      <c r="C270" s="74"/>
      <c r="D270" s="1419"/>
      <c r="E270" s="74"/>
      <c r="F270" s="74"/>
      <c r="G270" s="912"/>
    </row>
    <row r="271" spans="1:7">
      <c r="A271" s="11"/>
      <c r="B271" s="11"/>
      <c r="C271" s="11"/>
      <c r="D271" s="12"/>
      <c r="E271" s="11"/>
      <c r="F271" s="11"/>
      <c r="G271" s="13"/>
    </row>
    <row r="272" spans="1:7">
      <c r="A272" s="10">
        <f>A269+0.01</f>
        <v>5.0699999999999985</v>
      </c>
      <c r="B272" s="10" t="s">
        <v>1396</v>
      </c>
      <c r="C272" s="11"/>
      <c r="D272" s="12" t="s">
        <v>10</v>
      </c>
      <c r="E272" s="19">
        <v>422</v>
      </c>
      <c r="F272" s="11">
        <v>807</v>
      </c>
      <c r="G272" s="13">
        <f>F272*E272</f>
        <v>340554</v>
      </c>
    </row>
    <row r="273" spans="1:7" ht="43.5">
      <c r="A273" s="11"/>
      <c r="B273" s="14" t="s">
        <v>1397</v>
      </c>
      <c r="C273" s="11"/>
      <c r="D273" s="12"/>
      <c r="E273" s="11"/>
      <c r="F273" s="11"/>
      <c r="G273" s="13"/>
    </row>
    <row r="274" spans="1:7">
      <c r="A274" s="11"/>
      <c r="B274" s="14"/>
      <c r="C274" s="11"/>
      <c r="D274" s="12"/>
      <c r="E274" s="11"/>
      <c r="F274" s="11"/>
      <c r="G274" s="13"/>
    </row>
    <row r="275" spans="1:7">
      <c r="A275" s="10">
        <f>A272+0.01</f>
        <v>5.0799999999999983</v>
      </c>
      <c r="B275" s="29" t="s">
        <v>47</v>
      </c>
      <c r="C275" s="11"/>
      <c r="D275" s="12" t="s">
        <v>10</v>
      </c>
      <c r="E275" s="19">
        <v>54</v>
      </c>
      <c r="F275" s="19">
        <v>1278</v>
      </c>
      <c r="G275" s="13">
        <f>F275*E275</f>
        <v>69012</v>
      </c>
    </row>
    <row r="276" spans="1:7" ht="43.5">
      <c r="A276" s="11"/>
      <c r="B276" s="30" t="s">
        <v>48</v>
      </c>
      <c r="C276" s="11"/>
      <c r="D276" s="12"/>
      <c r="E276" s="11"/>
      <c r="F276" s="11"/>
      <c r="G276" s="13"/>
    </row>
    <row r="277" spans="1:7" s="952" customFormat="1">
      <c r="A277" s="11"/>
      <c r="B277" s="14"/>
      <c r="C277" s="11"/>
      <c r="D277" s="12"/>
      <c r="E277" s="11"/>
      <c r="F277" s="11"/>
      <c r="G277" s="13"/>
    </row>
    <row r="278" spans="1:7" s="952" customFormat="1">
      <c r="A278" s="10">
        <f>A275+0.01</f>
        <v>5.0899999999999981</v>
      </c>
      <c r="B278" s="29" t="s">
        <v>2148</v>
      </c>
      <c r="C278" s="11"/>
      <c r="D278" s="12" t="s">
        <v>10</v>
      </c>
      <c r="E278" s="19">
        <v>81</v>
      </c>
      <c r="F278" s="19">
        <v>2018</v>
      </c>
      <c r="G278" s="13">
        <f>F278*E278</f>
        <v>163458</v>
      </c>
    </row>
    <row r="279" spans="1:7" s="952" customFormat="1" ht="43.5">
      <c r="A279" s="11"/>
      <c r="B279" s="30" t="s">
        <v>2149</v>
      </c>
      <c r="C279" s="11"/>
      <c r="D279" s="12"/>
      <c r="E279" s="11"/>
      <c r="F279" s="11"/>
      <c r="G279" s="13"/>
    </row>
    <row r="280" spans="1:7">
      <c r="A280" s="11"/>
      <c r="B280" s="11"/>
      <c r="C280" s="11"/>
      <c r="D280" s="12"/>
      <c r="E280" s="11"/>
      <c r="F280" s="11"/>
      <c r="G280" s="13"/>
    </row>
    <row r="281" spans="1:7">
      <c r="A281" s="10">
        <f>A275+0.01</f>
        <v>5.0899999999999981</v>
      </c>
      <c r="B281" s="29" t="s">
        <v>50</v>
      </c>
      <c r="C281" s="11"/>
      <c r="D281" s="12" t="s">
        <v>10</v>
      </c>
      <c r="E281" s="19">
        <v>3866</v>
      </c>
      <c r="F281" s="19">
        <v>471</v>
      </c>
      <c r="G281" s="13">
        <f>F281*E281</f>
        <v>1820886</v>
      </c>
    </row>
    <row r="282" spans="1:7" ht="58">
      <c r="A282" s="11"/>
      <c r="B282" s="30" t="s">
        <v>51</v>
      </c>
      <c r="C282" s="11"/>
      <c r="D282" s="12"/>
      <c r="E282" s="11"/>
      <c r="F282" s="11"/>
      <c r="G282" s="13"/>
    </row>
    <row r="283" spans="1:7">
      <c r="A283" s="11"/>
      <c r="B283" s="11"/>
      <c r="C283" s="11"/>
      <c r="D283" s="12"/>
      <c r="E283" s="11"/>
      <c r="F283" s="11"/>
      <c r="G283" s="13"/>
    </row>
    <row r="284" spans="1:7">
      <c r="A284" s="10">
        <f>A281+0.01</f>
        <v>5.0999999999999979</v>
      </c>
      <c r="B284" s="29" t="s">
        <v>1400</v>
      </c>
      <c r="C284" s="11"/>
      <c r="D284" s="12" t="s">
        <v>10</v>
      </c>
      <c r="E284" s="19">
        <v>175</v>
      </c>
      <c r="F284" s="19">
        <v>740</v>
      </c>
      <c r="G284" s="13">
        <f>F284*E284</f>
        <v>129500</v>
      </c>
    </row>
    <row r="285" spans="1:7" ht="58">
      <c r="A285" s="11"/>
      <c r="B285" s="30" t="s">
        <v>1402</v>
      </c>
      <c r="C285" s="11"/>
      <c r="D285" s="12"/>
      <c r="E285" s="11"/>
      <c r="F285" s="11"/>
      <c r="G285" s="13"/>
    </row>
    <row r="286" spans="1:7">
      <c r="A286" s="11"/>
      <c r="B286" s="11"/>
      <c r="C286" s="11"/>
      <c r="D286" s="12"/>
      <c r="E286" s="11"/>
      <c r="F286" s="11"/>
      <c r="G286" s="13"/>
    </row>
    <row r="287" spans="1:7">
      <c r="A287" s="10">
        <f>A284+0.01</f>
        <v>5.1099999999999977</v>
      </c>
      <c r="B287" s="29" t="s">
        <v>2525</v>
      </c>
      <c r="C287" s="11"/>
      <c r="D287" s="12" t="s">
        <v>10</v>
      </c>
      <c r="E287" s="19">
        <v>223</v>
      </c>
      <c r="F287" s="19">
        <v>740</v>
      </c>
      <c r="G287" s="13">
        <f>F287*E287</f>
        <v>165020</v>
      </c>
    </row>
    <row r="288" spans="1:7" ht="58">
      <c r="A288" s="11"/>
      <c r="B288" s="30" t="s">
        <v>2526</v>
      </c>
      <c r="C288" s="11"/>
      <c r="D288" s="12"/>
      <c r="E288" s="11"/>
      <c r="F288" s="11"/>
      <c r="G288" s="13"/>
    </row>
    <row r="289" spans="1:7">
      <c r="A289" s="11"/>
      <c r="B289" s="11"/>
      <c r="C289" s="11"/>
      <c r="D289" s="12"/>
      <c r="E289" s="11"/>
      <c r="F289" s="11"/>
      <c r="G289" s="13"/>
    </row>
    <row r="290" spans="1:7">
      <c r="A290" s="10">
        <f>A281+0.01</f>
        <v>5.0999999999999979</v>
      </c>
      <c r="B290" s="29" t="s">
        <v>52</v>
      </c>
      <c r="C290" s="11"/>
      <c r="D290" s="12" t="s">
        <v>10</v>
      </c>
      <c r="E290" s="19">
        <v>2231</v>
      </c>
      <c r="F290" s="19">
        <v>471</v>
      </c>
      <c r="G290" s="13">
        <f>F290*E290</f>
        <v>1050801</v>
      </c>
    </row>
    <row r="291" spans="1:7" ht="29">
      <c r="A291" s="11"/>
      <c r="B291" s="30" t="s">
        <v>2001</v>
      </c>
      <c r="C291" s="11"/>
      <c r="D291" s="12"/>
      <c r="E291" s="11"/>
      <c r="F291" s="11"/>
      <c r="G291" s="13"/>
    </row>
    <row r="292" spans="1:7">
      <c r="A292" s="11"/>
      <c r="B292" s="30"/>
      <c r="C292" s="11"/>
      <c r="D292" s="12"/>
      <c r="E292" s="11"/>
      <c r="F292" s="11"/>
      <c r="G292" s="13"/>
    </row>
    <row r="293" spans="1:7" s="35" customFormat="1">
      <c r="A293" s="31">
        <f>A290+0.01</f>
        <v>5.1099999999999977</v>
      </c>
      <c r="B293" s="32" t="s">
        <v>54</v>
      </c>
      <c r="C293" s="32"/>
      <c r="D293" s="33" t="s">
        <v>55</v>
      </c>
      <c r="E293" s="19">
        <v>236</v>
      </c>
      <c r="F293" s="34">
        <v>7145</v>
      </c>
      <c r="G293" s="13">
        <f>F293*E293</f>
        <v>1686220</v>
      </c>
    </row>
    <row r="294" spans="1:7" s="35" customFormat="1" ht="43.5">
      <c r="A294" s="36"/>
      <c r="B294" s="37" t="s">
        <v>2514</v>
      </c>
      <c r="C294" s="37"/>
      <c r="D294" s="38"/>
      <c r="E294" s="39"/>
      <c r="F294" s="40"/>
      <c r="G294" s="39"/>
    </row>
    <row r="295" spans="1:7">
      <c r="A295" s="11"/>
      <c r="B295" s="30"/>
      <c r="C295" s="11"/>
      <c r="D295" s="12"/>
      <c r="E295" s="11"/>
      <c r="F295" s="11"/>
      <c r="G295" s="13"/>
    </row>
    <row r="296" spans="1:7" s="35" customFormat="1">
      <c r="A296" s="1420">
        <f>A293+0.01</f>
        <v>5.1199999999999974</v>
      </c>
      <c r="B296" s="1421" t="s">
        <v>2530</v>
      </c>
      <c r="C296" s="1421"/>
      <c r="D296" s="1422" t="s">
        <v>55</v>
      </c>
      <c r="E296" s="380">
        <v>875</v>
      </c>
      <c r="F296" s="34">
        <v>4482</v>
      </c>
      <c r="G296" s="912">
        <f>F296*E296</f>
        <v>3921750</v>
      </c>
    </row>
    <row r="297" spans="1:7" s="35" customFormat="1" ht="116">
      <c r="A297" s="1423"/>
      <c r="B297" s="1424" t="s">
        <v>2531</v>
      </c>
      <c r="C297" s="1424" t="s">
        <v>2574</v>
      </c>
      <c r="D297" s="1425"/>
      <c r="E297" s="1426"/>
      <c r="F297" s="1427"/>
      <c r="G297" s="1426"/>
    </row>
    <row r="298" spans="1:7" s="35" customFormat="1">
      <c r="A298" s="512"/>
      <c r="B298" s="513"/>
      <c r="C298" s="513"/>
      <c r="D298" s="514"/>
      <c r="E298" s="515"/>
      <c r="F298" s="516"/>
      <c r="G298" s="515"/>
    </row>
    <row r="299" spans="1:7" s="35" customFormat="1">
      <c r="A299" s="31" t="e">
        <f>#REF!+0.01</f>
        <v>#REF!</v>
      </c>
      <c r="B299" s="32" t="s">
        <v>2527</v>
      </c>
      <c r="C299" s="32"/>
      <c r="D299" s="33" t="s">
        <v>55</v>
      </c>
      <c r="E299" s="19">
        <v>41</v>
      </c>
      <c r="F299" s="34">
        <v>11793</v>
      </c>
      <c r="G299" s="13">
        <f>F299*E299</f>
        <v>483513</v>
      </c>
    </row>
    <row r="300" spans="1:7" s="35" customFormat="1" ht="116">
      <c r="A300" s="36"/>
      <c r="B300" s="37" t="s">
        <v>2528</v>
      </c>
      <c r="C300" s="37"/>
      <c r="D300" s="38"/>
      <c r="E300" s="39"/>
      <c r="F300" s="40"/>
      <c r="G300" s="39"/>
    </row>
    <row r="301" spans="1:7" s="35" customFormat="1">
      <c r="A301" s="512"/>
      <c r="B301" s="513"/>
      <c r="C301" s="513"/>
      <c r="D301" s="514"/>
      <c r="E301" s="515"/>
      <c r="F301" s="516"/>
      <c r="G301" s="515"/>
    </row>
    <row r="302" spans="1:7" s="35" customFormat="1">
      <c r="A302" s="31" t="e">
        <f>A299+0.01</f>
        <v>#REF!</v>
      </c>
      <c r="B302" s="32" t="s">
        <v>2570</v>
      </c>
      <c r="C302" s="32"/>
      <c r="D302" s="33" t="s">
        <v>55</v>
      </c>
      <c r="E302" s="19">
        <v>48</v>
      </c>
      <c r="F302" s="34">
        <v>5554</v>
      </c>
      <c r="G302" s="13">
        <f>F302*E302</f>
        <v>266592</v>
      </c>
    </row>
    <row r="303" spans="1:7" s="35" customFormat="1" ht="116">
      <c r="A303" s="36"/>
      <c r="B303" s="37" t="s">
        <v>2528</v>
      </c>
      <c r="C303" s="37" t="s">
        <v>2571</v>
      </c>
      <c r="D303" s="38"/>
      <c r="E303" s="39"/>
      <c r="F303" s="40"/>
      <c r="G303" s="39"/>
    </row>
    <row r="304" spans="1:7">
      <c r="A304" s="11"/>
      <c r="B304" s="30"/>
      <c r="C304" s="11"/>
      <c r="D304" s="12"/>
      <c r="E304" s="11"/>
      <c r="F304" s="11"/>
      <c r="G304" s="13"/>
    </row>
    <row r="305" spans="1:7" s="35" customFormat="1">
      <c r="A305" s="31" t="e">
        <f>A299+0.01</f>
        <v>#REF!</v>
      </c>
      <c r="B305" s="32" t="s">
        <v>1406</v>
      </c>
      <c r="C305" s="32"/>
      <c r="D305" s="33" t="s">
        <v>55</v>
      </c>
      <c r="E305" s="19">
        <v>101</v>
      </c>
      <c r="F305" s="34">
        <v>5414</v>
      </c>
      <c r="G305" s="13">
        <f>F305*E305</f>
        <v>546814</v>
      </c>
    </row>
    <row r="306" spans="1:7" s="35" customFormat="1" ht="58">
      <c r="A306" s="36"/>
      <c r="B306" s="37" t="s">
        <v>1407</v>
      </c>
      <c r="C306" s="37"/>
      <c r="D306" s="38"/>
      <c r="E306" s="39"/>
      <c r="F306" s="40"/>
      <c r="G306" s="39"/>
    </row>
    <row r="307" spans="1:7" s="35" customFormat="1">
      <c r="A307" s="36"/>
      <c r="B307" s="45"/>
      <c r="C307" s="45"/>
      <c r="D307" s="43"/>
      <c r="E307" s="44"/>
      <c r="F307" s="41"/>
      <c r="G307" s="44"/>
    </row>
    <row r="308" spans="1:7" s="35" customFormat="1">
      <c r="A308" s="36" t="e">
        <f>A305+0.01</f>
        <v>#REF!</v>
      </c>
      <c r="B308" s="47" t="s">
        <v>131</v>
      </c>
      <c r="C308" s="45"/>
      <c r="D308" s="38" t="s">
        <v>55</v>
      </c>
      <c r="E308" s="19">
        <v>177</v>
      </c>
      <c r="F308" s="42">
        <v>5606</v>
      </c>
      <c r="G308" s="13">
        <f>F308*E308</f>
        <v>992262</v>
      </c>
    </row>
    <row r="309" spans="1:7" s="35" customFormat="1" ht="101.5">
      <c r="A309" s="36"/>
      <c r="B309" s="48" t="s">
        <v>213</v>
      </c>
      <c r="C309" s="43"/>
      <c r="D309" s="43"/>
      <c r="E309" s="44"/>
      <c r="F309" s="41"/>
      <c r="G309" s="44"/>
    </row>
    <row r="310" spans="1:7" s="35" customFormat="1">
      <c r="A310" s="36"/>
      <c r="B310" s="45"/>
      <c r="C310" s="45"/>
      <c r="D310" s="43"/>
      <c r="E310" s="44"/>
      <c r="F310" s="41"/>
      <c r="G310" s="44"/>
    </row>
    <row r="311" spans="1:7" s="35" customFormat="1">
      <c r="A311" s="36" t="e">
        <f>A308+0.01</f>
        <v>#REF!</v>
      </c>
      <c r="B311" s="47" t="s">
        <v>2093</v>
      </c>
      <c r="C311" s="45"/>
      <c r="D311" s="38" t="s">
        <v>55</v>
      </c>
      <c r="E311" s="19">
        <v>20</v>
      </c>
      <c r="F311" s="42">
        <v>9494</v>
      </c>
      <c r="G311" s="13">
        <f>F311*E311</f>
        <v>189880</v>
      </c>
    </row>
    <row r="312" spans="1:7" s="35" customFormat="1" ht="116">
      <c r="A312" s="36"/>
      <c r="B312" s="48" t="s">
        <v>2094</v>
      </c>
      <c r="C312" s="43"/>
      <c r="D312" s="43"/>
      <c r="E312" s="44"/>
      <c r="F312" s="41"/>
      <c r="G312" s="44"/>
    </row>
    <row r="313" spans="1:7">
      <c r="A313" s="11"/>
      <c r="B313" s="30"/>
      <c r="C313" s="11"/>
      <c r="D313" s="12"/>
      <c r="E313" s="11"/>
      <c r="F313" s="11"/>
      <c r="G313" s="13"/>
    </row>
    <row r="314" spans="1:7" s="35" customFormat="1">
      <c r="A314" s="36" t="e">
        <f>A308+0.01</f>
        <v>#REF!</v>
      </c>
      <c r="B314" s="47" t="s">
        <v>230</v>
      </c>
      <c r="C314" s="45"/>
      <c r="D314" s="38" t="s">
        <v>16</v>
      </c>
      <c r="E314" s="19">
        <v>31</v>
      </c>
      <c r="F314" s="42">
        <v>30125</v>
      </c>
      <c r="G314" s="13">
        <f>F314*E314</f>
        <v>933875</v>
      </c>
    </row>
    <row r="315" spans="1:7" s="35" customFormat="1" ht="43.5">
      <c r="A315" s="36"/>
      <c r="B315" s="48" t="s">
        <v>231</v>
      </c>
      <c r="C315" s="43"/>
      <c r="D315" s="43"/>
      <c r="E315" s="44"/>
      <c r="F315" s="41"/>
      <c r="G315" s="44"/>
    </row>
    <row r="316" spans="1:7" s="35" customFormat="1">
      <c r="A316" s="512"/>
      <c r="B316" s="517"/>
      <c r="C316" s="518"/>
      <c r="D316" s="518"/>
      <c r="E316" s="519"/>
      <c r="F316" s="520"/>
      <c r="G316" s="519"/>
    </row>
    <row r="317" spans="1:7">
      <c r="A317" s="36" t="e">
        <f>A314+0.01</f>
        <v>#REF!</v>
      </c>
      <c r="B317" s="47" t="s">
        <v>218</v>
      </c>
      <c r="C317" s="11"/>
      <c r="D317" s="12"/>
      <c r="E317" s="11"/>
      <c r="F317" s="11"/>
      <c r="G317" s="13"/>
    </row>
    <row r="318" spans="1:7" ht="29">
      <c r="A318" s="11"/>
      <c r="B318" s="30" t="s">
        <v>221</v>
      </c>
      <c r="C318" s="12" t="s">
        <v>219</v>
      </c>
      <c r="D318" s="12" t="s">
        <v>10</v>
      </c>
      <c r="E318" s="19">
        <v>34</v>
      </c>
      <c r="F318" s="11">
        <v>8859</v>
      </c>
      <c r="G318" s="13">
        <f>F318*E318</f>
        <v>301206</v>
      </c>
    </row>
    <row r="319" spans="1:7">
      <c r="A319" s="11"/>
      <c r="B319" s="30"/>
      <c r="C319" s="12"/>
      <c r="D319" s="12"/>
      <c r="E319" s="19"/>
      <c r="F319" s="11"/>
      <c r="G319" s="13"/>
    </row>
    <row r="320" spans="1:7">
      <c r="A320" s="36" t="e">
        <f>A317+0.01</f>
        <v>#REF!</v>
      </c>
      <c r="B320" s="47" t="s">
        <v>222</v>
      </c>
      <c r="C320" s="11"/>
      <c r="D320" s="12" t="s">
        <v>31</v>
      </c>
      <c r="E320" s="19">
        <v>132</v>
      </c>
      <c r="F320" s="11">
        <v>933</v>
      </c>
      <c r="G320" s="13">
        <f>F320*E320</f>
        <v>123156</v>
      </c>
    </row>
    <row r="321" spans="1:7" ht="43.5">
      <c r="A321" s="11"/>
      <c r="B321" s="30" t="s">
        <v>223</v>
      </c>
      <c r="C321" s="12"/>
      <c r="D321" s="12"/>
      <c r="E321" s="19"/>
      <c r="F321" s="11"/>
      <c r="G321" s="13"/>
    </row>
    <row r="322" spans="1:7" s="952" customFormat="1">
      <c r="A322" s="11"/>
      <c r="B322" s="30"/>
      <c r="C322" s="12"/>
      <c r="D322" s="12"/>
      <c r="E322" s="19"/>
      <c r="F322" s="11"/>
      <c r="G322" s="13"/>
    </row>
    <row r="323" spans="1:7" s="952" customFormat="1">
      <c r="A323" s="36" t="e">
        <f>A320+0.01</f>
        <v>#REF!</v>
      </c>
      <c r="B323" s="47" t="s">
        <v>2151</v>
      </c>
      <c r="C323" s="11"/>
      <c r="D323" s="12" t="s">
        <v>10</v>
      </c>
      <c r="E323" s="19">
        <v>162</v>
      </c>
      <c r="F323" s="11">
        <v>3053</v>
      </c>
      <c r="G323" s="13">
        <f>F323*E323</f>
        <v>494586</v>
      </c>
    </row>
    <row r="324" spans="1:7" s="952" customFormat="1" ht="43.5">
      <c r="A324" s="11"/>
      <c r="B324" s="30" t="s">
        <v>2152</v>
      </c>
      <c r="C324" s="12"/>
      <c r="D324" s="12"/>
      <c r="E324" s="19"/>
      <c r="F324" s="11"/>
      <c r="G324" s="13"/>
    </row>
    <row r="325" spans="1:7" s="952" customFormat="1">
      <c r="A325" s="11"/>
      <c r="B325" s="30"/>
      <c r="C325" s="12"/>
      <c r="D325" s="12"/>
      <c r="E325" s="19"/>
      <c r="F325" s="11"/>
      <c r="G325" s="13"/>
    </row>
    <row r="326" spans="1:7" s="952" customFormat="1">
      <c r="A326" s="36" t="e">
        <f>A323+0.01</f>
        <v>#REF!</v>
      </c>
      <c r="B326" s="47" t="s">
        <v>2154</v>
      </c>
      <c r="C326" s="11"/>
      <c r="D326" s="12" t="s">
        <v>10</v>
      </c>
      <c r="E326" s="19">
        <v>13</v>
      </c>
      <c r="F326" s="11">
        <v>14026</v>
      </c>
      <c r="G326" s="13">
        <f>F326*E326</f>
        <v>182338</v>
      </c>
    </row>
    <row r="327" spans="1:7" s="952" customFormat="1" ht="29">
      <c r="A327" s="11"/>
      <c r="B327" s="30" t="s">
        <v>2156</v>
      </c>
      <c r="C327" s="12" t="s">
        <v>2155</v>
      </c>
      <c r="D327" s="12"/>
      <c r="E327" s="19"/>
      <c r="F327" s="11"/>
      <c r="G327" s="13"/>
    </row>
    <row r="328" spans="1:7">
      <c r="A328" s="11"/>
      <c r="B328" s="30"/>
      <c r="C328" s="12"/>
      <c r="D328" s="12"/>
      <c r="E328" s="19"/>
      <c r="F328" s="11"/>
      <c r="G328" s="13"/>
    </row>
    <row r="329" spans="1:7">
      <c r="A329" s="36" t="e">
        <f>A320+0.01</f>
        <v>#REF!</v>
      </c>
      <c r="B329" s="47" t="s">
        <v>2158</v>
      </c>
      <c r="C329" s="11"/>
      <c r="D329" s="12" t="s">
        <v>10</v>
      </c>
      <c r="E329" s="19">
        <v>19</v>
      </c>
      <c r="F329" s="74">
        <v>6888</v>
      </c>
      <c r="G329" s="13">
        <f>F329*E329</f>
        <v>130872</v>
      </c>
    </row>
    <row r="330" spans="1:7" ht="84" customHeight="1">
      <c r="A330" s="11"/>
      <c r="B330" s="30" t="s">
        <v>2159</v>
      </c>
      <c r="C330" s="12" t="s">
        <v>2160</v>
      </c>
      <c r="D330" s="12"/>
      <c r="E330" s="19"/>
      <c r="F330" s="11"/>
      <c r="G330" s="13"/>
    </row>
    <row r="331" spans="1:7">
      <c r="A331" s="11"/>
      <c r="B331" s="30"/>
      <c r="C331" s="12"/>
      <c r="D331" s="12"/>
      <c r="E331" s="19"/>
      <c r="F331" s="11"/>
      <c r="G331" s="13"/>
    </row>
    <row r="332" spans="1:7">
      <c r="A332" s="36" t="e">
        <f>A329+0.01</f>
        <v>#REF!</v>
      </c>
      <c r="B332" s="47" t="s">
        <v>301</v>
      </c>
      <c r="C332" s="11"/>
      <c r="D332" s="12" t="s">
        <v>10</v>
      </c>
      <c r="E332" s="19">
        <v>84</v>
      </c>
      <c r="F332" s="11">
        <v>8773</v>
      </c>
      <c r="G332" s="13">
        <f>F332*E332</f>
        <v>736932</v>
      </c>
    </row>
    <row r="333" spans="1:7" ht="84" customHeight="1">
      <c r="A333" s="11"/>
      <c r="B333" s="30" t="s">
        <v>302</v>
      </c>
      <c r="C333"/>
      <c r="D333" s="12"/>
      <c r="E333" s="19"/>
      <c r="F333" s="11"/>
      <c r="G333" s="13"/>
    </row>
    <row r="334" spans="1:7">
      <c r="A334" s="11"/>
      <c r="B334" s="30"/>
      <c r="C334" s="12"/>
      <c r="D334" s="12"/>
      <c r="E334" s="19"/>
      <c r="F334" s="11"/>
      <c r="G334" s="13"/>
    </row>
    <row r="335" spans="1:7">
      <c r="A335" s="36" t="e">
        <f>A332+0.01</f>
        <v>#REF!</v>
      </c>
      <c r="B335" s="47" t="s">
        <v>2003</v>
      </c>
      <c r="C335" s="11"/>
      <c r="D335" s="12" t="s">
        <v>10</v>
      </c>
      <c r="E335" s="19">
        <v>24</v>
      </c>
      <c r="F335" s="11">
        <v>4851</v>
      </c>
      <c r="G335" s="13">
        <f>F335*E335</f>
        <v>116424</v>
      </c>
    </row>
    <row r="336" spans="1:7" ht="72.5">
      <c r="A336" s="36"/>
      <c r="B336" s="78" t="s">
        <v>2100</v>
      </c>
      <c r="C336" s="11" t="s">
        <v>225</v>
      </c>
      <c r="D336" s="12"/>
      <c r="E336" s="19"/>
      <c r="F336" s="11"/>
      <c r="G336" s="13"/>
    </row>
    <row r="337" spans="1:7">
      <c r="A337" s="11"/>
      <c r="B337" s="30"/>
      <c r="C337" s="12"/>
      <c r="D337" s="12"/>
      <c r="E337" s="19"/>
      <c r="F337" s="11"/>
      <c r="G337" s="13"/>
    </row>
    <row r="338" spans="1:7">
      <c r="A338" s="36" t="e">
        <f>A335+0.01</f>
        <v>#REF!</v>
      </c>
      <c r="B338" s="47" t="s">
        <v>98</v>
      </c>
      <c r="C338" s="12"/>
      <c r="D338" s="12" t="s">
        <v>10</v>
      </c>
      <c r="E338" s="19">
        <v>57</v>
      </c>
      <c r="F338" s="11">
        <v>3444</v>
      </c>
      <c r="G338" s="13">
        <f>F338*E338</f>
        <v>196308</v>
      </c>
    </row>
    <row r="339" spans="1:7" ht="101.5">
      <c r="A339" s="11"/>
      <c r="B339" s="30" t="s">
        <v>132</v>
      </c>
      <c r="C339" s="11" t="s">
        <v>1148</v>
      </c>
      <c r="D339" s="12"/>
      <c r="E339" s="19"/>
      <c r="F339" s="11"/>
      <c r="G339" s="13"/>
    </row>
    <row r="340" spans="1:7">
      <c r="A340" s="11"/>
      <c r="B340" s="30"/>
      <c r="C340" s="12"/>
      <c r="D340" s="12"/>
      <c r="E340" s="19"/>
      <c r="F340" s="11"/>
      <c r="G340" s="13"/>
    </row>
    <row r="341" spans="1:7">
      <c r="A341" s="81" t="e">
        <f>A338+0.01</f>
        <v>#REF!</v>
      </c>
      <c r="B341" s="30" t="s">
        <v>299</v>
      </c>
      <c r="C341" s="11" t="s">
        <v>1149</v>
      </c>
      <c r="D341" s="12" t="s">
        <v>10</v>
      </c>
      <c r="E341" s="19">
        <v>120</v>
      </c>
      <c r="F341" s="11">
        <v>1956</v>
      </c>
      <c r="G341" s="13">
        <f>F341*E341</f>
        <v>234720</v>
      </c>
    </row>
    <row r="342" spans="1:7">
      <c r="A342" s="521"/>
      <c r="B342" s="522"/>
      <c r="C342" s="497"/>
      <c r="D342" s="498"/>
      <c r="E342" s="501"/>
      <c r="F342" s="497"/>
      <c r="G342" s="499"/>
    </row>
    <row r="343" spans="1:7">
      <c r="A343" s="521" t="e">
        <f>A341+0.01</f>
        <v>#REF!</v>
      </c>
      <c r="B343" s="522" t="s">
        <v>1411</v>
      </c>
      <c r="C343" s="497"/>
      <c r="D343" s="498" t="s">
        <v>10</v>
      </c>
      <c r="E343" s="501">
        <v>16</v>
      </c>
      <c r="F343" s="497">
        <v>4879</v>
      </c>
      <c r="G343" s="13">
        <f>F343*E343</f>
        <v>78064</v>
      </c>
    </row>
    <row r="344" spans="1:7" ht="43.5">
      <c r="A344" s="521"/>
      <c r="B344" s="14" t="s">
        <v>357</v>
      </c>
      <c r="C344" s="497"/>
      <c r="D344" s="498"/>
      <c r="E344" s="501"/>
      <c r="F344" s="497"/>
      <c r="G344" s="499"/>
    </row>
    <row r="345" spans="1:7" ht="29">
      <c r="A345" s="521"/>
      <c r="B345" s="14" t="s">
        <v>358</v>
      </c>
      <c r="C345" s="497"/>
      <c r="D345" s="498"/>
      <c r="E345" s="501"/>
      <c r="F345" s="497"/>
      <c r="G345" s="499"/>
    </row>
    <row r="346" spans="1:7">
      <c r="A346" s="521"/>
      <c r="B346" s="522"/>
      <c r="C346" s="497"/>
      <c r="D346" s="498"/>
      <c r="E346" s="501"/>
      <c r="F346" s="497"/>
      <c r="G346" s="499"/>
    </row>
    <row r="347" spans="1:7">
      <c r="A347" s="11"/>
      <c r="B347" s="11"/>
      <c r="C347" s="11"/>
      <c r="D347" s="12"/>
      <c r="E347" s="11"/>
      <c r="F347" s="11"/>
      <c r="G347" s="13"/>
    </row>
    <row r="348" spans="1:7">
      <c r="A348" s="22"/>
      <c r="B348" s="22" t="s">
        <v>24</v>
      </c>
      <c r="C348" s="22"/>
      <c r="D348" s="22"/>
      <c r="E348" s="22"/>
      <c r="F348" s="22"/>
      <c r="G348" s="23">
        <f>SUM(G249:G347)</f>
        <v>21727072</v>
      </c>
    </row>
    <row r="349" spans="1:7" s="52" customFormat="1">
      <c r="A349" s="46">
        <v>6</v>
      </c>
      <c r="B349" s="32" t="s">
        <v>58</v>
      </c>
      <c r="C349" s="32"/>
      <c r="D349" s="38"/>
      <c r="E349" s="50"/>
      <c r="F349" s="50"/>
      <c r="G349" s="51"/>
    </row>
    <row r="350" spans="1:7" s="52" customFormat="1">
      <c r="A350" s="46"/>
      <c r="B350" s="32"/>
      <c r="C350" s="32"/>
      <c r="D350" s="38"/>
      <c r="E350" s="50"/>
      <c r="F350" s="50"/>
      <c r="G350" s="51"/>
    </row>
    <row r="351" spans="1:7" s="52" customFormat="1">
      <c r="A351" s="46">
        <f>A349+0.01</f>
        <v>6.01</v>
      </c>
      <c r="B351" s="54" t="s">
        <v>133</v>
      </c>
      <c r="C351" s="32"/>
      <c r="D351" s="38"/>
      <c r="E351" s="50"/>
      <c r="F351" s="50"/>
      <c r="G351" s="51"/>
    </row>
    <row r="352" spans="1:7" s="52" customFormat="1">
      <c r="A352" s="46"/>
      <c r="B352" s="55" t="s">
        <v>60</v>
      </c>
      <c r="C352" s="53"/>
      <c r="D352" s="33" t="s">
        <v>59</v>
      </c>
      <c r="E352" s="19">
        <v>38</v>
      </c>
      <c r="F352" s="42">
        <v>52500</v>
      </c>
      <c r="G352" s="13">
        <f>F352*E352</f>
        <v>1995000</v>
      </c>
    </row>
    <row r="353" spans="1:7" s="52" customFormat="1">
      <c r="A353" s="523"/>
      <c r="B353" s="55" t="s">
        <v>2533</v>
      </c>
      <c r="C353" s="502"/>
      <c r="D353" s="33" t="s">
        <v>59</v>
      </c>
      <c r="E353" s="501">
        <v>2</v>
      </c>
      <c r="F353" s="1428">
        <v>53750</v>
      </c>
      <c r="G353" s="13">
        <f>F353*E353</f>
        <v>107500</v>
      </c>
    </row>
    <row r="354" spans="1:7" s="52" customFormat="1">
      <c r="A354" s="523"/>
      <c r="B354" s="55" t="s">
        <v>1412</v>
      </c>
      <c r="C354" s="502"/>
      <c r="D354" s="33" t="s">
        <v>59</v>
      </c>
      <c r="E354" s="19">
        <v>8</v>
      </c>
      <c r="F354" s="42">
        <v>51250</v>
      </c>
      <c r="G354" s="13">
        <f>F354*E354</f>
        <v>410000</v>
      </c>
    </row>
    <row r="355" spans="1:7" s="52" customFormat="1">
      <c r="A355" s="46"/>
      <c r="B355" s="55" t="s">
        <v>303</v>
      </c>
      <c r="C355" s="53"/>
      <c r="D355" s="33" t="s">
        <v>59</v>
      </c>
      <c r="E355" s="19">
        <v>1</v>
      </c>
      <c r="F355" s="42">
        <v>93750</v>
      </c>
      <c r="G355" s="13">
        <f>F355*E355</f>
        <v>93750</v>
      </c>
    </row>
    <row r="356" spans="1:7" s="52" customFormat="1">
      <c r="A356" s="46"/>
      <c r="B356" s="55" t="s">
        <v>226</v>
      </c>
      <c r="C356" s="53"/>
      <c r="D356" s="33" t="s">
        <v>59</v>
      </c>
      <c r="E356" s="19">
        <v>1</v>
      </c>
      <c r="F356" s="42">
        <v>312500</v>
      </c>
      <c r="G356" s="13">
        <f>F356*E356</f>
        <v>312500</v>
      </c>
    </row>
    <row r="357" spans="1:7" s="52" customFormat="1" ht="29">
      <c r="A357" s="46"/>
      <c r="B357" s="56" t="s">
        <v>61</v>
      </c>
      <c r="C357" s="32"/>
      <c r="D357" s="38"/>
      <c r="E357" s="50"/>
      <c r="F357" s="50"/>
      <c r="G357" s="51"/>
    </row>
    <row r="358" spans="1:7" s="52" customFormat="1" ht="29">
      <c r="A358" s="46"/>
      <c r="B358" s="48" t="s">
        <v>92</v>
      </c>
      <c r="C358" s="32"/>
      <c r="D358" s="38"/>
      <c r="E358" s="50"/>
      <c r="F358" s="50"/>
      <c r="G358" s="51"/>
    </row>
    <row r="359" spans="1:7" s="52" customFormat="1">
      <c r="A359" s="46"/>
      <c r="B359" s="57" t="s">
        <v>63</v>
      </c>
      <c r="C359" s="32"/>
      <c r="D359" s="38"/>
      <c r="E359" s="50"/>
      <c r="F359" s="50"/>
      <c r="G359" s="51"/>
    </row>
    <row r="360" spans="1:7" s="52" customFormat="1">
      <c r="A360" s="46"/>
      <c r="B360" s="32"/>
      <c r="C360" s="32"/>
      <c r="D360" s="38"/>
      <c r="E360" s="50"/>
      <c r="F360" s="50"/>
      <c r="G360" s="51"/>
    </row>
    <row r="361" spans="1:7" s="52" customFormat="1">
      <c r="A361" s="46">
        <f>A351+0.01</f>
        <v>6.02</v>
      </c>
      <c r="B361" s="54" t="s">
        <v>164</v>
      </c>
      <c r="C361" s="32"/>
      <c r="D361" s="38"/>
      <c r="E361" s="50"/>
      <c r="F361" s="50"/>
      <c r="G361" s="51"/>
    </row>
    <row r="362" spans="1:7" s="52" customFormat="1">
      <c r="A362" s="46"/>
      <c r="B362" s="55" t="s">
        <v>60</v>
      </c>
      <c r="C362" s="53"/>
      <c r="D362" s="33" t="s">
        <v>59</v>
      </c>
      <c r="E362" s="19">
        <v>5</v>
      </c>
      <c r="F362" s="42">
        <v>55000</v>
      </c>
      <c r="G362" s="13">
        <f>F362*E362</f>
        <v>275000</v>
      </c>
    </row>
    <row r="363" spans="1:7" s="52" customFormat="1" ht="101.5">
      <c r="A363" s="46"/>
      <c r="B363" s="56" t="s">
        <v>165</v>
      </c>
      <c r="C363" s="32"/>
      <c r="D363" s="38"/>
      <c r="E363" s="50"/>
      <c r="F363" s="50"/>
      <c r="G363" s="51"/>
    </row>
    <row r="364" spans="1:7" s="52" customFormat="1">
      <c r="A364" s="46"/>
      <c r="B364" s="56"/>
      <c r="C364" s="32"/>
      <c r="D364" s="38"/>
      <c r="E364" s="50"/>
      <c r="F364" s="50"/>
      <c r="G364" s="51"/>
    </row>
    <row r="365" spans="1:7" s="52" customFormat="1">
      <c r="A365" s="46">
        <f>A361+0.01</f>
        <v>6.0299999999999994</v>
      </c>
      <c r="B365" s="54" t="s">
        <v>166</v>
      </c>
      <c r="C365" s="32"/>
      <c r="D365" s="38"/>
      <c r="E365" s="50"/>
      <c r="F365" s="50"/>
      <c r="G365" s="51"/>
    </row>
    <row r="366" spans="1:7" s="52" customFormat="1">
      <c r="A366" s="46"/>
      <c r="B366" s="55" t="s">
        <v>60</v>
      </c>
      <c r="C366" s="53"/>
      <c r="D366" s="33" t="s">
        <v>59</v>
      </c>
      <c r="E366" s="19">
        <v>10</v>
      </c>
      <c r="F366" s="42">
        <v>47500</v>
      </c>
      <c r="G366" s="13">
        <f>F366*E366</f>
        <v>475000</v>
      </c>
    </row>
    <row r="367" spans="1:7" s="52" customFormat="1" ht="43.5">
      <c r="A367" s="46"/>
      <c r="B367" s="56" t="s">
        <v>168</v>
      </c>
      <c r="C367" s="32"/>
      <c r="D367" s="38"/>
      <c r="E367" s="50"/>
      <c r="F367" s="50"/>
      <c r="G367" s="51"/>
    </row>
    <row r="368" spans="1:7" s="52" customFormat="1">
      <c r="A368" s="46"/>
      <c r="B368" s="56"/>
      <c r="C368" s="32"/>
      <c r="D368" s="38"/>
      <c r="E368" s="50"/>
      <c r="F368" s="50"/>
      <c r="G368" s="51"/>
    </row>
    <row r="369" spans="1:10" s="52" customFormat="1">
      <c r="A369" s="46">
        <f>A365+0.01</f>
        <v>6.0399999999999991</v>
      </c>
      <c r="B369" s="54" t="s">
        <v>2536</v>
      </c>
      <c r="C369" s="32"/>
      <c r="D369" s="38"/>
      <c r="E369" s="50"/>
      <c r="F369" s="50"/>
      <c r="G369" s="51"/>
    </row>
    <row r="370" spans="1:10" s="52" customFormat="1">
      <c r="A370" s="46"/>
      <c r="B370" s="55" t="s">
        <v>60</v>
      </c>
      <c r="C370" s="53"/>
      <c r="D370" s="33" t="s">
        <v>59</v>
      </c>
      <c r="E370" s="19">
        <v>1</v>
      </c>
      <c r="F370" s="42">
        <v>150000</v>
      </c>
      <c r="G370" s="13">
        <f>F370*E370</f>
        <v>150000</v>
      </c>
    </row>
    <row r="371" spans="1:10" s="52" customFormat="1" ht="232">
      <c r="A371" s="46"/>
      <c r="B371" s="56" t="s">
        <v>2537</v>
      </c>
      <c r="C371" s="32"/>
      <c r="D371" s="38"/>
      <c r="E371" s="50"/>
      <c r="F371" s="50"/>
      <c r="G371" s="51"/>
    </row>
    <row r="372" spans="1:10">
      <c r="A372" s="11"/>
      <c r="B372" s="11"/>
      <c r="C372" s="11"/>
      <c r="D372" s="12"/>
      <c r="E372" s="11"/>
      <c r="F372" s="11"/>
      <c r="G372" s="13"/>
    </row>
    <row r="373" spans="1:10">
      <c r="A373" s="22"/>
      <c r="B373" s="22" t="s">
        <v>24</v>
      </c>
      <c r="C373" s="22"/>
      <c r="D373" s="22"/>
      <c r="E373" s="22"/>
      <c r="F373" s="22"/>
      <c r="G373" s="23">
        <f>SUM(G349:G372)</f>
        <v>3818750</v>
      </c>
    </row>
    <row r="374" spans="1:10" s="59" customFormat="1">
      <c r="A374" s="46"/>
      <c r="B374" s="49"/>
      <c r="C374" s="49"/>
      <c r="D374" s="38"/>
      <c r="E374" s="50"/>
      <c r="F374" s="50"/>
      <c r="G374" s="58"/>
    </row>
    <row r="375" spans="1:10" s="59" customFormat="1">
      <c r="A375" s="46">
        <v>7</v>
      </c>
      <c r="B375" s="32" t="s">
        <v>65</v>
      </c>
      <c r="C375" s="32"/>
      <c r="D375" s="33"/>
      <c r="E375" s="60"/>
      <c r="F375" s="60"/>
      <c r="G375" s="58"/>
    </row>
    <row r="376" spans="1:10" s="59" customFormat="1">
      <c r="A376" s="46"/>
      <c r="B376" s="32"/>
      <c r="C376" s="32"/>
      <c r="D376" s="33"/>
      <c r="E376" s="60"/>
      <c r="F376" s="60"/>
      <c r="G376" s="58"/>
    </row>
    <row r="377" spans="1:10" s="59" customFormat="1" ht="26.5" customHeight="1">
      <c r="A377" s="46">
        <f>A375+0.01</f>
        <v>7.01</v>
      </c>
      <c r="B377" s="32" t="s">
        <v>227</v>
      </c>
      <c r="C377" s="32"/>
      <c r="D377" s="38" t="s">
        <v>31</v>
      </c>
      <c r="E377" s="19">
        <v>21</v>
      </c>
      <c r="F377" s="42">
        <v>28489</v>
      </c>
      <c r="G377" s="13">
        <f>F377*E377</f>
        <v>598269</v>
      </c>
    </row>
    <row r="378" spans="1:10" s="59" customFormat="1" ht="87">
      <c r="A378" s="46"/>
      <c r="B378" s="53" t="s">
        <v>228</v>
      </c>
      <c r="C378" s="49" t="s">
        <v>1156</v>
      </c>
      <c r="D378" s="49"/>
      <c r="E378" s="61"/>
      <c r="F378" s="61"/>
      <c r="G378" s="58"/>
    </row>
    <row r="379" spans="1:10" s="59" customFormat="1">
      <c r="A379" s="46"/>
      <c r="B379" s="32"/>
      <c r="C379" s="32"/>
      <c r="D379" s="33"/>
      <c r="E379" s="60"/>
      <c r="F379" s="60"/>
      <c r="G379" s="58"/>
    </row>
    <row r="380" spans="1:10" s="59" customFormat="1" ht="26.5" customHeight="1">
      <c r="A380" s="46">
        <f>A377+0.01</f>
        <v>7.02</v>
      </c>
      <c r="B380" s="32" t="s">
        <v>1939</v>
      </c>
      <c r="C380" s="32"/>
      <c r="D380" s="38" t="s">
        <v>31</v>
      </c>
      <c r="E380" s="19">
        <v>6</v>
      </c>
      <c r="F380" s="42">
        <v>19034</v>
      </c>
      <c r="G380" s="13">
        <f>F380*E380</f>
        <v>114204</v>
      </c>
    </row>
    <row r="381" spans="1:10" s="59" customFormat="1" ht="87">
      <c r="A381" s="46"/>
      <c r="B381" s="53" t="s">
        <v>1940</v>
      </c>
      <c r="C381" s="49" t="s">
        <v>1941</v>
      </c>
      <c r="D381" s="49"/>
      <c r="E381" s="61"/>
      <c r="F381" s="61"/>
      <c r="G381" s="58"/>
      <c r="H381" s="935"/>
      <c r="J381" s="936"/>
    </row>
    <row r="382" spans="1:10" s="59" customFormat="1">
      <c r="A382" s="46"/>
      <c r="B382" s="32"/>
      <c r="C382" s="32"/>
      <c r="D382" s="33"/>
      <c r="E382" s="60"/>
      <c r="F382" s="60"/>
      <c r="G382" s="58"/>
      <c r="H382" s="936"/>
    </row>
    <row r="383" spans="1:10" s="59" customFormat="1" ht="26.5" customHeight="1">
      <c r="A383" s="46">
        <f>A377+0.01</f>
        <v>7.02</v>
      </c>
      <c r="B383" s="32" t="s">
        <v>304</v>
      </c>
      <c r="C383" s="32"/>
      <c r="D383" s="38" t="s">
        <v>31</v>
      </c>
      <c r="E383" s="19">
        <v>5</v>
      </c>
      <c r="F383" s="42">
        <v>8659</v>
      </c>
      <c r="G383" s="13">
        <f>F383*E383</f>
        <v>43295</v>
      </c>
    </row>
    <row r="384" spans="1:10" s="59" customFormat="1" ht="72.5">
      <c r="A384" s="46"/>
      <c r="B384" s="53" t="s">
        <v>305</v>
      </c>
      <c r="C384" s="49" t="s">
        <v>1941</v>
      </c>
      <c r="D384" s="49"/>
      <c r="E384" s="61"/>
      <c r="F384" s="61"/>
      <c r="G384" s="58"/>
    </row>
    <row r="385" spans="1:7" s="59" customFormat="1">
      <c r="A385" s="46"/>
      <c r="B385" s="53"/>
      <c r="C385" s="49"/>
      <c r="D385" s="49"/>
      <c r="E385" s="61"/>
      <c r="F385" s="61"/>
      <c r="G385" s="58"/>
    </row>
    <row r="386" spans="1:7" s="59" customFormat="1">
      <c r="A386" s="46">
        <f>A377+0.01</f>
        <v>7.02</v>
      </c>
      <c r="B386" s="32" t="s">
        <v>1418</v>
      </c>
      <c r="C386" s="49"/>
      <c r="D386" s="38" t="s">
        <v>10</v>
      </c>
      <c r="E386" s="19">
        <v>39</v>
      </c>
      <c r="F386" s="61">
        <v>13455</v>
      </c>
      <c r="G386" s="13">
        <f>F386*E386</f>
        <v>524745</v>
      </c>
    </row>
    <row r="387" spans="1:7" s="59" customFormat="1" ht="87">
      <c r="A387" s="46"/>
      <c r="B387" s="53" t="s">
        <v>1944</v>
      </c>
      <c r="C387" s="49"/>
      <c r="D387" s="49"/>
      <c r="E387" s="61"/>
      <c r="F387" s="61"/>
      <c r="G387" s="58"/>
    </row>
    <row r="388" spans="1:7" s="59" customFormat="1">
      <c r="A388" s="46"/>
      <c r="B388" s="53"/>
      <c r="C388" s="49"/>
      <c r="D388" s="49"/>
      <c r="E388" s="61"/>
      <c r="F388" s="61"/>
      <c r="G388" s="58"/>
    </row>
    <row r="389" spans="1:7" s="59" customFormat="1">
      <c r="A389" s="46">
        <f>A380+0.01</f>
        <v>7.0299999999999994</v>
      </c>
      <c r="B389" s="32" t="s">
        <v>1943</v>
      </c>
      <c r="C389" s="49"/>
      <c r="D389" s="38" t="s">
        <v>16</v>
      </c>
      <c r="E389" s="19">
        <v>7</v>
      </c>
      <c r="F389" s="61">
        <v>25000</v>
      </c>
      <c r="G389" s="13">
        <f>F389*E389</f>
        <v>175000</v>
      </c>
    </row>
    <row r="390" spans="1:7" s="59" customFormat="1" ht="58">
      <c r="A390" s="46"/>
      <c r="B390" s="53" t="s">
        <v>1945</v>
      </c>
      <c r="C390" s="49"/>
      <c r="D390" s="49"/>
      <c r="E390" s="61"/>
      <c r="F390" s="61"/>
      <c r="G390" s="58"/>
    </row>
    <row r="391" spans="1:7" s="59" customFormat="1">
      <c r="A391" s="46"/>
      <c r="B391" s="53"/>
      <c r="C391" s="49"/>
      <c r="D391" s="49"/>
      <c r="E391" s="61"/>
      <c r="F391" s="61"/>
      <c r="G391" s="58"/>
    </row>
    <row r="392" spans="1:7" s="59" customFormat="1">
      <c r="A392" s="46">
        <f>A386+0.01</f>
        <v>7.0299999999999994</v>
      </c>
      <c r="B392" s="32" t="s">
        <v>1947</v>
      </c>
      <c r="C392" s="49"/>
      <c r="D392" s="49" t="s">
        <v>16</v>
      </c>
      <c r="E392" s="61">
        <v>1</v>
      </c>
      <c r="F392" s="61">
        <v>312500</v>
      </c>
      <c r="G392" s="13">
        <f>F392*E392</f>
        <v>312500</v>
      </c>
    </row>
    <row r="393" spans="1:7" s="59" customFormat="1" ht="203">
      <c r="A393" s="46"/>
      <c r="B393" s="53" t="s">
        <v>233</v>
      </c>
      <c r="C393" s="49"/>
      <c r="D393" s="49"/>
      <c r="E393" s="61"/>
      <c r="F393" s="61"/>
      <c r="G393" s="58"/>
    </row>
    <row r="394" spans="1:7" s="59" customFormat="1" ht="72.5">
      <c r="A394" s="46"/>
      <c r="B394" s="53" t="s">
        <v>234</v>
      </c>
      <c r="C394" s="49"/>
      <c r="D394" s="49"/>
      <c r="E394" s="61"/>
      <c r="F394" s="61"/>
      <c r="G394" s="58"/>
    </row>
    <row r="395" spans="1:7" s="59" customFormat="1">
      <c r="A395" s="523"/>
      <c r="B395" s="502"/>
      <c r="C395" s="524"/>
      <c r="D395" s="524"/>
      <c r="E395" s="525"/>
      <c r="F395" s="525"/>
      <c r="G395" s="526"/>
    </row>
    <row r="396" spans="1:7" s="59" customFormat="1">
      <c r="A396" s="523">
        <f>A392+0.01</f>
        <v>7.0399999999999991</v>
      </c>
      <c r="B396" s="502" t="s">
        <v>1946</v>
      </c>
      <c r="C396" s="524"/>
      <c r="D396" s="49" t="s">
        <v>16</v>
      </c>
      <c r="E396" s="61">
        <v>1</v>
      </c>
      <c r="F396" s="61">
        <v>125000</v>
      </c>
      <c r="G396" s="13">
        <f>F396*E396</f>
        <v>125000</v>
      </c>
    </row>
    <row r="397" spans="1:7" s="59" customFormat="1">
      <c r="A397" s="46"/>
      <c r="B397" s="53"/>
      <c r="C397" s="49"/>
      <c r="D397" s="49"/>
      <c r="E397" s="61"/>
      <c r="F397" s="61"/>
      <c r="G397" s="58"/>
    </row>
    <row r="398" spans="1:7" s="59" customFormat="1">
      <c r="A398" s="46">
        <f>A396+0.01</f>
        <v>7.0499999999999989</v>
      </c>
      <c r="B398" s="32" t="s">
        <v>236</v>
      </c>
      <c r="C398" s="49"/>
      <c r="D398" s="49" t="s">
        <v>10</v>
      </c>
      <c r="E398" s="61">
        <v>12.6</v>
      </c>
      <c r="F398" s="61">
        <v>14128</v>
      </c>
      <c r="G398" s="13">
        <f>F398*E398</f>
        <v>178012.79999999999</v>
      </c>
    </row>
    <row r="399" spans="1:7" s="59" customFormat="1" ht="116">
      <c r="A399" s="46"/>
      <c r="B399" s="53" t="s">
        <v>237</v>
      </c>
      <c r="C399" s="49"/>
      <c r="D399" s="49"/>
      <c r="E399" s="61"/>
      <c r="F399" s="61"/>
      <c r="G399" s="58"/>
    </row>
    <row r="400" spans="1:7" s="59" customFormat="1">
      <c r="A400" s="46"/>
      <c r="B400" s="53"/>
      <c r="C400" s="49"/>
      <c r="D400" s="49"/>
      <c r="E400" s="61"/>
      <c r="F400" s="61"/>
      <c r="G400" s="58"/>
    </row>
    <row r="401" spans="1:7" s="59" customFormat="1">
      <c r="A401" s="46">
        <f>A398+0.01</f>
        <v>7.0599999999999987</v>
      </c>
      <c r="B401" s="32" t="s">
        <v>308</v>
      </c>
      <c r="C401" s="49"/>
      <c r="D401" s="49" t="s">
        <v>10</v>
      </c>
      <c r="E401" s="61">
        <v>52</v>
      </c>
      <c r="F401" s="61">
        <v>14128</v>
      </c>
      <c r="G401" s="13">
        <f>F401*E401</f>
        <v>734656</v>
      </c>
    </row>
    <row r="402" spans="1:7" s="59" customFormat="1" ht="116">
      <c r="A402" s="46"/>
      <c r="B402" s="53" t="s">
        <v>237</v>
      </c>
      <c r="C402" s="49"/>
      <c r="D402" s="49"/>
      <c r="E402" s="61"/>
      <c r="F402" s="61"/>
      <c r="G402" s="58"/>
    </row>
    <row r="403" spans="1:7" s="59" customFormat="1">
      <c r="A403" s="46"/>
      <c r="B403" s="53"/>
      <c r="C403" s="49"/>
      <c r="D403" s="49"/>
      <c r="E403" s="61"/>
      <c r="F403" s="61"/>
      <c r="G403" s="58"/>
    </row>
    <row r="404" spans="1:7" s="59" customFormat="1">
      <c r="A404" s="46">
        <f>A401+0.01</f>
        <v>7.0699999999999985</v>
      </c>
      <c r="B404" s="32" t="s">
        <v>239</v>
      </c>
      <c r="C404" s="49"/>
      <c r="D404" s="49" t="s">
        <v>10</v>
      </c>
      <c r="E404" s="61">
        <v>12</v>
      </c>
      <c r="F404" s="61">
        <v>11437</v>
      </c>
      <c r="G404" s="13">
        <f>F404*E404</f>
        <v>137244</v>
      </c>
    </row>
    <row r="405" spans="1:7" s="59" customFormat="1" ht="101.5">
      <c r="A405" s="46"/>
      <c r="B405" s="53" t="s">
        <v>240</v>
      </c>
      <c r="C405" s="49"/>
      <c r="D405" s="49"/>
      <c r="E405" s="61"/>
      <c r="F405" s="61"/>
      <c r="G405" s="58"/>
    </row>
    <row r="406" spans="1:7" s="59" customFormat="1">
      <c r="A406" s="46"/>
      <c r="B406" s="53"/>
      <c r="C406" s="49"/>
      <c r="D406" s="49"/>
      <c r="E406" s="61"/>
      <c r="F406" s="61"/>
      <c r="G406" s="58"/>
    </row>
    <row r="407" spans="1:7" s="59" customFormat="1">
      <c r="A407" s="46">
        <f>A404+0.01</f>
        <v>7.0799999999999983</v>
      </c>
      <c r="B407" s="32" t="s">
        <v>242</v>
      </c>
      <c r="C407" s="49"/>
      <c r="D407" s="49" t="s">
        <v>31</v>
      </c>
      <c r="E407" s="61">
        <v>39</v>
      </c>
      <c r="F407" s="61">
        <v>6078</v>
      </c>
      <c r="G407" s="13">
        <f>F407*E407</f>
        <v>237042</v>
      </c>
    </row>
    <row r="408" spans="1:7" s="59" customFormat="1" ht="87">
      <c r="A408" s="46"/>
      <c r="B408" s="53" t="s">
        <v>244</v>
      </c>
      <c r="C408" s="49"/>
      <c r="D408" s="49"/>
      <c r="E408" s="61"/>
      <c r="F408" s="61"/>
      <c r="G408" s="58"/>
    </row>
    <row r="409" spans="1:7" s="59" customFormat="1">
      <c r="A409" s="46"/>
      <c r="B409" s="53"/>
      <c r="C409" s="49"/>
      <c r="D409" s="49"/>
      <c r="E409" s="61"/>
      <c r="F409" s="61"/>
      <c r="G409" s="58"/>
    </row>
    <row r="410" spans="1:7" s="59" customFormat="1">
      <c r="A410" s="46">
        <f>A407+0.01</f>
        <v>7.0899999999999981</v>
      </c>
      <c r="B410" s="32" t="s">
        <v>415</v>
      </c>
      <c r="C410" s="49"/>
      <c r="D410" s="49" t="s">
        <v>10</v>
      </c>
      <c r="E410" s="61">
        <v>36</v>
      </c>
      <c r="F410" s="61">
        <v>4048</v>
      </c>
      <c r="G410" s="13">
        <f>F410*E410</f>
        <v>145728</v>
      </c>
    </row>
    <row r="411" spans="1:7" s="59" customFormat="1" ht="72.5">
      <c r="A411" s="46"/>
      <c r="B411" s="53" t="s">
        <v>416</v>
      </c>
      <c r="C411" s="49"/>
      <c r="D411" s="49"/>
      <c r="E411" s="61"/>
      <c r="F411" s="61"/>
      <c r="G411" s="58"/>
    </row>
    <row r="412" spans="1:7" s="59" customFormat="1">
      <c r="A412" s="46"/>
      <c r="B412" s="53"/>
      <c r="C412" s="49"/>
      <c r="D412" s="49"/>
      <c r="E412" s="61"/>
      <c r="F412" s="61"/>
      <c r="G412" s="58"/>
    </row>
    <row r="413" spans="1:7" s="59" customFormat="1">
      <c r="A413" s="46">
        <f>A410+0.01</f>
        <v>7.0999999999999979</v>
      </c>
      <c r="B413" s="32" t="s">
        <v>2538</v>
      </c>
      <c r="C413" s="49"/>
      <c r="D413" s="49" t="s">
        <v>10</v>
      </c>
      <c r="E413" s="61">
        <v>45</v>
      </c>
      <c r="F413" s="61">
        <v>10714</v>
      </c>
      <c r="G413" s="13">
        <f>F413*E413</f>
        <v>482130</v>
      </c>
    </row>
    <row r="414" spans="1:7" s="59" customFormat="1" ht="145">
      <c r="A414" s="46"/>
      <c r="B414" s="53" t="s">
        <v>2539</v>
      </c>
      <c r="C414" s="49"/>
      <c r="D414" s="49"/>
      <c r="E414" s="61"/>
      <c r="F414" s="61"/>
      <c r="G414" s="58"/>
    </row>
    <row r="415" spans="1:7" s="59" customFormat="1">
      <c r="A415" s="46"/>
      <c r="B415" s="53"/>
      <c r="C415" s="49"/>
      <c r="D415" s="49"/>
      <c r="E415" s="61"/>
      <c r="F415" s="61"/>
      <c r="G415" s="58"/>
    </row>
    <row r="416" spans="1:7" s="59" customFormat="1">
      <c r="A416" s="46">
        <f>A410+0.01</f>
        <v>7.0999999999999979</v>
      </c>
      <c r="B416" s="32" t="s">
        <v>1413</v>
      </c>
      <c r="C416" s="49"/>
      <c r="D416" s="49" t="s">
        <v>31</v>
      </c>
      <c r="E416" s="61">
        <v>21</v>
      </c>
      <c r="F416" s="61">
        <v>21494</v>
      </c>
      <c r="G416" s="13">
        <f>F416*E416</f>
        <v>451374</v>
      </c>
    </row>
    <row r="417" spans="1:7" s="59" customFormat="1" ht="72.5">
      <c r="A417" s="46"/>
      <c r="B417" s="53" t="s">
        <v>1415</v>
      </c>
      <c r="C417" s="49"/>
      <c r="D417" s="49"/>
      <c r="E417" s="61"/>
      <c r="F417" s="61">
        <v>0</v>
      </c>
      <c r="G417" s="58"/>
    </row>
    <row r="418" spans="1:7" s="59" customFormat="1">
      <c r="A418" s="523"/>
      <c r="B418" s="502"/>
      <c r="C418" s="524"/>
      <c r="D418" s="524"/>
      <c r="E418" s="525"/>
      <c r="F418" s="525"/>
      <c r="G418" s="526"/>
    </row>
    <row r="419" spans="1:7" s="59" customFormat="1">
      <c r="A419" s="523">
        <f>A416+0.01</f>
        <v>7.1099999999999977</v>
      </c>
      <c r="B419" s="527" t="s">
        <v>1950</v>
      </c>
      <c r="C419" s="524"/>
      <c r="D419" s="524" t="s">
        <v>31</v>
      </c>
      <c r="E419" s="525">
        <v>9</v>
      </c>
      <c r="F419" s="525">
        <v>30772</v>
      </c>
      <c r="G419" s="13">
        <f>F419*E419</f>
        <v>276948</v>
      </c>
    </row>
    <row r="420" spans="1:7" s="59" customFormat="1" ht="72.5">
      <c r="A420" s="523"/>
      <c r="B420" s="53" t="s">
        <v>1416</v>
      </c>
      <c r="C420" s="524"/>
      <c r="D420" s="524"/>
      <c r="E420" s="525"/>
      <c r="F420" s="525"/>
      <c r="G420" s="526"/>
    </row>
    <row r="421" spans="1:7" s="59" customFormat="1">
      <c r="A421" s="523"/>
      <c r="B421" s="502"/>
      <c r="C421" s="524"/>
      <c r="D421" s="524"/>
      <c r="E421" s="525"/>
      <c r="F421" s="525"/>
      <c r="G421" s="526"/>
    </row>
    <row r="422" spans="1:7" s="59" customFormat="1">
      <c r="A422" s="523">
        <f>A419+0.01</f>
        <v>7.1199999999999974</v>
      </c>
      <c r="B422" s="527" t="s">
        <v>2173</v>
      </c>
      <c r="C422" s="524"/>
      <c r="D422" s="524" t="s">
        <v>10</v>
      </c>
      <c r="E422" s="525">
        <v>26</v>
      </c>
      <c r="F422" s="1429">
        <v>36059</v>
      </c>
      <c r="G422" s="13">
        <f>F422*E422</f>
        <v>937534</v>
      </c>
    </row>
    <row r="423" spans="1:7" s="59" customFormat="1" ht="116">
      <c r="A423" s="523"/>
      <c r="B423" s="53" t="s">
        <v>2174</v>
      </c>
      <c r="C423" s="524"/>
      <c r="D423" s="524"/>
      <c r="E423" s="525"/>
      <c r="F423" s="525"/>
      <c r="G423" s="526"/>
    </row>
    <row r="424" spans="1:7" s="59" customFormat="1">
      <c r="A424" s="523"/>
      <c r="B424" s="502"/>
      <c r="C424" s="524"/>
      <c r="D424" s="524"/>
      <c r="E424" s="525"/>
      <c r="F424" s="525"/>
      <c r="G424" s="526"/>
    </row>
    <row r="425" spans="1:7" s="59" customFormat="1">
      <c r="A425" s="523">
        <f>A422+0.01</f>
        <v>7.1299999999999972</v>
      </c>
      <c r="B425" s="527" t="s">
        <v>2176</v>
      </c>
      <c r="C425" s="524"/>
      <c r="D425" s="524" t="s">
        <v>10</v>
      </c>
      <c r="E425" s="525">
        <v>10</v>
      </c>
      <c r="F425" s="525">
        <v>30381</v>
      </c>
      <c r="G425" s="13">
        <f>F425*E425</f>
        <v>303810</v>
      </c>
    </row>
    <row r="426" spans="1:7" s="59" customFormat="1" ht="145">
      <c r="A426" s="523"/>
      <c r="B426" s="53" t="s">
        <v>2177</v>
      </c>
      <c r="C426" s="524"/>
      <c r="D426" s="524"/>
      <c r="E426" s="525"/>
      <c r="F426" s="525"/>
      <c r="G426" s="526"/>
    </row>
    <row r="427" spans="1:7" s="59" customFormat="1">
      <c r="A427" s="523"/>
      <c r="B427" s="527"/>
      <c r="C427" s="524"/>
      <c r="D427" s="524"/>
      <c r="E427" s="525"/>
      <c r="F427" s="525"/>
      <c r="G427" s="526"/>
    </row>
    <row r="428" spans="1:7" s="35" customFormat="1">
      <c r="A428" s="46"/>
      <c r="B428" s="53"/>
      <c r="C428" s="53"/>
      <c r="D428" s="33"/>
      <c r="E428" s="60"/>
      <c r="F428" s="60"/>
      <c r="G428" s="63"/>
    </row>
    <row r="429" spans="1:7">
      <c r="A429" s="22"/>
      <c r="B429" s="22" t="s">
        <v>24</v>
      </c>
      <c r="C429" s="22"/>
      <c r="D429" s="22"/>
      <c r="E429" s="22"/>
      <c r="F429" s="22"/>
      <c r="G429" s="23">
        <f>SUM(G374:G428)</f>
        <v>5777491.7999999998</v>
      </c>
    </row>
    <row r="430" spans="1:7" s="52" customFormat="1">
      <c r="A430" s="46"/>
      <c r="B430" s="49"/>
      <c r="C430" s="49"/>
      <c r="D430" s="38"/>
      <c r="E430" s="50"/>
      <c r="F430" s="50"/>
      <c r="G430" s="51"/>
    </row>
    <row r="431" spans="1:7" s="52" customFormat="1">
      <c r="A431" s="46">
        <v>8</v>
      </c>
      <c r="B431" s="65" t="s">
        <v>66</v>
      </c>
      <c r="C431" s="65"/>
      <c r="D431" s="33"/>
      <c r="E431" s="60"/>
      <c r="F431" s="60"/>
      <c r="G431" s="51"/>
    </row>
    <row r="432" spans="1:7" s="52" customFormat="1">
      <c r="A432" s="36"/>
      <c r="B432" s="64" t="s">
        <v>62</v>
      </c>
      <c r="C432" s="64"/>
      <c r="D432" s="64"/>
      <c r="E432" s="66"/>
      <c r="F432" s="66"/>
      <c r="G432" s="51"/>
    </row>
    <row r="433" spans="1:7" s="52" customFormat="1" ht="43.5">
      <c r="A433" s="36"/>
      <c r="B433" s="49" t="s">
        <v>67</v>
      </c>
      <c r="C433" s="49"/>
      <c r="D433" s="49"/>
      <c r="E433" s="61"/>
      <c r="F433" s="61"/>
      <c r="G433" s="51"/>
    </row>
    <row r="434" spans="1:7" s="52" customFormat="1">
      <c r="A434" s="36"/>
      <c r="B434" s="53"/>
      <c r="C434" s="53"/>
      <c r="D434" s="33"/>
      <c r="E434" s="50"/>
      <c r="F434" s="50"/>
      <c r="G434" s="51"/>
    </row>
    <row r="435" spans="1:7" s="52" customFormat="1">
      <c r="A435" s="36">
        <f>A431+0.01</f>
        <v>8.01</v>
      </c>
      <c r="B435" s="64" t="s">
        <v>68</v>
      </c>
      <c r="C435" s="64"/>
      <c r="D435" s="67" t="s">
        <v>55</v>
      </c>
      <c r="E435" s="19">
        <v>466</v>
      </c>
      <c r="F435" s="42">
        <v>471</v>
      </c>
      <c r="G435" s="13">
        <f>F435*E435</f>
        <v>219486</v>
      </c>
    </row>
    <row r="436" spans="1:7" s="52" customFormat="1" ht="29">
      <c r="A436" s="36"/>
      <c r="B436" s="49" t="s">
        <v>69</v>
      </c>
      <c r="C436" s="49"/>
      <c r="D436" s="49"/>
      <c r="E436" s="61"/>
      <c r="F436" s="61"/>
      <c r="G436" s="51"/>
    </row>
    <row r="437" spans="1:7" s="52" customFormat="1">
      <c r="A437" s="36"/>
      <c r="B437" s="53"/>
      <c r="C437" s="53"/>
      <c r="D437" s="33"/>
      <c r="E437" s="50"/>
      <c r="F437" s="50"/>
      <c r="G437" s="51"/>
    </row>
    <row r="438" spans="1:7" s="52" customFormat="1">
      <c r="A438" s="36">
        <f>A435+0.01</f>
        <v>8.02</v>
      </c>
      <c r="B438" s="64" t="s">
        <v>247</v>
      </c>
      <c r="C438" s="64"/>
      <c r="D438" s="67" t="s">
        <v>55</v>
      </c>
      <c r="E438" s="19">
        <v>466</v>
      </c>
      <c r="F438" s="42">
        <v>471</v>
      </c>
      <c r="G438" s="13">
        <f>F438*E438</f>
        <v>219486</v>
      </c>
    </row>
    <row r="439" spans="1:7" s="52" customFormat="1" ht="58">
      <c r="A439" s="36"/>
      <c r="B439" s="14" t="s">
        <v>179</v>
      </c>
      <c r="C439" s="49"/>
      <c r="D439" s="49"/>
      <c r="E439" s="61"/>
      <c r="F439" s="61"/>
      <c r="G439" s="51"/>
    </row>
    <row r="440" spans="1:7" s="52" customFormat="1">
      <c r="A440" s="36"/>
      <c r="B440" s="53"/>
      <c r="C440" s="53"/>
      <c r="D440" s="33"/>
      <c r="E440" s="50"/>
      <c r="F440" s="50"/>
      <c r="G440" s="51"/>
    </row>
    <row r="441" spans="1:7" s="52" customFormat="1">
      <c r="A441" s="36">
        <f>A438+0.01</f>
        <v>8.0299999999999994</v>
      </c>
      <c r="B441" s="64" t="s">
        <v>71</v>
      </c>
      <c r="C441" s="64"/>
      <c r="D441" s="68"/>
      <c r="E441" s="69"/>
      <c r="F441" s="69"/>
      <c r="G441" s="51"/>
    </row>
    <row r="442" spans="1:7" s="52" customFormat="1">
      <c r="A442" s="36"/>
      <c r="B442" s="64" t="s">
        <v>136</v>
      </c>
      <c r="C442" s="64"/>
      <c r="D442" s="67" t="s">
        <v>55</v>
      </c>
      <c r="E442" s="380">
        <v>1895</v>
      </c>
      <c r="F442" s="42">
        <v>404</v>
      </c>
      <c r="G442" s="13">
        <f>F442*E442</f>
        <v>765580</v>
      </c>
    </row>
    <row r="443" spans="1:7" s="52" customFormat="1">
      <c r="A443" s="36"/>
      <c r="B443" s="64" t="s">
        <v>36</v>
      </c>
      <c r="C443" s="64"/>
      <c r="D443" s="67" t="s">
        <v>55</v>
      </c>
      <c r="E443" s="19">
        <v>617</v>
      </c>
      <c r="F443" s="42">
        <v>336</v>
      </c>
      <c r="G443" s="13">
        <f>F443*E443</f>
        <v>207312</v>
      </c>
    </row>
    <row r="444" spans="1:7" s="52" customFormat="1">
      <c r="A444" s="36"/>
      <c r="B444" s="64" t="s">
        <v>137</v>
      </c>
      <c r="C444" s="64"/>
      <c r="D444" s="67" t="s">
        <v>55</v>
      </c>
      <c r="E444" s="19">
        <v>1473</v>
      </c>
      <c r="F444" s="42">
        <v>336</v>
      </c>
      <c r="G444" s="13">
        <f>F444*E444</f>
        <v>494928</v>
      </c>
    </row>
    <row r="445" spans="1:7" s="52" customFormat="1" ht="46.5" customHeight="1">
      <c r="A445" s="36"/>
      <c r="B445" s="49" t="s">
        <v>73</v>
      </c>
      <c r="C445" s="49"/>
      <c r="D445" s="49"/>
      <c r="E445" s="61"/>
      <c r="F445" s="61"/>
      <c r="G445" s="51"/>
    </row>
    <row r="446" spans="1:7" s="52" customFormat="1" ht="72.5">
      <c r="A446" s="36"/>
      <c r="B446" s="49" t="s">
        <v>70</v>
      </c>
      <c r="C446" s="49"/>
      <c r="D446" s="68"/>
      <c r="E446" s="69"/>
      <c r="F446" s="69"/>
      <c r="G446" s="51"/>
    </row>
    <row r="447" spans="1:7" s="52" customFormat="1">
      <c r="A447" s="36"/>
      <c r="B447" s="49"/>
      <c r="C447" s="49"/>
      <c r="D447" s="68"/>
      <c r="E447" s="69"/>
      <c r="F447" s="69"/>
      <c r="G447" s="51"/>
    </row>
    <row r="448" spans="1:7" s="52" customFormat="1">
      <c r="A448" s="36">
        <f>A441+0.01</f>
        <v>8.0399999999999991</v>
      </c>
      <c r="B448" s="64" t="s">
        <v>250</v>
      </c>
      <c r="C448" s="49"/>
      <c r="D448" s="68" t="s">
        <v>10</v>
      </c>
      <c r="E448" s="69">
        <v>180</v>
      </c>
      <c r="F448" s="69">
        <v>242</v>
      </c>
      <c r="G448" s="13">
        <f>F448*E448</f>
        <v>43560</v>
      </c>
    </row>
    <row r="449" spans="1:7" s="52" customFormat="1" ht="58">
      <c r="A449" s="36"/>
      <c r="B449" s="49" t="s">
        <v>249</v>
      </c>
      <c r="C449" s="49"/>
      <c r="D449" s="68"/>
      <c r="E449" s="69"/>
      <c r="F449" s="69"/>
      <c r="G449" s="51"/>
    </row>
    <row r="450" spans="1:7" s="52" customFormat="1">
      <c r="A450" s="36"/>
      <c r="B450" s="49"/>
      <c r="C450" s="49"/>
      <c r="D450" s="68"/>
      <c r="E450" s="69"/>
      <c r="F450" s="69"/>
      <c r="G450" s="51"/>
    </row>
    <row r="451" spans="1:7" s="52" customFormat="1">
      <c r="A451" s="36">
        <f>A448+0.01</f>
        <v>8.0499999999999989</v>
      </c>
      <c r="B451" s="64" t="s">
        <v>248</v>
      </c>
      <c r="C451" s="49"/>
      <c r="D451" s="68" t="s">
        <v>10</v>
      </c>
      <c r="E451" s="69">
        <v>1232</v>
      </c>
      <c r="F451" s="69">
        <v>404</v>
      </c>
      <c r="G451" s="13">
        <f>F451*E451</f>
        <v>497728</v>
      </c>
    </row>
    <row r="452" spans="1:7" s="52" customFormat="1" ht="101.5">
      <c r="A452" s="36"/>
      <c r="B452" s="49" t="s">
        <v>251</v>
      </c>
      <c r="C452" s="49" t="s">
        <v>1158</v>
      </c>
      <c r="D452" s="68"/>
      <c r="E452" s="69"/>
      <c r="F452" s="69"/>
      <c r="G452" s="51"/>
    </row>
    <row r="453" spans="1:7" s="52" customFormat="1">
      <c r="A453" s="36"/>
      <c r="B453" s="49"/>
      <c r="C453" s="49"/>
      <c r="D453" s="68"/>
      <c r="E453" s="69"/>
      <c r="F453" s="69"/>
      <c r="G453" s="51"/>
    </row>
    <row r="454" spans="1:7" s="52" customFormat="1">
      <c r="A454" s="36">
        <f>A448+0.01</f>
        <v>8.0499999999999989</v>
      </c>
      <c r="B454" s="64" t="s">
        <v>318</v>
      </c>
      <c r="C454" s="49"/>
      <c r="D454" s="68" t="s">
        <v>10</v>
      </c>
      <c r="E454" s="69">
        <v>2443</v>
      </c>
      <c r="F454" s="69">
        <v>242</v>
      </c>
      <c r="G454" s="13">
        <f>F454*E454</f>
        <v>591206</v>
      </c>
    </row>
    <row r="455" spans="1:7" s="52" customFormat="1" ht="43.5">
      <c r="A455" s="36"/>
      <c r="B455" s="49" t="s">
        <v>319</v>
      </c>
      <c r="C455" s="49"/>
      <c r="D455" s="68"/>
      <c r="E455" s="69"/>
      <c r="F455" s="69"/>
      <c r="G455" s="51"/>
    </row>
    <row r="456" spans="1:7" s="52" customFormat="1">
      <c r="A456" s="36"/>
      <c r="B456" s="49"/>
      <c r="C456" s="49"/>
      <c r="D456" s="68"/>
      <c r="E456" s="69"/>
      <c r="F456" s="69"/>
      <c r="G456" s="51"/>
    </row>
    <row r="457" spans="1:7" s="52" customFormat="1">
      <c r="A457" s="36">
        <f>A451+0.01</f>
        <v>8.0599999999999987</v>
      </c>
      <c r="B457" s="64" t="s">
        <v>252</v>
      </c>
      <c r="C457" s="49"/>
      <c r="D457" s="68" t="s">
        <v>10</v>
      </c>
      <c r="E457" s="69">
        <v>180</v>
      </c>
      <c r="F457" s="69">
        <v>3027</v>
      </c>
      <c r="G457" s="13">
        <f>F457*E457</f>
        <v>544860</v>
      </c>
    </row>
    <row r="458" spans="1:7" s="52" customFormat="1" ht="43.5">
      <c r="A458" s="36"/>
      <c r="B458" s="49" t="s">
        <v>253</v>
      </c>
      <c r="C458" s="49" t="s">
        <v>2196</v>
      </c>
      <c r="D458" s="68"/>
      <c r="E458" s="69"/>
      <c r="F458" s="69"/>
      <c r="G458" s="51"/>
    </row>
    <row r="459" spans="1:7" s="52" customFormat="1">
      <c r="A459" s="36"/>
      <c r="B459" s="49"/>
      <c r="C459" s="49"/>
      <c r="D459" s="68"/>
      <c r="E459" s="69"/>
      <c r="F459" s="69"/>
      <c r="G459" s="51"/>
    </row>
    <row r="460" spans="1:7" s="52" customFormat="1">
      <c r="A460" s="36">
        <f>A454+0.01</f>
        <v>8.0599999999999987</v>
      </c>
      <c r="B460" s="64" t="s">
        <v>2213</v>
      </c>
      <c r="C460" s="49"/>
      <c r="D460" s="68" t="s">
        <v>10</v>
      </c>
      <c r="E460" s="69">
        <v>72</v>
      </c>
      <c r="F460" s="69">
        <v>6728</v>
      </c>
      <c r="G460" s="13">
        <f>F460*E460</f>
        <v>484416</v>
      </c>
    </row>
    <row r="461" spans="1:7" s="52" customFormat="1" ht="43.5">
      <c r="A461" s="36"/>
      <c r="B461" s="49" t="s">
        <v>253</v>
      </c>
      <c r="C461" s="49" t="s">
        <v>2214</v>
      </c>
      <c r="D461" s="68"/>
      <c r="E461" s="69"/>
      <c r="F461" s="69"/>
      <c r="G461" s="51"/>
    </row>
    <row r="462" spans="1:7">
      <c r="A462" s="11"/>
      <c r="B462" s="11"/>
      <c r="C462" s="11"/>
      <c r="D462" s="12"/>
      <c r="E462" s="11"/>
      <c r="F462" s="11"/>
      <c r="G462" s="13"/>
    </row>
    <row r="463" spans="1:7">
      <c r="A463" s="22"/>
      <c r="B463" s="22" t="s">
        <v>24</v>
      </c>
      <c r="C463" s="22"/>
      <c r="D463" s="22"/>
      <c r="E463" s="22"/>
      <c r="F463" s="22"/>
      <c r="G463" s="23">
        <f>SUM(G430:G462)</f>
        <v>4068562</v>
      </c>
    </row>
    <row r="464" spans="1:7" s="59" customFormat="1">
      <c r="A464" s="46"/>
      <c r="B464" s="49"/>
      <c r="C464" s="49"/>
      <c r="D464" s="38"/>
      <c r="E464" s="50"/>
      <c r="F464" s="50"/>
      <c r="G464" s="58"/>
    </row>
    <row r="465" spans="1:7" s="59" customFormat="1">
      <c r="A465" s="46">
        <v>9</v>
      </c>
      <c r="B465" s="32" t="s">
        <v>74</v>
      </c>
      <c r="C465" s="32"/>
      <c r="D465" s="33"/>
      <c r="E465" s="60"/>
      <c r="F465" s="60"/>
      <c r="G465" s="58"/>
    </row>
    <row r="466" spans="1:7" s="59" customFormat="1">
      <c r="A466" s="36"/>
      <c r="B466" s="53"/>
      <c r="C466" s="53"/>
      <c r="D466" s="33"/>
      <c r="E466" s="60"/>
      <c r="F466" s="60"/>
      <c r="G466" s="58"/>
    </row>
    <row r="467" spans="1:7" s="35" customFormat="1">
      <c r="A467" s="36">
        <f>A465+0.01</f>
        <v>9.01</v>
      </c>
      <c r="B467" s="64" t="s">
        <v>75</v>
      </c>
      <c r="C467" s="64"/>
      <c r="D467" s="62" t="s">
        <v>55</v>
      </c>
      <c r="E467" s="19">
        <v>113</v>
      </c>
      <c r="F467" s="42">
        <v>1346</v>
      </c>
      <c r="G467" s="13">
        <f>F467*E467</f>
        <v>152098</v>
      </c>
    </row>
    <row r="468" spans="1:7" s="35" customFormat="1" ht="58">
      <c r="A468" s="36"/>
      <c r="B468" s="49" t="s">
        <v>76</v>
      </c>
      <c r="C468" s="49" t="s">
        <v>1912</v>
      </c>
      <c r="D468" s="68"/>
      <c r="E468" s="69"/>
      <c r="F468" s="69"/>
      <c r="G468" s="63"/>
    </row>
    <row r="469" spans="1:7" s="59" customFormat="1">
      <c r="A469" s="36"/>
      <c r="B469" s="53"/>
      <c r="C469" s="53"/>
      <c r="D469" s="33"/>
      <c r="E469" s="60"/>
      <c r="F469" s="60"/>
      <c r="G469" s="58"/>
    </row>
    <row r="470" spans="1:7" s="35" customFormat="1">
      <c r="A470" s="36">
        <f>A467+0.01</f>
        <v>9.02</v>
      </c>
      <c r="B470" s="64" t="s">
        <v>2200</v>
      </c>
      <c r="C470" s="64"/>
      <c r="D470" s="62" t="s">
        <v>55</v>
      </c>
      <c r="E470" s="19">
        <v>43</v>
      </c>
      <c r="F470" s="42">
        <v>1076</v>
      </c>
      <c r="G470" s="13">
        <f>F470*E470</f>
        <v>46268</v>
      </c>
    </row>
    <row r="471" spans="1:7" s="35" customFormat="1" ht="43.5">
      <c r="A471" s="36"/>
      <c r="B471" s="49" t="s">
        <v>2201</v>
      </c>
      <c r="C471" s="49" t="s">
        <v>2485</v>
      </c>
      <c r="D471" s="68"/>
      <c r="E471" s="69"/>
      <c r="F471" s="69"/>
      <c r="G471" s="63"/>
    </row>
    <row r="472" spans="1:7" s="35" customFormat="1">
      <c r="A472" s="36"/>
      <c r="B472" s="49"/>
      <c r="C472" s="49"/>
      <c r="D472" s="68"/>
      <c r="E472" s="69"/>
      <c r="F472" s="69">
        <v>0</v>
      </c>
      <c r="G472" s="63"/>
    </row>
    <row r="473" spans="1:7" s="35" customFormat="1">
      <c r="A473" s="36">
        <f>A467+0.01</f>
        <v>9.02</v>
      </c>
      <c r="B473" s="64" t="s">
        <v>2197</v>
      </c>
      <c r="C473" s="49"/>
      <c r="D473" s="67" t="s">
        <v>31</v>
      </c>
      <c r="E473" s="69">
        <v>16</v>
      </c>
      <c r="F473" s="69">
        <v>2191</v>
      </c>
      <c r="G473" s="13">
        <f>F473*E473</f>
        <v>35056</v>
      </c>
    </row>
    <row r="474" spans="1:7" s="35" customFormat="1" ht="43.5">
      <c r="A474" s="36"/>
      <c r="B474" s="49" t="s">
        <v>2198</v>
      </c>
      <c r="C474" s="49"/>
      <c r="D474" s="68"/>
      <c r="E474" s="69"/>
      <c r="F474" s="69">
        <v>0</v>
      </c>
      <c r="G474" s="63"/>
    </row>
    <row r="475" spans="1:7" s="35" customFormat="1">
      <c r="A475" s="36"/>
      <c r="B475" s="49"/>
      <c r="C475" s="49"/>
      <c r="D475" s="68"/>
      <c r="E475" s="69"/>
      <c r="F475" s="69">
        <v>0</v>
      </c>
      <c r="G475" s="63"/>
    </row>
    <row r="476" spans="1:7" s="35" customFormat="1">
      <c r="A476" s="36">
        <f>A470+0.01</f>
        <v>9.0299999999999994</v>
      </c>
      <c r="B476" s="64" t="s">
        <v>2486</v>
      </c>
      <c r="C476" s="49"/>
      <c r="D476" s="67" t="s">
        <v>31</v>
      </c>
      <c r="E476" s="69">
        <v>22</v>
      </c>
      <c r="F476" s="69">
        <v>2191</v>
      </c>
      <c r="G476" s="13">
        <f>F476*E476</f>
        <v>48202</v>
      </c>
    </row>
    <row r="477" spans="1:7" s="35" customFormat="1" ht="43.5">
      <c r="A477" s="36"/>
      <c r="B477" s="49" t="s">
        <v>2198</v>
      </c>
      <c r="C477" s="49"/>
      <c r="D477" s="68"/>
      <c r="E477" s="69"/>
      <c r="F477" s="69">
        <v>0</v>
      </c>
      <c r="G477" s="63"/>
    </row>
    <row r="478" spans="1:7" s="35" customFormat="1">
      <c r="A478" s="36"/>
      <c r="B478" s="49"/>
      <c r="C478" s="49"/>
      <c r="D478" s="68"/>
      <c r="E478" s="69"/>
      <c r="F478" s="69">
        <v>0</v>
      </c>
      <c r="G478" s="63"/>
    </row>
    <row r="479" spans="1:7" s="35" customFormat="1">
      <c r="A479" s="36">
        <f>A473+0.01</f>
        <v>9.0299999999999994</v>
      </c>
      <c r="B479" s="64" t="s">
        <v>142</v>
      </c>
      <c r="C479" s="49"/>
      <c r="D479" s="67" t="s">
        <v>10</v>
      </c>
      <c r="E479" s="69">
        <v>160</v>
      </c>
      <c r="F479" s="69">
        <v>807</v>
      </c>
      <c r="G479" s="13">
        <f>F479*E479</f>
        <v>129120</v>
      </c>
    </row>
    <row r="480" spans="1:7" s="35" customFormat="1" ht="29">
      <c r="A480" s="36"/>
      <c r="B480" s="49" t="s">
        <v>143</v>
      </c>
      <c r="C480" s="49"/>
      <c r="D480" s="68"/>
      <c r="E480" s="69"/>
      <c r="F480" s="69">
        <v>0</v>
      </c>
      <c r="G480" s="63"/>
    </row>
    <row r="481" spans="1:7" s="35" customFormat="1" ht="130.5">
      <c r="A481" s="36"/>
      <c r="B481" s="49" t="s">
        <v>144</v>
      </c>
      <c r="C481" s="49"/>
      <c r="D481" s="68"/>
      <c r="E481" s="69"/>
      <c r="F481" s="69">
        <v>0</v>
      </c>
      <c r="G481" s="63"/>
    </row>
    <row r="482" spans="1:7" s="35" customFormat="1">
      <c r="A482" s="36"/>
      <c r="B482" s="49" t="s">
        <v>145</v>
      </c>
      <c r="C482" s="49"/>
      <c r="D482" s="68"/>
      <c r="E482" s="69"/>
      <c r="F482" s="69">
        <v>0</v>
      </c>
      <c r="G482" s="63"/>
    </row>
    <row r="483" spans="1:7" s="35" customFormat="1" ht="29">
      <c r="A483" s="36"/>
      <c r="B483" s="49" t="s">
        <v>146</v>
      </c>
      <c r="C483" s="49"/>
      <c r="D483" s="68"/>
      <c r="E483" s="69"/>
      <c r="F483" s="69">
        <v>0</v>
      </c>
      <c r="G483" s="63"/>
    </row>
    <row r="484" spans="1:7" s="35" customFormat="1" ht="29">
      <c r="A484" s="36"/>
      <c r="B484" s="49" t="s">
        <v>147</v>
      </c>
      <c r="C484" s="49"/>
      <c r="D484" s="68"/>
      <c r="E484" s="69"/>
      <c r="F484" s="69">
        <v>0</v>
      </c>
      <c r="G484" s="63"/>
    </row>
    <row r="485" spans="1:7" s="35" customFormat="1" ht="29">
      <c r="A485" s="36"/>
      <c r="B485" s="49" t="s">
        <v>148</v>
      </c>
      <c r="C485" s="49"/>
      <c r="D485" s="68"/>
      <c r="E485" s="69"/>
      <c r="F485" s="69">
        <v>0</v>
      </c>
      <c r="G485" s="63"/>
    </row>
    <row r="486" spans="1:7" s="35" customFormat="1">
      <c r="A486" s="36"/>
      <c r="B486" s="49" t="s">
        <v>149</v>
      </c>
      <c r="C486" s="49"/>
      <c r="D486" s="68"/>
      <c r="E486" s="69"/>
      <c r="F486" s="69">
        <v>0</v>
      </c>
      <c r="G486" s="63"/>
    </row>
    <row r="487" spans="1:7" s="35" customFormat="1">
      <c r="A487" s="36"/>
      <c r="B487" s="49" t="s">
        <v>150</v>
      </c>
      <c r="C487" s="49"/>
      <c r="D487" s="68"/>
      <c r="E487" s="69"/>
      <c r="F487" s="69">
        <v>0</v>
      </c>
      <c r="G487" s="63"/>
    </row>
    <row r="488" spans="1:7" s="35" customFormat="1">
      <c r="A488" s="36"/>
      <c r="B488" s="49" t="s">
        <v>151</v>
      </c>
      <c r="C488" s="49"/>
      <c r="D488" s="49"/>
      <c r="E488" s="61"/>
      <c r="F488" s="61">
        <v>0</v>
      </c>
      <c r="G488" s="63"/>
    </row>
    <row r="489" spans="1:7" s="35" customFormat="1" ht="43.5">
      <c r="A489" s="36"/>
      <c r="B489" s="49" t="s">
        <v>152</v>
      </c>
      <c r="C489" s="49"/>
      <c r="D489" s="49"/>
      <c r="E489" s="61"/>
      <c r="F489" s="61">
        <v>0</v>
      </c>
      <c r="G489" s="63"/>
    </row>
    <row r="490" spans="1:7" s="35" customFormat="1">
      <c r="A490" s="36"/>
      <c r="B490" s="49" t="s">
        <v>153</v>
      </c>
      <c r="C490" s="49"/>
      <c r="D490" s="49"/>
      <c r="E490" s="61"/>
      <c r="F490" s="61">
        <v>0</v>
      </c>
      <c r="G490" s="63"/>
    </row>
    <row r="491" spans="1:7" s="35" customFormat="1">
      <c r="A491" s="36"/>
      <c r="B491" s="49"/>
      <c r="C491" s="49"/>
      <c r="D491" s="68"/>
      <c r="E491" s="69"/>
      <c r="F491" s="69">
        <v>0</v>
      </c>
      <c r="G491" s="63"/>
    </row>
    <row r="492" spans="1:7" s="35" customFormat="1">
      <c r="A492" s="36">
        <f>A479+0.01</f>
        <v>9.0399999999999991</v>
      </c>
      <c r="B492" s="64" t="s">
        <v>2199</v>
      </c>
      <c r="C492" s="49"/>
      <c r="D492" s="67" t="s">
        <v>10</v>
      </c>
      <c r="E492" s="69">
        <v>16</v>
      </c>
      <c r="F492" s="69">
        <v>807</v>
      </c>
      <c r="G492" s="13">
        <f>F492*E492</f>
        <v>12912</v>
      </c>
    </row>
    <row r="493" spans="1:7" s="35" customFormat="1" ht="29">
      <c r="A493" s="36"/>
      <c r="B493" s="49" t="s">
        <v>143</v>
      </c>
      <c r="C493" s="49"/>
      <c r="D493" s="68"/>
      <c r="E493" s="69"/>
      <c r="F493" s="69">
        <v>0</v>
      </c>
      <c r="G493" s="63"/>
    </row>
    <row r="494" spans="1:7" s="35" customFormat="1" ht="130.5">
      <c r="A494" s="36"/>
      <c r="B494" s="49" t="s">
        <v>144</v>
      </c>
      <c r="C494" s="49"/>
      <c r="D494" s="68"/>
      <c r="E494" s="69"/>
      <c r="F494" s="69">
        <v>0</v>
      </c>
      <c r="G494" s="63"/>
    </row>
    <row r="495" spans="1:7" s="35" customFormat="1">
      <c r="A495" s="36"/>
      <c r="B495" s="49" t="s">
        <v>145</v>
      </c>
      <c r="C495" s="49"/>
      <c r="D495" s="68"/>
      <c r="E495" s="69"/>
      <c r="F495" s="69">
        <v>0</v>
      </c>
      <c r="G495" s="63"/>
    </row>
    <row r="496" spans="1:7" s="35" customFormat="1" ht="29">
      <c r="A496" s="36"/>
      <c r="B496" s="49" t="s">
        <v>146</v>
      </c>
      <c r="C496" s="49"/>
      <c r="D496" s="68"/>
      <c r="E496" s="69"/>
      <c r="F496" s="69">
        <v>0</v>
      </c>
      <c r="G496" s="63"/>
    </row>
    <row r="497" spans="1:7" s="35" customFormat="1" ht="29">
      <c r="A497" s="36"/>
      <c r="B497" s="49" t="s">
        <v>147</v>
      </c>
      <c r="C497" s="49"/>
      <c r="D497" s="68"/>
      <c r="E497" s="69"/>
      <c r="F497" s="69">
        <v>0</v>
      </c>
      <c r="G497" s="63"/>
    </row>
    <row r="498" spans="1:7" s="35" customFormat="1" ht="29">
      <c r="A498" s="36"/>
      <c r="B498" s="49" t="s">
        <v>148</v>
      </c>
      <c r="C498" s="49"/>
      <c r="D498" s="68"/>
      <c r="E498" s="69"/>
      <c r="F498" s="69">
        <v>0</v>
      </c>
      <c r="G498" s="63"/>
    </row>
    <row r="499" spans="1:7" s="35" customFormat="1">
      <c r="A499" s="36"/>
      <c r="B499" s="49" t="s">
        <v>149</v>
      </c>
      <c r="C499" s="49"/>
      <c r="D499" s="68"/>
      <c r="E499" s="69"/>
      <c r="F499" s="69">
        <v>0</v>
      </c>
      <c r="G499" s="63"/>
    </row>
    <row r="500" spans="1:7" s="35" customFormat="1">
      <c r="A500" s="36"/>
      <c r="B500" s="49" t="s">
        <v>150</v>
      </c>
      <c r="C500" s="49"/>
      <c r="D500" s="68"/>
      <c r="E500" s="69"/>
      <c r="F500" s="69">
        <v>0</v>
      </c>
      <c r="G500" s="63"/>
    </row>
    <row r="501" spans="1:7" s="35" customFormat="1">
      <c r="A501" s="36"/>
      <c r="B501" s="49" t="s">
        <v>151</v>
      </c>
      <c r="C501" s="49"/>
      <c r="D501" s="49"/>
      <c r="E501" s="61"/>
      <c r="F501" s="61">
        <v>0</v>
      </c>
      <c r="G501" s="63"/>
    </row>
    <row r="502" spans="1:7" s="35" customFormat="1" ht="43.5">
      <c r="A502" s="36"/>
      <c r="B502" s="49" t="s">
        <v>152</v>
      </c>
      <c r="C502" s="49"/>
      <c r="D502" s="49"/>
      <c r="E502" s="61"/>
      <c r="F502" s="61">
        <v>0</v>
      </c>
      <c r="G502" s="63"/>
    </row>
    <row r="503" spans="1:7" s="35" customFormat="1">
      <c r="A503" s="36"/>
      <c r="B503" s="49" t="s">
        <v>153</v>
      </c>
      <c r="C503" s="49"/>
      <c r="D503" s="49"/>
      <c r="E503" s="61"/>
      <c r="F503" s="61">
        <v>0</v>
      </c>
      <c r="G503" s="63"/>
    </row>
    <row r="504" spans="1:7" s="35" customFormat="1">
      <c r="A504" s="36"/>
      <c r="B504" s="49"/>
      <c r="C504" s="49"/>
      <c r="D504" s="68"/>
      <c r="E504" s="69"/>
      <c r="F504" s="69">
        <v>0</v>
      </c>
      <c r="G504" s="63"/>
    </row>
    <row r="505" spans="1:7" s="35" customFormat="1">
      <c r="A505" s="36">
        <f>A492+0.01</f>
        <v>9.0499999999999989</v>
      </c>
      <c r="B505" s="64" t="s">
        <v>2205</v>
      </c>
      <c r="C505" s="49"/>
      <c r="D505" s="67" t="s">
        <v>16</v>
      </c>
      <c r="E505" s="69">
        <v>8</v>
      </c>
      <c r="F505" s="69">
        <v>11250</v>
      </c>
      <c r="G505" s="13">
        <f>F505*E505</f>
        <v>90000</v>
      </c>
    </row>
    <row r="506" spans="1:7" s="35" customFormat="1">
      <c r="A506" s="36"/>
      <c r="B506" s="49" t="s">
        <v>2206</v>
      </c>
      <c r="C506" s="49"/>
      <c r="D506" s="68"/>
      <c r="E506" s="69"/>
      <c r="F506" s="69">
        <v>0</v>
      </c>
      <c r="G506" s="63"/>
    </row>
    <row r="507" spans="1:7" s="35" customFormat="1">
      <c r="A507" s="36"/>
      <c r="B507" s="49"/>
      <c r="C507" s="49"/>
      <c r="D507" s="68"/>
      <c r="E507" s="69"/>
      <c r="F507" s="69">
        <v>0</v>
      </c>
      <c r="G507" s="63"/>
    </row>
    <row r="508" spans="1:7" s="35" customFormat="1">
      <c r="A508" s="36">
        <f>A505+0.01</f>
        <v>9.0599999999999987</v>
      </c>
      <c r="B508" s="64" t="s">
        <v>2207</v>
      </c>
      <c r="C508" s="49"/>
      <c r="D508" s="67" t="s">
        <v>16</v>
      </c>
      <c r="E508" s="69">
        <v>2</v>
      </c>
      <c r="F508" s="69">
        <v>20625</v>
      </c>
      <c r="G508" s="13">
        <f>F508*E508</f>
        <v>41250</v>
      </c>
    </row>
    <row r="509" spans="1:7" s="35" customFormat="1">
      <c r="A509" s="36"/>
      <c r="B509" s="49" t="s">
        <v>2208</v>
      </c>
      <c r="C509" s="49"/>
      <c r="D509" s="68"/>
      <c r="E509" s="69"/>
      <c r="F509" s="69">
        <v>0</v>
      </c>
      <c r="G509" s="63"/>
    </row>
    <row r="510" spans="1:7" s="35" customFormat="1">
      <c r="A510" s="36"/>
      <c r="B510" s="49"/>
      <c r="C510" s="49"/>
      <c r="D510" s="68"/>
      <c r="E510" s="69"/>
      <c r="F510" s="69">
        <v>0</v>
      </c>
      <c r="G510" s="63"/>
    </row>
    <row r="511" spans="1:7" s="35" customFormat="1">
      <c r="A511" s="36">
        <f>A508+0.01</f>
        <v>9.0699999999999985</v>
      </c>
      <c r="B511" s="64" t="s">
        <v>2209</v>
      </c>
      <c r="C511" s="49"/>
      <c r="D511" s="67" t="s">
        <v>31</v>
      </c>
      <c r="E511" s="69">
        <v>224</v>
      </c>
      <c r="F511" s="69">
        <v>313</v>
      </c>
      <c r="G511" s="13">
        <f>F511*E511</f>
        <v>70112</v>
      </c>
    </row>
    <row r="512" spans="1:7" s="35" customFormat="1">
      <c r="A512" s="36"/>
      <c r="B512" s="49" t="s">
        <v>2210</v>
      </c>
      <c r="C512" s="49"/>
      <c r="D512" s="68"/>
      <c r="E512" s="69"/>
      <c r="F512" s="69">
        <v>0</v>
      </c>
      <c r="G512" s="63"/>
    </row>
    <row r="513" spans="1:7" s="35" customFormat="1">
      <c r="A513" s="36"/>
      <c r="B513" s="49"/>
      <c r="C513" s="49"/>
      <c r="D513" s="49"/>
      <c r="E513" s="61"/>
      <c r="F513" s="61">
        <v>0</v>
      </c>
      <c r="G513" s="63"/>
    </row>
    <row r="514" spans="1:7" s="35" customFormat="1">
      <c r="A514" s="36">
        <f>A511+0.01</f>
        <v>9.0799999999999983</v>
      </c>
      <c r="B514" s="64" t="s">
        <v>85</v>
      </c>
      <c r="C514" s="64"/>
      <c r="D514" s="67" t="s">
        <v>31</v>
      </c>
      <c r="E514" s="19">
        <v>150</v>
      </c>
      <c r="F514" s="69">
        <v>369</v>
      </c>
      <c r="G514" s="13">
        <f>F514*E514</f>
        <v>55350</v>
      </c>
    </row>
    <row r="515" spans="1:7" s="35" customFormat="1">
      <c r="A515" s="36"/>
      <c r="B515" s="49" t="s">
        <v>86</v>
      </c>
      <c r="C515" s="49"/>
      <c r="D515" s="67"/>
      <c r="E515" s="69"/>
      <c r="F515" s="69"/>
      <c r="G515" s="63"/>
    </row>
    <row r="516" spans="1:7" s="35" customFormat="1">
      <c r="A516" s="36"/>
      <c r="B516" s="49"/>
      <c r="C516" s="49"/>
      <c r="D516" s="68"/>
      <c r="E516" s="69"/>
      <c r="F516" s="69"/>
      <c r="G516" s="63"/>
    </row>
    <row r="517" spans="1:7" s="35" customFormat="1">
      <c r="A517" s="36">
        <f>A514+0.01</f>
        <v>9.0899999999999981</v>
      </c>
      <c r="B517" s="64" t="s">
        <v>87</v>
      </c>
      <c r="C517" s="64"/>
      <c r="D517" s="67" t="s">
        <v>16</v>
      </c>
      <c r="E517" s="19">
        <v>1</v>
      </c>
      <c r="F517" s="69">
        <v>62500</v>
      </c>
      <c r="G517" s="13">
        <f>F517*E517</f>
        <v>62500</v>
      </c>
    </row>
    <row r="518" spans="1:7" s="35" customFormat="1">
      <c r="A518" s="36"/>
      <c r="B518" s="49" t="s">
        <v>88</v>
      </c>
      <c r="C518" s="49"/>
      <c r="D518" s="67"/>
      <c r="E518" s="69"/>
      <c r="F518" s="69"/>
      <c r="G518" s="63"/>
    </row>
    <row r="519" spans="1:7" s="35" customFormat="1">
      <c r="A519" s="36"/>
      <c r="B519" s="49"/>
      <c r="C519" s="49"/>
      <c r="D519" s="68"/>
      <c r="E519" s="69"/>
      <c r="F519" s="69"/>
      <c r="G519" s="63"/>
    </row>
    <row r="520" spans="1:7" s="35" customFormat="1">
      <c r="A520" s="36">
        <f>A517+0.01</f>
        <v>9.0999999999999979</v>
      </c>
      <c r="B520" s="64" t="s">
        <v>103</v>
      </c>
      <c r="C520" s="64"/>
      <c r="D520" s="67" t="s">
        <v>16</v>
      </c>
      <c r="E520" s="19">
        <v>21</v>
      </c>
      <c r="F520" s="69">
        <v>3125</v>
      </c>
      <c r="G520" s="13">
        <f>F520*E520</f>
        <v>65625</v>
      </c>
    </row>
    <row r="521" spans="1:7" s="35" customFormat="1">
      <c r="A521" s="36"/>
      <c r="B521" s="49" t="s">
        <v>104</v>
      </c>
      <c r="C521" s="62"/>
      <c r="D521" s="67"/>
      <c r="E521" s="69"/>
      <c r="F521" s="69">
        <v>0</v>
      </c>
      <c r="G521" s="63"/>
    </row>
    <row r="522" spans="1:7" s="35" customFormat="1">
      <c r="A522" s="36"/>
      <c r="B522" s="49"/>
      <c r="C522" s="49"/>
      <c r="D522" s="68"/>
      <c r="E522" s="69"/>
      <c r="F522" s="69">
        <v>0</v>
      </c>
      <c r="G522" s="63"/>
    </row>
    <row r="523" spans="1:7" s="35" customFormat="1">
      <c r="A523" s="36">
        <f>A520+0.01</f>
        <v>9.1099999999999977</v>
      </c>
      <c r="B523" s="64" t="s">
        <v>1417</v>
      </c>
      <c r="C523" s="64"/>
      <c r="D523" s="67" t="s">
        <v>78</v>
      </c>
      <c r="E523" s="19">
        <v>1</v>
      </c>
      <c r="F523" s="69">
        <v>625000</v>
      </c>
      <c r="G523" s="13">
        <f>F523*E523</f>
        <v>625000</v>
      </c>
    </row>
    <row r="524" spans="1:7" s="35" customFormat="1">
      <c r="A524" s="36"/>
      <c r="B524" s="49" t="s">
        <v>315</v>
      </c>
      <c r="C524" s="62"/>
      <c r="D524" s="67"/>
      <c r="E524" s="69"/>
      <c r="F524" s="69"/>
      <c r="G524" s="63"/>
    </row>
    <row r="525" spans="1:7" s="35" customFormat="1">
      <c r="A525" s="36"/>
      <c r="B525" s="49"/>
      <c r="C525" s="49"/>
      <c r="D525" s="49"/>
      <c r="E525" s="61"/>
      <c r="F525" s="61"/>
      <c r="G525" s="63"/>
    </row>
    <row r="526" spans="1:7" s="35" customFormat="1">
      <c r="A526" s="36">
        <f>A523+0.01</f>
        <v>9.1199999999999974</v>
      </c>
      <c r="B526" s="64" t="s">
        <v>316</v>
      </c>
      <c r="C526" s="49"/>
      <c r="D526" s="67" t="s">
        <v>16</v>
      </c>
      <c r="E526" s="61">
        <v>35</v>
      </c>
      <c r="F526" s="61">
        <v>5000</v>
      </c>
      <c r="G526" s="13">
        <f>F526*E526</f>
        <v>175000</v>
      </c>
    </row>
    <row r="527" spans="1:7" s="35" customFormat="1" ht="70.5" customHeight="1">
      <c r="A527" s="36"/>
      <c r="B527" s="49" t="s">
        <v>2002</v>
      </c>
      <c r="C527" s="49" t="s">
        <v>2532</v>
      </c>
      <c r="D527" s="49"/>
      <c r="E527" s="61"/>
      <c r="F527" s="61">
        <v>0</v>
      </c>
      <c r="G527" s="63"/>
    </row>
    <row r="528" spans="1:7" s="35" customFormat="1">
      <c r="A528" s="36"/>
      <c r="B528" s="49"/>
      <c r="C528" s="49"/>
      <c r="D528" s="49"/>
      <c r="E528" s="61"/>
      <c r="F528" s="61">
        <v>0</v>
      </c>
      <c r="G528" s="63"/>
    </row>
    <row r="529" spans="1:7" s="35" customFormat="1">
      <c r="A529" s="36">
        <f>A526+0.01</f>
        <v>9.1299999999999972</v>
      </c>
      <c r="B529" s="64" t="s">
        <v>1151</v>
      </c>
      <c r="C529" s="49"/>
      <c r="D529" s="67" t="s">
        <v>16</v>
      </c>
      <c r="E529" s="61">
        <v>16</v>
      </c>
      <c r="F529" s="61">
        <v>6250</v>
      </c>
      <c r="G529" s="13">
        <f>F529*E529</f>
        <v>100000</v>
      </c>
    </row>
    <row r="530" spans="1:7" s="35" customFormat="1">
      <c r="A530" s="36"/>
      <c r="B530" s="49" t="s">
        <v>317</v>
      </c>
      <c r="C530" s="49" t="s">
        <v>1152</v>
      </c>
      <c r="D530" s="49"/>
      <c r="E530" s="61"/>
      <c r="F530" s="61">
        <v>0</v>
      </c>
      <c r="G530" s="63"/>
    </row>
    <row r="531" spans="1:7" s="35" customFormat="1">
      <c r="A531" s="36"/>
      <c r="B531" s="49"/>
      <c r="C531" s="49"/>
      <c r="D531" s="49"/>
      <c r="E531" s="61"/>
      <c r="F531" s="61">
        <v>0</v>
      </c>
      <c r="G531" s="63"/>
    </row>
    <row r="532" spans="1:7" s="35" customFormat="1">
      <c r="A532" s="36">
        <f>A529+0.01</f>
        <v>9.139999999999997</v>
      </c>
      <c r="B532" s="64" t="s">
        <v>1905</v>
      </c>
      <c r="C532" s="49"/>
      <c r="D532" s="67" t="s">
        <v>78</v>
      </c>
      <c r="E532" s="61">
        <v>1</v>
      </c>
      <c r="F532" s="61">
        <v>750000</v>
      </c>
      <c r="G532" s="13">
        <f>F532*E532</f>
        <v>750000</v>
      </c>
    </row>
    <row r="533" spans="1:7" s="35" customFormat="1">
      <c r="A533" s="36"/>
      <c r="B533" s="49" t="s">
        <v>317</v>
      </c>
      <c r="C533" s="49"/>
      <c r="D533" s="49"/>
      <c r="E533" s="61"/>
      <c r="F533" s="61">
        <v>0</v>
      </c>
      <c r="G533" s="63"/>
    </row>
    <row r="534" spans="1:7" s="35" customFormat="1">
      <c r="A534" s="36"/>
      <c r="B534" s="49"/>
      <c r="C534" s="49"/>
      <c r="D534" s="49"/>
      <c r="E534" s="61"/>
      <c r="F534" s="61">
        <v>0</v>
      </c>
      <c r="G534" s="63"/>
    </row>
    <row r="535" spans="1:7" s="35" customFormat="1">
      <c r="A535" s="36">
        <f>A532+0.01</f>
        <v>9.1499999999999968</v>
      </c>
      <c r="B535" s="64" t="s">
        <v>2543</v>
      </c>
      <c r="C535" s="49"/>
      <c r="D535" s="67" t="s">
        <v>2541</v>
      </c>
      <c r="E535" s="61">
        <v>100</v>
      </c>
      <c r="F535" s="61">
        <v>2666</v>
      </c>
      <c r="G535" s="13">
        <f>F535*E535</f>
        <v>266600</v>
      </c>
    </row>
    <row r="536" spans="1:7" s="35" customFormat="1">
      <c r="A536" s="36"/>
      <c r="B536" s="49" t="s">
        <v>2544</v>
      </c>
      <c r="C536" s="49"/>
      <c r="D536" s="49"/>
      <c r="E536" s="61"/>
      <c r="F536" s="61">
        <v>0</v>
      </c>
      <c r="G536" s="63"/>
    </row>
    <row r="537" spans="1:7" s="35" customFormat="1">
      <c r="A537" s="36"/>
      <c r="B537" s="49"/>
      <c r="C537" s="49"/>
      <c r="D537" s="68"/>
      <c r="E537" s="69"/>
      <c r="F537" s="69">
        <v>0</v>
      </c>
      <c r="G537" s="63"/>
    </row>
    <row r="538" spans="1:7" s="35" customFormat="1">
      <c r="A538" s="36">
        <f>A526+0.01</f>
        <v>9.1299999999999972</v>
      </c>
      <c r="B538" s="64" t="s">
        <v>77</v>
      </c>
      <c r="C538" s="64"/>
      <c r="D538" s="67" t="s">
        <v>78</v>
      </c>
      <c r="E538" s="19">
        <v>1</v>
      </c>
      <c r="F538" s="42">
        <v>534375</v>
      </c>
      <c r="G538" s="13">
        <f>F538*E538</f>
        <v>534375</v>
      </c>
    </row>
    <row r="539" spans="1:7" s="35" customFormat="1" ht="80" customHeight="1">
      <c r="A539" s="36"/>
      <c r="B539" s="49" t="s">
        <v>79</v>
      </c>
      <c r="C539" s="49"/>
      <c r="D539" s="49"/>
      <c r="E539" s="61"/>
      <c r="F539" s="61">
        <v>0</v>
      </c>
      <c r="G539" s="63"/>
    </row>
    <row r="540" spans="1:7" s="35" customFormat="1">
      <c r="A540" s="36"/>
      <c r="B540" s="49"/>
      <c r="C540" s="49"/>
      <c r="D540" s="49"/>
      <c r="E540" s="61"/>
      <c r="F540" s="61">
        <v>0</v>
      </c>
      <c r="G540" s="63"/>
    </row>
    <row r="541" spans="1:7" s="35" customFormat="1">
      <c r="A541" s="36">
        <f>A538+0.01</f>
        <v>9.139999999999997</v>
      </c>
      <c r="B541" s="64" t="s">
        <v>80</v>
      </c>
      <c r="C541" s="64"/>
      <c r="D541" s="67" t="s">
        <v>55</v>
      </c>
      <c r="E541" s="19">
        <v>3102</v>
      </c>
      <c r="F541" s="42">
        <v>108</v>
      </c>
      <c r="G541" s="13">
        <f>F541*E541</f>
        <v>335016</v>
      </c>
    </row>
    <row r="542" spans="1:7" s="35" customFormat="1" ht="58">
      <c r="A542" s="36"/>
      <c r="B542" s="49" t="s">
        <v>1907</v>
      </c>
      <c r="C542" s="49"/>
      <c r="D542" s="49"/>
      <c r="E542" s="61"/>
      <c r="F542" s="61">
        <v>0</v>
      </c>
      <c r="G542" s="63"/>
    </row>
    <row r="543" spans="1:7" s="35" customFormat="1">
      <c r="A543" s="36"/>
      <c r="B543" s="64"/>
      <c r="C543" s="64"/>
      <c r="D543" s="68"/>
      <c r="E543" s="69"/>
      <c r="F543" s="69"/>
      <c r="G543" s="63"/>
    </row>
    <row r="544" spans="1:7">
      <c r="A544" s="11"/>
      <c r="B544" s="11"/>
      <c r="C544" s="11"/>
      <c r="D544" s="12"/>
      <c r="E544" s="11"/>
      <c r="F544" s="11"/>
      <c r="G544" s="13"/>
    </row>
    <row r="545" spans="1:7">
      <c r="A545" s="22"/>
      <c r="B545" s="22" t="s">
        <v>24</v>
      </c>
      <c r="C545" s="22"/>
      <c r="D545" s="22"/>
      <c r="E545" s="22"/>
      <c r="F545" s="22"/>
      <c r="G545" s="23">
        <f>SUM(G464:G544)</f>
        <v>3594484</v>
      </c>
    </row>
  </sheetData>
  <mergeCells count="1">
    <mergeCell ref="A1:G1"/>
  </mergeCells>
  <pageMargins left="0.7" right="0.7" top="0.75" bottom="0.75" header="0.3" footer="0.3"/>
  <pageSetup orientation="portrait"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5189"/>
  <sheetViews>
    <sheetView topLeftCell="A301" zoomScale="80" zoomScaleNormal="80" workbookViewId="0">
      <selection activeCell="H361" sqref="H361"/>
    </sheetView>
  </sheetViews>
  <sheetFormatPr defaultRowHeight="14.5"/>
  <cols>
    <col min="2" max="2" width="33.81640625" customWidth="1"/>
    <col min="8" max="8" width="9.1796875" style="21"/>
    <col min="9" max="10" width="12.6328125" bestFit="1" customWidth="1"/>
    <col min="11" max="11" width="18" bestFit="1" customWidth="1"/>
  </cols>
  <sheetData>
    <row r="1" spans="1:8">
      <c r="A1" s="15" t="s">
        <v>15</v>
      </c>
      <c r="B1" s="15"/>
      <c r="C1" s="15"/>
      <c r="D1" s="15"/>
      <c r="E1" s="15"/>
      <c r="F1" s="15"/>
      <c r="G1" s="15"/>
      <c r="H1" s="20"/>
    </row>
    <row r="2" spans="1:8">
      <c r="A2" s="15" t="s">
        <v>6</v>
      </c>
      <c r="B2" s="15" t="s">
        <v>2</v>
      </c>
      <c r="C2" s="15" t="s">
        <v>12</v>
      </c>
      <c r="D2" s="15" t="s">
        <v>16</v>
      </c>
      <c r="E2" s="15" t="s">
        <v>17</v>
      </c>
      <c r="F2" s="15" t="s">
        <v>18</v>
      </c>
      <c r="G2" s="15" t="s">
        <v>19</v>
      </c>
      <c r="H2" s="20" t="s">
        <v>20</v>
      </c>
    </row>
    <row r="3" spans="1:8">
      <c r="A3" s="17"/>
      <c r="B3" s="17"/>
      <c r="C3" s="17"/>
      <c r="D3" s="17"/>
      <c r="E3" s="17"/>
      <c r="F3" s="17"/>
      <c r="G3" s="17"/>
      <c r="H3" s="18"/>
    </row>
    <row r="4" spans="1:8">
      <c r="A4" s="17">
        <v>1</v>
      </c>
      <c r="B4" s="15" t="s">
        <v>11</v>
      </c>
      <c r="C4" s="17" t="s">
        <v>10</v>
      </c>
      <c r="D4" s="17"/>
      <c r="E4" s="17"/>
      <c r="F4" s="17"/>
      <c r="G4" s="17"/>
      <c r="H4" s="18"/>
    </row>
    <row r="5" spans="1:8">
      <c r="A5" s="17"/>
      <c r="B5" s="17"/>
      <c r="C5" s="17" t="s">
        <v>10</v>
      </c>
      <c r="D5" s="17">
        <v>1</v>
      </c>
      <c r="E5" s="17">
        <v>56.55</v>
      </c>
      <c r="F5" s="17">
        <v>46.1</v>
      </c>
      <c r="G5" s="17"/>
      <c r="H5" s="18">
        <f t="shared" ref="H5:H41" si="0">PRODUCT(D5:G5)</f>
        <v>2606.9549999999999</v>
      </c>
    </row>
    <row r="6" spans="1:8" s="71" customFormat="1">
      <c r="A6" s="17"/>
      <c r="B6" s="72"/>
      <c r="C6" s="17" t="s">
        <v>10</v>
      </c>
      <c r="D6" s="17">
        <v>0.5</v>
      </c>
      <c r="E6" s="18">
        <v>24.47</v>
      </c>
      <c r="F6" s="17">
        <v>2.0369999999999999</v>
      </c>
      <c r="G6" s="17"/>
      <c r="H6" s="18">
        <f t="shared" si="0"/>
        <v>24.922694999999997</v>
      </c>
    </row>
    <row r="7" spans="1:8" s="71" customFormat="1">
      <c r="A7" s="17"/>
      <c r="B7" s="72" t="s">
        <v>1166</v>
      </c>
      <c r="C7" s="17" t="s">
        <v>10</v>
      </c>
      <c r="D7" s="17">
        <v>-1</v>
      </c>
      <c r="E7" s="18">
        <v>11</v>
      </c>
      <c r="F7" s="17">
        <v>9.8000000000000007</v>
      </c>
      <c r="G7" s="17"/>
      <c r="H7" s="18">
        <f t="shared" si="0"/>
        <v>-107.80000000000001</v>
      </c>
    </row>
    <row r="8" spans="1:8" s="71" customFormat="1">
      <c r="A8" s="17"/>
      <c r="B8" s="72" t="s">
        <v>198</v>
      </c>
      <c r="C8" s="17" t="s">
        <v>10</v>
      </c>
      <c r="D8" s="17">
        <v>-1</v>
      </c>
      <c r="E8" s="18">
        <v>14.5</v>
      </c>
      <c r="F8" s="17">
        <v>9</v>
      </c>
      <c r="G8" s="17"/>
      <c r="H8" s="18">
        <f t="shared" si="0"/>
        <v>-130.5</v>
      </c>
    </row>
    <row r="9" spans="1:8" s="71" customFormat="1">
      <c r="A9" s="17"/>
      <c r="B9" s="72" t="s">
        <v>1167</v>
      </c>
      <c r="C9" s="17" t="s">
        <v>10</v>
      </c>
      <c r="D9" s="17">
        <v>-1</v>
      </c>
      <c r="E9" s="18">
        <v>3.3</v>
      </c>
      <c r="F9" s="17">
        <v>7.9</v>
      </c>
      <c r="G9" s="17"/>
      <c r="H9" s="18">
        <f t="shared" si="0"/>
        <v>-26.07</v>
      </c>
    </row>
    <row r="10" spans="1:8" s="71" customFormat="1">
      <c r="A10" s="17"/>
      <c r="B10" s="72" t="s">
        <v>331</v>
      </c>
      <c r="C10" s="17" t="s">
        <v>10</v>
      </c>
      <c r="D10" s="17">
        <v>-1</v>
      </c>
      <c r="E10" s="18">
        <v>6</v>
      </c>
      <c r="F10" s="17">
        <v>11.25</v>
      </c>
      <c r="G10" s="17"/>
      <c r="H10" s="18">
        <f t="shared" si="0"/>
        <v>-67.5</v>
      </c>
    </row>
    <row r="11" spans="1:8" s="71" customFormat="1">
      <c r="A11" s="17"/>
      <c r="B11" s="72" t="s">
        <v>289</v>
      </c>
      <c r="C11" s="17" t="s">
        <v>10</v>
      </c>
      <c r="D11" s="17">
        <v>-1</v>
      </c>
      <c r="E11" s="18">
        <v>4</v>
      </c>
      <c r="F11" s="17">
        <v>9.67</v>
      </c>
      <c r="G11" s="17"/>
      <c r="H11" s="18">
        <f t="shared" si="0"/>
        <v>-38.68</v>
      </c>
    </row>
    <row r="12" spans="1:8" s="71" customFormat="1">
      <c r="A12" s="17"/>
      <c r="B12" s="72" t="s">
        <v>174</v>
      </c>
      <c r="C12" s="17" t="s">
        <v>10</v>
      </c>
      <c r="D12" s="17">
        <v>-1</v>
      </c>
      <c r="E12" s="18">
        <v>3.95</v>
      </c>
      <c r="F12" s="17">
        <v>12.42</v>
      </c>
      <c r="G12" s="17"/>
      <c r="H12" s="18">
        <f t="shared" si="0"/>
        <v>-49.059000000000005</v>
      </c>
    </row>
    <row r="13" spans="1:8" s="71" customFormat="1">
      <c r="A13" s="17"/>
      <c r="B13" s="72" t="s">
        <v>1168</v>
      </c>
      <c r="C13" s="17" t="s">
        <v>10</v>
      </c>
      <c r="D13" s="17">
        <v>-1</v>
      </c>
      <c r="E13" s="18">
        <v>7.6</v>
      </c>
      <c r="F13" s="17">
        <v>7.7859999999999996</v>
      </c>
      <c r="G13" s="17"/>
      <c r="H13" s="18">
        <f t="shared" si="0"/>
        <v>-59.173599999999993</v>
      </c>
    </row>
    <row r="14" spans="1:8" s="71" customFormat="1">
      <c r="A14" s="17"/>
      <c r="B14" s="72"/>
      <c r="C14" s="17" t="s">
        <v>10</v>
      </c>
      <c r="D14" s="17">
        <v>-1</v>
      </c>
      <c r="E14" s="18">
        <v>4.1150000000000002</v>
      </c>
      <c r="F14" s="17">
        <v>3.9</v>
      </c>
      <c r="G14" s="17"/>
      <c r="H14" s="18">
        <f t="shared" si="0"/>
        <v>-16.048500000000001</v>
      </c>
    </row>
    <row r="15" spans="1:8" s="71" customFormat="1">
      <c r="A15" s="17"/>
      <c r="B15" s="72"/>
      <c r="C15" s="17" t="s">
        <v>10</v>
      </c>
      <c r="D15" s="17">
        <v>-1</v>
      </c>
      <c r="E15" s="18">
        <v>3.15</v>
      </c>
      <c r="F15" s="17">
        <v>22.7</v>
      </c>
      <c r="G15" s="17"/>
      <c r="H15" s="18">
        <f t="shared" si="0"/>
        <v>-71.504999999999995</v>
      </c>
    </row>
    <row r="16" spans="1:8" s="71" customFormat="1">
      <c r="A16" s="17"/>
      <c r="B16" s="72" t="s">
        <v>1169</v>
      </c>
      <c r="C16" s="17" t="s">
        <v>10</v>
      </c>
      <c r="D16" s="17">
        <v>1</v>
      </c>
      <c r="E16" s="18">
        <v>10.85</v>
      </c>
      <c r="F16" s="17">
        <v>21.65</v>
      </c>
      <c r="G16" s="17"/>
      <c r="H16" s="18">
        <f t="shared" si="0"/>
        <v>234.90249999999997</v>
      </c>
    </row>
    <row r="17" spans="1:8" s="71" customFormat="1">
      <c r="A17" s="17"/>
      <c r="B17" s="72" t="s">
        <v>245</v>
      </c>
      <c r="C17" s="17" t="s">
        <v>10</v>
      </c>
      <c r="D17" s="17">
        <v>-1</v>
      </c>
      <c r="E17" s="18">
        <v>7.1</v>
      </c>
      <c r="F17" s="17">
        <v>6.2</v>
      </c>
      <c r="G17" s="17"/>
      <c r="H17" s="18">
        <f t="shared" si="0"/>
        <v>-44.019999999999996</v>
      </c>
    </row>
    <row r="18" spans="1:8" s="71" customFormat="1">
      <c r="A18" s="17"/>
      <c r="B18" s="72"/>
      <c r="C18" s="17" t="s">
        <v>10</v>
      </c>
      <c r="D18" s="17">
        <v>1</v>
      </c>
      <c r="E18" s="18">
        <v>1.9</v>
      </c>
      <c r="F18" s="17">
        <v>0.6</v>
      </c>
      <c r="G18" s="17"/>
      <c r="H18" s="18">
        <f t="shared" si="0"/>
        <v>1.1399999999999999</v>
      </c>
    </row>
    <row r="19" spans="1:8" s="71" customFormat="1">
      <c r="A19" s="17"/>
      <c r="B19" s="72" t="s">
        <v>1170</v>
      </c>
      <c r="C19" s="17" t="s">
        <v>10</v>
      </c>
      <c r="D19" s="17">
        <v>-1</v>
      </c>
      <c r="E19" s="18">
        <v>1.3</v>
      </c>
      <c r="F19" s="17">
        <v>15.09</v>
      </c>
      <c r="G19" s="17"/>
      <c r="H19" s="18">
        <f t="shared" si="0"/>
        <v>-19.617000000000001</v>
      </c>
    </row>
    <row r="20" spans="1:8" s="71" customFormat="1">
      <c r="A20" s="17"/>
      <c r="B20" s="72"/>
      <c r="C20" s="17" t="s">
        <v>10</v>
      </c>
      <c r="D20" s="17">
        <v>1</v>
      </c>
      <c r="E20" s="18">
        <v>12.25</v>
      </c>
      <c r="F20" s="17">
        <v>23.774999999999999</v>
      </c>
      <c r="G20" s="17"/>
      <c r="H20" s="18">
        <f t="shared" si="0"/>
        <v>291.24374999999998</v>
      </c>
    </row>
    <row r="21" spans="1:8" s="71" customFormat="1">
      <c r="A21" s="17"/>
      <c r="B21" s="72" t="s">
        <v>1171</v>
      </c>
      <c r="C21" s="17" t="s">
        <v>10</v>
      </c>
      <c r="D21" s="17">
        <v>1</v>
      </c>
      <c r="E21" s="18">
        <v>1.5</v>
      </c>
      <c r="F21" s="17">
        <v>1.1000000000000001</v>
      </c>
      <c r="G21" s="17"/>
      <c r="H21" s="18">
        <f t="shared" si="0"/>
        <v>1.6500000000000001</v>
      </c>
    </row>
    <row r="22" spans="1:8" s="71" customFormat="1">
      <c r="A22" s="17"/>
      <c r="B22" s="72" t="s">
        <v>1172</v>
      </c>
      <c r="C22" s="17" t="s">
        <v>10</v>
      </c>
      <c r="D22" s="17">
        <v>1</v>
      </c>
      <c r="E22" s="18">
        <v>3.4</v>
      </c>
      <c r="F22" s="17">
        <v>1.7</v>
      </c>
      <c r="G22" s="17"/>
      <c r="H22" s="18">
        <f t="shared" si="0"/>
        <v>5.7799999999999994</v>
      </c>
    </row>
    <row r="23" spans="1:8" s="71" customFormat="1">
      <c r="A23" s="17"/>
      <c r="B23" s="72"/>
      <c r="C23" s="17" t="s">
        <v>10</v>
      </c>
      <c r="D23" s="17">
        <v>1</v>
      </c>
      <c r="E23" s="18">
        <v>13.1</v>
      </c>
      <c r="F23" s="17">
        <v>26.175000000000001</v>
      </c>
      <c r="G23" s="17"/>
      <c r="H23" s="18">
        <f t="shared" si="0"/>
        <v>342.89249999999998</v>
      </c>
    </row>
    <row r="24" spans="1:8" s="71" customFormat="1">
      <c r="A24" s="17"/>
      <c r="B24" s="72" t="s">
        <v>175</v>
      </c>
      <c r="C24" s="17" t="s">
        <v>10</v>
      </c>
      <c r="D24" s="17">
        <v>0.5</v>
      </c>
      <c r="E24" s="18">
        <v>3.81</v>
      </c>
      <c r="F24" s="17">
        <v>1.1100000000000001</v>
      </c>
      <c r="G24" s="17"/>
      <c r="H24" s="18">
        <f t="shared" si="0"/>
        <v>2.1145500000000004</v>
      </c>
    </row>
    <row r="25" spans="1:8" s="71" customFormat="1">
      <c r="A25" s="485"/>
      <c r="B25" s="495"/>
      <c r="C25" s="17" t="s">
        <v>10</v>
      </c>
      <c r="D25" s="17">
        <v>-0.5</v>
      </c>
      <c r="E25" s="18">
        <v>7.7</v>
      </c>
      <c r="F25" s="17">
        <v>2.1579999999999999</v>
      </c>
      <c r="G25" s="17"/>
      <c r="H25" s="18">
        <f t="shared" ref="H25" si="1">PRODUCT(D25:G25)</f>
        <v>-8.3082999999999991</v>
      </c>
    </row>
    <row r="26" spans="1:8" s="71" customFormat="1">
      <c r="A26" s="17"/>
      <c r="B26" s="72" t="s">
        <v>176</v>
      </c>
      <c r="C26" s="17" t="s">
        <v>10</v>
      </c>
      <c r="D26" s="17">
        <v>1</v>
      </c>
      <c r="E26" s="18">
        <v>0.8</v>
      </c>
      <c r="F26" s="17">
        <v>1.9</v>
      </c>
      <c r="G26" s="17"/>
      <c r="H26" s="18">
        <f t="shared" si="0"/>
        <v>1.52</v>
      </c>
    </row>
    <row r="27" spans="1:8" s="71" customFormat="1">
      <c r="A27" s="17"/>
      <c r="B27" s="72"/>
      <c r="C27" s="17" t="s">
        <v>10</v>
      </c>
      <c r="D27" s="17">
        <v>1</v>
      </c>
      <c r="E27" s="18">
        <v>6.6</v>
      </c>
      <c r="F27" s="17">
        <v>6.625</v>
      </c>
      <c r="G27" s="17"/>
      <c r="H27" s="18">
        <f t="shared" si="0"/>
        <v>43.724999999999994</v>
      </c>
    </row>
    <row r="28" spans="1:8" s="71" customFormat="1">
      <c r="A28" s="17"/>
      <c r="B28" s="72"/>
      <c r="C28" s="17" t="s">
        <v>10</v>
      </c>
      <c r="D28" s="17">
        <v>1</v>
      </c>
      <c r="E28" s="18">
        <v>0.8</v>
      </c>
      <c r="F28" s="17">
        <v>3.75</v>
      </c>
      <c r="G28" s="17"/>
      <c r="H28" s="18">
        <f t="shared" si="0"/>
        <v>3</v>
      </c>
    </row>
    <row r="29" spans="1:8" s="71" customFormat="1">
      <c r="A29" s="485"/>
      <c r="B29" s="495" t="s">
        <v>289</v>
      </c>
      <c r="C29" s="17" t="s">
        <v>10</v>
      </c>
      <c r="D29" s="485">
        <v>1</v>
      </c>
      <c r="E29" s="487">
        <v>11.05</v>
      </c>
      <c r="F29" s="485">
        <v>4.1500000000000004</v>
      </c>
      <c r="G29" s="485"/>
      <c r="H29" s="487">
        <f t="shared" si="0"/>
        <v>45.857500000000009</v>
      </c>
    </row>
    <row r="30" spans="1:8" s="71" customFormat="1">
      <c r="A30" s="485"/>
      <c r="B30" s="495"/>
      <c r="C30" s="17" t="s">
        <v>10</v>
      </c>
      <c r="D30" s="485">
        <v>-1</v>
      </c>
      <c r="E30" s="487">
        <v>1.3</v>
      </c>
      <c r="F30" s="485">
        <v>1.85</v>
      </c>
      <c r="G30" s="485"/>
      <c r="H30" s="487">
        <f t="shared" si="0"/>
        <v>-2.4050000000000002</v>
      </c>
    </row>
    <row r="31" spans="1:8" s="71" customFormat="1">
      <c r="A31" s="485"/>
      <c r="B31" s="495"/>
      <c r="C31" s="17" t="s">
        <v>10</v>
      </c>
      <c r="D31" s="485">
        <v>-1</v>
      </c>
      <c r="E31" s="487">
        <v>2.25</v>
      </c>
      <c r="F31" s="485">
        <v>4.24</v>
      </c>
      <c r="G31" s="485"/>
      <c r="H31" s="487">
        <f t="shared" si="0"/>
        <v>-9.5400000000000009</v>
      </c>
    </row>
    <row r="32" spans="1:8" s="71" customFormat="1">
      <c r="A32" s="485"/>
      <c r="B32" s="495" t="s">
        <v>1150</v>
      </c>
      <c r="C32" s="17" t="s">
        <v>10</v>
      </c>
      <c r="D32" s="485">
        <v>1</v>
      </c>
      <c r="E32" s="487">
        <v>2.4</v>
      </c>
      <c r="F32" s="485">
        <v>2.15</v>
      </c>
      <c r="G32" s="485"/>
      <c r="H32" s="487">
        <f t="shared" si="0"/>
        <v>5.1599999999999993</v>
      </c>
    </row>
    <row r="33" spans="1:8" s="71" customFormat="1">
      <c r="A33" s="485"/>
      <c r="B33" s="495"/>
      <c r="C33" s="17" t="s">
        <v>10</v>
      </c>
      <c r="D33" s="485">
        <v>1</v>
      </c>
      <c r="E33" s="487">
        <v>1.25</v>
      </c>
      <c r="F33" s="485">
        <v>2.4</v>
      </c>
      <c r="G33" s="485"/>
      <c r="H33" s="487">
        <f t="shared" si="0"/>
        <v>3</v>
      </c>
    </row>
    <row r="34" spans="1:8" s="71" customFormat="1">
      <c r="A34" s="485"/>
      <c r="B34" s="495" t="s">
        <v>174</v>
      </c>
      <c r="C34" s="17" t="s">
        <v>10</v>
      </c>
      <c r="D34" s="485">
        <v>1</v>
      </c>
      <c r="E34" s="487">
        <v>12.22</v>
      </c>
      <c r="F34" s="485">
        <v>4.1500000000000004</v>
      </c>
      <c r="G34" s="485"/>
      <c r="H34" s="487">
        <f t="shared" si="0"/>
        <v>50.713000000000008</v>
      </c>
    </row>
    <row r="35" spans="1:8" s="71" customFormat="1">
      <c r="A35" s="485"/>
      <c r="B35" s="495"/>
      <c r="C35" s="17" t="s">
        <v>10</v>
      </c>
      <c r="D35" s="485">
        <v>-1</v>
      </c>
      <c r="E35" s="487">
        <v>2.3199999999999998</v>
      </c>
      <c r="F35" s="485">
        <v>0.6</v>
      </c>
      <c r="G35" s="485"/>
      <c r="H35" s="487">
        <f t="shared" si="0"/>
        <v>-1.3919999999999999</v>
      </c>
    </row>
    <row r="36" spans="1:8" s="71" customFormat="1">
      <c r="A36" s="485"/>
      <c r="B36" s="495" t="s">
        <v>1174</v>
      </c>
      <c r="C36" s="17" t="s">
        <v>10</v>
      </c>
      <c r="D36" s="485">
        <v>1</v>
      </c>
      <c r="E36" s="487">
        <v>11.2</v>
      </c>
      <c r="F36" s="485">
        <v>4.1500000000000004</v>
      </c>
      <c r="G36" s="485"/>
      <c r="H36" s="487">
        <f t="shared" si="0"/>
        <v>46.480000000000004</v>
      </c>
    </row>
    <row r="37" spans="1:8" s="71" customFormat="1">
      <c r="A37" s="485"/>
      <c r="B37" s="495"/>
      <c r="C37" s="17" t="s">
        <v>10</v>
      </c>
      <c r="D37" s="485">
        <v>1</v>
      </c>
      <c r="E37" s="487">
        <v>2.54</v>
      </c>
      <c r="F37" s="485">
        <v>1.25</v>
      </c>
      <c r="G37" s="485"/>
      <c r="H37" s="487">
        <f t="shared" si="0"/>
        <v>3.1749999999999998</v>
      </c>
    </row>
    <row r="38" spans="1:8" s="71" customFormat="1">
      <c r="A38" s="485"/>
      <c r="B38" s="495" t="s">
        <v>1175</v>
      </c>
      <c r="C38" s="17" t="s">
        <v>10</v>
      </c>
      <c r="D38" s="485">
        <v>1</v>
      </c>
      <c r="E38" s="487">
        <v>2.54</v>
      </c>
      <c r="F38" s="485">
        <v>2.15</v>
      </c>
      <c r="G38" s="485"/>
      <c r="H38" s="487">
        <f t="shared" si="0"/>
        <v>5.4609999999999994</v>
      </c>
    </row>
    <row r="39" spans="1:8" s="71" customFormat="1">
      <c r="A39" s="485"/>
      <c r="B39" s="495" t="s">
        <v>1176</v>
      </c>
      <c r="C39" s="17" t="s">
        <v>10</v>
      </c>
      <c r="D39" s="485">
        <v>1</v>
      </c>
      <c r="E39" s="487">
        <v>11.2</v>
      </c>
      <c r="F39" s="485">
        <v>4.1500000000000004</v>
      </c>
      <c r="G39" s="485"/>
      <c r="H39" s="487">
        <f t="shared" si="0"/>
        <v>46.480000000000004</v>
      </c>
    </row>
    <row r="40" spans="1:8" s="71" customFormat="1">
      <c r="A40" s="485"/>
      <c r="B40" s="495"/>
      <c r="C40" s="17" t="s">
        <v>10</v>
      </c>
      <c r="D40" s="485">
        <v>-1</v>
      </c>
      <c r="E40" s="487">
        <v>1.3</v>
      </c>
      <c r="F40" s="485">
        <v>1.95</v>
      </c>
      <c r="G40" s="485"/>
      <c r="H40" s="487">
        <f t="shared" si="0"/>
        <v>-2.5350000000000001</v>
      </c>
    </row>
    <row r="41" spans="1:8" s="71" customFormat="1">
      <c r="A41" s="485"/>
      <c r="B41" s="495"/>
      <c r="C41" s="17" t="s">
        <v>10</v>
      </c>
      <c r="D41" s="485">
        <v>-1</v>
      </c>
      <c r="E41" s="487">
        <v>4.4400000000000004</v>
      </c>
      <c r="F41" s="485">
        <v>2.25</v>
      </c>
      <c r="G41" s="485"/>
      <c r="H41" s="487">
        <f t="shared" si="0"/>
        <v>-9.99</v>
      </c>
    </row>
    <row r="42" spans="1:8">
      <c r="A42" s="17"/>
      <c r="B42" s="17"/>
      <c r="C42" s="17"/>
      <c r="D42" s="17"/>
      <c r="E42" s="17"/>
      <c r="F42" s="17"/>
      <c r="G42" s="17"/>
      <c r="H42" s="18"/>
    </row>
    <row r="43" spans="1:8">
      <c r="A43" s="15"/>
      <c r="B43" s="15" t="s">
        <v>21</v>
      </c>
      <c r="C43" s="15"/>
      <c r="D43" s="15"/>
      <c r="E43" s="15"/>
      <c r="F43" s="15"/>
      <c r="G43" s="15"/>
      <c r="H43" s="20">
        <f>SUM(H5:H42)</f>
        <v>3102.0290949999999</v>
      </c>
    </row>
    <row r="44" spans="1:8">
      <c r="A44" s="17"/>
      <c r="B44" s="17" t="s">
        <v>22</v>
      </c>
      <c r="C44" s="17"/>
      <c r="D44" s="17"/>
      <c r="E44" s="17"/>
      <c r="F44" s="17"/>
      <c r="G44" s="17"/>
      <c r="H44" s="18"/>
    </row>
    <row r="45" spans="1:8">
      <c r="A45" s="15"/>
      <c r="B45" s="15" t="s">
        <v>23</v>
      </c>
      <c r="C45" s="15"/>
      <c r="D45" s="15"/>
      <c r="E45" s="15"/>
      <c r="F45" s="15"/>
      <c r="G45" s="15"/>
      <c r="H45" s="20">
        <f>ROUND(SUM(H43:H44),0)</f>
        <v>3102</v>
      </c>
    </row>
    <row r="46" spans="1:8">
      <c r="A46" s="17"/>
      <c r="B46" s="17"/>
      <c r="C46" s="17"/>
      <c r="D46" s="17"/>
      <c r="E46" s="17"/>
      <c r="F46" s="17"/>
      <c r="G46" s="17"/>
      <c r="H46" s="18"/>
    </row>
    <row r="47" spans="1:8">
      <c r="A47" s="17">
        <v>1</v>
      </c>
      <c r="B47" s="15" t="s">
        <v>113</v>
      </c>
      <c r="C47" s="17" t="s">
        <v>10</v>
      </c>
      <c r="D47" s="17"/>
      <c r="E47" s="17"/>
      <c r="F47" s="17"/>
      <c r="G47" s="17"/>
      <c r="H47" s="18"/>
    </row>
    <row r="48" spans="1:8">
      <c r="A48" s="17"/>
      <c r="B48" s="17"/>
      <c r="C48" s="17" t="s">
        <v>10</v>
      </c>
      <c r="D48" s="17">
        <v>1</v>
      </c>
      <c r="E48" s="17">
        <v>56.55</v>
      </c>
      <c r="F48" s="17">
        <v>46.1</v>
      </c>
      <c r="G48" s="17"/>
      <c r="H48" s="18">
        <f t="shared" ref="H48:H71" si="2">PRODUCT(D48:G48)</f>
        <v>2606.9549999999999</v>
      </c>
    </row>
    <row r="49" spans="1:8" s="71" customFormat="1">
      <c r="A49" s="17"/>
      <c r="B49" s="72"/>
      <c r="C49" s="17" t="s">
        <v>10</v>
      </c>
      <c r="D49" s="17">
        <v>0.5</v>
      </c>
      <c r="E49" s="18">
        <v>24.47</v>
      </c>
      <c r="F49" s="17">
        <v>2.0369999999999999</v>
      </c>
      <c r="G49" s="17"/>
      <c r="H49" s="18">
        <f t="shared" si="2"/>
        <v>24.922694999999997</v>
      </c>
    </row>
    <row r="50" spans="1:8" s="71" customFormat="1">
      <c r="A50" s="17"/>
      <c r="B50" s="72" t="s">
        <v>1166</v>
      </c>
      <c r="C50" s="17" t="s">
        <v>10</v>
      </c>
      <c r="D50" s="17">
        <v>-1</v>
      </c>
      <c r="E50" s="18">
        <v>11</v>
      </c>
      <c r="F50" s="17">
        <v>9.8000000000000007</v>
      </c>
      <c r="G50" s="17"/>
      <c r="H50" s="18">
        <f t="shared" si="2"/>
        <v>-107.80000000000001</v>
      </c>
    </row>
    <row r="51" spans="1:8" s="71" customFormat="1">
      <c r="A51" s="17"/>
      <c r="B51" s="72" t="s">
        <v>198</v>
      </c>
      <c r="C51" s="17" t="s">
        <v>10</v>
      </c>
      <c r="D51" s="17">
        <v>-1</v>
      </c>
      <c r="E51" s="18">
        <v>14.5</v>
      </c>
      <c r="F51" s="17">
        <v>9</v>
      </c>
      <c r="G51" s="17"/>
      <c r="H51" s="18">
        <f t="shared" si="2"/>
        <v>-130.5</v>
      </c>
    </row>
    <row r="52" spans="1:8" s="71" customFormat="1">
      <c r="A52" s="17"/>
      <c r="B52" s="72" t="s">
        <v>1167</v>
      </c>
      <c r="C52" s="17" t="s">
        <v>10</v>
      </c>
      <c r="D52" s="17">
        <v>-1</v>
      </c>
      <c r="E52" s="18">
        <v>3.3</v>
      </c>
      <c r="F52" s="17">
        <v>7.9</v>
      </c>
      <c r="G52" s="17"/>
      <c r="H52" s="18">
        <f t="shared" si="2"/>
        <v>-26.07</v>
      </c>
    </row>
    <row r="53" spans="1:8" s="71" customFormat="1">
      <c r="A53" s="17"/>
      <c r="B53" s="72" t="s">
        <v>331</v>
      </c>
      <c r="C53" s="17" t="s">
        <v>10</v>
      </c>
      <c r="D53" s="17">
        <v>-1</v>
      </c>
      <c r="E53" s="18">
        <v>6</v>
      </c>
      <c r="F53" s="17">
        <v>11.25</v>
      </c>
      <c r="G53" s="17"/>
      <c r="H53" s="18">
        <f t="shared" si="2"/>
        <v>-67.5</v>
      </c>
    </row>
    <row r="54" spans="1:8" s="71" customFormat="1">
      <c r="A54" s="17"/>
      <c r="B54" s="72" t="s">
        <v>289</v>
      </c>
      <c r="C54" s="17" t="s">
        <v>10</v>
      </c>
      <c r="D54" s="17">
        <v>-1</v>
      </c>
      <c r="E54" s="18">
        <v>4</v>
      </c>
      <c r="F54" s="17">
        <v>9.67</v>
      </c>
      <c r="G54" s="17"/>
      <c r="H54" s="18">
        <f t="shared" si="2"/>
        <v>-38.68</v>
      </c>
    </row>
    <row r="55" spans="1:8" s="71" customFormat="1">
      <c r="A55" s="17"/>
      <c r="B55" s="72" t="s">
        <v>174</v>
      </c>
      <c r="C55" s="17" t="s">
        <v>10</v>
      </c>
      <c r="D55" s="17">
        <v>-1</v>
      </c>
      <c r="E55" s="18">
        <v>3.95</v>
      </c>
      <c r="F55" s="17">
        <v>12.42</v>
      </c>
      <c r="G55" s="17"/>
      <c r="H55" s="18">
        <f t="shared" si="2"/>
        <v>-49.059000000000005</v>
      </c>
    </row>
    <row r="56" spans="1:8" s="71" customFormat="1">
      <c r="A56" s="17"/>
      <c r="B56" s="72" t="s">
        <v>1168</v>
      </c>
      <c r="C56" s="17" t="s">
        <v>10</v>
      </c>
      <c r="D56" s="17">
        <v>-1</v>
      </c>
      <c r="E56" s="18">
        <v>7.6</v>
      </c>
      <c r="F56" s="17">
        <v>7.7859999999999996</v>
      </c>
      <c r="G56" s="17"/>
      <c r="H56" s="18">
        <f t="shared" si="2"/>
        <v>-59.173599999999993</v>
      </c>
    </row>
    <row r="57" spans="1:8" s="71" customFormat="1">
      <c r="A57" s="17"/>
      <c r="B57" s="72"/>
      <c r="C57" s="17" t="s">
        <v>10</v>
      </c>
      <c r="D57" s="17">
        <v>-1</v>
      </c>
      <c r="E57" s="18">
        <v>4.1150000000000002</v>
      </c>
      <c r="F57" s="17">
        <v>3.9</v>
      </c>
      <c r="G57" s="17"/>
      <c r="H57" s="18">
        <f t="shared" si="2"/>
        <v>-16.048500000000001</v>
      </c>
    </row>
    <row r="58" spans="1:8" s="71" customFormat="1">
      <c r="A58" s="17"/>
      <c r="B58" s="72"/>
      <c r="C58" s="17" t="s">
        <v>10</v>
      </c>
      <c r="D58" s="17">
        <v>-1</v>
      </c>
      <c r="E58" s="18">
        <v>3.15</v>
      </c>
      <c r="F58" s="17">
        <v>22.7</v>
      </c>
      <c r="G58" s="17"/>
      <c r="H58" s="18">
        <f t="shared" si="2"/>
        <v>-71.504999999999995</v>
      </c>
    </row>
    <row r="59" spans="1:8" s="71" customFormat="1">
      <c r="A59" s="17"/>
      <c r="B59" s="72" t="s">
        <v>1169</v>
      </c>
      <c r="C59" s="17" t="s">
        <v>10</v>
      </c>
      <c r="D59" s="17">
        <v>1</v>
      </c>
      <c r="E59" s="18">
        <v>10.85</v>
      </c>
      <c r="F59" s="17">
        <v>21.65</v>
      </c>
      <c r="G59" s="17"/>
      <c r="H59" s="18">
        <f t="shared" si="2"/>
        <v>234.90249999999997</v>
      </c>
    </row>
    <row r="60" spans="1:8" s="71" customFormat="1">
      <c r="A60" s="17"/>
      <c r="B60" s="72" t="s">
        <v>245</v>
      </c>
      <c r="C60" s="17" t="s">
        <v>10</v>
      </c>
      <c r="D60" s="17">
        <v>-1</v>
      </c>
      <c r="E60" s="18">
        <v>7.1</v>
      </c>
      <c r="F60" s="17">
        <v>6.2</v>
      </c>
      <c r="G60" s="17"/>
      <c r="H60" s="18">
        <f t="shared" si="2"/>
        <v>-44.019999999999996</v>
      </c>
    </row>
    <row r="61" spans="1:8" s="71" customFormat="1">
      <c r="A61" s="17"/>
      <c r="B61" s="72"/>
      <c r="C61" s="17" t="s">
        <v>10</v>
      </c>
      <c r="D61" s="17">
        <v>1</v>
      </c>
      <c r="E61" s="18">
        <v>1.9</v>
      </c>
      <c r="F61" s="17">
        <v>0.6</v>
      </c>
      <c r="G61" s="17"/>
      <c r="H61" s="18">
        <f t="shared" si="2"/>
        <v>1.1399999999999999</v>
      </c>
    </row>
    <row r="62" spans="1:8" s="71" customFormat="1">
      <c r="A62" s="17"/>
      <c r="B62" s="72" t="s">
        <v>1170</v>
      </c>
      <c r="C62" s="17" t="s">
        <v>10</v>
      </c>
      <c r="D62" s="17">
        <v>-1</v>
      </c>
      <c r="E62" s="18">
        <v>1.3</v>
      </c>
      <c r="F62" s="17">
        <v>15.09</v>
      </c>
      <c r="G62" s="17"/>
      <c r="H62" s="18">
        <f t="shared" si="2"/>
        <v>-19.617000000000001</v>
      </c>
    </row>
    <row r="63" spans="1:8" s="71" customFormat="1">
      <c r="A63" s="17"/>
      <c r="B63" s="72"/>
      <c r="C63" s="17" t="s">
        <v>10</v>
      </c>
      <c r="D63" s="17">
        <v>1</v>
      </c>
      <c r="E63" s="18">
        <v>12.25</v>
      </c>
      <c r="F63" s="17">
        <v>23.774999999999999</v>
      </c>
      <c r="G63" s="17"/>
      <c r="H63" s="18">
        <f t="shared" si="2"/>
        <v>291.24374999999998</v>
      </c>
    </row>
    <row r="64" spans="1:8" s="71" customFormat="1">
      <c r="A64" s="17"/>
      <c r="B64" s="72" t="s">
        <v>1171</v>
      </c>
      <c r="C64" s="17" t="s">
        <v>10</v>
      </c>
      <c r="D64" s="17">
        <v>1</v>
      </c>
      <c r="E64" s="18">
        <v>1.5</v>
      </c>
      <c r="F64" s="17">
        <v>1.1000000000000001</v>
      </c>
      <c r="G64" s="17"/>
      <c r="H64" s="18">
        <f t="shared" si="2"/>
        <v>1.6500000000000001</v>
      </c>
    </row>
    <row r="65" spans="1:10" s="71" customFormat="1">
      <c r="A65" s="17"/>
      <c r="B65" s="72" t="s">
        <v>1172</v>
      </c>
      <c r="C65" s="17" t="s">
        <v>10</v>
      </c>
      <c r="D65" s="17">
        <v>1</v>
      </c>
      <c r="E65" s="18">
        <v>3.4</v>
      </c>
      <c r="F65" s="17">
        <v>1.7</v>
      </c>
      <c r="G65" s="17"/>
      <c r="H65" s="18">
        <f t="shared" si="2"/>
        <v>5.7799999999999994</v>
      </c>
    </row>
    <row r="66" spans="1:10" s="71" customFormat="1">
      <c r="A66" s="17"/>
      <c r="B66" s="72"/>
      <c r="C66" s="17" t="s">
        <v>10</v>
      </c>
      <c r="D66" s="17">
        <v>1</v>
      </c>
      <c r="E66" s="18">
        <v>13.1</v>
      </c>
      <c r="F66" s="17">
        <v>26.175000000000001</v>
      </c>
      <c r="G66" s="17"/>
      <c r="H66" s="18">
        <f t="shared" si="2"/>
        <v>342.89249999999998</v>
      </c>
    </row>
    <row r="67" spans="1:10" s="71" customFormat="1">
      <c r="A67" s="17"/>
      <c r="B67" s="72" t="s">
        <v>175</v>
      </c>
      <c r="C67" s="17" t="s">
        <v>10</v>
      </c>
      <c r="D67" s="17">
        <v>0.5</v>
      </c>
      <c r="E67" s="18">
        <v>3.81</v>
      </c>
      <c r="F67" s="17">
        <v>1.1100000000000001</v>
      </c>
      <c r="G67" s="17"/>
      <c r="H67" s="18">
        <f t="shared" si="2"/>
        <v>2.1145500000000004</v>
      </c>
      <c r="J67" s="496">
        <f>251020</f>
        <v>251020</v>
      </c>
    </row>
    <row r="68" spans="1:10" s="71" customFormat="1">
      <c r="A68" s="485"/>
      <c r="B68" s="495"/>
      <c r="C68" s="17" t="s">
        <v>10</v>
      </c>
      <c r="D68" s="17">
        <v>-0.5</v>
      </c>
      <c r="E68" s="18">
        <v>7.7</v>
      </c>
      <c r="F68" s="17">
        <v>2.1579999999999999</v>
      </c>
      <c r="G68" s="17"/>
      <c r="H68" s="18">
        <f t="shared" si="2"/>
        <v>-8.3082999999999991</v>
      </c>
      <c r="J68" s="496">
        <f>J67*1.08</f>
        <v>271101.60000000003</v>
      </c>
    </row>
    <row r="69" spans="1:10" s="71" customFormat="1">
      <c r="A69" s="17"/>
      <c r="B69" s="72" t="s">
        <v>176</v>
      </c>
      <c r="C69" s="17" t="s">
        <v>10</v>
      </c>
      <c r="D69" s="17">
        <v>1</v>
      </c>
      <c r="E69" s="18">
        <v>0.8</v>
      </c>
      <c r="F69" s="17">
        <v>1.9</v>
      </c>
      <c r="G69" s="17"/>
      <c r="H69" s="18">
        <f t="shared" si="2"/>
        <v>1.52</v>
      </c>
    </row>
    <row r="70" spans="1:10" s="71" customFormat="1">
      <c r="A70" s="17"/>
      <c r="B70" s="72"/>
      <c r="C70" s="17" t="s">
        <v>10</v>
      </c>
      <c r="D70" s="17">
        <v>1</v>
      </c>
      <c r="E70" s="18">
        <v>6.6</v>
      </c>
      <c r="F70" s="17">
        <v>6.625</v>
      </c>
      <c r="G70" s="17"/>
      <c r="H70" s="18">
        <f t="shared" si="2"/>
        <v>43.724999999999994</v>
      </c>
    </row>
    <row r="71" spans="1:10" s="71" customFormat="1">
      <c r="A71" s="17"/>
      <c r="B71" s="72"/>
      <c r="C71" s="17" t="s">
        <v>10</v>
      </c>
      <c r="D71" s="17">
        <v>1</v>
      </c>
      <c r="E71" s="18">
        <v>0.8</v>
      </c>
      <c r="F71" s="17">
        <v>3.75</v>
      </c>
      <c r="G71" s="17"/>
      <c r="H71" s="18">
        <f t="shared" si="2"/>
        <v>3</v>
      </c>
    </row>
    <row r="72" spans="1:10" s="71" customFormat="1">
      <c r="A72" s="485"/>
      <c r="B72" s="495" t="s">
        <v>114</v>
      </c>
      <c r="C72" s="17" t="s">
        <v>10</v>
      </c>
      <c r="D72" s="17">
        <v>-15</v>
      </c>
      <c r="E72" s="18">
        <v>0.9</v>
      </c>
      <c r="F72" s="17">
        <v>0.9</v>
      </c>
      <c r="G72" s="17"/>
      <c r="H72" s="18">
        <f t="shared" ref="H72" si="3">PRODUCT(D72:G72)</f>
        <v>-12.15</v>
      </c>
    </row>
    <row r="73" spans="1:10" s="71" customFormat="1">
      <c r="A73" s="485"/>
      <c r="B73" s="495" t="s">
        <v>114</v>
      </c>
      <c r="C73" s="17" t="s">
        <v>10</v>
      </c>
      <c r="D73" s="17">
        <v>-6</v>
      </c>
      <c r="E73" s="18">
        <v>1.2</v>
      </c>
      <c r="F73" s="17">
        <v>1</v>
      </c>
      <c r="G73" s="17"/>
      <c r="H73" s="18">
        <f t="shared" ref="H73:H74" si="4">PRODUCT(D73:G73)</f>
        <v>-7.1999999999999993</v>
      </c>
    </row>
    <row r="74" spans="1:10" s="71" customFormat="1">
      <c r="A74" s="485"/>
      <c r="B74" s="495" t="s">
        <v>114</v>
      </c>
      <c r="C74" s="17" t="s">
        <v>10</v>
      </c>
      <c r="D74" s="485">
        <v>-2</v>
      </c>
      <c r="E74" s="487">
        <v>1</v>
      </c>
      <c r="F74" s="485">
        <v>0.9</v>
      </c>
      <c r="G74" s="485"/>
      <c r="H74" s="487">
        <f t="shared" si="4"/>
        <v>-1.8</v>
      </c>
    </row>
    <row r="75" spans="1:10" s="71" customFormat="1">
      <c r="A75" s="485"/>
      <c r="B75" s="495" t="s">
        <v>114</v>
      </c>
      <c r="C75" s="17" t="s">
        <v>10</v>
      </c>
      <c r="D75" s="485">
        <v>-3</v>
      </c>
      <c r="E75" s="487">
        <v>0.9</v>
      </c>
      <c r="F75" s="485">
        <v>0.8</v>
      </c>
      <c r="G75" s="485"/>
      <c r="H75" s="487">
        <f t="shared" ref="H75:H76" si="5">PRODUCT(D75:G75)</f>
        <v>-2.16</v>
      </c>
    </row>
    <row r="76" spans="1:10" s="71" customFormat="1">
      <c r="A76" s="485"/>
      <c r="B76" s="495" t="s">
        <v>114</v>
      </c>
      <c r="C76" s="17" t="s">
        <v>10</v>
      </c>
      <c r="D76" s="485">
        <v>-2</v>
      </c>
      <c r="E76" s="487">
        <v>2.5</v>
      </c>
      <c r="F76" s="485">
        <v>0.9</v>
      </c>
      <c r="G76" s="485"/>
      <c r="H76" s="487">
        <f t="shared" si="5"/>
        <v>-4.5</v>
      </c>
    </row>
    <row r="77" spans="1:10" s="71" customFormat="1">
      <c r="A77" s="485"/>
      <c r="B77" s="495" t="s">
        <v>114</v>
      </c>
      <c r="C77" s="17" t="s">
        <v>10</v>
      </c>
      <c r="D77" s="485">
        <v>-1</v>
      </c>
      <c r="E77" s="487">
        <v>0.9</v>
      </c>
      <c r="F77" s="485">
        <v>0.55000000000000004</v>
      </c>
      <c r="G77" s="485"/>
      <c r="H77" s="487">
        <f t="shared" ref="H77" si="6">PRODUCT(D77:G77)</f>
        <v>-0.49500000000000005</v>
      </c>
    </row>
    <row r="78" spans="1:10" s="71" customFormat="1">
      <c r="A78" s="485"/>
      <c r="B78" s="495"/>
      <c r="C78" s="17" t="s">
        <v>10</v>
      </c>
      <c r="D78" s="485">
        <v>-1</v>
      </c>
      <c r="E78" s="487">
        <v>0.7</v>
      </c>
      <c r="F78" s="485">
        <v>0.72499999999999998</v>
      </c>
      <c r="G78" s="485"/>
      <c r="H78" s="487">
        <f t="shared" ref="H78" si="7">PRODUCT(D78:G78)</f>
        <v>-0.50749999999999995</v>
      </c>
    </row>
    <row r="79" spans="1:10" s="71" customFormat="1">
      <c r="A79" s="485"/>
      <c r="B79" s="495"/>
      <c r="C79" s="17" t="s">
        <v>10</v>
      </c>
      <c r="D79" s="485">
        <v>-1</v>
      </c>
      <c r="E79" s="487">
        <v>1.32</v>
      </c>
      <c r="F79" s="485">
        <v>0.7</v>
      </c>
      <c r="G79" s="485"/>
      <c r="H79" s="487">
        <f t="shared" ref="H79" si="8">PRODUCT(D79:G79)</f>
        <v>-0.92399999999999993</v>
      </c>
    </row>
    <row r="80" spans="1:10" s="71" customFormat="1">
      <c r="A80" s="485"/>
      <c r="B80" s="495" t="s">
        <v>1173</v>
      </c>
      <c r="C80" s="17" t="s">
        <v>10</v>
      </c>
      <c r="D80" s="485">
        <v>-1</v>
      </c>
      <c r="E80" s="487">
        <v>5.3</v>
      </c>
      <c r="F80" s="485">
        <v>1.425</v>
      </c>
      <c r="G80" s="485"/>
      <c r="H80" s="487">
        <f t="shared" ref="H80" si="9">PRODUCT(D80:G80)</f>
        <v>-7.5525000000000002</v>
      </c>
    </row>
    <row r="81" spans="1:8" s="71" customFormat="1">
      <c r="A81" s="485"/>
      <c r="B81" s="495"/>
      <c r="C81" s="17" t="s">
        <v>10</v>
      </c>
      <c r="D81" s="485">
        <v>-1</v>
      </c>
      <c r="E81" s="487">
        <v>1.3</v>
      </c>
      <c r="F81" s="485">
        <v>1.1000000000000001</v>
      </c>
      <c r="G81" s="485"/>
      <c r="H81" s="487">
        <f t="shared" ref="H81" si="10">PRODUCT(D81:G81)</f>
        <v>-1.4300000000000002</v>
      </c>
    </row>
    <row r="82" spans="1:8" s="71" customFormat="1">
      <c r="A82" s="485"/>
      <c r="B82" s="495" t="s">
        <v>289</v>
      </c>
      <c r="C82" s="17" t="s">
        <v>10</v>
      </c>
      <c r="D82" s="485">
        <v>1</v>
      </c>
      <c r="E82" s="487">
        <v>11.05</v>
      </c>
      <c r="F82" s="485">
        <v>4.1500000000000004</v>
      </c>
      <c r="G82" s="485"/>
      <c r="H82" s="487">
        <f t="shared" ref="H82:H84" si="11">PRODUCT(D82:G82)</f>
        <v>45.857500000000009</v>
      </c>
    </row>
    <row r="83" spans="1:8" s="71" customFormat="1">
      <c r="A83" s="485"/>
      <c r="B83" s="495"/>
      <c r="C83" s="17" t="s">
        <v>10</v>
      </c>
      <c r="D83" s="485">
        <v>-1</v>
      </c>
      <c r="E83" s="487">
        <v>1.3</v>
      </c>
      <c r="F83" s="485">
        <v>1.85</v>
      </c>
      <c r="G83" s="485"/>
      <c r="H83" s="487">
        <f t="shared" si="11"/>
        <v>-2.4050000000000002</v>
      </c>
    </row>
    <row r="84" spans="1:8" s="71" customFormat="1">
      <c r="A84" s="485"/>
      <c r="B84" s="495"/>
      <c r="C84" s="17" t="s">
        <v>10</v>
      </c>
      <c r="D84" s="485">
        <v>-1</v>
      </c>
      <c r="E84" s="487">
        <v>2.25</v>
      </c>
      <c r="F84" s="485">
        <v>4.24</v>
      </c>
      <c r="G84" s="485"/>
      <c r="H84" s="487">
        <f t="shared" si="11"/>
        <v>-9.5400000000000009</v>
      </c>
    </row>
    <row r="85" spans="1:8" s="71" customFormat="1">
      <c r="A85" s="485"/>
      <c r="B85" s="495" t="s">
        <v>1150</v>
      </c>
      <c r="C85" s="17" t="s">
        <v>10</v>
      </c>
      <c r="D85" s="485">
        <v>1</v>
      </c>
      <c r="E85" s="487">
        <v>2.4</v>
      </c>
      <c r="F85" s="485">
        <v>2.15</v>
      </c>
      <c r="G85" s="485"/>
      <c r="H85" s="487">
        <f t="shared" ref="H85" si="12">PRODUCT(D85:G85)</f>
        <v>5.1599999999999993</v>
      </c>
    </row>
    <row r="86" spans="1:8" s="71" customFormat="1">
      <c r="A86" s="485"/>
      <c r="B86" s="495"/>
      <c r="C86" s="17" t="s">
        <v>10</v>
      </c>
      <c r="D86" s="485">
        <v>1</v>
      </c>
      <c r="E86" s="487">
        <v>1.25</v>
      </c>
      <c r="F86" s="485">
        <v>2.4</v>
      </c>
      <c r="G86" s="485"/>
      <c r="H86" s="487">
        <f t="shared" ref="H86" si="13">PRODUCT(D86:G86)</f>
        <v>3</v>
      </c>
    </row>
    <row r="87" spans="1:8" s="71" customFormat="1">
      <c r="A87" s="485"/>
      <c r="B87" s="495" t="s">
        <v>174</v>
      </c>
      <c r="C87" s="17" t="s">
        <v>10</v>
      </c>
      <c r="D87" s="485">
        <v>1</v>
      </c>
      <c r="E87" s="487">
        <v>12.22</v>
      </c>
      <c r="F87" s="485">
        <v>4.1500000000000004</v>
      </c>
      <c r="G87" s="485"/>
      <c r="H87" s="487">
        <f t="shared" ref="H87" si="14">PRODUCT(D87:G87)</f>
        <v>50.713000000000008</v>
      </c>
    </row>
    <row r="88" spans="1:8" s="71" customFormat="1">
      <c r="A88" s="485"/>
      <c r="B88" s="495"/>
      <c r="C88" s="17" t="s">
        <v>10</v>
      </c>
      <c r="D88" s="485">
        <v>-1</v>
      </c>
      <c r="E88" s="487">
        <v>2.3199999999999998</v>
      </c>
      <c r="F88" s="485">
        <v>0.6</v>
      </c>
      <c r="G88" s="485"/>
      <c r="H88" s="487">
        <f t="shared" ref="H88" si="15">PRODUCT(D88:G88)</f>
        <v>-1.3919999999999999</v>
      </c>
    </row>
    <row r="89" spans="1:8" s="71" customFormat="1">
      <c r="A89" s="485"/>
      <c r="B89" s="495" t="s">
        <v>1174</v>
      </c>
      <c r="C89" s="17" t="s">
        <v>10</v>
      </c>
      <c r="D89" s="485">
        <v>1</v>
      </c>
      <c r="E89" s="487">
        <v>11.2</v>
      </c>
      <c r="F89" s="485">
        <v>4.1500000000000004</v>
      </c>
      <c r="G89" s="485"/>
      <c r="H89" s="487">
        <f t="shared" ref="H89" si="16">PRODUCT(D89:G89)</f>
        <v>46.480000000000004</v>
      </c>
    </row>
    <row r="90" spans="1:8" s="71" customFormat="1">
      <c r="A90" s="485"/>
      <c r="B90" s="495"/>
      <c r="C90" s="17" t="s">
        <v>10</v>
      </c>
      <c r="D90" s="485">
        <v>1</v>
      </c>
      <c r="E90" s="487">
        <v>2.54</v>
      </c>
      <c r="F90" s="485">
        <v>1.25</v>
      </c>
      <c r="G90" s="485"/>
      <c r="H90" s="487">
        <f t="shared" ref="H90" si="17">PRODUCT(D90:G90)</f>
        <v>3.1749999999999998</v>
      </c>
    </row>
    <row r="91" spans="1:8" s="71" customFormat="1">
      <c r="A91" s="485"/>
      <c r="B91" s="495" t="s">
        <v>1175</v>
      </c>
      <c r="C91" s="17" t="s">
        <v>10</v>
      </c>
      <c r="D91" s="485">
        <v>1</v>
      </c>
      <c r="E91" s="487">
        <v>2.54</v>
      </c>
      <c r="F91" s="485">
        <v>2.15</v>
      </c>
      <c r="G91" s="485"/>
      <c r="H91" s="487">
        <f t="shared" ref="H91" si="18">PRODUCT(D91:G91)</f>
        <v>5.4609999999999994</v>
      </c>
    </row>
    <row r="92" spans="1:8" s="71" customFormat="1">
      <c r="A92" s="485"/>
      <c r="B92" s="495" t="s">
        <v>1176</v>
      </c>
      <c r="C92" s="17" t="s">
        <v>10</v>
      </c>
      <c r="D92" s="485">
        <v>1</v>
      </c>
      <c r="E92" s="487">
        <v>11.2</v>
      </c>
      <c r="F92" s="485">
        <v>4.1500000000000004</v>
      </c>
      <c r="G92" s="485"/>
      <c r="H92" s="487">
        <f t="shared" ref="H92:H94" si="19">PRODUCT(D92:G92)</f>
        <v>46.480000000000004</v>
      </c>
    </row>
    <row r="93" spans="1:8" s="71" customFormat="1">
      <c r="A93" s="485"/>
      <c r="B93" s="495"/>
      <c r="C93" s="17" t="s">
        <v>10</v>
      </c>
      <c r="D93" s="485">
        <v>-1</v>
      </c>
      <c r="E93" s="487">
        <v>1.3</v>
      </c>
      <c r="F93" s="485">
        <v>1.95</v>
      </c>
      <c r="G93" s="485"/>
      <c r="H93" s="487">
        <f t="shared" si="19"/>
        <v>-2.5350000000000001</v>
      </c>
    </row>
    <row r="94" spans="1:8" s="71" customFormat="1">
      <c r="A94" s="485"/>
      <c r="B94" s="495"/>
      <c r="C94" s="17" t="s">
        <v>10</v>
      </c>
      <c r="D94" s="485">
        <v>-1</v>
      </c>
      <c r="E94" s="487">
        <v>4.4400000000000004</v>
      </c>
      <c r="F94" s="485">
        <v>2.25</v>
      </c>
      <c r="G94" s="485"/>
      <c r="H94" s="487">
        <f t="shared" si="19"/>
        <v>-9.99</v>
      </c>
    </row>
    <row r="95" spans="1:8" s="71" customFormat="1">
      <c r="A95" s="485"/>
      <c r="B95" s="495"/>
      <c r="C95" s="485"/>
      <c r="D95" s="485"/>
      <c r="E95" s="487"/>
      <c r="F95" s="485"/>
      <c r="G95" s="485"/>
      <c r="H95" s="487"/>
    </row>
    <row r="96" spans="1:8">
      <c r="A96" s="17"/>
      <c r="B96" s="17"/>
      <c r="C96" s="17"/>
      <c r="D96" s="17"/>
      <c r="E96" s="17"/>
      <c r="F96" s="17"/>
      <c r="G96" s="17"/>
      <c r="H96" s="18"/>
    </row>
    <row r="97" spans="1:8">
      <c r="A97" s="15"/>
      <c r="B97" s="15" t="s">
        <v>21</v>
      </c>
      <c r="C97" s="15"/>
      <c r="D97" s="15"/>
      <c r="E97" s="15"/>
      <c r="F97" s="15"/>
      <c r="G97" s="15"/>
      <c r="H97" s="20">
        <f>SUM(H48:H96)</f>
        <v>3063.3100950000003</v>
      </c>
    </row>
    <row r="98" spans="1:8">
      <c r="A98" s="17"/>
      <c r="B98" s="17" t="s">
        <v>22</v>
      </c>
      <c r="C98" s="17"/>
      <c r="D98" s="17"/>
      <c r="E98" s="17"/>
      <c r="F98" s="17"/>
      <c r="G98" s="17"/>
      <c r="H98" s="18"/>
    </row>
    <row r="99" spans="1:8">
      <c r="A99" s="15"/>
      <c r="B99" s="15" t="s">
        <v>23</v>
      </c>
      <c r="C99" s="15"/>
      <c r="D99" s="15"/>
      <c r="E99" s="15"/>
      <c r="F99" s="15"/>
      <c r="G99" s="15"/>
      <c r="H99" s="20">
        <f>ROUND(SUM(H97:H98),0)</f>
        <v>3063</v>
      </c>
    </row>
    <row r="100" spans="1:8">
      <c r="A100" s="17"/>
      <c r="B100" s="17"/>
      <c r="C100" s="17"/>
      <c r="D100" s="17"/>
      <c r="E100" s="17"/>
      <c r="F100" s="17"/>
      <c r="G100" s="17"/>
      <c r="H100" s="18"/>
    </row>
    <row r="101" spans="1:8">
      <c r="A101" s="17">
        <v>2</v>
      </c>
      <c r="B101" s="15" t="s">
        <v>1140</v>
      </c>
      <c r="C101" s="17" t="s">
        <v>10</v>
      </c>
      <c r="D101" s="17"/>
      <c r="E101" s="17"/>
      <c r="F101" s="17"/>
      <c r="G101" s="17"/>
      <c r="H101" s="18"/>
    </row>
    <row r="102" spans="1:8">
      <c r="A102" s="17"/>
      <c r="B102" s="17" t="s">
        <v>162</v>
      </c>
      <c r="C102" s="17" t="s">
        <v>10</v>
      </c>
      <c r="D102" s="17">
        <v>1</v>
      </c>
      <c r="E102" s="17">
        <v>1.8</v>
      </c>
      <c r="F102" s="17">
        <v>2.4</v>
      </c>
      <c r="G102" s="17"/>
      <c r="H102" s="18">
        <f t="shared" ref="H102:H135" si="20">PRODUCT(D102:G102)</f>
        <v>4.32</v>
      </c>
    </row>
    <row r="103" spans="1:8" s="948" customFormat="1">
      <c r="A103" s="485"/>
      <c r="B103" s="17" t="s">
        <v>162</v>
      </c>
      <c r="C103" s="17" t="s">
        <v>10</v>
      </c>
      <c r="D103" s="17">
        <v>1</v>
      </c>
      <c r="E103" s="17">
        <v>3.5</v>
      </c>
      <c r="F103" s="17">
        <v>3.5</v>
      </c>
      <c r="G103" s="17"/>
      <c r="H103" s="18">
        <f t="shared" ref="H103:H104" si="21">PRODUCT(D103:G103)</f>
        <v>12.25</v>
      </c>
    </row>
    <row r="104" spans="1:8" s="948" customFormat="1">
      <c r="A104" s="485"/>
      <c r="B104" s="485"/>
      <c r="C104" s="17" t="s">
        <v>10</v>
      </c>
      <c r="D104" s="485">
        <v>-1</v>
      </c>
      <c r="E104" s="485">
        <v>1</v>
      </c>
      <c r="F104" s="485">
        <v>2.4</v>
      </c>
      <c r="G104" s="485"/>
      <c r="H104" s="18">
        <f t="shared" si="21"/>
        <v>-2.4</v>
      </c>
    </row>
    <row r="105" spans="1:8">
      <c r="A105" s="17"/>
      <c r="B105" s="17" t="s">
        <v>284</v>
      </c>
      <c r="C105" s="17" t="s">
        <v>10</v>
      </c>
      <c r="D105" s="17">
        <v>1</v>
      </c>
      <c r="E105" s="17">
        <v>3</v>
      </c>
      <c r="F105" s="17">
        <v>3.5</v>
      </c>
      <c r="G105" s="17"/>
      <c r="H105" s="18">
        <f t="shared" si="20"/>
        <v>10.5</v>
      </c>
    </row>
    <row r="106" spans="1:8">
      <c r="A106" s="485"/>
      <c r="B106" s="485"/>
      <c r="C106" s="17" t="s">
        <v>10</v>
      </c>
      <c r="D106" s="485">
        <v>1</v>
      </c>
      <c r="E106" s="485">
        <v>4.7</v>
      </c>
      <c r="F106" s="17">
        <v>3.5</v>
      </c>
      <c r="G106" s="485"/>
      <c r="H106" s="18">
        <f t="shared" si="20"/>
        <v>16.45</v>
      </c>
    </row>
    <row r="107" spans="1:8">
      <c r="A107" s="485"/>
      <c r="B107" s="485"/>
      <c r="C107" s="17" t="s">
        <v>10</v>
      </c>
      <c r="D107" s="485">
        <v>1</v>
      </c>
      <c r="E107" s="485">
        <v>0.6</v>
      </c>
      <c r="F107" s="17">
        <v>3.5</v>
      </c>
      <c r="G107" s="485"/>
      <c r="H107" s="18">
        <f t="shared" si="20"/>
        <v>2.1</v>
      </c>
    </row>
    <row r="108" spans="1:8">
      <c r="A108" s="485"/>
      <c r="B108" s="485"/>
      <c r="C108" s="17" t="s">
        <v>10</v>
      </c>
      <c r="D108" s="485">
        <v>-1</v>
      </c>
      <c r="E108" s="485">
        <v>1.5</v>
      </c>
      <c r="F108" s="485">
        <v>2.1</v>
      </c>
      <c r="G108" s="485"/>
      <c r="H108" s="487">
        <f t="shared" si="20"/>
        <v>-3.1500000000000004</v>
      </c>
    </row>
    <row r="109" spans="1:8">
      <c r="A109" s="485"/>
      <c r="B109" s="485" t="s">
        <v>1177</v>
      </c>
      <c r="C109" s="17" t="s">
        <v>10</v>
      </c>
      <c r="D109" s="17">
        <v>1</v>
      </c>
      <c r="E109" s="17">
        <v>4.2</v>
      </c>
      <c r="F109" s="17">
        <v>3.5</v>
      </c>
      <c r="G109" s="17"/>
      <c r="H109" s="18">
        <f t="shared" si="20"/>
        <v>14.700000000000001</v>
      </c>
    </row>
    <row r="110" spans="1:8">
      <c r="A110" s="485"/>
      <c r="B110" s="485"/>
      <c r="C110" s="17" t="s">
        <v>10</v>
      </c>
      <c r="D110" s="485">
        <v>-1</v>
      </c>
      <c r="E110" s="485">
        <v>1</v>
      </c>
      <c r="F110" s="485">
        <v>2.4</v>
      </c>
      <c r="G110" s="485"/>
      <c r="H110" s="18">
        <f t="shared" si="20"/>
        <v>-2.4</v>
      </c>
    </row>
    <row r="111" spans="1:8">
      <c r="A111" s="485"/>
      <c r="B111" s="485" t="s">
        <v>1181</v>
      </c>
      <c r="C111" s="17" t="s">
        <v>10</v>
      </c>
      <c r="D111" s="485">
        <v>-1</v>
      </c>
      <c r="E111" s="485">
        <v>1.6</v>
      </c>
      <c r="F111" s="485">
        <v>0.45</v>
      </c>
      <c r="G111" s="485"/>
      <c r="H111" s="487">
        <f t="shared" si="20"/>
        <v>-0.72000000000000008</v>
      </c>
    </row>
    <row r="112" spans="1:8">
      <c r="A112" s="485"/>
      <c r="B112" s="485"/>
      <c r="C112" s="17" t="s">
        <v>10</v>
      </c>
      <c r="D112" s="485">
        <v>1</v>
      </c>
      <c r="E112" s="485">
        <v>4.0999999999999996</v>
      </c>
      <c r="F112" s="485">
        <v>3.5</v>
      </c>
      <c r="G112" s="485"/>
      <c r="H112" s="487">
        <f t="shared" si="20"/>
        <v>14.349999999999998</v>
      </c>
    </row>
    <row r="113" spans="1:8">
      <c r="A113" s="485"/>
      <c r="B113" s="485"/>
      <c r="C113" s="17" t="s">
        <v>10</v>
      </c>
      <c r="D113" s="485">
        <v>1</v>
      </c>
      <c r="E113" s="485">
        <v>1.2</v>
      </c>
      <c r="F113" s="485">
        <v>3.5</v>
      </c>
      <c r="G113" s="485"/>
      <c r="H113" s="487">
        <f t="shared" si="20"/>
        <v>4.2</v>
      </c>
    </row>
    <row r="114" spans="1:8">
      <c r="A114" s="485"/>
      <c r="B114" s="485"/>
      <c r="C114" s="17" t="s">
        <v>10</v>
      </c>
      <c r="D114" s="485">
        <v>-1</v>
      </c>
      <c r="E114" s="485">
        <v>1</v>
      </c>
      <c r="F114" s="485">
        <v>2.1</v>
      </c>
      <c r="G114" s="485"/>
      <c r="H114" s="487">
        <f t="shared" si="20"/>
        <v>-2.1</v>
      </c>
    </row>
    <row r="115" spans="1:8">
      <c r="A115" s="485"/>
      <c r="B115" s="485"/>
      <c r="C115" s="17" t="s">
        <v>10</v>
      </c>
      <c r="D115" s="485">
        <v>1</v>
      </c>
      <c r="E115" s="485">
        <v>1.35</v>
      </c>
      <c r="F115" s="485">
        <v>0.5</v>
      </c>
      <c r="G115" s="485"/>
      <c r="H115" s="487">
        <f t="shared" si="20"/>
        <v>0.67500000000000004</v>
      </c>
    </row>
    <row r="116" spans="1:8">
      <c r="A116" s="485"/>
      <c r="B116" s="485"/>
      <c r="C116" s="17" t="s">
        <v>10</v>
      </c>
      <c r="D116" s="485">
        <v>1</v>
      </c>
      <c r="E116" s="485">
        <v>1.2</v>
      </c>
      <c r="F116" s="485">
        <v>0.5</v>
      </c>
      <c r="G116" s="485"/>
      <c r="H116" s="487">
        <f t="shared" si="20"/>
        <v>0.6</v>
      </c>
    </row>
    <row r="117" spans="1:8">
      <c r="A117" s="485"/>
      <c r="B117" s="485" t="s">
        <v>1178</v>
      </c>
      <c r="C117" s="17" t="s">
        <v>10</v>
      </c>
      <c r="D117" s="485">
        <v>1</v>
      </c>
      <c r="E117" s="485">
        <v>4.0999999999999996</v>
      </c>
      <c r="F117" s="485">
        <v>3.5</v>
      </c>
      <c r="G117" s="485"/>
      <c r="H117" s="487">
        <f t="shared" si="20"/>
        <v>14.349999999999998</v>
      </c>
    </row>
    <row r="118" spans="1:8">
      <c r="A118" s="485"/>
      <c r="B118" s="485"/>
      <c r="C118" s="17" t="s">
        <v>10</v>
      </c>
      <c r="D118" s="485">
        <v>1</v>
      </c>
      <c r="E118" s="485">
        <v>0.6</v>
      </c>
      <c r="F118" s="485">
        <v>3.5</v>
      </c>
      <c r="G118" s="485"/>
      <c r="H118" s="487">
        <f t="shared" si="20"/>
        <v>2.1</v>
      </c>
    </row>
    <row r="119" spans="1:8" s="948" customFormat="1">
      <c r="A119" s="485"/>
      <c r="B119" s="485"/>
      <c r="C119" s="17" t="s">
        <v>10</v>
      </c>
      <c r="D119" s="485">
        <v>1</v>
      </c>
      <c r="E119" s="485">
        <v>1.31</v>
      </c>
      <c r="F119" s="485">
        <v>3.5</v>
      </c>
      <c r="G119" s="485"/>
      <c r="H119" s="487">
        <f t="shared" ref="H119" si="22">PRODUCT(D119:G119)</f>
        <v>4.585</v>
      </c>
    </row>
    <row r="120" spans="1:8">
      <c r="A120" s="485"/>
      <c r="B120" s="485"/>
      <c r="C120" s="17" t="s">
        <v>10</v>
      </c>
      <c r="D120" s="485">
        <v>-1</v>
      </c>
      <c r="E120" s="485">
        <v>1</v>
      </c>
      <c r="F120" s="485">
        <v>2.4</v>
      </c>
      <c r="G120" s="485"/>
      <c r="H120" s="487">
        <f t="shared" si="20"/>
        <v>-2.4</v>
      </c>
    </row>
    <row r="121" spans="1:8">
      <c r="A121" s="485"/>
      <c r="B121" s="485"/>
      <c r="C121" s="17" t="s">
        <v>10</v>
      </c>
      <c r="D121" s="485">
        <v>1</v>
      </c>
      <c r="E121" s="485">
        <v>0.9</v>
      </c>
      <c r="F121" s="485">
        <v>1.2</v>
      </c>
      <c r="G121" s="485"/>
      <c r="H121" s="487">
        <f t="shared" si="20"/>
        <v>1.08</v>
      </c>
    </row>
    <row r="122" spans="1:8">
      <c r="A122" s="485"/>
      <c r="B122" s="485" t="s">
        <v>1962</v>
      </c>
      <c r="C122" s="17" t="s">
        <v>10</v>
      </c>
      <c r="D122" s="485">
        <v>1</v>
      </c>
      <c r="E122" s="485">
        <v>5.4249999999999998</v>
      </c>
      <c r="F122" s="485">
        <v>1.05</v>
      </c>
      <c r="G122" s="485"/>
      <c r="H122" s="487">
        <f t="shared" ref="H122" si="23">PRODUCT(D122:G122)</f>
        <v>5.69625</v>
      </c>
    </row>
    <row r="123" spans="1:8">
      <c r="A123" s="485"/>
      <c r="B123" s="485" t="s">
        <v>181</v>
      </c>
      <c r="C123" s="17" t="s">
        <v>10</v>
      </c>
      <c r="D123" s="485">
        <v>1</v>
      </c>
      <c r="E123" s="485">
        <v>8.5</v>
      </c>
      <c r="F123" s="485">
        <v>3.5</v>
      </c>
      <c r="G123" s="485"/>
      <c r="H123" s="487">
        <f t="shared" si="20"/>
        <v>29.75</v>
      </c>
    </row>
    <row r="124" spans="1:8">
      <c r="A124" s="485"/>
      <c r="B124" s="485"/>
      <c r="C124" s="17" t="s">
        <v>10</v>
      </c>
      <c r="D124" s="485">
        <v>1</v>
      </c>
      <c r="E124" s="485">
        <v>1.375</v>
      </c>
      <c r="F124" s="485">
        <v>3.5</v>
      </c>
      <c r="G124" s="485"/>
      <c r="H124" s="487">
        <f t="shared" si="20"/>
        <v>4.8125</v>
      </c>
    </row>
    <row r="125" spans="1:8">
      <c r="A125" s="485"/>
      <c r="B125" s="485"/>
      <c r="C125" s="17" t="s">
        <v>10</v>
      </c>
      <c r="D125" s="485">
        <v>1</v>
      </c>
      <c r="E125" s="485">
        <v>1.79</v>
      </c>
      <c r="F125" s="485">
        <v>3.5</v>
      </c>
      <c r="G125" s="485"/>
      <c r="H125" s="487">
        <f t="shared" si="20"/>
        <v>6.2650000000000006</v>
      </c>
    </row>
    <row r="126" spans="1:8">
      <c r="A126" s="485"/>
      <c r="B126" s="485" t="s">
        <v>1925</v>
      </c>
      <c r="C126" s="17" t="s">
        <v>10</v>
      </c>
      <c r="D126" s="485">
        <v>-1</v>
      </c>
      <c r="E126" s="485">
        <v>1</v>
      </c>
      <c r="F126" s="485">
        <v>2.4</v>
      </c>
      <c r="G126" s="485"/>
      <c r="H126" s="487">
        <f t="shared" si="20"/>
        <v>-2.4</v>
      </c>
    </row>
    <row r="127" spans="1:8">
      <c r="A127" s="485"/>
      <c r="B127" s="485"/>
      <c r="C127" s="17" t="s">
        <v>10</v>
      </c>
      <c r="D127" s="485">
        <v>2</v>
      </c>
      <c r="E127" s="485">
        <v>3.2</v>
      </c>
      <c r="F127" s="485">
        <v>3.5</v>
      </c>
      <c r="G127" s="485"/>
      <c r="H127" s="487">
        <f t="shared" si="20"/>
        <v>22.400000000000002</v>
      </c>
    </row>
    <row r="128" spans="1:8">
      <c r="A128" s="485"/>
      <c r="B128" s="485"/>
      <c r="C128" s="17" t="s">
        <v>10</v>
      </c>
      <c r="D128" s="485">
        <v>-1</v>
      </c>
      <c r="E128" s="485">
        <v>1</v>
      </c>
      <c r="F128" s="485">
        <v>2.4</v>
      </c>
      <c r="G128" s="485"/>
      <c r="H128" s="487">
        <f t="shared" si="20"/>
        <v>-2.4</v>
      </c>
    </row>
    <row r="129" spans="1:8">
      <c r="A129" s="485"/>
      <c r="B129" s="485"/>
      <c r="C129" s="17" t="s">
        <v>10</v>
      </c>
      <c r="D129" s="485">
        <v>1</v>
      </c>
      <c r="E129" s="485">
        <v>1.4</v>
      </c>
      <c r="F129" s="485">
        <v>3.5</v>
      </c>
      <c r="G129" s="485"/>
      <c r="H129" s="487">
        <f t="shared" si="20"/>
        <v>4.8999999999999995</v>
      </c>
    </row>
    <row r="130" spans="1:8">
      <c r="A130" s="485"/>
      <c r="B130" s="485" t="s">
        <v>161</v>
      </c>
      <c r="C130" s="17" t="s">
        <v>10</v>
      </c>
      <c r="D130" s="485">
        <v>2</v>
      </c>
      <c r="E130" s="485">
        <v>8.5050000000000008</v>
      </c>
      <c r="F130" s="485">
        <v>3.5</v>
      </c>
      <c r="G130" s="485"/>
      <c r="H130" s="487">
        <f t="shared" si="20"/>
        <v>59.535000000000004</v>
      </c>
    </row>
    <row r="131" spans="1:8">
      <c r="A131" s="485"/>
      <c r="B131" s="485"/>
      <c r="C131" s="17" t="s">
        <v>10</v>
      </c>
      <c r="D131" s="485">
        <v>2</v>
      </c>
      <c r="E131" s="485">
        <v>3</v>
      </c>
      <c r="F131" s="485">
        <v>3.5</v>
      </c>
      <c r="G131" s="485"/>
      <c r="H131" s="487">
        <f t="shared" si="20"/>
        <v>21</v>
      </c>
    </row>
    <row r="132" spans="1:8">
      <c r="A132" s="485"/>
      <c r="B132" s="485"/>
      <c r="C132" s="17" t="s">
        <v>10</v>
      </c>
      <c r="D132" s="485">
        <v>-2</v>
      </c>
      <c r="E132" s="485">
        <v>1</v>
      </c>
      <c r="F132" s="485">
        <v>2.4</v>
      </c>
      <c r="G132" s="485"/>
      <c r="H132" s="487">
        <f t="shared" si="20"/>
        <v>-4.8</v>
      </c>
    </row>
    <row r="133" spans="1:8">
      <c r="A133" s="485"/>
      <c r="B133" s="485" t="s">
        <v>280</v>
      </c>
      <c r="C133" s="17" t="s">
        <v>10</v>
      </c>
      <c r="D133" s="485">
        <v>2</v>
      </c>
      <c r="E133" s="485">
        <v>6.35</v>
      </c>
      <c r="F133" s="485">
        <v>3.5</v>
      </c>
      <c r="G133" s="485"/>
      <c r="H133" s="487">
        <f t="shared" si="20"/>
        <v>44.449999999999996</v>
      </c>
    </row>
    <row r="134" spans="1:8">
      <c r="A134" s="485"/>
      <c r="B134" s="485"/>
      <c r="C134" s="17" t="s">
        <v>10</v>
      </c>
      <c r="D134" s="485">
        <v>1</v>
      </c>
      <c r="E134" s="485">
        <v>2.1</v>
      </c>
      <c r="F134" s="485">
        <v>3.5</v>
      </c>
      <c r="G134" s="485"/>
      <c r="H134" s="487">
        <f t="shared" si="20"/>
        <v>7.3500000000000005</v>
      </c>
    </row>
    <row r="135" spans="1:8">
      <c r="A135" s="485"/>
      <c r="B135" s="485"/>
      <c r="C135" s="17" t="s">
        <v>10</v>
      </c>
      <c r="D135" s="485">
        <v>1</v>
      </c>
      <c r="E135" s="485">
        <v>0.6</v>
      </c>
      <c r="F135" s="485">
        <v>3.5</v>
      </c>
      <c r="G135" s="485"/>
      <c r="H135" s="487">
        <f t="shared" si="20"/>
        <v>2.1</v>
      </c>
    </row>
    <row r="136" spans="1:8">
      <c r="A136" s="17"/>
      <c r="B136" s="17"/>
      <c r="C136" s="17"/>
      <c r="D136" s="17"/>
      <c r="E136" s="17"/>
      <c r="F136" s="17"/>
      <c r="G136" s="17"/>
      <c r="H136" s="18"/>
    </row>
    <row r="137" spans="1:8">
      <c r="A137" s="15"/>
      <c r="B137" s="15" t="s">
        <v>21</v>
      </c>
      <c r="C137" s="15"/>
      <c r="D137" s="15"/>
      <c r="E137" s="15"/>
      <c r="F137" s="15"/>
      <c r="G137" s="15"/>
      <c r="H137" s="20">
        <f>SUM(H102:H136)</f>
        <v>287.74875000000003</v>
      </c>
    </row>
    <row r="138" spans="1:8">
      <c r="A138" s="17"/>
      <c r="B138" s="17" t="s">
        <v>22</v>
      </c>
      <c r="C138" s="17"/>
      <c r="D138" s="17"/>
      <c r="E138" s="17"/>
      <c r="F138" s="17"/>
      <c r="G138" s="17"/>
      <c r="H138" s="18"/>
    </row>
    <row r="139" spans="1:8">
      <c r="A139" s="15"/>
      <c r="B139" s="15" t="s">
        <v>23</v>
      </c>
      <c r="C139" s="15"/>
      <c r="D139" s="15"/>
      <c r="E139" s="15"/>
      <c r="F139" s="15"/>
      <c r="G139" s="15"/>
      <c r="H139" s="20">
        <f>ROUND(SUM(H137:H138),0)</f>
        <v>288</v>
      </c>
    </row>
    <row r="140" spans="1:8">
      <c r="A140" s="17"/>
      <c r="B140" s="17"/>
      <c r="C140" s="17"/>
      <c r="D140" s="17"/>
      <c r="E140" s="17"/>
      <c r="F140" s="17"/>
      <c r="G140" s="17"/>
      <c r="H140" s="18"/>
    </row>
    <row r="141" spans="1:8">
      <c r="A141" s="17">
        <v>2</v>
      </c>
      <c r="B141" s="15" t="s">
        <v>1924</v>
      </c>
      <c r="C141" s="17" t="s">
        <v>10</v>
      </c>
      <c r="D141" s="17"/>
      <c r="E141" s="17"/>
      <c r="F141" s="17"/>
      <c r="G141" s="17"/>
      <c r="H141" s="18"/>
    </row>
    <row r="142" spans="1:8">
      <c r="A142" s="17"/>
      <c r="B142" s="17"/>
      <c r="C142" s="17"/>
      <c r="D142" s="17"/>
      <c r="E142" s="17"/>
      <c r="F142" s="17"/>
      <c r="G142" s="17"/>
      <c r="H142" s="18"/>
    </row>
    <row r="143" spans="1:8">
      <c r="A143" s="15"/>
      <c r="B143" s="15" t="s">
        <v>21</v>
      </c>
      <c r="C143" s="15"/>
      <c r="D143" s="15"/>
      <c r="E143" s="15"/>
      <c r="F143" s="15"/>
      <c r="G143" s="15"/>
      <c r="H143" s="20">
        <f>SUM(H142:H142)</f>
        <v>0</v>
      </c>
    </row>
    <row r="144" spans="1:8">
      <c r="A144" s="17"/>
      <c r="B144" s="17" t="s">
        <v>22</v>
      </c>
      <c r="C144" s="17"/>
      <c r="D144" s="17"/>
      <c r="E144" s="17"/>
      <c r="F144" s="17"/>
      <c r="G144" s="17"/>
      <c r="H144" s="18">
        <f>H143*5%</f>
        <v>0</v>
      </c>
    </row>
    <row r="145" spans="1:8">
      <c r="A145" s="15"/>
      <c r="B145" s="15" t="s">
        <v>23</v>
      </c>
      <c r="C145" s="15"/>
      <c r="D145" s="15"/>
      <c r="E145" s="15"/>
      <c r="F145" s="15"/>
      <c r="G145" s="15"/>
      <c r="H145" s="20">
        <f>ROUND(SUM(H143:H144),0)</f>
        <v>0</v>
      </c>
    </row>
    <row r="146" spans="1:8">
      <c r="A146" s="17"/>
      <c r="B146" s="17"/>
      <c r="C146" s="17"/>
      <c r="D146" s="17"/>
      <c r="E146" s="17"/>
      <c r="F146" s="17"/>
      <c r="G146" s="17"/>
      <c r="H146" s="18"/>
    </row>
    <row r="147" spans="1:8">
      <c r="A147" s="17">
        <v>3</v>
      </c>
      <c r="B147" s="15" t="s">
        <v>108</v>
      </c>
      <c r="C147" s="17" t="s">
        <v>10</v>
      </c>
      <c r="D147" s="17"/>
      <c r="E147" s="17"/>
      <c r="F147" s="17"/>
      <c r="G147" s="17"/>
      <c r="H147" s="18"/>
    </row>
    <row r="148" spans="1:8">
      <c r="A148" s="17"/>
      <c r="B148" s="17" t="s">
        <v>284</v>
      </c>
      <c r="C148" s="17" t="s">
        <v>10</v>
      </c>
      <c r="D148" s="17">
        <v>2</v>
      </c>
      <c r="E148" s="17">
        <v>3</v>
      </c>
      <c r="F148" s="17">
        <v>3.5</v>
      </c>
      <c r="G148" s="17"/>
      <c r="H148" s="18">
        <f t="shared" ref="H148:H169" si="24">PRODUCT(D148:G148)</f>
        <v>21</v>
      </c>
    </row>
    <row r="149" spans="1:8">
      <c r="A149" s="485"/>
      <c r="B149" s="485"/>
      <c r="C149" s="17" t="s">
        <v>10</v>
      </c>
      <c r="D149" s="485">
        <v>2</v>
      </c>
      <c r="E149" s="485">
        <v>4.7</v>
      </c>
      <c r="F149" s="17">
        <v>3.5</v>
      </c>
      <c r="G149" s="485"/>
      <c r="H149" s="18">
        <f t="shared" si="24"/>
        <v>32.9</v>
      </c>
    </row>
    <row r="150" spans="1:8">
      <c r="A150" s="485"/>
      <c r="B150" s="485"/>
      <c r="C150" s="17" t="s">
        <v>10</v>
      </c>
      <c r="D150" s="485">
        <v>2</v>
      </c>
      <c r="E150" s="485">
        <v>0.6</v>
      </c>
      <c r="F150" s="17">
        <v>3.5</v>
      </c>
      <c r="G150" s="485"/>
      <c r="H150" s="18">
        <f t="shared" si="24"/>
        <v>4.2</v>
      </c>
    </row>
    <row r="151" spans="1:8">
      <c r="A151" s="485"/>
      <c r="B151" s="485"/>
      <c r="C151" s="17" t="s">
        <v>10</v>
      </c>
      <c r="D151" s="485">
        <v>-2</v>
      </c>
      <c r="E151" s="485">
        <v>1.5</v>
      </c>
      <c r="F151" s="485">
        <v>2.1</v>
      </c>
      <c r="G151" s="485"/>
      <c r="H151" s="487">
        <f t="shared" si="24"/>
        <v>-6.3000000000000007</v>
      </c>
    </row>
    <row r="152" spans="1:8">
      <c r="A152" s="485"/>
      <c r="B152" s="485"/>
      <c r="C152" s="17" t="s">
        <v>10</v>
      </c>
      <c r="D152" s="485">
        <v>1</v>
      </c>
      <c r="E152" s="485">
        <v>4.7</v>
      </c>
      <c r="F152" s="485">
        <v>2.6</v>
      </c>
      <c r="G152" s="485"/>
      <c r="H152" s="487">
        <f t="shared" si="24"/>
        <v>12.22</v>
      </c>
    </row>
    <row r="153" spans="1:8">
      <c r="A153" s="485"/>
      <c r="B153" s="485"/>
      <c r="C153" s="17" t="s">
        <v>10</v>
      </c>
      <c r="D153" s="485">
        <v>1</v>
      </c>
      <c r="E153" s="485">
        <v>2.2999999999999998</v>
      </c>
      <c r="F153" s="485">
        <v>2.6</v>
      </c>
      <c r="G153" s="485"/>
      <c r="H153" s="487">
        <f t="shared" si="24"/>
        <v>5.9799999999999995</v>
      </c>
    </row>
    <row r="154" spans="1:8">
      <c r="A154" s="485"/>
      <c r="B154" s="485" t="s">
        <v>1173</v>
      </c>
      <c r="C154" s="17" t="s">
        <v>10</v>
      </c>
      <c r="D154" s="485">
        <v>-1</v>
      </c>
      <c r="E154" s="485">
        <v>0.9</v>
      </c>
      <c r="F154" s="485">
        <v>1.2</v>
      </c>
      <c r="G154" s="485"/>
      <c r="H154" s="487">
        <f t="shared" ref="H154" si="25">PRODUCT(D154:G154)</f>
        <v>-1.08</v>
      </c>
    </row>
    <row r="155" spans="1:8">
      <c r="A155" s="485"/>
      <c r="B155" s="485" t="s">
        <v>1177</v>
      </c>
      <c r="C155" s="17" t="s">
        <v>10</v>
      </c>
      <c r="D155" s="17">
        <v>2</v>
      </c>
      <c r="E155" s="17">
        <v>4.25</v>
      </c>
      <c r="F155" s="17">
        <v>3.5</v>
      </c>
      <c r="G155" s="17"/>
      <c r="H155" s="18">
        <f t="shared" si="24"/>
        <v>29.75</v>
      </c>
    </row>
    <row r="156" spans="1:8">
      <c r="A156" s="485"/>
      <c r="B156" s="485"/>
      <c r="C156" s="17" t="s">
        <v>10</v>
      </c>
      <c r="D156" s="485">
        <v>-2</v>
      </c>
      <c r="E156" s="485">
        <v>1</v>
      </c>
      <c r="F156" s="485">
        <v>2.4</v>
      </c>
      <c r="G156" s="485"/>
      <c r="H156" s="18">
        <f t="shared" si="24"/>
        <v>-4.8</v>
      </c>
    </row>
    <row r="157" spans="1:8">
      <c r="A157" s="485"/>
      <c r="B157" s="485" t="s">
        <v>1181</v>
      </c>
      <c r="C157" s="17" t="s">
        <v>10</v>
      </c>
      <c r="D157" s="485">
        <v>-2</v>
      </c>
      <c r="E157" s="485">
        <v>1.6</v>
      </c>
      <c r="F157" s="485">
        <v>0.45</v>
      </c>
      <c r="G157" s="485"/>
      <c r="H157" s="487">
        <f t="shared" si="24"/>
        <v>-1.4400000000000002</v>
      </c>
    </row>
    <row r="158" spans="1:8">
      <c r="A158" s="485"/>
      <c r="B158" s="485"/>
      <c r="C158" s="17" t="s">
        <v>10</v>
      </c>
      <c r="D158" s="485">
        <v>2</v>
      </c>
      <c r="E158" s="485">
        <v>4.7</v>
      </c>
      <c r="F158" s="485">
        <v>3.5</v>
      </c>
      <c r="G158" s="485"/>
      <c r="H158" s="487">
        <f t="shared" si="24"/>
        <v>32.9</v>
      </c>
    </row>
    <row r="159" spans="1:8">
      <c r="A159" s="485"/>
      <c r="B159" s="485"/>
      <c r="C159" s="17" t="s">
        <v>10</v>
      </c>
      <c r="D159" s="485">
        <v>-2</v>
      </c>
      <c r="E159" s="485">
        <v>1</v>
      </c>
      <c r="F159" s="485">
        <v>2.1</v>
      </c>
      <c r="G159" s="485"/>
      <c r="H159" s="487">
        <f t="shared" si="24"/>
        <v>-4.2</v>
      </c>
    </row>
    <row r="160" spans="1:8">
      <c r="A160" s="485"/>
      <c r="B160" s="485"/>
      <c r="C160" s="17" t="s">
        <v>10</v>
      </c>
      <c r="D160" s="485">
        <v>1</v>
      </c>
      <c r="E160" s="485">
        <v>4.25</v>
      </c>
      <c r="F160" s="485">
        <v>1</v>
      </c>
      <c r="G160" s="485"/>
      <c r="H160" s="487">
        <f t="shared" si="24"/>
        <v>4.25</v>
      </c>
    </row>
    <row r="161" spans="1:8">
      <c r="A161" s="485"/>
      <c r="B161" s="485"/>
      <c r="C161" s="17" t="s">
        <v>10</v>
      </c>
      <c r="D161" s="485">
        <v>2</v>
      </c>
      <c r="E161" s="485">
        <v>1.35</v>
      </c>
      <c r="F161" s="485">
        <v>0.5</v>
      </c>
      <c r="G161" s="485"/>
      <c r="H161" s="487">
        <f t="shared" si="24"/>
        <v>1.35</v>
      </c>
    </row>
    <row r="162" spans="1:8">
      <c r="A162" s="485"/>
      <c r="B162" s="485"/>
      <c r="C162" s="17" t="s">
        <v>10</v>
      </c>
      <c r="D162" s="485">
        <v>2</v>
      </c>
      <c r="E162" s="485">
        <v>1.2</v>
      </c>
      <c r="F162" s="485">
        <v>0.5</v>
      </c>
      <c r="G162" s="485"/>
      <c r="H162" s="487">
        <f t="shared" si="24"/>
        <v>1.2</v>
      </c>
    </row>
    <row r="163" spans="1:8">
      <c r="A163" s="485"/>
      <c r="B163" s="485" t="s">
        <v>1178</v>
      </c>
      <c r="C163" s="17" t="s">
        <v>10</v>
      </c>
      <c r="D163" s="485">
        <v>2</v>
      </c>
      <c r="E163" s="485">
        <v>5.31</v>
      </c>
      <c r="F163" s="485">
        <v>3.5</v>
      </c>
      <c r="G163" s="485"/>
      <c r="H163" s="487">
        <f t="shared" si="24"/>
        <v>37.169999999999995</v>
      </c>
    </row>
    <row r="164" spans="1:8">
      <c r="A164" s="485"/>
      <c r="B164" s="485"/>
      <c r="C164" s="17" t="s">
        <v>10</v>
      </c>
      <c r="D164" s="485">
        <v>2</v>
      </c>
      <c r="E164" s="485">
        <v>0.6</v>
      </c>
      <c r="F164" s="485">
        <v>3.5</v>
      </c>
      <c r="G164" s="485"/>
      <c r="H164" s="487">
        <f t="shared" si="24"/>
        <v>4.2</v>
      </c>
    </row>
    <row r="165" spans="1:8">
      <c r="A165" s="485"/>
      <c r="B165" s="485"/>
      <c r="C165" s="17" t="s">
        <v>10</v>
      </c>
      <c r="D165" s="485">
        <v>-2</v>
      </c>
      <c r="E165" s="485">
        <v>1</v>
      </c>
      <c r="F165" s="485">
        <v>2.4</v>
      </c>
      <c r="G165" s="485"/>
      <c r="H165" s="487">
        <f t="shared" si="24"/>
        <v>-4.8</v>
      </c>
    </row>
    <row r="166" spans="1:8">
      <c r="A166" s="485"/>
      <c r="B166" s="485"/>
      <c r="C166" s="17" t="s">
        <v>10</v>
      </c>
      <c r="D166" s="485">
        <v>1</v>
      </c>
      <c r="E166" s="485">
        <v>5.7</v>
      </c>
      <c r="F166" s="485">
        <v>1</v>
      </c>
      <c r="G166" s="485"/>
      <c r="H166" s="487">
        <f t="shared" si="24"/>
        <v>5.7</v>
      </c>
    </row>
    <row r="167" spans="1:8">
      <c r="A167" s="485"/>
      <c r="B167" s="485"/>
      <c r="C167" s="17" t="s">
        <v>10</v>
      </c>
      <c r="D167" s="485">
        <v>1</v>
      </c>
      <c r="E167" s="485">
        <v>4.0999999999999996</v>
      </c>
      <c r="F167" s="485">
        <v>1</v>
      </c>
      <c r="G167" s="485"/>
      <c r="H167" s="487">
        <f t="shared" si="24"/>
        <v>4.0999999999999996</v>
      </c>
    </row>
    <row r="168" spans="1:8">
      <c r="A168" s="485"/>
      <c r="B168" s="485"/>
      <c r="C168" s="17" t="s">
        <v>10</v>
      </c>
      <c r="D168" s="485">
        <v>1</v>
      </c>
      <c r="E168" s="485">
        <v>0.9</v>
      </c>
      <c r="F168" s="485">
        <v>1.2</v>
      </c>
      <c r="G168" s="485"/>
      <c r="H168" s="487">
        <f t="shared" si="24"/>
        <v>1.08</v>
      </c>
    </row>
    <row r="169" spans="1:8">
      <c r="A169" s="485"/>
      <c r="B169" s="485" t="s">
        <v>1962</v>
      </c>
      <c r="C169" s="17" t="s">
        <v>10</v>
      </c>
      <c r="D169" s="485">
        <v>2</v>
      </c>
      <c r="E169" s="485">
        <v>5.4249999999999998</v>
      </c>
      <c r="F169" s="485">
        <v>1.05</v>
      </c>
      <c r="G169" s="485"/>
      <c r="H169" s="487">
        <f t="shared" si="24"/>
        <v>11.3925</v>
      </c>
    </row>
    <row r="170" spans="1:8">
      <c r="A170" s="17"/>
      <c r="B170" s="17"/>
      <c r="C170" s="17"/>
      <c r="D170" s="17"/>
      <c r="E170" s="17"/>
      <c r="F170" s="17"/>
      <c r="G170" s="17"/>
      <c r="H170" s="18"/>
    </row>
    <row r="171" spans="1:8">
      <c r="A171" s="17"/>
      <c r="B171" s="17"/>
      <c r="C171" s="17"/>
      <c r="D171" s="17"/>
      <c r="E171" s="17"/>
      <c r="F171" s="17"/>
      <c r="G171" s="17"/>
      <c r="H171" s="18"/>
    </row>
    <row r="172" spans="1:8">
      <c r="A172" s="15"/>
      <c r="B172" s="15" t="s">
        <v>21</v>
      </c>
      <c r="C172" s="15"/>
      <c r="D172" s="15"/>
      <c r="E172" s="15"/>
      <c r="F172" s="15"/>
      <c r="G172" s="15"/>
      <c r="H172" s="20">
        <f>SUM(H148:H171)</f>
        <v>186.77249999999998</v>
      </c>
    </row>
    <row r="173" spans="1:8">
      <c r="A173" s="17"/>
      <c r="B173" s="17" t="s">
        <v>22</v>
      </c>
      <c r="C173" s="17"/>
      <c r="D173" s="17"/>
      <c r="E173" s="17"/>
      <c r="F173" s="17"/>
      <c r="G173" s="17"/>
      <c r="H173" s="18"/>
    </row>
    <row r="174" spans="1:8">
      <c r="A174" s="15"/>
      <c r="B174" s="15" t="s">
        <v>23</v>
      </c>
      <c r="C174" s="15"/>
      <c r="D174" s="15"/>
      <c r="E174" s="15"/>
      <c r="F174" s="15"/>
      <c r="G174" s="15"/>
      <c r="H174" s="20">
        <f>ROUND(SUM(H172:H173),0)</f>
        <v>187</v>
      </c>
    </row>
    <row r="175" spans="1:8">
      <c r="A175" s="17"/>
      <c r="B175" s="17"/>
      <c r="C175" s="17"/>
      <c r="D175" s="17"/>
      <c r="E175" s="17"/>
      <c r="F175" s="17"/>
      <c r="G175" s="17"/>
      <c r="H175" s="18"/>
    </row>
    <row r="176" spans="1:8">
      <c r="A176" s="17">
        <v>2</v>
      </c>
      <c r="B176" s="15" t="s">
        <v>1180</v>
      </c>
      <c r="C176" s="17" t="s">
        <v>10</v>
      </c>
      <c r="D176" s="17"/>
      <c r="E176" s="17"/>
      <c r="F176" s="17"/>
      <c r="G176" s="17"/>
      <c r="H176" s="18"/>
    </row>
    <row r="177" spans="1:8">
      <c r="A177" s="485"/>
      <c r="B177" s="485" t="s">
        <v>181</v>
      </c>
      <c r="C177" s="17" t="s">
        <v>10</v>
      </c>
      <c r="D177" s="485">
        <v>2</v>
      </c>
      <c r="E177" s="485">
        <v>8.5</v>
      </c>
      <c r="F177" s="485">
        <v>3.5</v>
      </c>
      <c r="G177" s="485"/>
      <c r="H177" s="487">
        <f t="shared" ref="H177:H190" si="26">PRODUCT(D177:G177)</f>
        <v>59.5</v>
      </c>
    </row>
    <row r="178" spans="1:8">
      <c r="A178" s="485"/>
      <c r="B178" s="485"/>
      <c r="C178" s="17" t="s">
        <v>10</v>
      </c>
      <c r="D178" s="485">
        <v>2</v>
      </c>
      <c r="E178" s="485">
        <v>1.375</v>
      </c>
      <c r="F178" s="485">
        <v>3.5</v>
      </c>
      <c r="G178" s="485"/>
      <c r="H178" s="487">
        <f t="shared" si="26"/>
        <v>9.625</v>
      </c>
    </row>
    <row r="179" spans="1:8">
      <c r="A179" s="485"/>
      <c r="B179" s="485"/>
      <c r="C179" s="17" t="s">
        <v>10</v>
      </c>
      <c r="D179" s="485">
        <v>2</v>
      </c>
      <c r="E179" s="485">
        <v>1.79</v>
      </c>
      <c r="F179" s="485">
        <v>3.5</v>
      </c>
      <c r="G179" s="485"/>
      <c r="H179" s="487">
        <f t="shared" si="26"/>
        <v>12.530000000000001</v>
      </c>
    </row>
    <row r="180" spans="1:8">
      <c r="A180" s="485"/>
      <c r="B180" s="485" t="s">
        <v>1925</v>
      </c>
      <c r="C180" s="17" t="s">
        <v>10</v>
      </c>
      <c r="D180" s="485">
        <v>-2</v>
      </c>
      <c r="E180" s="485">
        <v>1</v>
      </c>
      <c r="F180" s="485">
        <v>2.4</v>
      </c>
      <c r="G180" s="485"/>
      <c r="H180" s="487">
        <f t="shared" si="26"/>
        <v>-4.8</v>
      </c>
    </row>
    <row r="181" spans="1:8">
      <c r="A181" s="485"/>
      <c r="B181" s="485"/>
      <c r="C181" s="17" t="s">
        <v>10</v>
      </c>
      <c r="D181" s="485">
        <v>4</v>
      </c>
      <c r="E181" s="485">
        <v>3.2</v>
      </c>
      <c r="F181" s="485">
        <v>3.5</v>
      </c>
      <c r="G181" s="485"/>
      <c r="H181" s="487">
        <f t="shared" si="26"/>
        <v>44.800000000000004</v>
      </c>
    </row>
    <row r="182" spans="1:8">
      <c r="A182" s="485"/>
      <c r="B182" s="485"/>
      <c r="C182" s="17" t="s">
        <v>10</v>
      </c>
      <c r="D182" s="485">
        <v>-2</v>
      </c>
      <c r="E182" s="485">
        <v>1</v>
      </c>
      <c r="F182" s="485">
        <v>2.4</v>
      </c>
      <c r="G182" s="485"/>
      <c r="H182" s="487">
        <f t="shared" si="26"/>
        <v>-4.8</v>
      </c>
    </row>
    <row r="183" spans="1:8">
      <c r="A183" s="485"/>
      <c r="B183" s="485"/>
      <c r="C183" s="17" t="s">
        <v>10</v>
      </c>
      <c r="D183" s="485">
        <v>2</v>
      </c>
      <c r="E183" s="485">
        <v>1.4</v>
      </c>
      <c r="F183" s="485">
        <v>3.5</v>
      </c>
      <c r="G183" s="485"/>
      <c r="H183" s="487">
        <f t="shared" si="26"/>
        <v>9.7999999999999989</v>
      </c>
    </row>
    <row r="184" spans="1:8">
      <c r="A184" s="485"/>
      <c r="B184" s="485" t="s">
        <v>161</v>
      </c>
      <c r="C184" s="17" t="s">
        <v>10</v>
      </c>
      <c r="D184" s="485">
        <v>4</v>
      </c>
      <c r="E184" s="485">
        <v>8.5</v>
      </c>
      <c r="F184" s="485">
        <v>3.5</v>
      </c>
      <c r="G184" s="485"/>
      <c r="H184" s="487">
        <f t="shared" si="26"/>
        <v>119</v>
      </c>
    </row>
    <row r="185" spans="1:8">
      <c r="A185" s="485"/>
      <c r="B185" s="485"/>
      <c r="C185" s="17" t="s">
        <v>10</v>
      </c>
      <c r="D185" s="485">
        <v>4</v>
      </c>
      <c r="E185" s="485">
        <v>3</v>
      </c>
      <c r="F185" s="485">
        <v>3.5</v>
      </c>
      <c r="G185" s="485"/>
      <c r="H185" s="487">
        <f t="shared" si="26"/>
        <v>42</v>
      </c>
    </row>
    <row r="186" spans="1:8">
      <c r="A186" s="485"/>
      <c r="B186" s="485"/>
      <c r="C186" s="17" t="s">
        <v>10</v>
      </c>
      <c r="D186" s="485">
        <v>-4</v>
      </c>
      <c r="E186" s="485">
        <v>1</v>
      </c>
      <c r="F186" s="485">
        <v>2.4</v>
      </c>
      <c r="G186" s="485"/>
      <c r="H186" s="487">
        <f t="shared" si="26"/>
        <v>-9.6</v>
      </c>
    </row>
    <row r="187" spans="1:8">
      <c r="A187" s="485"/>
      <c r="B187" s="485" t="s">
        <v>280</v>
      </c>
      <c r="C187" s="17" t="s">
        <v>10</v>
      </c>
      <c r="D187" s="485">
        <v>4</v>
      </c>
      <c r="E187" s="485">
        <v>6.35</v>
      </c>
      <c r="F187" s="485">
        <v>3.5</v>
      </c>
      <c r="G187" s="485"/>
      <c r="H187" s="487">
        <f t="shared" si="26"/>
        <v>88.899999999999991</v>
      </c>
    </row>
    <row r="188" spans="1:8">
      <c r="A188" s="485"/>
      <c r="B188" s="485"/>
      <c r="C188" s="17" t="s">
        <v>10</v>
      </c>
      <c r="D188" s="485">
        <v>2</v>
      </c>
      <c r="E188" s="485">
        <v>2.1</v>
      </c>
      <c r="F188" s="485">
        <v>3.5</v>
      </c>
      <c r="G188" s="485"/>
      <c r="H188" s="487">
        <f t="shared" si="26"/>
        <v>14.700000000000001</v>
      </c>
    </row>
    <row r="189" spans="1:8">
      <c r="A189" s="485"/>
      <c r="B189" s="485"/>
      <c r="C189" s="17" t="s">
        <v>10</v>
      </c>
      <c r="D189" s="485">
        <v>2</v>
      </c>
      <c r="E189" s="485">
        <v>0.6</v>
      </c>
      <c r="F189" s="485">
        <v>3.5</v>
      </c>
      <c r="G189" s="485"/>
      <c r="H189" s="487">
        <f t="shared" si="26"/>
        <v>4.2</v>
      </c>
    </row>
    <row r="190" spans="1:8">
      <c r="A190" s="485"/>
      <c r="B190" s="485" t="s">
        <v>162</v>
      </c>
      <c r="C190" s="17" t="s">
        <v>10</v>
      </c>
      <c r="D190" s="485">
        <v>2</v>
      </c>
      <c r="E190" s="485">
        <v>1.8</v>
      </c>
      <c r="F190" s="485">
        <v>2.4</v>
      </c>
      <c r="G190" s="485"/>
      <c r="H190" s="487">
        <f t="shared" si="26"/>
        <v>8.64</v>
      </c>
    </row>
    <row r="191" spans="1:8" s="948" customFormat="1">
      <c r="A191" s="485"/>
      <c r="B191" s="485"/>
      <c r="C191" s="17" t="s">
        <v>10</v>
      </c>
      <c r="D191" s="485">
        <v>2</v>
      </c>
      <c r="E191" s="485">
        <v>3.5</v>
      </c>
      <c r="F191" s="485">
        <v>3.5</v>
      </c>
      <c r="G191" s="485"/>
      <c r="H191" s="487">
        <f t="shared" ref="H191:H192" si="27">PRODUCT(D191:G191)</f>
        <v>24.5</v>
      </c>
    </row>
    <row r="192" spans="1:8" s="948" customFormat="1">
      <c r="A192" s="485"/>
      <c r="B192" s="485"/>
      <c r="C192" s="17" t="s">
        <v>10</v>
      </c>
      <c r="D192" s="485">
        <v>-2</v>
      </c>
      <c r="E192" s="485">
        <v>1</v>
      </c>
      <c r="F192" s="485">
        <v>2.4</v>
      </c>
      <c r="G192" s="485"/>
      <c r="H192" s="487">
        <f t="shared" si="27"/>
        <v>-4.8</v>
      </c>
    </row>
    <row r="193" spans="1:8">
      <c r="A193" s="17"/>
      <c r="B193" s="17"/>
      <c r="C193" s="17"/>
      <c r="D193" s="17"/>
      <c r="E193" s="17"/>
      <c r="F193" s="17"/>
      <c r="G193" s="17"/>
      <c r="H193" s="18"/>
    </row>
    <row r="194" spans="1:8">
      <c r="A194" s="15"/>
      <c r="B194" s="15" t="s">
        <v>21</v>
      </c>
      <c r="C194" s="15"/>
      <c r="D194" s="15"/>
      <c r="E194" s="15"/>
      <c r="F194" s="15"/>
      <c r="G194" s="15"/>
      <c r="H194" s="20">
        <f>SUM(H177:H193)</f>
        <v>414.19499999999988</v>
      </c>
    </row>
    <row r="195" spans="1:8">
      <c r="A195" s="17"/>
      <c r="B195" s="17" t="s">
        <v>22</v>
      </c>
      <c r="C195" s="17"/>
      <c r="D195" s="17"/>
      <c r="E195" s="17"/>
      <c r="F195" s="17"/>
      <c r="G195" s="17"/>
      <c r="H195" s="18"/>
    </row>
    <row r="196" spans="1:8">
      <c r="A196" s="15"/>
      <c r="B196" s="15" t="s">
        <v>23</v>
      </c>
      <c r="C196" s="15"/>
      <c r="D196" s="15"/>
      <c r="E196" s="15"/>
      <c r="F196" s="15"/>
      <c r="G196" s="15"/>
      <c r="H196" s="20">
        <f>ROUND(SUM(H194:H195),0)</f>
        <v>414</v>
      </c>
    </row>
    <row r="197" spans="1:8">
      <c r="A197" s="17"/>
      <c r="B197" s="17"/>
      <c r="C197" s="17"/>
      <c r="D197" s="17"/>
      <c r="E197" s="17"/>
      <c r="F197" s="17"/>
      <c r="G197" s="17"/>
      <c r="H197" s="18"/>
    </row>
    <row r="198" spans="1:8">
      <c r="A198" s="17">
        <v>3</v>
      </c>
      <c r="B198" s="15" t="s">
        <v>180</v>
      </c>
      <c r="C198" s="17" t="s">
        <v>10</v>
      </c>
      <c r="D198" s="17"/>
      <c r="E198" s="17"/>
      <c r="F198" s="17"/>
      <c r="G198" s="17"/>
      <c r="H198" s="18"/>
    </row>
    <row r="199" spans="1:8">
      <c r="A199" s="17"/>
      <c r="B199" s="17" t="s">
        <v>284</v>
      </c>
      <c r="C199" s="17" t="s">
        <v>10</v>
      </c>
      <c r="D199" s="17">
        <v>1</v>
      </c>
      <c r="E199" s="17">
        <v>1.8</v>
      </c>
      <c r="F199" s="17"/>
      <c r="G199" s="17"/>
      <c r="H199" s="18">
        <f t="shared" ref="H199:H204" si="28">PRODUCT(D199:G199)</f>
        <v>1.8</v>
      </c>
    </row>
    <row r="200" spans="1:8">
      <c r="A200" s="17"/>
      <c r="B200" s="17" t="s">
        <v>1181</v>
      </c>
      <c r="C200" s="17" t="s">
        <v>10</v>
      </c>
      <c r="D200" s="17">
        <v>1</v>
      </c>
      <c r="E200" s="17">
        <f>1.6+0.3</f>
        <v>1.9000000000000001</v>
      </c>
      <c r="F200" s="17"/>
      <c r="G200" s="17"/>
      <c r="H200" s="18">
        <f t="shared" si="28"/>
        <v>1.9000000000000001</v>
      </c>
    </row>
    <row r="201" spans="1:8">
      <c r="A201" s="17"/>
      <c r="B201" s="17" t="s">
        <v>1182</v>
      </c>
      <c r="C201" s="17" t="s">
        <v>10</v>
      </c>
      <c r="D201" s="17">
        <v>3</v>
      </c>
      <c r="E201" s="17">
        <v>1.3</v>
      </c>
      <c r="F201" s="17"/>
      <c r="G201" s="17"/>
      <c r="H201" s="18">
        <f t="shared" si="28"/>
        <v>3.9000000000000004</v>
      </c>
    </row>
    <row r="202" spans="1:8">
      <c r="A202" s="17"/>
      <c r="B202" s="17" t="s">
        <v>1183</v>
      </c>
      <c r="C202" s="17" t="s">
        <v>10</v>
      </c>
      <c r="D202" s="17">
        <v>2</v>
      </c>
      <c r="E202" s="17">
        <v>1.3</v>
      </c>
      <c r="F202" s="17"/>
      <c r="G202" s="17"/>
      <c r="H202" s="18">
        <f t="shared" si="28"/>
        <v>2.6</v>
      </c>
    </row>
    <row r="203" spans="1:8">
      <c r="A203" s="17"/>
      <c r="B203" s="17" t="s">
        <v>442</v>
      </c>
      <c r="C203" s="17" t="s">
        <v>10</v>
      </c>
      <c r="D203" s="17">
        <v>1</v>
      </c>
      <c r="E203" s="17">
        <v>1.3</v>
      </c>
      <c r="F203" s="17"/>
      <c r="G203" s="17"/>
      <c r="H203" s="18">
        <f t="shared" si="28"/>
        <v>1.3</v>
      </c>
    </row>
    <row r="204" spans="1:8">
      <c r="A204" s="17"/>
      <c r="B204" s="17" t="s">
        <v>1184</v>
      </c>
      <c r="C204" s="17" t="s">
        <v>10</v>
      </c>
      <c r="D204" s="17">
        <v>1</v>
      </c>
      <c r="E204" s="17">
        <v>1.3</v>
      </c>
      <c r="F204" s="17"/>
      <c r="G204" s="17"/>
      <c r="H204" s="18">
        <f t="shared" si="28"/>
        <v>1.3</v>
      </c>
    </row>
    <row r="205" spans="1:8">
      <c r="A205" s="17"/>
      <c r="B205" s="17" t="s">
        <v>162</v>
      </c>
      <c r="C205" s="17" t="s">
        <v>10</v>
      </c>
      <c r="D205" s="17">
        <v>1</v>
      </c>
      <c r="E205" s="17">
        <v>1.3</v>
      </c>
      <c r="F205" s="17"/>
      <c r="G205" s="17"/>
      <c r="H205" s="18">
        <f t="shared" ref="H205" si="29">PRODUCT(D205:G205)</f>
        <v>1.3</v>
      </c>
    </row>
    <row r="206" spans="1:8">
      <c r="A206" s="17"/>
      <c r="B206" s="17"/>
      <c r="C206" s="17"/>
      <c r="D206" s="17"/>
      <c r="E206" s="17"/>
      <c r="F206" s="17"/>
      <c r="G206" s="17"/>
      <c r="H206" s="18"/>
    </row>
    <row r="207" spans="1:8">
      <c r="A207" s="15"/>
      <c r="B207" s="15" t="s">
        <v>21</v>
      </c>
      <c r="C207" s="15"/>
      <c r="D207" s="15"/>
      <c r="E207" s="15"/>
      <c r="F207" s="15"/>
      <c r="G207" s="15"/>
      <c r="H207" s="20">
        <f>SUM(H199:H206)</f>
        <v>14.100000000000003</v>
      </c>
    </row>
    <row r="208" spans="1:8">
      <c r="A208" s="17"/>
      <c r="B208" s="17" t="s">
        <v>22</v>
      </c>
      <c r="C208" s="17"/>
      <c r="D208" s="17"/>
      <c r="E208" s="17"/>
      <c r="F208" s="17"/>
      <c r="G208" s="17"/>
      <c r="H208" s="18"/>
    </row>
    <row r="209" spans="1:8">
      <c r="A209" s="15"/>
      <c r="B209" s="15" t="s">
        <v>23</v>
      </c>
      <c r="C209" s="15"/>
      <c r="D209" s="15"/>
      <c r="E209" s="15"/>
      <c r="F209" s="15"/>
      <c r="G209" s="15"/>
      <c r="H209" s="20">
        <f>ROUND(SUM(H207:H208),0)</f>
        <v>14</v>
      </c>
    </row>
    <row r="210" spans="1:8">
      <c r="A210" s="17"/>
      <c r="B210" s="17"/>
      <c r="C210" s="17"/>
      <c r="D210" s="17"/>
      <c r="E210" s="17"/>
      <c r="F210" s="17"/>
      <c r="G210" s="17"/>
      <c r="H210" s="18"/>
    </row>
    <row r="211" spans="1:8">
      <c r="A211" s="17"/>
      <c r="B211" s="17"/>
      <c r="C211" s="17"/>
      <c r="D211" s="17"/>
      <c r="E211" s="17"/>
      <c r="F211" s="17"/>
      <c r="G211" s="17"/>
      <c r="H211" s="18"/>
    </row>
    <row r="212" spans="1:8">
      <c r="A212" s="17">
        <v>3</v>
      </c>
      <c r="B212" s="15" t="s">
        <v>182</v>
      </c>
      <c r="C212" s="17" t="s">
        <v>10</v>
      </c>
      <c r="D212" s="17"/>
      <c r="E212" s="17"/>
      <c r="F212" s="17"/>
      <c r="G212" s="17"/>
      <c r="H212" s="18"/>
    </row>
    <row r="213" spans="1:8">
      <c r="A213" s="485"/>
      <c r="B213" s="485" t="s">
        <v>1178</v>
      </c>
      <c r="C213" s="17" t="s">
        <v>10</v>
      </c>
      <c r="D213" s="485">
        <v>1</v>
      </c>
      <c r="E213" s="485">
        <f>(5.3+5.7)/2</f>
        <v>5.5</v>
      </c>
      <c r="F213" s="485">
        <v>4</v>
      </c>
      <c r="G213" s="485"/>
      <c r="H213" s="487">
        <f t="shared" ref="H213:H228" si="30">PRODUCT(D213:G213)</f>
        <v>22</v>
      </c>
    </row>
    <row r="214" spans="1:8">
      <c r="A214" s="485"/>
      <c r="B214" s="485"/>
      <c r="C214" s="17" t="s">
        <v>10</v>
      </c>
      <c r="D214" s="485">
        <v>-2</v>
      </c>
      <c r="E214" s="485">
        <v>1</v>
      </c>
      <c r="F214" s="485"/>
      <c r="G214" s="485">
        <v>1</v>
      </c>
      <c r="H214" s="487">
        <f t="shared" si="30"/>
        <v>-2</v>
      </c>
    </row>
    <row r="215" spans="1:8">
      <c r="A215" s="485"/>
      <c r="B215" s="485"/>
      <c r="C215" s="17" t="s">
        <v>10</v>
      </c>
      <c r="D215" s="485">
        <v>1</v>
      </c>
      <c r="E215" s="485">
        <v>5.3</v>
      </c>
      <c r="F215" s="485"/>
      <c r="G215" s="485">
        <v>1</v>
      </c>
      <c r="H215" s="487">
        <f t="shared" si="30"/>
        <v>5.3</v>
      </c>
    </row>
    <row r="216" spans="1:8">
      <c r="A216" s="485"/>
      <c r="B216" s="485"/>
      <c r="C216" s="17" t="s">
        <v>10</v>
      </c>
      <c r="D216" s="485">
        <v>1</v>
      </c>
      <c r="E216" s="485">
        <v>4</v>
      </c>
      <c r="F216" s="485"/>
      <c r="G216" s="485">
        <v>1</v>
      </c>
      <c r="H216" s="487">
        <f t="shared" si="30"/>
        <v>4</v>
      </c>
    </row>
    <row r="217" spans="1:8">
      <c r="A217" s="485"/>
      <c r="B217" s="485"/>
      <c r="C217" s="17" t="s">
        <v>10</v>
      </c>
      <c r="D217" s="485">
        <v>1</v>
      </c>
      <c r="E217" s="485">
        <v>5.7</v>
      </c>
      <c r="F217" s="485"/>
      <c r="G217" s="485">
        <v>1</v>
      </c>
      <c r="H217" s="487">
        <f t="shared" si="30"/>
        <v>5.7</v>
      </c>
    </row>
    <row r="218" spans="1:8">
      <c r="A218" s="485"/>
      <c r="B218" s="485"/>
      <c r="C218" s="17" t="s">
        <v>10</v>
      </c>
      <c r="D218" s="485">
        <v>1</v>
      </c>
      <c r="E218" s="485">
        <v>4.0999999999999996</v>
      </c>
      <c r="F218" s="485"/>
      <c r="G218" s="485">
        <v>1</v>
      </c>
      <c r="H218" s="487">
        <f t="shared" si="30"/>
        <v>4.0999999999999996</v>
      </c>
    </row>
    <row r="219" spans="1:8">
      <c r="A219" s="485"/>
      <c r="B219" s="485" t="s">
        <v>1177</v>
      </c>
      <c r="C219" s="17" t="s">
        <v>10</v>
      </c>
      <c r="D219" s="485">
        <v>1</v>
      </c>
      <c r="E219" s="485">
        <v>4</v>
      </c>
      <c r="F219" s="485">
        <v>4.25</v>
      </c>
      <c r="G219" s="485"/>
      <c r="H219" s="487">
        <f t="shared" si="30"/>
        <v>17</v>
      </c>
    </row>
    <row r="220" spans="1:8">
      <c r="A220" s="485"/>
      <c r="B220" s="485"/>
      <c r="C220" s="17" t="s">
        <v>10</v>
      </c>
      <c r="D220" s="485">
        <v>2</v>
      </c>
      <c r="E220" s="485">
        <v>4</v>
      </c>
      <c r="F220" s="485"/>
      <c r="G220" s="485">
        <v>1</v>
      </c>
      <c r="H220" s="487">
        <f t="shared" si="30"/>
        <v>8</v>
      </c>
    </row>
    <row r="221" spans="1:8">
      <c r="A221" s="485"/>
      <c r="B221" s="485"/>
      <c r="C221" s="17" t="s">
        <v>10</v>
      </c>
      <c r="D221" s="485">
        <v>1</v>
      </c>
      <c r="E221" s="485">
        <v>4.25</v>
      </c>
      <c r="F221" s="485"/>
      <c r="G221" s="485">
        <v>1</v>
      </c>
      <c r="H221" s="487">
        <f t="shared" si="30"/>
        <v>4.25</v>
      </c>
    </row>
    <row r="222" spans="1:8">
      <c r="A222" s="485"/>
      <c r="B222" s="485"/>
      <c r="C222" s="17" t="s">
        <v>10</v>
      </c>
      <c r="D222" s="485">
        <v>-1</v>
      </c>
      <c r="E222" s="485">
        <v>1</v>
      </c>
      <c r="F222" s="485"/>
      <c r="G222" s="485">
        <v>1</v>
      </c>
      <c r="H222" s="487">
        <f t="shared" si="30"/>
        <v>-1</v>
      </c>
    </row>
    <row r="223" spans="1:8">
      <c r="A223" s="485"/>
      <c r="B223" s="485"/>
      <c r="C223" s="17" t="s">
        <v>10</v>
      </c>
      <c r="D223" s="485">
        <v>-1</v>
      </c>
      <c r="E223" s="485">
        <v>0.85</v>
      </c>
      <c r="F223" s="485"/>
      <c r="G223" s="485">
        <v>1</v>
      </c>
      <c r="H223" s="487">
        <f t="shared" si="30"/>
        <v>-0.85</v>
      </c>
    </row>
    <row r="224" spans="1:8">
      <c r="A224" s="485"/>
      <c r="B224" s="485" t="s">
        <v>290</v>
      </c>
      <c r="C224" s="17" t="s">
        <v>10</v>
      </c>
      <c r="D224" s="485">
        <v>1</v>
      </c>
      <c r="E224" s="485">
        <v>4.7</v>
      </c>
      <c r="F224" s="485">
        <v>2.9</v>
      </c>
      <c r="G224" s="485"/>
      <c r="H224" s="487">
        <f t="shared" si="30"/>
        <v>13.63</v>
      </c>
    </row>
    <row r="225" spans="1:8">
      <c r="A225" s="485"/>
      <c r="B225" s="485"/>
      <c r="C225" s="17" t="s">
        <v>10</v>
      </c>
      <c r="D225" s="485">
        <v>-1</v>
      </c>
      <c r="E225" s="485">
        <v>1.1000000000000001</v>
      </c>
      <c r="F225" s="485">
        <v>2.4</v>
      </c>
      <c r="G225" s="485"/>
      <c r="H225" s="487">
        <f t="shared" si="30"/>
        <v>-2.64</v>
      </c>
    </row>
    <row r="226" spans="1:8">
      <c r="A226" s="485"/>
      <c r="B226" s="485" t="s">
        <v>1185</v>
      </c>
      <c r="C226" s="17" t="s">
        <v>10</v>
      </c>
      <c r="D226" s="485">
        <v>2</v>
      </c>
      <c r="E226" s="485">
        <v>4.5999999999999996</v>
      </c>
      <c r="F226" s="485"/>
      <c r="G226" s="485">
        <v>1</v>
      </c>
      <c r="H226" s="487">
        <f t="shared" si="30"/>
        <v>9.1999999999999993</v>
      </c>
    </row>
    <row r="227" spans="1:8">
      <c r="A227" s="485"/>
      <c r="B227" s="485"/>
      <c r="C227" s="17" t="s">
        <v>10</v>
      </c>
      <c r="D227" s="485">
        <v>2</v>
      </c>
      <c r="E227" s="485">
        <v>2.9</v>
      </c>
      <c r="F227" s="485"/>
      <c r="G227" s="485">
        <v>1</v>
      </c>
      <c r="H227" s="487">
        <f t="shared" si="30"/>
        <v>5.8</v>
      </c>
    </row>
    <row r="228" spans="1:8">
      <c r="A228" s="485"/>
      <c r="B228" s="485"/>
      <c r="C228" s="17" t="s">
        <v>10</v>
      </c>
      <c r="D228" s="485">
        <v>-1</v>
      </c>
      <c r="E228" s="485">
        <v>1.5</v>
      </c>
      <c r="F228" s="485"/>
      <c r="G228" s="485">
        <v>1</v>
      </c>
      <c r="H228" s="487">
        <f t="shared" si="30"/>
        <v>-1.5</v>
      </c>
    </row>
    <row r="229" spans="1:8">
      <c r="A229" s="17"/>
      <c r="B229" s="17"/>
      <c r="C229" s="17"/>
      <c r="D229" s="17"/>
      <c r="E229" s="17"/>
      <c r="F229" s="17"/>
      <c r="G229" s="17"/>
      <c r="H229" s="18"/>
    </row>
    <row r="230" spans="1:8">
      <c r="A230" s="15"/>
      <c r="B230" s="15" t="s">
        <v>21</v>
      </c>
      <c r="C230" s="15"/>
      <c r="D230" s="15"/>
      <c r="E230" s="15"/>
      <c r="F230" s="15"/>
      <c r="G230" s="15"/>
      <c r="H230" s="20">
        <f>SUM(H213:H229)</f>
        <v>90.99</v>
      </c>
    </row>
    <row r="231" spans="1:8">
      <c r="A231" s="17"/>
      <c r="B231" s="17" t="s">
        <v>22</v>
      </c>
      <c r="C231" s="17"/>
      <c r="D231" s="17"/>
      <c r="E231" s="17"/>
      <c r="F231" s="17"/>
      <c r="G231" s="17"/>
      <c r="H231" s="18"/>
    </row>
    <row r="232" spans="1:8">
      <c r="A232" s="15"/>
      <c r="B232" s="15" t="s">
        <v>23</v>
      </c>
      <c r="C232" s="15"/>
      <c r="D232" s="15"/>
      <c r="E232" s="15"/>
      <c r="F232" s="15"/>
      <c r="G232" s="15"/>
      <c r="H232" s="20">
        <f>ROUND(SUM(H230:H231),0)</f>
        <v>91</v>
      </c>
    </row>
    <row r="233" spans="1:8">
      <c r="A233" s="17"/>
      <c r="B233" s="17"/>
      <c r="C233" s="17"/>
      <c r="D233" s="17"/>
      <c r="E233" s="17"/>
      <c r="F233" s="17"/>
      <c r="G233" s="17"/>
      <c r="H233" s="18"/>
    </row>
    <row r="234" spans="1:8">
      <c r="A234" s="17">
        <v>3</v>
      </c>
      <c r="B234" s="15" t="s">
        <v>366</v>
      </c>
      <c r="C234" s="17" t="s">
        <v>10</v>
      </c>
      <c r="D234" s="17"/>
      <c r="E234" s="17"/>
      <c r="F234" s="17"/>
      <c r="G234" s="17"/>
      <c r="H234" s="18"/>
    </row>
    <row r="235" spans="1:8">
      <c r="A235" s="17"/>
      <c r="B235" s="17"/>
      <c r="C235" s="17"/>
      <c r="D235" s="17"/>
      <c r="E235" s="17"/>
      <c r="F235" s="17"/>
      <c r="G235" s="17"/>
      <c r="H235" s="18"/>
    </row>
    <row r="236" spans="1:8">
      <c r="A236" s="17"/>
      <c r="B236" s="17" t="s">
        <v>284</v>
      </c>
      <c r="C236" s="17" t="s">
        <v>10</v>
      </c>
      <c r="D236" s="17">
        <v>1</v>
      </c>
      <c r="E236" s="17">
        <v>4.7</v>
      </c>
      <c r="F236" s="17">
        <v>3</v>
      </c>
      <c r="G236" s="17">
        <v>0.2</v>
      </c>
      <c r="H236" s="18">
        <f t="shared" ref="H236:H241" si="31">PRODUCT(D236:G236)</f>
        <v>2.8200000000000003</v>
      </c>
    </row>
    <row r="237" spans="1:8">
      <c r="A237" s="485"/>
      <c r="B237" s="485"/>
      <c r="C237" s="17" t="s">
        <v>10</v>
      </c>
      <c r="D237" s="485">
        <v>-1</v>
      </c>
      <c r="E237" s="485">
        <v>1.1000000000000001</v>
      </c>
      <c r="F237" s="485">
        <v>2.4</v>
      </c>
      <c r="G237" s="17">
        <v>0.2</v>
      </c>
      <c r="H237" s="18">
        <f t="shared" si="31"/>
        <v>-0.52800000000000002</v>
      </c>
    </row>
    <row r="238" spans="1:8">
      <c r="A238" s="485"/>
      <c r="B238" s="485" t="s">
        <v>1926</v>
      </c>
      <c r="C238" s="17" t="s">
        <v>10</v>
      </c>
      <c r="D238" s="485">
        <v>1</v>
      </c>
      <c r="E238" s="485">
        <v>4</v>
      </c>
      <c r="F238" s="485">
        <v>4.25</v>
      </c>
      <c r="G238" s="17">
        <v>0.3</v>
      </c>
      <c r="H238" s="487">
        <f t="shared" si="31"/>
        <v>5.0999999999999996</v>
      </c>
    </row>
    <row r="239" spans="1:8">
      <c r="A239" s="485"/>
      <c r="B239" s="485" t="s">
        <v>1178</v>
      </c>
      <c r="C239" s="17" t="s">
        <v>10</v>
      </c>
      <c r="D239" s="485">
        <v>1</v>
      </c>
      <c r="E239" s="485">
        <f>(5.3+5.7)/2</f>
        <v>5.5</v>
      </c>
      <c r="F239" s="485">
        <v>4</v>
      </c>
      <c r="G239" s="17">
        <v>0.3</v>
      </c>
      <c r="H239" s="487">
        <f t="shared" si="31"/>
        <v>6.6</v>
      </c>
    </row>
    <row r="240" spans="1:8">
      <c r="A240" s="485"/>
      <c r="B240" s="485"/>
      <c r="C240" s="17" t="s">
        <v>10</v>
      </c>
      <c r="D240" s="485">
        <v>-1</v>
      </c>
      <c r="E240" s="485">
        <v>0.9</v>
      </c>
      <c r="F240" s="485">
        <v>0.9</v>
      </c>
      <c r="G240" s="17">
        <v>0.3</v>
      </c>
      <c r="H240" s="487">
        <f t="shared" si="31"/>
        <v>-0.24299999999999999</v>
      </c>
    </row>
    <row r="241" spans="1:8">
      <c r="A241" s="485"/>
      <c r="B241" s="485"/>
      <c r="C241" s="17" t="s">
        <v>10</v>
      </c>
      <c r="D241" s="485">
        <v>1</v>
      </c>
      <c r="E241" s="485">
        <v>1.35</v>
      </c>
      <c r="F241" s="485">
        <v>1.2</v>
      </c>
      <c r="G241" s="485">
        <v>0.2</v>
      </c>
      <c r="H241" s="487">
        <f t="shared" si="31"/>
        <v>0.32400000000000007</v>
      </c>
    </row>
    <row r="242" spans="1:8">
      <c r="A242" s="485"/>
      <c r="B242" s="485"/>
      <c r="C242" s="485"/>
      <c r="D242" s="485"/>
      <c r="E242" s="485"/>
      <c r="F242" s="485"/>
      <c r="G242" s="485"/>
      <c r="H242" s="487"/>
    </row>
    <row r="243" spans="1:8">
      <c r="A243" s="17"/>
      <c r="B243" s="17"/>
      <c r="C243" s="17"/>
      <c r="D243" s="17"/>
      <c r="E243" s="17"/>
      <c r="F243" s="17"/>
      <c r="G243" s="17"/>
      <c r="H243" s="18"/>
    </row>
    <row r="244" spans="1:8">
      <c r="A244" s="15"/>
      <c r="B244" s="15" t="s">
        <v>21</v>
      </c>
      <c r="C244" s="15"/>
      <c r="D244" s="15"/>
      <c r="E244" s="15"/>
      <c r="F244" s="15"/>
      <c r="G244" s="15"/>
      <c r="H244" s="20">
        <f>SUM(H236:H243)</f>
        <v>14.072999999999999</v>
      </c>
    </row>
    <row r="245" spans="1:8">
      <c r="A245" s="17"/>
      <c r="B245" s="17" t="s">
        <v>22</v>
      </c>
      <c r="C245" s="17"/>
      <c r="D245" s="17"/>
      <c r="E245" s="17"/>
      <c r="F245" s="17"/>
      <c r="G245" s="17"/>
      <c r="H245" s="18"/>
    </row>
    <row r="246" spans="1:8">
      <c r="A246" s="15"/>
      <c r="B246" s="15" t="s">
        <v>23</v>
      </c>
      <c r="C246" s="15"/>
      <c r="D246" s="15"/>
      <c r="E246" s="15"/>
      <c r="F246" s="15"/>
      <c r="G246" s="15"/>
      <c r="H246" s="20">
        <f>ROUND(SUM(H244:H245),0)</f>
        <v>14</v>
      </c>
    </row>
    <row r="247" spans="1:8">
      <c r="A247" s="17"/>
      <c r="B247" s="17"/>
      <c r="C247" s="17"/>
      <c r="D247" s="17"/>
      <c r="E247" s="17"/>
      <c r="F247" s="17"/>
      <c r="G247" s="17"/>
      <c r="H247" s="18"/>
    </row>
    <row r="248" spans="1:8">
      <c r="A248" s="17">
        <v>3</v>
      </c>
      <c r="B248" s="15" t="s">
        <v>1965</v>
      </c>
      <c r="C248" s="17" t="s">
        <v>10</v>
      </c>
      <c r="D248" s="17"/>
      <c r="E248" s="17"/>
      <c r="F248" s="17"/>
      <c r="G248" s="17"/>
      <c r="H248" s="18"/>
    </row>
    <row r="249" spans="1:8">
      <c r="A249" s="17"/>
      <c r="B249" s="17"/>
      <c r="C249" s="17"/>
      <c r="D249" s="17"/>
      <c r="E249" s="17"/>
      <c r="F249" s="17"/>
      <c r="G249" s="17"/>
      <c r="H249" s="18"/>
    </row>
    <row r="250" spans="1:8">
      <c r="A250" s="17"/>
      <c r="B250" s="17" t="s">
        <v>284</v>
      </c>
      <c r="C250" s="17" t="s">
        <v>10</v>
      </c>
      <c r="D250" s="17">
        <v>1</v>
      </c>
      <c r="E250" s="17">
        <v>4.7</v>
      </c>
      <c r="F250" s="17">
        <v>3</v>
      </c>
      <c r="G250" s="17"/>
      <c r="H250" s="18">
        <f t="shared" ref="H250:H254" si="32">PRODUCT(D250:G250)</f>
        <v>14.100000000000001</v>
      </c>
    </row>
    <row r="251" spans="1:8">
      <c r="A251" s="485"/>
      <c r="B251" s="485"/>
      <c r="C251" s="17" t="s">
        <v>10</v>
      </c>
      <c r="D251" s="485">
        <v>-1</v>
      </c>
      <c r="E251" s="485">
        <v>1.1000000000000001</v>
      </c>
      <c r="F251" s="485">
        <v>2.4</v>
      </c>
      <c r="G251" s="17"/>
      <c r="H251" s="18">
        <f t="shared" si="32"/>
        <v>-2.64</v>
      </c>
    </row>
    <row r="252" spans="1:8">
      <c r="A252" s="485"/>
      <c r="B252" s="485" t="s">
        <v>1926</v>
      </c>
      <c r="C252" s="17" t="s">
        <v>10</v>
      </c>
      <c r="D252" s="485">
        <v>1</v>
      </c>
      <c r="E252" s="485">
        <v>4</v>
      </c>
      <c r="F252" s="485">
        <v>4.25</v>
      </c>
      <c r="G252" s="17"/>
      <c r="H252" s="487">
        <f t="shared" si="32"/>
        <v>17</v>
      </c>
    </row>
    <row r="253" spans="1:8">
      <c r="A253" s="485"/>
      <c r="B253" s="485" t="s">
        <v>1178</v>
      </c>
      <c r="C253" s="17" t="s">
        <v>10</v>
      </c>
      <c r="D253" s="485">
        <v>1</v>
      </c>
      <c r="E253" s="485">
        <f>(5.3+5.7)/2</f>
        <v>5.5</v>
      </c>
      <c r="F253" s="485">
        <v>4</v>
      </c>
      <c r="G253" s="17"/>
      <c r="H253" s="487">
        <f t="shared" si="32"/>
        <v>22</v>
      </c>
    </row>
    <row r="254" spans="1:8">
      <c r="A254" s="485"/>
      <c r="B254" s="485"/>
      <c r="C254" s="17" t="s">
        <v>10</v>
      </c>
      <c r="D254" s="485">
        <v>-1</v>
      </c>
      <c r="E254" s="485">
        <v>0.9</v>
      </c>
      <c r="F254" s="485">
        <v>0.9</v>
      </c>
      <c r="G254" s="17"/>
      <c r="H254" s="487">
        <f t="shared" si="32"/>
        <v>-0.81</v>
      </c>
    </row>
    <row r="255" spans="1:8">
      <c r="A255" s="17"/>
      <c r="B255" s="17"/>
      <c r="C255" s="17"/>
      <c r="D255" s="17"/>
      <c r="E255" s="17"/>
      <c r="F255" s="17"/>
      <c r="G255" s="17"/>
      <c r="H255" s="18"/>
    </row>
    <row r="256" spans="1:8">
      <c r="A256" s="15"/>
      <c r="B256" s="15" t="s">
        <v>21</v>
      </c>
      <c r="C256" s="15"/>
      <c r="D256" s="15"/>
      <c r="E256" s="15"/>
      <c r="F256" s="15"/>
      <c r="G256" s="15"/>
      <c r="H256" s="20">
        <f>SUM(H250:H255)</f>
        <v>49.65</v>
      </c>
    </row>
    <row r="257" spans="1:8">
      <c r="A257" s="17"/>
      <c r="B257" s="17" t="s">
        <v>22</v>
      </c>
      <c r="C257" s="17"/>
      <c r="D257" s="17"/>
      <c r="E257" s="17"/>
      <c r="F257" s="17"/>
      <c r="G257" s="17"/>
      <c r="H257" s="18"/>
    </row>
    <row r="258" spans="1:8">
      <c r="A258" s="15"/>
      <c r="B258" s="15" t="s">
        <v>23</v>
      </c>
      <c r="C258" s="15"/>
      <c r="D258" s="15"/>
      <c r="E258" s="15"/>
      <c r="F258" s="15"/>
      <c r="G258" s="15"/>
      <c r="H258" s="20">
        <f>ROUND(SUM(H256:H257),0)</f>
        <v>50</v>
      </c>
    </row>
    <row r="259" spans="1:8">
      <c r="A259" s="17"/>
      <c r="B259" s="17"/>
      <c r="C259" s="17"/>
      <c r="D259" s="17"/>
      <c r="E259" s="17"/>
      <c r="F259" s="17"/>
      <c r="G259" s="17"/>
      <c r="H259" s="18"/>
    </row>
    <row r="260" spans="1:8">
      <c r="A260" s="17">
        <v>3</v>
      </c>
      <c r="B260" s="15" t="s">
        <v>1963</v>
      </c>
      <c r="C260" s="17" t="s">
        <v>10</v>
      </c>
      <c r="D260" s="17"/>
      <c r="E260" s="17"/>
      <c r="F260" s="17"/>
      <c r="G260" s="17"/>
      <c r="H260" s="18"/>
    </row>
    <row r="261" spans="1:8">
      <c r="A261" s="17"/>
      <c r="B261" s="17"/>
      <c r="C261" s="17"/>
      <c r="D261" s="17"/>
      <c r="E261" s="17"/>
      <c r="F261" s="17"/>
      <c r="G261" s="17"/>
      <c r="H261" s="18"/>
    </row>
    <row r="262" spans="1:8">
      <c r="A262" s="17"/>
      <c r="B262" s="17" t="s">
        <v>284</v>
      </c>
      <c r="C262" s="17" t="s">
        <v>10</v>
      </c>
      <c r="D262" s="17">
        <v>1</v>
      </c>
      <c r="E262" s="17">
        <f>ROUNDUP(4.7/0.5,0)</f>
        <v>10</v>
      </c>
      <c r="F262" s="17">
        <f>ROUNDUP(((12.983+12.61)/2)/0.5,0)</f>
        <v>26</v>
      </c>
      <c r="G262" s="17"/>
      <c r="H262" s="18">
        <f t="shared" ref="H262:H263" si="33">PRODUCT(D262:G262)</f>
        <v>260</v>
      </c>
    </row>
    <row r="263" spans="1:8">
      <c r="A263" s="485"/>
      <c r="B263" s="485"/>
      <c r="C263" s="17" t="s">
        <v>10</v>
      </c>
      <c r="D263" s="485">
        <v>-1</v>
      </c>
      <c r="E263" s="485">
        <v>3</v>
      </c>
      <c r="F263" s="485">
        <v>5</v>
      </c>
      <c r="G263" s="485"/>
      <c r="H263" s="18">
        <f t="shared" si="33"/>
        <v>-15</v>
      </c>
    </row>
    <row r="264" spans="1:8">
      <c r="A264" s="17"/>
      <c r="B264" s="17"/>
      <c r="C264" s="17"/>
      <c r="D264" s="17"/>
      <c r="E264" s="17"/>
      <c r="F264" s="17"/>
      <c r="G264" s="17"/>
      <c r="H264" s="18"/>
    </row>
    <row r="265" spans="1:8">
      <c r="A265" s="15"/>
      <c r="B265" s="15" t="s">
        <v>21</v>
      </c>
      <c r="C265" s="15"/>
      <c r="D265" s="15"/>
      <c r="E265" s="15"/>
      <c r="F265" s="15"/>
      <c r="G265" s="15"/>
      <c r="H265" s="20">
        <f>SUM(H262:H264)</f>
        <v>245</v>
      </c>
    </row>
    <row r="266" spans="1:8">
      <c r="A266" s="17"/>
      <c r="B266" s="17" t="s">
        <v>22</v>
      </c>
      <c r="C266" s="17"/>
      <c r="D266" s="17"/>
      <c r="E266" s="17"/>
      <c r="F266" s="17"/>
      <c r="G266" s="17"/>
      <c r="H266" s="18"/>
    </row>
    <row r="267" spans="1:8">
      <c r="A267" s="15"/>
      <c r="B267" s="15" t="s">
        <v>23</v>
      </c>
      <c r="C267" s="15"/>
      <c r="D267" s="15"/>
      <c r="E267" s="15"/>
      <c r="F267" s="15"/>
      <c r="G267" s="15"/>
      <c r="H267" s="20">
        <f>ROUND(SUM(H265:H266),0)</f>
        <v>245</v>
      </c>
    </row>
    <row r="268" spans="1:8">
      <c r="A268" s="17"/>
      <c r="B268" s="17"/>
      <c r="C268" s="17"/>
      <c r="D268" s="17"/>
      <c r="E268" s="17"/>
      <c r="F268" s="17"/>
      <c r="G268" s="17"/>
      <c r="H268" s="18"/>
    </row>
    <row r="269" spans="1:8">
      <c r="A269" s="17">
        <v>3</v>
      </c>
      <c r="B269" s="15" t="s">
        <v>1968</v>
      </c>
      <c r="C269" s="17" t="s">
        <v>31</v>
      </c>
      <c r="D269" s="17"/>
      <c r="E269" s="17"/>
      <c r="F269" s="17"/>
      <c r="G269" s="17"/>
      <c r="H269" s="18"/>
    </row>
    <row r="270" spans="1:8">
      <c r="A270" s="17"/>
      <c r="B270" s="17"/>
      <c r="C270" s="17"/>
      <c r="D270" s="17"/>
      <c r="E270" s="17"/>
      <c r="F270" s="17"/>
      <c r="G270" s="17"/>
      <c r="H270" s="18"/>
    </row>
    <row r="271" spans="1:8">
      <c r="A271" s="17"/>
      <c r="B271" s="17" t="s">
        <v>290</v>
      </c>
      <c r="C271" s="17" t="s">
        <v>31</v>
      </c>
      <c r="D271" s="17">
        <v>1</v>
      </c>
      <c r="E271" s="17">
        <f>1.5+2.1+2.1</f>
        <v>5.7</v>
      </c>
      <c r="F271" s="17"/>
      <c r="G271" s="17"/>
      <c r="H271" s="18">
        <f t="shared" ref="H271:H273" si="34">PRODUCT(D271:G271)</f>
        <v>5.7</v>
      </c>
    </row>
    <row r="272" spans="1:8">
      <c r="A272" s="485"/>
      <c r="B272" s="485" t="s">
        <v>1969</v>
      </c>
      <c r="C272" s="17" t="s">
        <v>31</v>
      </c>
      <c r="D272" s="485">
        <v>1</v>
      </c>
      <c r="E272" s="485">
        <f>1+2.1+2.1</f>
        <v>5.2</v>
      </c>
      <c r="F272" s="485"/>
      <c r="G272" s="485"/>
      <c r="H272" s="18">
        <f t="shared" si="34"/>
        <v>5.2</v>
      </c>
    </row>
    <row r="273" spans="1:8">
      <c r="A273" s="485"/>
      <c r="B273" s="485"/>
      <c r="C273" s="17" t="s">
        <v>31</v>
      </c>
      <c r="D273" s="485">
        <v>1</v>
      </c>
      <c r="E273" s="485">
        <f>1+2.1+2.1</f>
        <v>5.2</v>
      </c>
      <c r="F273" s="485"/>
      <c r="G273" s="485"/>
      <c r="H273" s="18">
        <f t="shared" si="34"/>
        <v>5.2</v>
      </c>
    </row>
    <row r="274" spans="1:8">
      <c r="A274" s="485"/>
      <c r="B274" s="485" t="s">
        <v>1178</v>
      </c>
      <c r="C274" s="17" t="s">
        <v>31</v>
      </c>
      <c r="D274" s="485">
        <v>1</v>
      </c>
      <c r="E274" s="485">
        <f>1+2.1+2.1</f>
        <v>5.2</v>
      </c>
      <c r="F274" s="485"/>
      <c r="G274" s="485"/>
      <c r="H274" s="18">
        <f t="shared" ref="H274" si="35">PRODUCT(D274:G274)</f>
        <v>5.2</v>
      </c>
    </row>
    <row r="275" spans="1:8">
      <c r="A275" s="485"/>
      <c r="B275" s="485"/>
      <c r="C275" s="485"/>
      <c r="D275" s="485"/>
      <c r="E275" s="485"/>
      <c r="F275" s="485"/>
      <c r="G275" s="485"/>
      <c r="H275" s="487"/>
    </row>
    <row r="276" spans="1:8">
      <c r="A276" s="485"/>
      <c r="B276" s="485"/>
      <c r="C276" s="485"/>
      <c r="D276" s="485"/>
      <c r="E276" s="485"/>
      <c r="F276" s="485"/>
      <c r="G276" s="485"/>
      <c r="H276" s="487"/>
    </row>
    <row r="277" spans="1:8">
      <c r="A277" s="17"/>
      <c r="B277" s="17"/>
      <c r="C277" s="17"/>
      <c r="D277" s="17"/>
      <c r="E277" s="17"/>
      <c r="F277" s="17"/>
      <c r="G277" s="17"/>
      <c r="H277" s="18"/>
    </row>
    <row r="278" spans="1:8">
      <c r="A278" s="15"/>
      <c r="B278" s="15" t="s">
        <v>21</v>
      </c>
      <c r="C278" s="15"/>
      <c r="D278" s="15"/>
      <c r="E278" s="15"/>
      <c r="F278" s="15"/>
      <c r="G278" s="15"/>
      <c r="H278" s="20">
        <f>SUM(H271:H277)</f>
        <v>21.3</v>
      </c>
    </row>
    <row r="279" spans="1:8">
      <c r="A279" s="17"/>
      <c r="B279" s="17" t="s">
        <v>22</v>
      </c>
      <c r="C279" s="17"/>
      <c r="D279" s="17"/>
      <c r="E279" s="17"/>
      <c r="F279" s="17"/>
      <c r="G279" s="17"/>
      <c r="H279" s="18"/>
    </row>
    <row r="280" spans="1:8">
      <c r="A280" s="15"/>
      <c r="B280" s="15" t="s">
        <v>23</v>
      </c>
      <c r="C280" s="15"/>
      <c r="D280" s="15"/>
      <c r="E280" s="15"/>
      <c r="F280" s="15"/>
      <c r="G280" s="15"/>
      <c r="H280" s="20">
        <f>ROUND(SUM(H278:H279),0)</f>
        <v>21</v>
      </c>
    </row>
    <row r="281" spans="1:8" s="948" customFormat="1">
      <c r="A281" s="17"/>
      <c r="B281" s="17"/>
      <c r="C281" s="17"/>
      <c r="D281" s="17"/>
      <c r="E281" s="17"/>
      <c r="F281" s="17"/>
      <c r="G281" s="17"/>
      <c r="H281" s="18"/>
    </row>
    <row r="282" spans="1:8" s="948" customFormat="1">
      <c r="A282" s="17">
        <v>3</v>
      </c>
      <c r="B282" s="15" t="s">
        <v>2126</v>
      </c>
      <c r="C282" s="17" t="s">
        <v>31</v>
      </c>
      <c r="D282" s="17"/>
      <c r="E282" s="17"/>
      <c r="F282" s="17"/>
      <c r="G282" s="17"/>
      <c r="H282" s="18"/>
    </row>
    <row r="283" spans="1:8" s="948" customFormat="1">
      <c r="A283" s="17"/>
      <c r="B283" s="17"/>
      <c r="C283" s="17"/>
      <c r="D283" s="17"/>
      <c r="E283" s="17"/>
      <c r="F283" s="17"/>
      <c r="G283" s="17"/>
      <c r="H283" s="18"/>
    </row>
    <row r="284" spans="1:8" s="948" customFormat="1">
      <c r="A284" s="17"/>
      <c r="B284" s="17" t="s">
        <v>35</v>
      </c>
      <c r="C284" s="17" t="s">
        <v>10</v>
      </c>
      <c r="D284" s="17">
        <v>3</v>
      </c>
      <c r="E284" s="17">
        <v>1.2</v>
      </c>
      <c r="F284" s="17">
        <v>0.3</v>
      </c>
      <c r="G284" s="17"/>
      <c r="H284" s="18">
        <f t="shared" ref="H284" si="36">PRODUCT(D284:G284)</f>
        <v>1.0799999999999998</v>
      </c>
    </row>
    <row r="285" spans="1:8" s="948" customFormat="1">
      <c r="A285" s="485"/>
      <c r="B285" s="485"/>
      <c r="C285" s="485"/>
      <c r="D285" s="485"/>
      <c r="E285" s="485"/>
      <c r="F285" s="485"/>
      <c r="G285" s="485"/>
      <c r="H285" s="487"/>
    </row>
    <row r="286" spans="1:8" s="948" customFormat="1">
      <c r="A286" s="17"/>
      <c r="B286" s="17"/>
      <c r="C286" s="17"/>
      <c r="D286" s="17"/>
      <c r="E286" s="17"/>
      <c r="F286" s="17"/>
      <c r="G286" s="17"/>
      <c r="H286" s="18"/>
    </row>
    <row r="287" spans="1:8" s="948" customFormat="1">
      <c r="A287" s="15"/>
      <c r="B287" s="15" t="s">
        <v>21</v>
      </c>
      <c r="C287" s="15"/>
      <c r="D287" s="15"/>
      <c r="E287" s="15"/>
      <c r="F287" s="15"/>
      <c r="G287" s="15"/>
      <c r="H287" s="20">
        <f>SUM(H284:H286)</f>
        <v>1.0799999999999998</v>
      </c>
    </row>
    <row r="288" spans="1:8" s="948" customFormat="1">
      <c r="A288" s="17"/>
      <c r="B288" s="17" t="s">
        <v>22</v>
      </c>
      <c r="C288" s="17"/>
      <c r="D288" s="17"/>
      <c r="E288" s="17"/>
      <c r="F288" s="17"/>
      <c r="G288" s="17"/>
      <c r="H288" s="18"/>
    </row>
    <row r="289" spans="1:8" s="948" customFormat="1">
      <c r="A289" s="15"/>
      <c r="B289" s="15" t="s">
        <v>23</v>
      </c>
      <c r="C289" s="15"/>
      <c r="D289" s="15"/>
      <c r="E289" s="15"/>
      <c r="F289" s="15"/>
      <c r="G289" s="15"/>
      <c r="H289" s="20">
        <f>ROUND(SUM(H287:H288),0)</f>
        <v>1</v>
      </c>
    </row>
    <row r="290" spans="1:8">
      <c r="A290" s="17"/>
      <c r="B290" s="17"/>
      <c r="C290" s="17"/>
      <c r="D290" s="17"/>
      <c r="E290" s="17"/>
      <c r="F290" s="17"/>
      <c r="G290" s="17"/>
      <c r="H290" s="18"/>
    </row>
    <row r="291" spans="1:8">
      <c r="A291" s="17">
        <v>3</v>
      </c>
      <c r="B291" s="15" t="s">
        <v>185</v>
      </c>
      <c r="C291" s="17" t="s">
        <v>10</v>
      </c>
      <c r="D291" s="17"/>
      <c r="E291" s="17"/>
      <c r="F291" s="17"/>
      <c r="G291" s="17"/>
      <c r="H291" s="18"/>
    </row>
    <row r="292" spans="1:8">
      <c r="A292" s="17"/>
      <c r="B292" s="17"/>
      <c r="C292" s="17"/>
      <c r="D292" s="17"/>
      <c r="E292" s="17"/>
      <c r="F292" s="17"/>
      <c r="G292" s="17"/>
      <c r="H292" s="18"/>
    </row>
    <row r="293" spans="1:8">
      <c r="A293" s="17"/>
      <c r="B293" s="17" t="s">
        <v>156</v>
      </c>
      <c r="C293" s="17" t="s">
        <v>10</v>
      </c>
      <c r="D293" s="18">
        <v>1</v>
      </c>
      <c r="E293" s="18">
        <v>0.875</v>
      </c>
      <c r="F293" s="18">
        <v>1.8</v>
      </c>
      <c r="G293" s="17"/>
      <c r="H293" s="18">
        <f t="shared" ref="H293:H301" si="37">PRODUCT(D293:G293)</f>
        <v>1.575</v>
      </c>
    </row>
    <row r="294" spans="1:8">
      <c r="A294" s="17"/>
      <c r="B294" s="17"/>
      <c r="C294" s="17" t="s">
        <v>10</v>
      </c>
      <c r="D294" s="18">
        <v>1</v>
      </c>
      <c r="E294" s="18">
        <v>4.91</v>
      </c>
      <c r="F294" s="18">
        <v>6.12</v>
      </c>
      <c r="G294" s="17"/>
      <c r="H294" s="18">
        <f t="shared" si="37"/>
        <v>30.049200000000003</v>
      </c>
    </row>
    <row r="295" spans="1:8">
      <c r="A295" s="485"/>
      <c r="B295" s="485"/>
      <c r="C295" s="17" t="s">
        <v>10</v>
      </c>
      <c r="D295" s="487">
        <v>-1</v>
      </c>
      <c r="E295" s="487">
        <v>0.31</v>
      </c>
      <c r="F295" s="487">
        <v>0.65</v>
      </c>
      <c r="G295" s="485"/>
      <c r="H295" s="18">
        <f t="shared" si="37"/>
        <v>-0.20150000000000001</v>
      </c>
    </row>
    <row r="296" spans="1:8">
      <c r="A296" s="485"/>
      <c r="B296" s="485"/>
      <c r="C296" s="17" t="s">
        <v>10</v>
      </c>
      <c r="D296" s="487">
        <v>1</v>
      </c>
      <c r="E296" s="487">
        <v>0.6</v>
      </c>
      <c r="F296" s="487">
        <v>6.8250000000000002</v>
      </c>
      <c r="G296" s="485"/>
      <c r="H296" s="18">
        <f t="shared" si="37"/>
        <v>4.0949999999999998</v>
      </c>
    </row>
    <row r="297" spans="1:8">
      <c r="A297" s="17"/>
      <c r="B297" s="17"/>
      <c r="C297" s="17" t="s">
        <v>10</v>
      </c>
      <c r="D297" s="18">
        <v>1</v>
      </c>
      <c r="E297" s="18">
        <f>(4.26+6.37)/2</f>
        <v>5.3149999999999995</v>
      </c>
      <c r="F297" s="18">
        <v>2.1</v>
      </c>
      <c r="G297" s="17"/>
      <c r="H297" s="18">
        <f t="shared" si="37"/>
        <v>11.1615</v>
      </c>
    </row>
    <row r="298" spans="1:8">
      <c r="A298" s="17"/>
      <c r="B298" s="17"/>
      <c r="C298" s="17" t="s">
        <v>10</v>
      </c>
      <c r="D298" s="18">
        <v>0.5</v>
      </c>
      <c r="E298" s="18">
        <v>6.37</v>
      </c>
      <c r="F298" s="18">
        <v>6.37</v>
      </c>
      <c r="G298" s="17"/>
      <c r="H298" s="18">
        <f t="shared" si="37"/>
        <v>20.288450000000001</v>
      </c>
    </row>
    <row r="299" spans="1:8">
      <c r="A299" s="17"/>
      <c r="B299" s="17"/>
      <c r="C299" s="17" t="s">
        <v>10</v>
      </c>
      <c r="D299" s="18">
        <v>1</v>
      </c>
      <c r="E299" s="18">
        <v>14.6</v>
      </c>
      <c r="F299" s="18">
        <v>5.22</v>
      </c>
      <c r="G299" s="17"/>
      <c r="H299" s="18">
        <f t="shared" si="37"/>
        <v>76.211999999999989</v>
      </c>
    </row>
    <row r="300" spans="1:8">
      <c r="A300" s="17"/>
      <c r="B300" s="17"/>
      <c r="C300" s="17" t="s">
        <v>10</v>
      </c>
      <c r="D300" s="18">
        <v>-1</v>
      </c>
      <c r="E300" s="18">
        <v>1.175</v>
      </c>
      <c r="F300" s="18">
        <v>7.67</v>
      </c>
      <c r="G300" s="17"/>
      <c r="H300" s="18">
        <f t="shared" si="37"/>
        <v>-9.0122499999999999</v>
      </c>
    </row>
    <row r="301" spans="1:8">
      <c r="A301" s="17"/>
      <c r="B301" s="17"/>
      <c r="C301" s="17" t="s">
        <v>10</v>
      </c>
      <c r="D301" s="18">
        <v>0.5</v>
      </c>
      <c r="E301" s="18">
        <v>12.7</v>
      </c>
      <c r="F301" s="18">
        <v>1.03</v>
      </c>
      <c r="G301" s="17"/>
      <c r="H301" s="18">
        <f t="shared" si="37"/>
        <v>6.5404999999999998</v>
      </c>
    </row>
    <row r="302" spans="1:8">
      <c r="A302" s="485"/>
      <c r="B302" s="485" t="s">
        <v>114</v>
      </c>
      <c r="C302" s="17" t="s">
        <v>10</v>
      </c>
      <c r="D302" s="18">
        <v>-2</v>
      </c>
      <c r="E302" s="18">
        <v>0.9</v>
      </c>
      <c r="F302" s="18">
        <v>0.9</v>
      </c>
      <c r="G302" s="17"/>
      <c r="H302" s="18">
        <f t="shared" ref="H302:H311" si="38">PRODUCT(D302:G302)</f>
        <v>-1.62</v>
      </c>
    </row>
    <row r="303" spans="1:8">
      <c r="A303" s="485"/>
      <c r="B303" s="485"/>
      <c r="C303" s="17" t="s">
        <v>10</v>
      </c>
      <c r="D303" s="487">
        <v>1</v>
      </c>
      <c r="E303" s="487">
        <v>5.22</v>
      </c>
      <c r="F303" s="487">
        <v>2.75</v>
      </c>
      <c r="G303" s="485"/>
      <c r="H303" s="18">
        <f t="shared" si="38"/>
        <v>14.354999999999999</v>
      </c>
    </row>
    <row r="304" spans="1:8">
      <c r="A304" s="485"/>
      <c r="B304" s="485"/>
      <c r="C304" s="17" t="s">
        <v>10</v>
      </c>
      <c r="D304" s="487">
        <v>1</v>
      </c>
      <c r="E304" s="487">
        <f>(5.22+4)/2</f>
        <v>4.6099999999999994</v>
      </c>
      <c r="F304" s="487">
        <v>1.24</v>
      </c>
      <c r="G304" s="485"/>
      <c r="H304" s="18">
        <f t="shared" si="38"/>
        <v>5.7163999999999993</v>
      </c>
    </row>
    <row r="305" spans="1:8">
      <c r="A305" s="485"/>
      <c r="B305" s="485"/>
      <c r="C305" s="17" t="s">
        <v>10</v>
      </c>
      <c r="D305" s="487">
        <v>1</v>
      </c>
      <c r="E305" s="487">
        <v>4</v>
      </c>
      <c r="F305" s="487">
        <v>3.6</v>
      </c>
      <c r="G305" s="485"/>
      <c r="H305" s="18">
        <f t="shared" si="38"/>
        <v>14.4</v>
      </c>
    </row>
    <row r="306" spans="1:8">
      <c r="A306" s="485"/>
      <c r="B306" s="485"/>
      <c r="C306" s="17" t="s">
        <v>10</v>
      </c>
      <c r="D306" s="487">
        <v>0.5</v>
      </c>
      <c r="E306" s="487">
        <v>3.6</v>
      </c>
      <c r="F306" s="487">
        <v>3.6</v>
      </c>
      <c r="G306" s="485"/>
      <c r="H306" s="18">
        <f t="shared" si="38"/>
        <v>6.48</v>
      </c>
    </row>
    <row r="307" spans="1:8">
      <c r="A307" s="485"/>
      <c r="B307" s="485"/>
      <c r="C307" s="17" t="s">
        <v>10</v>
      </c>
      <c r="D307" s="487">
        <v>1</v>
      </c>
      <c r="E307" s="487">
        <v>1.83</v>
      </c>
      <c r="F307" s="487">
        <v>7.7</v>
      </c>
      <c r="G307" s="485"/>
      <c r="H307" s="487">
        <f t="shared" si="38"/>
        <v>14.091000000000001</v>
      </c>
    </row>
    <row r="308" spans="1:8">
      <c r="A308" s="485"/>
      <c r="B308" s="485" t="s">
        <v>1188</v>
      </c>
      <c r="C308" s="17" t="s">
        <v>10</v>
      </c>
      <c r="D308" s="487">
        <v>1</v>
      </c>
      <c r="E308" s="487">
        <v>1.1000000000000001</v>
      </c>
      <c r="F308" s="487">
        <v>5.68</v>
      </c>
      <c r="G308" s="485"/>
      <c r="H308" s="487">
        <f t="shared" si="38"/>
        <v>6.2480000000000002</v>
      </c>
    </row>
    <row r="309" spans="1:8">
      <c r="A309" s="485"/>
      <c r="B309" s="485"/>
      <c r="C309" s="17" t="s">
        <v>10</v>
      </c>
      <c r="D309" s="487">
        <v>1</v>
      </c>
      <c r="E309" s="487">
        <v>1.964</v>
      </c>
      <c r="F309" s="487">
        <f>(8.2+6.23)/2</f>
        <v>7.2149999999999999</v>
      </c>
      <c r="G309" s="485"/>
      <c r="H309" s="487">
        <f t="shared" si="38"/>
        <v>14.170259999999999</v>
      </c>
    </row>
    <row r="310" spans="1:8">
      <c r="A310" s="485"/>
      <c r="B310" s="485"/>
      <c r="C310" s="17" t="s">
        <v>10</v>
      </c>
      <c r="D310" s="487">
        <v>0.5</v>
      </c>
      <c r="E310" s="487">
        <v>5.4</v>
      </c>
      <c r="F310" s="487">
        <v>5.4</v>
      </c>
      <c r="G310" s="485"/>
      <c r="H310" s="487">
        <f t="shared" si="38"/>
        <v>14.580000000000002</v>
      </c>
    </row>
    <row r="311" spans="1:8">
      <c r="A311" s="485"/>
      <c r="B311" s="485"/>
      <c r="C311" s="17" t="s">
        <v>10</v>
      </c>
      <c r="D311" s="487">
        <v>1</v>
      </c>
      <c r="E311" s="487">
        <v>2.7909999999999999</v>
      </c>
      <c r="F311" s="487">
        <f>(2.622+5.4)/2</f>
        <v>4.0110000000000001</v>
      </c>
      <c r="G311" s="485"/>
      <c r="H311" s="487">
        <f t="shared" si="38"/>
        <v>11.194701</v>
      </c>
    </row>
    <row r="312" spans="1:8" s="948" customFormat="1">
      <c r="A312" s="485"/>
      <c r="B312" s="485" t="s">
        <v>200</v>
      </c>
      <c r="C312" s="17" t="s">
        <v>10</v>
      </c>
      <c r="D312" s="487">
        <v>1</v>
      </c>
      <c r="E312" s="487">
        <v>5.34</v>
      </c>
      <c r="F312" s="487">
        <v>0.65</v>
      </c>
      <c r="G312" s="485"/>
      <c r="H312" s="487">
        <f t="shared" ref="H312:H313" si="39">PRODUCT(D312:G312)</f>
        <v>3.4710000000000001</v>
      </c>
    </row>
    <row r="313" spans="1:8" s="948" customFormat="1">
      <c r="A313" s="485"/>
      <c r="B313" s="485"/>
      <c r="C313" s="17" t="s">
        <v>10</v>
      </c>
      <c r="D313" s="487">
        <v>0.5</v>
      </c>
      <c r="E313" s="487">
        <v>5.2</v>
      </c>
      <c r="F313" s="487">
        <v>5.2</v>
      </c>
      <c r="G313" s="485"/>
      <c r="H313" s="487">
        <f t="shared" si="39"/>
        <v>13.520000000000001</v>
      </c>
    </row>
    <row r="314" spans="1:8" s="948" customFormat="1">
      <c r="A314" s="485"/>
      <c r="B314" s="485"/>
      <c r="C314" s="485"/>
      <c r="D314" s="487"/>
      <c r="E314" s="487"/>
      <c r="F314" s="487"/>
      <c r="G314" s="485"/>
      <c r="H314" s="487"/>
    </row>
    <row r="315" spans="1:8">
      <c r="A315" s="17"/>
      <c r="B315" s="17"/>
      <c r="C315" s="17"/>
      <c r="D315" s="17"/>
      <c r="E315" s="17"/>
      <c r="F315" s="17"/>
      <c r="G315" s="17"/>
      <c r="H315" s="18"/>
    </row>
    <row r="316" spans="1:8">
      <c r="A316" s="17"/>
      <c r="B316" s="17"/>
      <c r="C316" s="17"/>
      <c r="D316" s="17"/>
      <c r="E316" s="17"/>
      <c r="F316" s="17"/>
      <c r="G316" s="17"/>
      <c r="H316" s="18"/>
    </row>
    <row r="317" spans="1:8">
      <c r="A317" s="15"/>
      <c r="B317" s="15" t="s">
        <v>21</v>
      </c>
      <c r="C317" s="15"/>
      <c r="D317" s="15"/>
      <c r="E317" s="15"/>
      <c r="F317" s="15"/>
      <c r="G317" s="15"/>
      <c r="H317" s="20">
        <f>SUM(H293:H316)</f>
        <v>257.31426099999999</v>
      </c>
    </row>
    <row r="318" spans="1:8">
      <c r="A318" s="17"/>
      <c r="B318" s="17" t="s">
        <v>22</v>
      </c>
      <c r="C318" s="17"/>
      <c r="D318" s="17"/>
      <c r="E318" s="17"/>
      <c r="F318" s="17"/>
      <c r="G318" s="17"/>
      <c r="H318" s="18"/>
    </row>
    <row r="319" spans="1:8">
      <c r="A319" s="15"/>
      <c r="B319" s="15" t="s">
        <v>23</v>
      </c>
      <c r="C319" s="15"/>
      <c r="D319" s="15"/>
      <c r="E319" s="15"/>
      <c r="F319" s="15"/>
      <c r="G319" s="15"/>
      <c r="H319" s="20">
        <f>ROUND(SUM(H317:H318),0)</f>
        <v>257</v>
      </c>
    </row>
    <row r="320" spans="1:8">
      <c r="A320" s="17"/>
      <c r="B320" s="17"/>
      <c r="C320" s="17"/>
      <c r="D320" s="17"/>
      <c r="E320" s="17"/>
      <c r="F320" s="17"/>
      <c r="G320" s="17"/>
      <c r="H320" s="18"/>
    </row>
    <row r="321" spans="1:11">
      <c r="A321" s="17">
        <v>3</v>
      </c>
      <c r="B321" s="15" t="s">
        <v>185</v>
      </c>
      <c r="C321" s="17" t="s">
        <v>16</v>
      </c>
      <c r="D321" s="17"/>
      <c r="E321" s="17"/>
      <c r="F321" s="17"/>
      <c r="G321" s="17"/>
      <c r="H321" s="18"/>
    </row>
    <row r="322" spans="1:11">
      <c r="A322" s="17"/>
      <c r="B322" s="17" t="s">
        <v>284</v>
      </c>
      <c r="C322" s="17" t="s">
        <v>10</v>
      </c>
      <c r="D322" s="17">
        <v>1</v>
      </c>
      <c r="E322" s="17">
        <v>3</v>
      </c>
      <c r="F322" s="17">
        <v>4.5999999999999996</v>
      </c>
      <c r="G322" s="17"/>
      <c r="H322" s="18">
        <f t="shared" ref="H322:H330" si="40">PRODUCT(D322:G322)</f>
        <v>13.799999999999999</v>
      </c>
    </row>
    <row r="323" spans="1:11">
      <c r="A323" s="485"/>
      <c r="B323" s="485"/>
      <c r="C323" s="17" t="s">
        <v>10</v>
      </c>
      <c r="D323" s="485">
        <v>-1</v>
      </c>
      <c r="E323" s="485">
        <v>1.1000000000000001</v>
      </c>
      <c r="F323" s="485">
        <v>2.4</v>
      </c>
      <c r="G323" s="485"/>
      <c r="H323" s="18">
        <f t="shared" si="40"/>
        <v>-2.64</v>
      </c>
    </row>
    <row r="324" spans="1:11">
      <c r="A324" s="485"/>
      <c r="B324" s="485" t="s">
        <v>1926</v>
      </c>
      <c r="C324" s="17" t="s">
        <v>10</v>
      </c>
      <c r="D324" s="485">
        <v>1</v>
      </c>
      <c r="E324" s="485">
        <v>4</v>
      </c>
      <c r="F324" s="485">
        <v>4.25</v>
      </c>
      <c r="G324" s="485"/>
      <c r="H324" s="487">
        <f t="shared" si="40"/>
        <v>17</v>
      </c>
    </row>
    <row r="325" spans="1:11">
      <c r="A325" s="485"/>
      <c r="B325" s="485"/>
      <c r="C325" s="17" t="s">
        <v>10</v>
      </c>
      <c r="D325" s="485">
        <v>-1</v>
      </c>
      <c r="E325" s="485">
        <v>0.45</v>
      </c>
      <c r="F325" s="485">
        <v>1.3</v>
      </c>
      <c r="G325" s="485"/>
      <c r="H325" s="487">
        <f t="shared" si="40"/>
        <v>-0.58500000000000008</v>
      </c>
    </row>
    <row r="326" spans="1:11">
      <c r="A326" s="485"/>
      <c r="B326" s="485"/>
      <c r="C326" s="17" t="s">
        <v>10</v>
      </c>
      <c r="D326" s="485">
        <v>1</v>
      </c>
      <c r="E326" s="485">
        <v>1.05</v>
      </c>
      <c r="F326" s="485">
        <v>1.1499999999999999</v>
      </c>
      <c r="G326" s="485"/>
      <c r="H326" s="487">
        <f t="shared" si="40"/>
        <v>1.2075</v>
      </c>
    </row>
    <row r="327" spans="1:11">
      <c r="A327" s="485"/>
      <c r="B327" s="485" t="s">
        <v>1178</v>
      </c>
      <c r="C327" s="17" t="s">
        <v>10</v>
      </c>
      <c r="D327" s="485">
        <v>1</v>
      </c>
      <c r="E327" s="485">
        <f>(5.7+5.3)/2</f>
        <v>5.5</v>
      </c>
      <c r="F327" s="485">
        <v>4</v>
      </c>
      <c r="G327" s="485"/>
      <c r="H327" s="487">
        <f t="shared" si="40"/>
        <v>22</v>
      </c>
    </row>
    <row r="328" spans="1:11">
      <c r="A328" s="485"/>
      <c r="B328" s="485"/>
      <c r="C328" s="17" t="s">
        <v>10</v>
      </c>
      <c r="D328" s="485">
        <v>-1</v>
      </c>
      <c r="E328" s="485">
        <v>0.9</v>
      </c>
      <c r="F328" s="485">
        <v>0.9</v>
      </c>
      <c r="G328" s="485"/>
      <c r="H328" s="487">
        <f t="shared" si="40"/>
        <v>-0.81</v>
      </c>
    </row>
    <row r="329" spans="1:11">
      <c r="A329" s="485"/>
      <c r="B329" s="485" t="s">
        <v>1186</v>
      </c>
      <c r="C329" s="17" t="s">
        <v>10</v>
      </c>
      <c r="D329" s="485">
        <v>1</v>
      </c>
      <c r="E329" s="485">
        <f>(2.825+2.2)/2</f>
        <v>2.5125000000000002</v>
      </c>
      <c r="F329" s="485">
        <v>7.67</v>
      </c>
      <c r="G329" s="485"/>
      <c r="H329" s="487">
        <f t="shared" si="40"/>
        <v>19.270875</v>
      </c>
    </row>
    <row r="330" spans="1:11">
      <c r="A330" s="485"/>
      <c r="B330" s="485"/>
      <c r="C330" s="17" t="s">
        <v>10</v>
      </c>
      <c r="D330" s="485">
        <v>-1</v>
      </c>
      <c r="E330" s="485">
        <v>0.9</v>
      </c>
      <c r="F330" s="485">
        <v>0.9</v>
      </c>
      <c r="G330" s="485"/>
      <c r="H330" s="487">
        <f t="shared" si="40"/>
        <v>-0.81</v>
      </c>
    </row>
    <row r="331" spans="1:11">
      <c r="A331" s="485"/>
      <c r="B331" s="485" t="s">
        <v>1970</v>
      </c>
      <c r="C331" s="17" t="s">
        <v>10</v>
      </c>
      <c r="D331" s="485">
        <v>1</v>
      </c>
      <c r="E331" s="485">
        <v>2.08</v>
      </c>
      <c r="F331" s="485">
        <v>3.15</v>
      </c>
      <c r="G331" s="485"/>
      <c r="H331" s="487">
        <f t="shared" ref="H331" si="41">PRODUCT(D331:G331)</f>
        <v>6.5519999999999996</v>
      </c>
    </row>
    <row r="332" spans="1:11">
      <c r="A332" s="17"/>
      <c r="B332" s="17" t="s">
        <v>1971</v>
      </c>
      <c r="C332" s="17" t="s">
        <v>10</v>
      </c>
      <c r="D332" s="485">
        <v>1</v>
      </c>
      <c r="E332" s="485">
        <v>2.2000000000000002</v>
      </c>
      <c r="F332" s="485">
        <v>2.5</v>
      </c>
      <c r="G332" s="485"/>
      <c r="H332" s="487">
        <f>PRODUCT(D332:G332)</f>
        <v>5.5</v>
      </c>
    </row>
    <row r="333" spans="1:11">
      <c r="A333" s="485"/>
      <c r="B333" s="17" t="s">
        <v>1972</v>
      </c>
      <c r="C333" s="17" t="s">
        <v>10</v>
      </c>
      <c r="D333" s="485">
        <v>1</v>
      </c>
      <c r="E333" s="485">
        <v>2.2000000000000002</v>
      </c>
      <c r="F333" s="485">
        <v>4.5</v>
      </c>
      <c r="G333" s="485"/>
      <c r="H333" s="487">
        <f>PRODUCT(D333:G333)</f>
        <v>9.9</v>
      </c>
      <c r="K333" s="942"/>
    </row>
    <row r="334" spans="1:11">
      <c r="A334" s="485"/>
      <c r="B334" s="485" t="s">
        <v>1935</v>
      </c>
      <c r="C334" s="17" t="s">
        <v>10</v>
      </c>
      <c r="D334" s="485">
        <v>1</v>
      </c>
      <c r="E334" s="485">
        <v>1.375</v>
      </c>
      <c r="F334" s="485">
        <v>1.7</v>
      </c>
      <c r="G334" s="485"/>
      <c r="H334" s="487">
        <f>PRODUCT(D334:G334)</f>
        <v>2.3374999999999999</v>
      </c>
    </row>
    <row r="335" spans="1:11">
      <c r="A335" s="17"/>
      <c r="B335" s="17"/>
      <c r="C335" s="17"/>
      <c r="D335" s="17"/>
      <c r="E335" s="17"/>
      <c r="F335" s="17"/>
      <c r="G335" s="17"/>
      <c r="H335" s="18"/>
    </row>
    <row r="336" spans="1:11">
      <c r="A336" s="15"/>
      <c r="B336" s="15" t="s">
        <v>21</v>
      </c>
      <c r="C336" s="15"/>
      <c r="D336" s="15"/>
      <c r="E336" s="15"/>
      <c r="F336" s="15"/>
      <c r="G336" s="15"/>
      <c r="H336" s="20">
        <f>SUM(H322:H335)</f>
        <v>92.722875000000016</v>
      </c>
    </row>
    <row r="337" spans="1:8">
      <c r="A337" s="17"/>
      <c r="B337" s="17" t="s">
        <v>22</v>
      </c>
      <c r="C337" s="17"/>
      <c r="D337" s="17"/>
      <c r="E337" s="17"/>
      <c r="F337" s="17"/>
      <c r="G337" s="17"/>
      <c r="H337" s="18"/>
    </row>
    <row r="338" spans="1:8">
      <c r="A338" s="15"/>
      <c r="B338" s="15" t="s">
        <v>23</v>
      </c>
      <c r="C338" s="15"/>
      <c r="D338" s="15"/>
      <c r="E338" s="15"/>
      <c r="F338" s="15"/>
      <c r="G338" s="15"/>
      <c r="H338" s="20">
        <f>ROUND(SUM(H336:H337),0)</f>
        <v>93</v>
      </c>
    </row>
    <row r="339" spans="1:8">
      <c r="A339" s="17"/>
      <c r="B339" s="17"/>
      <c r="C339" s="17"/>
      <c r="D339" s="17"/>
      <c r="E339" s="17"/>
      <c r="F339" s="17"/>
      <c r="G339" s="17"/>
      <c r="H339" s="18"/>
    </row>
    <row r="340" spans="1:8">
      <c r="A340" s="17">
        <v>3</v>
      </c>
      <c r="B340" s="15" t="s">
        <v>185</v>
      </c>
      <c r="C340" s="17" t="s">
        <v>16</v>
      </c>
      <c r="D340" s="17"/>
      <c r="E340" s="17"/>
      <c r="F340" s="17"/>
      <c r="G340" s="17"/>
      <c r="H340" s="18"/>
    </row>
    <row r="341" spans="1:8">
      <c r="A341" s="17"/>
      <c r="B341" s="17"/>
      <c r="C341" s="17"/>
      <c r="D341" s="17"/>
      <c r="E341" s="17"/>
      <c r="F341" s="17"/>
      <c r="G341" s="17"/>
      <c r="H341" s="18"/>
    </row>
    <row r="342" spans="1:8">
      <c r="A342" s="17"/>
      <c r="B342" s="17" t="s">
        <v>1204</v>
      </c>
      <c r="C342" s="17" t="s">
        <v>10</v>
      </c>
      <c r="D342" s="17">
        <v>1</v>
      </c>
      <c r="E342" s="17">
        <v>3.5</v>
      </c>
      <c r="F342" s="17">
        <v>3.42</v>
      </c>
      <c r="G342" s="17"/>
      <c r="H342" s="18">
        <f>PRODUCT(D342:G342)</f>
        <v>11.969999999999999</v>
      </c>
    </row>
    <row r="343" spans="1:8">
      <c r="A343" s="485"/>
      <c r="B343" s="485"/>
      <c r="C343" s="17" t="s">
        <v>10</v>
      </c>
      <c r="D343" s="485">
        <v>1</v>
      </c>
      <c r="E343" s="485">
        <v>11.734999999999999</v>
      </c>
      <c r="F343" s="485">
        <v>7</v>
      </c>
      <c r="G343" s="485"/>
      <c r="H343" s="18">
        <f>PRODUCT(D343:G343)</f>
        <v>82.144999999999996</v>
      </c>
    </row>
    <row r="344" spans="1:8">
      <c r="A344" s="485"/>
      <c r="B344" s="485"/>
      <c r="C344" s="17" t="s">
        <v>10</v>
      </c>
      <c r="D344" s="485">
        <v>1</v>
      </c>
      <c r="E344" s="485">
        <v>4.5</v>
      </c>
      <c r="F344" s="485">
        <v>3.9</v>
      </c>
      <c r="G344" s="485"/>
      <c r="H344" s="487">
        <f>PRODUCT(D344:G344)</f>
        <v>17.55</v>
      </c>
    </row>
    <row r="345" spans="1:8">
      <c r="A345" s="485"/>
      <c r="B345" s="485"/>
      <c r="C345" s="17" t="s">
        <v>10</v>
      </c>
      <c r="D345" s="485">
        <v>1</v>
      </c>
      <c r="E345" s="485">
        <v>24.61</v>
      </c>
      <c r="F345" s="485">
        <f>(3.9+1.9)/2</f>
        <v>2.9</v>
      </c>
      <c r="G345" s="485"/>
      <c r="H345" s="487">
        <f>PRODUCT(D345:G345)</f>
        <v>71.369</v>
      </c>
    </row>
    <row r="346" spans="1:8">
      <c r="A346" s="485"/>
      <c r="B346" s="485"/>
      <c r="C346" s="17" t="s">
        <v>10</v>
      </c>
      <c r="D346" s="485">
        <v>1</v>
      </c>
      <c r="E346" s="485">
        <v>15.1</v>
      </c>
      <c r="F346" s="485">
        <v>1.8</v>
      </c>
      <c r="G346" s="485"/>
      <c r="H346" s="487">
        <f>PRODUCT(D346:G346)</f>
        <v>27.18</v>
      </c>
    </row>
    <row r="347" spans="1:8">
      <c r="A347" s="17"/>
      <c r="B347" s="17"/>
      <c r="C347" s="17"/>
      <c r="D347" s="17"/>
      <c r="E347" s="17"/>
      <c r="F347" s="17"/>
      <c r="G347" s="17"/>
      <c r="H347" s="18"/>
    </row>
    <row r="348" spans="1:8">
      <c r="A348" s="15"/>
      <c r="B348" s="15" t="s">
        <v>21</v>
      </c>
      <c r="C348" s="15"/>
      <c r="D348" s="15"/>
      <c r="E348" s="15"/>
      <c r="F348" s="15"/>
      <c r="G348" s="15"/>
      <c r="H348" s="20">
        <f>SUM(H341:H347)</f>
        <v>210.214</v>
      </c>
    </row>
    <row r="349" spans="1:8">
      <c r="A349" s="17"/>
      <c r="B349" s="17" t="s">
        <v>22</v>
      </c>
      <c r="C349" s="17"/>
      <c r="D349" s="17"/>
      <c r="E349" s="17"/>
      <c r="F349" s="17"/>
      <c r="G349" s="17"/>
      <c r="H349" s="18"/>
    </row>
    <row r="350" spans="1:8">
      <c r="A350" s="15"/>
      <c r="B350" s="15" t="s">
        <v>23</v>
      </c>
      <c r="C350" s="15"/>
      <c r="D350" s="15"/>
      <c r="E350" s="15"/>
      <c r="F350" s="15"/>
      <c r="G350" s="15"/>
      <c r="H350" s="20">
        <f>ROUND(SUM(H348:H349),0)</f>
        <v>210</v>
      </c>
    </row>
    <row r="351" spans="1:8">
      <c r="A351" s="17"/>
      <c r="B351" s="17"/>
      <c r="C351" s="17"/>
      <c r="D351" s="17"/>
      <c r="E351" s="17"/>
      <c r="F351" s="17"/>
      <c r="G351" s="17"/>
      <c r="H351" s="18"/>
    </row>
    <row r="352" spans="1:8">
      <c r="A352" s="17">
        <v>3</v>
      </c>
      <c r="B352" s="15" t="s">
        <v>185</v>
      </c>
      <c r="C352" s="17" t="s">
        <v>16</v>
      </c>
      <c r="D352" s="17"/>
      <c r="E352" s="17"/>
      <c r="F352" s="17"/>
      <c r="G352" s="17"/>
      <c r="H352" s="18"/>
    </row>
    <row r="353" spans="1:8">
      <c r="A353" s="17"/>
      <c r="B353" s="17"/>
      <c r="C353" s="17"/>
      <c r="D353" s="17"/>
      <c r="E353" s="17"/>
      <c r="F353" s="17"/>
      <c r="G353" s="17"/>
      <c r="H353" s="18"/>
    </row>
    <row r="354" spans="1:8">
      <c r="A354" s="17"/>
      <c r="B354" s="17" t="s">
        <v>186</v>
      </c>
      <c r="C354" s="17" t="s">
        <v>10</v>
      </c>
      <c r="D354" s="17">
        <v>1</v>
      </c>
      <c r="E354" s="17">
        <v>5.53</v>
      </c>
      <c r="F354" s="17">
        <v>2.5499999999999998</v>
      </c>
      <c r="G354" s="17"/>
      <c r="H354" s="18">
        <f>PRODUCT(D354:G354)</f>
        <v>14.1015</v>
      </c>
    </row>
    <row r="355" spans="1:8">
      <c r="A355" s="485"/>
      <c r="B355" s="485"/>
      <c r="C355" s="17" t="s">
        <v>10</v>
      </c>
      <c r="D355" s="485">
        <v>1</v>
      </c>
      <c r="E355" s="485">
        <v>12.4</v>
      </c>
      <c r="F355" s="485">
        <v>1.9</v>
      </c>
      <c r="G355" s="485"/>
      <c r="H355" s="18">
        <f>PRODUCT(D355:G355)</f>
        <v>23.56</v>
      </c>
    </row>
    <row r="356" spans="1:8">
      <c r="A356" s="485"/>
      <c r="B356" s="485"/>
      <c r="C356" s="17" t="s">
        <v>10</v>
      </c>
      <c r="D356" s="485">
        <v>1</v>
      </c>
      <c r="E356" s="485">
        <v>5.6</v>
      </c>
      <c r="F356" s="485">
        <v>7.03</v>
      </c>
      <c r="G356" s="485"/>
      <c r="H356" s="487">
        <f>PRODUCT(D356:G356)</f>
        <v>39.368000000000002</v>
      </c>
    </row>
    <row r="357" spans="1:8">
      <c r="A357" s="485"/>
      <c r="B357" s="485"/>
      <c r="C357" s="17" t="s">
        <v>10</v>
      </c>
      <c r="D357" s="485">
        <v>0.5</v>
      </c>
      <c r="E357" s="485">
        <v>5.532</v>
      </c>
      <c r="F357" s="485">
        <v>5.65</v>
      </c>
      <c r="G357" s="485"/>
      <c r="H357" s="487">
        <f>PRODUCT(D357:G357)</f>
        <v>15.6279</v>
      </c>
    </row>
    <row r="358" spans="1:8">
      <c r="A358" s="17"/>
      <c r="B358" s="17"/>
      <c r="C358" s="17"/>
      <c r="D358" s="17"/>
      <c r="E358" s="17"/>
      <c r="F358" s="17"/>
      <c r="G358" s="17"/>
      <c r="H358" s="18"/>
    </row>
    <row r="359" spans="1:8">
      <c r="A359" s="15"/>
      <c r="B359" s="15" t="s">
        <v>21</v>
      </c>
      <c r="C359" s="15"/>
      <c r="D359" s="15"/>
      <c r="E359" s="15"/>
      <c r="F359" s="15"/>
      <c r="G359" s="15"/>
      <c r="H359" s="20">
        <f>SUM(H353:H358)</f>
        <v>92.657399999999996</v>
      </c>
    </row>
    <row r="360" spans="1:8">
      <c r="A360" s="17"/>
      <c r="B360" s="17" t="s">
        <v>22</v>
      </c>
      <c r="C360" s="17"/>
      <c r="D360" s="17"/>
      <c r="E360" s="17"/>
      <c r="F360" s="17"/>
      <c r="G360" s="17"/>
      <c r="H360" s="18"/>
    </row>
    <row r="361" spans="1:8">
      <c r="A361" s="15"/>
      <c r="B361" s="15" t="s">
        <v>23</v>
      </c>
      <c r="C361" s="15"/>
      <c r="D361" s="15"/>
      <c r="E361" s="15"/>
      <c r="F361" s="15"/>
      <c r="G361" s="15"/>
      <c r="H361" s="20">
        <f>ROUND(SUM(H359:H360),0)</f>
        <v>93</v>
      </c>
    </row>
    <row r="362" spans="1:8">
      <c r="A362" s="17"/>
      <c r="B362" s="17"/>
      <c r="C362" s="17"/>
      <c r="D362" s="17"/>
      <c r="E362" s="17"/>
      <c r="F362" s="17"/>
      <c r="G362" s="17"/>
      <c r="H362" s="18"/>
    </row>
    <row r="363" spans="1:8">
      <c r="A363" s="17">
        <v>3</v>
      </c>
      <c r="B363" s="15" t="s">
        <v>29</v>
      </c>
      <c r="C363" s="17" t="s">
        <v>16</v>
      </c>
      <c r="D363" s="17"/>
      <c r="E363" s="17"/>
      <c r="F363" s="17"/>
      <c r="G363" s="17"/>
      <c r="H363" s="18"/>
    </row>
    <row r="364" spans="1:8">
      <c r="A364" s="17"/>
      <c r="B364" s="17"/>
      <c r="C364" s="17"/>
      <c r="D364" s="17"/>
      <c r="E364" s="17"/>
      <c r="F364" s="17"/>
      <c r="G364" s="17"/>
      <c r="H364" s="18"/>
    </row>
    <row r="365" spans="1:8">
      <c r="A365" s="17"/>
      <c r="B365" s="17" t="s">
        <v>1189</v>
      </c>
      <c r="C365" s="17" t="s">
        <v>10</v>
      </c>
      <c r="D365" s="17">
        <v>1</v>
      </c>
      <c r="E365" s="17">
        <v>42.9</v>
      </c>
      <c r="F365" s="17">
        <v>1.85</v>
      </c>
      <c r="G365" s="17"/>
      <c r="H365" s="18">
        <f t="shared" ref="H365:H377" si="42">PRODUCT(D365:G365)</f>
        <v>79.364999999999995</v>
      </c>
    </row>
    <row r="366" spans="1:8">
      <c r="A366" s="17"/>
      <c r="B366" s="17" t="s">
        <v>190</v>
      </c>
      <c r="C366" s="17" t="s">
        <v>10</v>
      </c>
      <c r="D366" s="17">
        <v>1</v>
      </c>
      <c r="E366" s="17">
        <v>6.7</v>
      </c>
      <c r="F366" s="17">
        <v>2.2000000000000002</v>
      </c>
      <c r="G366" s="17"/>
      <c r="H366" s="18">
        <f t="shared" si="42"/>
        <v>14.740000000000002</v>
      </c>
    </row>
    <row r="367" spans="1:8">
      <c r="A367" s="17"/>
      <c r="B367" s="17"/>
      <c r="C367" s="17" t="s">
        <v>10</v>
      </c>
      <c r="D367" s="17">
        <v>1</v>
      </c>
      <c r="E367" s="17">
        <v>1.1000000000000001</v>
      </c>
      <c r="F367" s="17">
        <v>2.0499999999999998</v>
      </c>
      <c r="G367" s="17"/>
      <c r="H367" s="18">
        <f t="shared" si="42"/>
        <v>2.2549999999999999</v>
      </c>
    </row>
    <row r="368" spans="1:8">
      <c r="A368" s="485"/>
      <c r="B368" s="485"/>
      <c r="C368" s="17" t="s">
        <v>10</v>
      </c>
      <c r="D368" s="485">
        <v>1</v>
      </c>
      <c r="E368" s="485">
        <v>1.375</v>
      </c>
      <c r="F368" s="485">
        <v>1.42</v>
      </c>
      <c r="G368" s="485"/>
      <c r="H368" s="18">
        <f t="shared" si="42"/>
        <v>1.9524999999999999</v>
      </c>
    </row>
    <row r="369" spans="1:8">
      <c r="A369" s="17"/>
      <c r="B369" s="17" t="s">
        <v>1190</v>
      </c>
      <c r="C369" s="17" t="s">
        <v>10</v>
      </c>
      <c r="D369" s="17">
        <v>0.5</v>
      </c>
      <c r="E369" s="17">
        <v>2.67</v>
      </c>
      <c r="F369" s="17">
        <v>5.34</v>
      </c>
      <c r="G369" s="17"/>
      <c r="H369" s="18">
        <f t="shared" si="42"/>
        <v>7.1288999999999998</v>
      </c>
    </row>
    <row r="370" spans="1:8">
      <c r="A370" s="17"/>
      <c r="B370" s="17" t="s">
        <v>1191</v>
      </c>
      <c r="C370" s="17" t="s">
        <v>10</v>
      </c>
      <c r="D370" s="17">
        <v>0.5</v>
      </c>
      <c r="E370" s="17">
        <v>5.07</v>
      </c>
      <c r="F370" s="17">
        <v>2.5299999999999998</v>
      </c>
      <c r="G370" s="17"/>
      <c r="H370" s="18">
        <f t="shared" si="42"/>
        <v>6.4135499999999999</v>
      </c>
    </row>
    <row r="371" spans="1:8">
      <c r="A371" s="485"/>
      <c r="B371" s="485" t="s">
        <v>196</v>
      </c>
      <c r="C371" s="17" t="s">
        <v>10</v>
      </c>
      <c r="D371" s="17">
        <v>0.5</v>
      </c>
      <c r="E371" s="17">
        <v>5.05</v>
      </c>
      <c r="F371" s="17">
        <v>2.5</v>
      </c>
      <c r="G371" s="17"/>
      <c r="H371" s="18">
        <f t="shared" ref="H371" si="43">PRODUCT(D371:G371)</f>
        <v>6.3125</v>
      </c>
    </row>
    <row r="372" spans="1:8">
      <c r="A372" s="17"/>
      <c r="B372" s="17" t="s">
        <v>192</v>
      </c>
      <c r="C372" s="17" t="s">
        <v>10</v>
      </c>
      <c r="D372" s="17">
        <v>1</v>
      </c>
      <c r="E372" s="17">
        <v>4.99</v>
      </c>
      <c r="F372" s="17">
        <v>2.6</v>
      </c>
      <c r="G372" s="17"/>
      <c r="H372" s="18">
        <f t="shared" si="42"/>
        <v>12.974</v>
      </c>
    </row>
    <row r="373" spans="1:8">
      <c r="A373" s="17"/>
      <c r="B373" s="17"/>
      <c r="C373" s="17" t="s">
        <v>10</v>
      </c>
      <c r="D373" s="17">
        <v>1</v>
      </c>
      <c r="E373" s="17">
        <v>1.4</v>
      </c>
      <c r="F373" s="17">
        <v>1.54</v>
      </c>
      <c r="G373" s="17"/>
      <c r="H373" s="18">
        <f t="shared" si="42"/>
        <v>2.1559999999999997</v>
      </c>
    </row>
    <row r="374" spans="1:8">
      <c r="A374" s="485"/>
      <c r="B374" s="485"/>
      <c r="C374" s="17" t="s">
        <v>10</v>
      </c>
      <c r="D374" s="17">
        <v>-1</v>
      </c>
      <c r="E374" s="17">
        <v>0.7</v>
      </c>
      <c r="F374" s="17">
        <v>1.19</v>
      </c>
      <c r="G374" s="17"/>
      <c r="H374" s="18">
        <f t="shared" ref="H374" si="44">PRODUCT(D374:G374)</f>
        <v>-0.83299999999999996</v>
      </c>
    </row>
    <row r="375" spans="1:8">
      <c r="A375" s="17"/>
      <c r="B375" s="17" t="s">
        <v>1192</v>
      </c>
      <c r="C375" s="17" t="s">
        <v>10</v>
      </c>
      <c r="D375" s="17">
        <v>1</v>
      </c>
      <c r="E375" s="17">
        <v>11.266</v>
      </c>
      <c r="F375" s="17">
        <v>1.5</v>
      </c>
      <c r="G375" s="17"/>
      <c r="H375" s="18">
        <f t="shared" si="42"/>
        <v>16.899000000000001</v>
      </c>
    </row>
    <row r="376" spans="1:8">
      <c r="A376" s="17"/>
      <c r="B376" s="17" t="s">
        <v>1193</v>
      </c>
      <c r="C376" s="17" t="s">
        <v>10</v>
      </c>
      <c r="D376" s="17">
        <v>1</v>
      </c>
      <c r="E376" s="17">
        <v>1.5569999999999999</v>
      </c>
      <c r="F376" s="17">
        <v>0.92700000000000005</v>
      </c>
      <c r="G376" s="17"/>
      <c r="H376" s="18">
        <f t="shared" si="42"/>
        <v>1.4433389999999999</v>
      </c>
    </row>
    <row r="377" spans="1:8">
      <c r="A377" s="17"/>
      <c r="B377" s="17" t="s">
        <v>1915</v>
      </c>
      <c r="C377" s="17" t="s">
        <v>10</v>
      </c>
      <c r="D377" s="17">
        <v>1</v>
      </c>
      <c r="E377" s="17">
        <v>11.2</v>
      </c>
      <c r="F377" s="17">
        <v>1.5</v>
      </c>
      <c r="G377" s="17"/>
      <c r="H377" s="18">
        <f t="shared" si="42"/>
        <v>16.799999999999997</v>
      </c>
    </row>
    <row r="378" spans="1:8">
      <c r="A378" s="485"/>
      <c r="B378" s="485" t="s">
        <v>285</v>
      </c>
      <c r="C378" s="17" t="s">
        <v>10</v>
      </c>
      <c r="D378" s="17">
        <v>1</v>
      </c>
      <c r="E378" s="17">
        <v>0.6</v>
      </c>
      <c r="F378" s="17">
        <v>1.1100000000000001</v>
      </c>
      <c r="G378" s="17"/>
      <c r="H378" s="18">
        <f t="shared" ref="H378:H416" si="45">PRODUCT(D378:G378)</f>
        <v>0.66600000000000004</v>
      </c>
    </row>
    <row r="379" spans="1:8">
      <c r="A379" s="485"/>
      <c r="B379" s="485" t="s">
        <v>1973</v>
      </c>
      <c r="C379" s="17" t="s">
        <v>10</v>
      </c>
      <c r="D379" s="485">
        <v>1</v>
      </c>
      <c r="E379" s="485">
        <v>11.24</v>
      </c>
      <c r="F379" s="485">
        <v>1.5</v>
      </c>
      <c r="G379" s="485"/>
      <c r="H379" s="487">
        <f t="shared" si="45"/>
        <v>16.86</v>
      </c>
    </row>
    <row r="380" spans="1:8">
      <c r="A380" s="485"/>
      <c r="B380" s="485"/>
      <c r="C380" s="17" t="s">
        <v>10</v>
      </c>
      <c r="D380" s="485">
        <v>1</v>
      </c>
      <c r="E380" s="485">
        <v>0.6</v>
      </c>
      <c r="F380" s="485">
        <f>(1.84+1.31)/2</f>
        <v>1.5750000000000002</v>
      </c>
      <c r="G380" s="485"/>
      <c r="H380" s="487">
        <f t="shared" si="45"/>
        <v>0.94500000000000006</v>
      </c>
    </row>
    <row r="381" spans="1:8">
      <c r="A381" s="485"/>
      <c r="B381" s="485"/>
      <c r="C381" s="17" t="s">
        <v>10</v>
      </c>
      <c r="D381" s="485">
        <v>1</v>
      </c>
      <c r="E381" s="485">
        <v>0.9</v>
      </c>
      <c r="F381" s="485">
        <f>(2.546+1.66)/2</f>
        <v>2.1029999999999998</v>
      </c>
      <c r="G381" s="485"/>
      <c r="H381" s="487">
        <f t="shared" si="45"/>
        <v>1.8926999999999998</v>
      </c>
    </row>
    <row r="382" spans="1:8">
      <c r="A382" s="485"/>
      <c r="B382" s="485" t="s">
        <v>1974</v>
      </c>
      <c r="C382" s="17" t="s">
        <v>10</v>
      </c>
      <c r="D382" s="485">
        <v>1</v>
      </c>
      <c r="E382" s="485">
        <v>34</v>
      </c>
      <c r="F382" s="485">
        <v>1.8</v>
      </c>
      <c r="G382" s="485"/>
      <c r="H382" s="487">
        <f t="shared" si="45"/>
        <v>61.2</v>
      </c>
    </row>
    <row r="383" spans="1:8">
      <c r="A383" s="485"/>
      <c r="B383" s="485"/>
      <c r="C383" s="17" t="s">
        <v>10</v>
      </c>
      <c r="D383" s="485">
        <v>0.5</v>
      </c>
      <c r="E383" s="485">
        <v>3.6</v>
      </c>
      <c r="F383" s="485">
        <v>1.8</v>
      </c>
      <c r="G383" s="485"/>
      <c r="H383" s="487">
        <f t="shared" si="45"/>
        <v>3.24</v>
      </c>
    </row>
    <row r="384" spans="1:8">
      <c r="A384" s="485"/>
      <c r="B384" s="485" t="s">
        <v>1914</v>
      </c>
      <c r="C384" s="17" t="s">
        <v>10</v>
      </c>
      <c r="D384" s="485">
        <v>1</v>
      </c>
      <c r="E384" s="485">
        <v>22.05</v>
      </c>
      <c r="F384" s="485">
        <v>1.8</v>
      </c>
      <c r="G384" s="485"/>
      <c r="H384" s="487">
        <f t="shared" si="45"/>
        <v>39.690000000000005</v>
      </c>
    </row>
    <row r="385" spans="1:8">
      <c r="A385" s="485"/>
      <c r="B385" s="485"/>
      <c r="C385" s="17" t="s">
        <v>10</v>
      </c>
      <c r="D385" s="485">
        <v>1</v>
      </c>
      <c r="E385" s="485">
        <v>5.25</v>
      </c>
      <c r="F385" s="485">
        <v>2.65</v>
      </c>
      <c r="G385" s="485"/>
      <c r="H385" s="487">
        <f t="shared" si="45"/>
        <v>13.9125</v>
      </c>
    </row>
    <row r="386" spans="1:8">
      <c r="A386" s="485"/>
      <c r="B386" s="485" t="s">
        <v>1915</v>
      </c>
      <c r="C386" s="17" t="s">
        <v>10</v>
      </c>
      <c r="D386" s="485">
        <v>1</v>
      </c>
      <c r="E386" s="485">
        <v>16.45</v>
      </c>
      <c r="F386" s="485">
        <v>1.75</v>
      </c>
      <c r="G386" s="485"/>
      <c r="H386" s="487">
        <f t="shared" si="45"/>
        <v>28.787499999999998</v>
      </c>
    </row>
    <row r="387" spans="1:8">
      <c r="A387" s="485"/>
      <c r="B387" s="485"/>
      <c r="C387" s="17" t="s">
        <v>10</v>
      </c>
      <c r="D387" s="485">
        <v>-1</v>
      </c>
      <c r="E387" s="485">
        <v>0.85</v>
      </c>
      <c r="F387" s="485">
        <v>0.9</v>
      </c>
      <c r="G387" s="485"/>
      <c r="H387" s="487">
        <f t="shared" si="45"/>
        <v>-0.76500000000000001</v>
      </c>
    </row>
    <row r="388" spans="1:8">
      <c r="A388" s="485"/>
      <c r="B388" s="485"/>
      <c r="C388" s="17" t="s">
        <v>10</v>
      </c>
      <c r="D388" s="485">
        <v>-1</v>
      </c>
      <c r="E388" s="485">
        <v>0.85</v>
      </c>
      <c r="F388" s="485">
        <v>1</v>
      </c>
      <c r="G388" s="485"/>
      <c r="H388" s="487">
        <f t="shared" si="45"/>
        <v>-0.85</v>
      </c>
    </row>
    <row r="389" spans="1:8">
      <c r="A389" s="485"/>
      <c r="B389" s="485" t="s">
        <v>1975</v>
      </c>
      <c r="C389" s="17" t="s">
        <v>10</v>
      </c>
      <c r="D389" s="485">
        <v>1</v>
      </c>
      <c r="E389" s="485">
        <v>24.1</v>
      </c>
      <c r="F389" s="485">
        <v>1.8</v>
      </c>
      <c r="G389" s="485"/>
      <c r="H389" s="487">
        <f t="shared" si="45"/>
        <v>43.38</v>
      </c>
    </row>
    <row r="390" spans="1:8">
      <c r="A390" s="485"/>
      <c r="B390" s="485" t="s">
        <v>1976</v>
      </c>
      <c r="C390" s="17" t="s">
        <v>10</v>
      </c>
      <c r="D390" s="485">
        <v>0.5</v>
      </c>
      <c r="E390" s="485">
        <v>1.42</v>
      </c>
      <c r="F390" s="485">
        <v>2.85</v>
      </c>
      <c r="G390" s="485"/>
      <c r="H390" s="487">
        <f t="shared" si="45"/>
        <v>2.0234999999999999</v>
      </c>
    </row>
    <row r="391" spans="1:8">
      <c r="A391" s="485"/>
      <c r="B391" s="485" t="s">
        <v>1414</v>
      </c>
      <c r="C391" s="17" t="s">
        <v>10</v>
      </c>
      <c r="D391" s="485">
        <v>1</v>
      </c>
      <c r="E391" s="485">
        <v>7.5</v>
      </c>
      <c r="F391" s="485">
        <v>0.5</v>
      </c>
      <c r="G391" s="485"/>
      <c r="H391" s="487">
        <f t="shared" si="45"/>
        <v>3.75</v>
      </c>
    </row>
    <row r="392" spans="1:8">
      <c r="A392" s="485"/>
      <c r="B392" s="485"/>
      <c r="C392" s="17" t="s">
        <v>10</v>
      </c>
      <c r="D392" s="485">
        <v>0.5</v>
      </c>
      <c r="E392" s="485">
        <v>6.8</v>
      </c>
      <c r="F392" s="485">
        <v>3.57</v>
      </c>
      <c r="G392" s="485"/>
      <c r="H392" s="487">
        <f t="shared" si="45"/>
        <v>12.138</v>
      </c>
    </row>
    <row r="393" spans="1:8">
      <c r="A393" s="485"/>
      <c r="B393" s="485" t="s">
        <v>1977</v>
      </c>
      <c r="C393" s="17" t="s">
        <v>10</v>
      </c>
      <c r="D393" s="485">
        <v>1</v>
      </c>
      <c r="E393" s="485">
        <v>13.41</v>
      </c>
      <c r="F393" s="485">
        <v>1.8</v>
      </c>
      <c r="G393" s="485"/>
      <c r="H393" s="487">
        <f t="shared" si="45"/>
        <v>24.138000000000002</v>
      </c>
    </row>
    <row r="394" spans="1:8">
      <c r="A394" s="485"/>
      <c r="B394" s="485" t="s">
        <v>1978</v>
      </c>
      <c r="C394" s="17" t="s">
        <v>10</v>
      </c>
      <c r="D394" s="485">
        <v>1</v>
      </c>
      <c r="E394" s="485">
        <v>4.55</v>
      </c>
      <c r="F394" s="485">
        <v>2.15</v>
      </c>
      <c r="G394" s="485"/>
      <c r="H394" s="487">
        <f t="shared" si="45"/>
        <v>9.7824999999999989</v>
      </c>
    </row>
    <row r="395" spans="1:8">
      <c r="A395" s="485"/>
      <c r="B395" s="485" t="s">
        <v>1959</v>
      </c>
      <c r="C395" s="17" t="s">
        <v>10</v>
      </c>
      <c r="D395" s="485">
        <v>1</v>
      </c>
      <c r="E395" s="485">
        <v>5.75</v>
      </c>
      <c r="F395" s="485">
        <v>1.55</v>
      </c>
      <c r="G395" s="485"/>
      <c r="H395" s="487">
        <f t="shared" si="45"/>
        <v>8.9124999999999996</v>
      </c>
    </row>
    <row r="396" spans="1:8">
      <c r="A396" s="485"/>
      <c r="B396" s="485" t="s">
        <v>1960</v>
      </c>
      <c r="C396" s="17" t="s">
        <v>10</v>
      </c>
      <c r="D396" s="485">
        <v>1</v>
      </c>
      <c r="E396" s="485">
        <v>6.1</v>
      </c>
      <c r="F396" s="485">
        <v>1.5</v>
      </c>
      <c r="G396" s="485"/>
      <c r="H396" s="487">
        <f t="shared" si="45"/>
        <v>9.1499999999999986</v>
      </c>
    </row>
    <row r="397" spans="1:8">
      <c r="A397" s="485"/>
      <c r="B397" s="485" t="s">
        <v>190</v>
      </c>
      <c r="C397" s="17" t="s">
        <v>10</v>
      </c>
      <c r="D397" s="485">
        <v>1</v>
      </c>
      <c r="E397" s="485">
        <v>1.9</v>
      </c>
      <c r="F397" s="485">
        <v>1.9</v>
      </c>
      <c r="G397" s="485"/>
      <c r="H397" s="487">
        <f t="shared" si="45"/>
        <v>3.61</v>
      </c>
    </row>
    <row r="398" spans="1:8">
      <c r="A398" s="485"/>
      <c r="B398" s="485" t="s">
        <v>1979</v>
      </c>
      <c r="C398" s="17" t="s">
        <v>10</v>
      </c>
      <c r="D398" s="485">
        <v>1</v>
      </c>
      <c r="E398" s="485">
        <v>15.9</v>
      </c>
      <c r="F398" s="485">
        <v>1.8</v>
      </c>
      <c r="G398" s="485"/>
      <c r="H398" s="487">
        <f t="shared" si="45"/>
        <v>28.62</v>
      </c>
    </row>
    <row r="399" spans="1:8">
      <c r="A399" s="485"/>
      <c r="B399" s="485" t="s">
        <v>1980</v>
      </c>
      <c r="C399" s="17" t="s">
        <v>10</v>
      </c>
      <c r="D399" s="485">
        <v>1</v>
      </c>
      <c r="E399" s="485">
        <v>2.5499999999999998</v>
      </c>
      <c r="F399" s="485">
        <v>2.5299999999999998</v>
      </c>
      <c r="G399" s="485"/>
      <c r="H399" s="487">
        <f t="shared" si="45"/>
        <v>6.4514999999999993</v>
      </c>
    </row>
    <row r="400" spans="1:8">
      <c r="A400" s="485"/>
      <c r="B400" s="485"/>
      <c r="C400" s="17" t="s">
        <v>10</v>
      </c>
      <c r="D400" s="485">
        <v>-1</v>
      </c>
      <c r="E400" s="485">
        <v>1.075</v>
      </c>
      <c r="F400" s="485">
        <v>1.175</v>
      </c>
      <c r="G400" s="485"/>
      <c r="H400" s="487">
        <f t="shared" si="45"/>
        <v>-1.2631250000000001</v>
      </c>
    </row>
    <row r="401" spans="1:8">
      <c r="A401" s="485"/>
      <c r="B401" s="485" t="s">
        <v>186</v>
      </c>
      <c r="C401" s="17" t="s">
        <v>10</v>
      </c>
      <c r="D401" s="485">
        <v>1</v>
      </c>
      <c r="E401" s="485">
        <v>28.8</v>
      </c>
      <c r="F401" s="485">
        <v>1.8</v>
      </c>
      <c r="G401" s="485"/>
      <c r="H401" s="487">
        <f t="shared" si="45"/>
        <v>51.84</v>
      </c>
    </row>
    <row r="402" spans="1:8">
      <c r="A402" s="485"/>
      <c r="B402" s="485" t="s">
        <v>297</v>
      </c>
      <c r="C402" s="17" t="s">
        <v>10</v>
      </c>
      <c r="D402" s="485">
        <v>1</v>
      </c>
      <c r="E402" s="485">
        <v>5.452</v>
      </c>
      <c r="F402" s="485">
        <v>2.5499999999999998</v>
      </c>
      <c r="G402" s="485"/>
      <c r="H402" s="487">
        <f t="shared" si="45"/>
        <v>13.9026</v>
      </c>
    </row>
    <row r="403" spans="1:8">
      <c r="A403" s="485"/>
      <c r="B403" s="485" t="s">
        <v>1981</v>
      </c>
      <c r="C403" s="17" t="s">
        <v>10</v>
      </c>
      <c r="D403" s="485">
        <v>1</v>
      </c>
      <c r="E403" s="485">
        <v>1.4</v>
      </c>
      <c r="F403" s="485">
        <v>0.875</v>
      </c>
      <c r="G403" s="485"/>
      <c r="H403" s="487">
        <f t="shared" si="45"/>
        <v>1.2249999999999999</v>
      </c>
    </row>
    <row r="404" spans="1:8">
      <c r="A404" s="485"/>
      <c r="B404" s="485" t="s">
        <v>192</v>
      </c>
      <c r="C404" s="17" t="s">
        <v>10</v>
      </c>
      <c r="D404" s="485">
        <v>1</v>
      </c>
      <c r="E404" s="485">
        <v>6.1</v>
      </c>
      <c r="F404" s="485">
        <v>2.5499999999999998</v>
      </c>
      <c r="G404" s="485"/>
      <c r="H404" s="487">
        <f t="shared" si="45"/>
        <v>15.554999999999998</v>
      </c>
    </row>
    <row r="405" spans="1:8">
      <c r="A405" s="485"/>
      <c r="B405" s="485" t="s">
        <v>285</v>
      </c>
      <c r="C405" s="17" t="s">
        <v>10</v>
      </c>
      <c r="D405" s="485">
        <v>-1</v>
      </c>
      <c r="E405" s="485">
        <v>1.2</v>
      </c>
      <c r="F405" s="485">
        <v>2.6749999999999998</v>
      </c>
      <c r="G405" s="485"/>
      <c r="H405" s="487">
        <f t="shared" si="45"/>
        <v>-3.2099999999999995</v>
      </c>
    </row>
    <row r="406" spans="1:8">
      <c r="A406" s="485"/>
      <c r="B406" s="485"/>
      <c r="C406" s="17" t="s">
        <v>10</v>
      </c>
      <c r="D406" s="485">
        <v>1</v>
      </c>
      <c r="E406" s="485">
        <v>1.1000000000000001</v>
      </c>
      <c r="F406" s="485">
        <v>1.5</v>
      </c>
      <c r="G406" s="485"/>
      <c r="H406" s="487">
        <f t="shared" si="45"/>
        <v>1.6500000000000001</v>
      </c>
    </row>
    <row r="407" spans="1:8">
      <c r="A407" s="485"/>
      <c r="B407" s="485"/>
      <c r="C407" s="17" t="s">
        <v>10</v>
      </c>
      <c r="D407" s="485">
        <v>1</v>
      </c>
      <c r="E407" s="485">
        <v>3.4</v>
      </c>
      <c r="F407" s="485">
        <v>1.7</v>
      </c>
      <c r="G407" s="485"/>
      <c r="H407" s="487">
        <f t="shared" si="45"/>
        <v>5.7799999999999994</v>
      </c>
    </row>
    <row r="408" spans="1:8">
      <c r="A408" s="485"/>
      <c r="B408" s="485" t="s">
        <v>1982</v>
      </c>
      <c r="C408" s="17" t="s">
        <v>10</v>
      </c>
      <c r="D408" s="485">
        <v>1</v>
      </c>
      <c r="E408" s="485">
        <v>24.57</v>
      </c>
      <c r="F408" s="485">
        <v>1.8</v>
      </c>
      <c r="G408" s="485"/>
      <c r="H408" s="487">
        <f t="shared" si="45"/>
        <v>44.225999999999999</v>
      </c>
    </row>
    <row r="409" spans="1:8">
      <c r="A409" s="485"/>
      <c r="B409" s="485" t="s">
        <v>1960</v>
      </c>
      <c r="C409" s="17" t="s">
        <v>10</v>
      </c>
      <c r="D409" s="485">
        <v>1</v>
      </c>
      <c r="E409" s="485">
        <v>16.399999999999999</v>
      </c>
      <c r="F409" s="485">
        <v>1.8</v>
      </c>
      <c r="G409" s="485"/>
      <c r="H409" s="487">
        <f t="shared" si="45"/>
        <v>29.52</v>
      </c>
    </row>
    <row r="410" spans="1:8">
      <c r="A410" s="485"/>
      <c r="B410" s="485" t="s">
        <v>1983</v>
      </c>
      <c r="C410" s="17" t="s">
        <v>10</v>
      </c>
      <c r="D410" s="485">
        <v>1</v>
      </c>
      <c r="E410" s="485">
        <v>5.0999999999999996</v>
      </c>
      <c r="F410" s="485">
        <v>1.8</v>
      </c>
      <c r="G410" s="485"/>
      <c r="H410" s="487">
        <f t="shared" si="45"/>
        <v>9.18</v>
      </c>
    </row>
    <row r="411" spans="1:8">
      <c r="A411" s="485"/>
      <c r="B411" s="485" t="s">
        <v>1959</v>
      </c>
      <c r="C411" s="17" t="s">
        <v>10</v>
      </c>
      <c r="D411" s="485">
        <v>1</v>
      </c>
      <c r="E411" s="485">
        <v>5.75</v>
      </c>
      <c r="F411" s="485">
        <v>1.5</v>
      </c>
      <c r="G411" s="485"/>
      <c r="H411" s="487">
        <f t="shared" si="45"/>
        <v>8.625</v>
      </c>
    </row>
    <row r="412" spans="1:8">
      <c r="A412" s="485"/>
      <c r="B412" s="485" t="s">
        <v>1959</v>
      </c>
      <c r="C412" s="17" t="s">
        <v>10</v>
      </c>
      <c r="D412" s="485">
        <v>0.5</v>
      </c>
      <c r="E412" s="485">
        <v>0.85</v>
      </c>
      <c r="F412" s="485">
        <v>0.84</v>
      </c>
      <c r="G412" s="485"/>
      <c r="H412" s="487">
        <f t="shared" si="45"/>
        <v>0.35699999999999998</v>
      </c>
    </row>
    <row r="413" spans="1:8">
      <c r="A413" s="485"/>
      <c r="B413" s="485" t="s">
        <v>1959</v>
      </c>
      <c r="C413" s="17" t="s">
        <v>10</v>
      </c>
      <c r="D413" s="485">
        <v>0.5</v>
      </c>
      <c r="E413" s="485">
        <v>1.1499999999999999</v>
      </c>
      <c r="F413" s="485">
        <v>1.1499999999999999</v>
      </c>
      <c r="G413" s="485"/>
      <c r="H413" s="487">
        <f t="shared" si="45"/>
        <v>0.66124999999999989</v>
      </c>
    </row>
    <row r="414" spans="1:8">
      <c r="A414" s="485"/>
      <c r="B414" s="485" t="s">
        <v>1959</v>
      </c>
      <c r="C414" s="17" t="s">
        <v>10</v>
      </c>
      <c r="D414" s="485">
        <v>1</v>
      </c>
      <c r="E414" s="485">
        <v>1.61</v>
      </c>
      <c r="F414" s="485">
        <v>2</v>
      </c>
      <c r="G414" s="485"/>
      <c r="H414" s="487">
        <f t="shared" si="45"/>
        <v>3.22</v>
      </c>
    </row>
    <row r="415" spans="1:8">
      <c r="A415" s="485"/>
      <c r="B415" s="485" t="s">
        <v>1959</v>
      </c>
      <c r="C415" s="17" t="s">
        <v>10</v>
      </c>
      <c r="D415" s="485">
        <v>1</v>
      </c>
      <c r="E415" s="485">
        <v>0.1</v>
      </c>
      <c r="F415" s="485">
        <v>0.8</v>
      </c>
      <c r="G415" s="485"/>
      <c r="H415" s="487">
        <f t="shared" si="45"/>
        <v>8.0000000000000016E-2</v>
      </c>
    </row>
    <row r="416" spans="1:8">
      <c r="A416" s="485"/>
      <c r="B416" s="485"/>
      <c r="C416" s="17" t="s">
        <v>10</v>
      </c>
      <c r="D416" s="485">
        <v>0.5</v>
      </c>
      <c r="E416" s="485">
        <v>3.4449999999999998</v>
      </c>
      <c r="F416" s="485">
        <v>1.68</v>
      </c>
      <c r="G416" s="485"/>
      <c r="H416" s="487">
        <f t="shared" si="45"/>
        <v>2.8937999999999997</v>
      </c>
    </row>
    <row r="417" spans="1:8">
      <c r="A417" s="485"/>
      <c r="B417" s="485" t="s">
        <v>1927</v>
      </c>
      <c r="C417" s="17" t="s">
        <v>10</v>
      </c>
      <c r="D417" s="485">
        <v>0.5</v>
      </c>
      <c r="E417" s="485">
        <v>7.5</v>
      </c>
      <c r="F417" s="485">
        <v>3.95</v>
      </c>
      <c r="G417" s="485"/>
      <c r="H417" s="487">
        <f t="shared" ref="H417:H419" si="46">PRODUCT(D417:G417)</f>
        <v>14.8125</v>
      </c>
    </row>
    <row r="418" spans="1:8">
      <c r="A418" s="485"/>
      <c r="B418" s="485"/>
      <c r="C418" s="17" t="s">
        <v>10</v>
      </c>
      <c r="D418" s="485">
        <v>0.5</v>
      </c>
      <c r="E418" s="485">
        <v>2.93</v>
      </c>
      <c r="F418" s="485">
        <v>1.42</v>
      </c>
      <c r="G418" s="485"/>
      <c r="H418" s="487">
        <f t="shared" si="46"/>
        <v>2.0802999999999998</v>
      </c>
    </row>
    <row r="419" spans="1:8">
      <c r="A419" s="485"/>
      <c r="B419" s="485"/>
      <c r="C419" s="17" t="s">
        <v>10</v>
      </c>
      <c r="D419" s="485">
        <v>0.5</v>
      </c>
      <c r="E419" s="485">
        <v>19.399999999999999</v>
      </c>
      <c r="F419" s="485">
        <v>9.6999999999999993</v>
      </c>
      <c r="G419" s="485"/>
      <c r="H419" s="487">
        <f t="shared" si="46"/>
        <v>94.089999999999989</v>
      </c>
    </row>
    <row r="420" spans="1:8">
      <c r="A420" s="485"/>
      <c r="B420" s="485" t="s">
        <v>186</v>
      </c>
      <c r="C420" s="17" t="s">
        <v>10</v>
      </c>
      <c r="D420" s="485">
        <v>1</v>
      </c>
      <c r="E420" s="485">
        <v>5.45</v>
      </c>
      <c r="F420" s="485">
        <v>5.05</v>
      </c>
      <c r="G420" s="485"/>
      <c r="H420" s="487">
        <f t="shared" ref="H420" si="47">PRODUCT(D420:G420)</f>
        <v>27.522500000000001</v>
      </c>
    </row>
    <row r="421" spans="1:8">
      <c r="A421" s="485"/>
      <c r="B421" s="485"/>
      <c r="C421" s="17" t="s">
        <v>10</v>
      </c>
      <c r="D421" s="485">
        <v>0.5</v>
      </c>
      <c r="E421" s="485">
        <v>7.56</v>
      </c>
      <c r="F421" s="485">
        <v>3.78</v>
      </c>
      <c r="G421" s="485"/>
      <c r="H421" s="487">
        <f t="shared" ref="H421:H422" si="48">PRODUCT(D421:G421)</f>
        <v>14.288399999999999</v>
      </c>
    </row>
    <row r="422" spans="1:8">
      <c r="A422" s="485"/>
      <c r="B422" s="485"/>
      <c r="C422" s="17" t="s">
        <v>10</v>
      </c>
      <c r="D422" s="485">
        <v>1</v>
      </c>
      <c r="E422" s="485">
        <v>3.45</v>
      </c>
      <c r="F422" s="485">
        <v>0.6</v>
      </c>
      <c r="G422" s="485"/>
      <c r="H422" s="487">
        <f t="shared" si="48"/>
        <v>2.0699999999999998</v>
      </c>
    </row>
    <row r="423" spans="1:8">
      <c r="A423" s="485"/>
      <c r="B423" s="485" t="s">
        <v>1928</v>
      </c>
      <c r="C423" s="17" t="s">
        <v>10</v>
      </c>
      <c r="D423" s="485">
        <v>1</v>
      </c>
      <c r="E423" s="485">
        <v>7.7</v>
      </c>
      <c r="F423" s="485">
        <f>(9.64+1.94)/2</f>
        <v>5.79</v>
      </c>
      <c r="G423" s="485"/>
      <c r="H423" s="487">
        <f t="shared" ref="H423:H428" si="49">PRODUCT(D423:G423)</f>
        <v>44.582999999999998</v>
      </c>
    </row>
    <row r="424" spans="1:8">
      <c r="A424" s="485"/>
      <c r="B424" s="485"/>
      <c r="C424" s="17" t="s">
        <v>10</v>
      </c>
      <c r="D424" s="485">
        <v>1</v>
      </c>
      <c r="E424" s="485">
        <v>8.9339999999999993</v>
      </c>
      <c r="F424" s="485">
        <f>1.56</f>
        <v>1.56</v>
      </c>
      <c r="G424" s="485"/>
      <c r="H424" s="487">
        <f t="shared" si="49"/>
        <v>13.93704</v>
      </c>
    </row>
    <row r="425" spans="1:8">
      <c r="A425" s="485"/>
      <c r="B425" s="485"/>
      <c r="C425" s="17" t="s">
        <v>10</v>
      </c>
      <c r="D425" s="485">
        <v>0.5</v>
      </c>
      <c r="E425" s="485">
        <v>2.6</v>
      </c>
      <c r="F425" s="485">
        <v>8.35</v>
      </c>
      <c r="G425" s="485"/>
      <c r="H425" s="487">
        <f t="shared" si="49"/>
        <v>10.855</v>
      </c>
    </row>
    <row r="426" spans="1:8">
      <c r="A426" s="485"/>
      <c r="B426" s="485"/>
      <c r="C426" s="17" t="s">
        <v>10</v>
      </c>
      <c r="D426" s="485">
        <v>0.5</v>
      </c>
      <c r="E426" s="485">
        <v>2.68</v>
      </c>
      <c r="F426" s="485">
        <v>1.35</v>
      </c>
      <c r="G426" s="485"/>
      <c r="H426" s="487">
        <f t="shared" si="49"/>
        <v>1.8090000000000002</v>
      </c>
    </row>
    <row r="427" spans="1:8">
      <c r="A427" s="485"/>
      <c r="B427" s="485"/>
      <c r="C427" s="17" t="s">
        <v>10</v>
      </c>
      <c r="D427" s="485">
        <v>1</v>
      </c>
      <c r="E427" s="485">
        <v>0.6</v>
      </c>
      <c r="F427" s="485">
        <f>(1.17+0.6)/2</f>
        <v>0.88500000000000001</v>
      </c>
      <c r="G427" s="485"/>
      <c r="H427" s="487">
        <f t="shared" si="49"/>
        <v>0.53100000000000003</v>
      </c>
    </row>
    <row r="428" spans="1:8">
      <c r="A428" s="485"/>
      <c r="B428" s="485"/>
      <c r="C428" s="17" t="s">
        <v>10</v>
      </c>
      <c r="D428" s="485">
        <v>0.5</v>
      </c>
      <c r="E428" s="485">
        <v>1.98</v>
      </c>
      <c r="F428" s="485">
        <v>1</v>
      </c>
      <c r="G428" s="485"/>
      <c r="H428" s="487">
        <f t="shared" si="49"/>
        <v>0.99</v>
      </c>
    </row>
    <row r="429" spans="1:8">
      <c r="A429" s="485"/>
      <c r="B429" s="485" t="s">
        <v>1932</v>
      </c>
      <c r="C429" s="17" t="s">
        <v>10</v>
      </c>
      <c r="D429" s="485">
        <v>0.5</v>
      </c>
      <c r="E429" s="485">
        <v>9.16</v>
      </c>
      <c r="F429" s="485">
        <v>4.7</v>
      </c>
      <c r="G429" s="485"/>
      <c r="H429" s="487">
        <f t="shared" ref="H429:H430" si="50">PRODUCT(D429:G429)</f>
        <v>21.526</v>
      </c>
    </row>
    <row r="430" spans="1:8">
      <c r="A430" s="485"/>
      <c r="B430" s="485"/>
      <c r="C430" s="17" t="s">
        <v>10</v>
      </c>
      <c r="D430" s="485">
        <v>0.5</v>
      </c>
      <c r="E430" s="485">
        <v>4.24</v>
      </c>
      <c r="F430" s="485">
        <v>4.05</v>
      </c>
      <c r="G430" s="485"/>
      <c r="H430" s="487">
        <f t="shared" si="50"/>
        <v>8.5860000000000003</v>
      </c>
    </row>
    <row r="431" spans="1:8">
      <c r="A431" s="485"/>
      <c r="B431" s="485"/>
      <c r="C431" s="485"/>
      <c r="D431" s="485"/>
      <c r="E431" s="485"/>
      <c r="F431" s="485"/>
      <c r="G431" s="485"/>
      <c r="H431" s="487"/>
    </row>
    <row r="432" spans="1:8">
      <c r="A432" s="17"/>
      <c r="B432" s="17"/>
      <c r="C432" s="17"/>
      <c r="D432" s="17"/>
      <c r="E432" s="17"/>
      <c r="F432" s="17"/>
      <c r="G432" s="17"/>
      <c r="H432" s="18"/>
    </row>
    <row r="433" spans="1:8">
      <c r="A433" s="15"/>
      <c r="B433" s="15" t="s">
        <v>21</v>
      </c>
      <c r="C433" s="15"/>
      <c r="D433" s="15"/>
      <c r="E433" s="15"/>
      <c r="F433" s="15"/>
      <c r="G433" s="15"/>
      <c r="H433" s="20">
        <f>SUM(H365:H432)</f>
        <v>927.06475399999988</v>
      </c>
    </row>
    <row r="434" spans="1:8">
      <c r="A434" s="17"/>
      <c r="B434" s="17" t="s">
        <v>22</v>
      </c>
      <c r="C434" s="17"/>
      <c r="D434" s="17"/>
      <c r="E434" s="17"/>
      <c r="F434" s="17"/>
      <c r="G434" s="17"/>
      <c r="H434" s="18"/>
    </row>
    <row r="435" spans="1:8">
      <c r="A435" s="15"/>
      <c r="B435" s="15" t="s">
        <v>23</v>
      </c>
      <c r="C435" s="15"/>
      <c r="D435" s="15"/>
      <c r="E435" s="15"/>
      <c r="F435" s="15"/>
      <c r="G435" s="15"/>
      <c r="H435" s="20">
        <f>ROUND(SUM(H433:H434),0)</f>
        <v>927</v>
      </c>
    </row>
    <row r="436" spans="1:8">
      <c r="A436" s="17"/>
      <c r="B436" s="17"/>
      <c r="C436" s="17"/>
      <c r="D436" s="17"/>
      <c r="E436" s="17"/>
      <c r="F436" s="17"/>
      <c r="G436" s="17"/>
      <c r="H436" s="18"/>
    </row>
    <row r="437" spans="1:8">
      <c r="A437" s="17">
        <v>3</v>
      </c>
      <c r="B437" s="15" t="s">
        <v>29</v>
      </c>
      <c r="C437" s="17" t="s">
        <v>16</v>
      </c>
      <c r="D437" s="17"/>
      <c r="E437" s="17"/>
      <c r="F437" s="17"/>
      <c r="G437" s="17"/>
      <c r="H437" s="18"/>
    </row>
    <row r="438" spans="1:8">
      <c r="A438" s="17"/>
      <c r="B438" s="17"/>
      <c r="C438" s="17"/>
      <c r="D438" s="17"/>
      <c r="E438" s="17"/>
      <c r="F438" s="17"/>
      <c r="G438" s="17"/>
      <c r="H438" s="18"/>
    </row>
    <row r="439" spans="1:8">
      <c r="A439" s="17"/>
      <c r="B439" s="17" t="s">
        <v>1189</v>
      </c>
      <c r="C439" s="17" t="s">
        <v>10</v>
      </c>
      <c r="D439" s="17">
        <v>1</v>
      </c>
      <c r="E439" s="17">
        <v>35.450000000000003</v>
      </c>
      <c r="F439" s="17">
        <v>1.85</v>
      </c>
      <c r="G439" s="17"/>
      <c r="H439" s="18">
        <f t="shared" ref="H439:H495" si="51">PRODUCT(D439:G439)</f>
        <v>65.58250000000001</v>
      </c>
    </row>
    <row r="440" spans="1:8">
      <c r="A440" s="17"/>
      <c r="B440" s="17" t="s">
        <v>190</v>
      </c>
      <c r="C440" s="17" t="s">
        <v>10</v>
      </c>
      <c r="D440" s="17">
        <v>1</v>
      </c>
      <c r="E440" s="17">
        <v>6.7</v>
      </c>
      <c r="F440" s="17">
        <v>2.2000000000000002</v>
      </c>
      <c r="G440" s="17"/>
      <c r="H440" s="18">
        <f t="shared" si="51"/>
        <v>14.740000000000002</v>
      </c>
    </row>
    <row r="441" spans="1:8">
      <c r="A441" s="17"/>
      <c r="B441" s="17"/>
      <c r="C441" s="17" t="s">
        <v>10</v>
      </c>
      <c r="D441" s="17">
        <v>1</v>
      </c>
      <c r="E441" s="17">
        <v>1.1000000000000001</v>
      </c>
      <c r="F441" s="17">
        <v>2.0499999999999998</v>
      </c>
      <c r="G441" s="17"/>
      <c r="H441" s="18">
        <f t="shared" si="51"/>
        <v>2.2549999999999999</v>
      </c>
    </row>
    <row r="442" spans="1:8">
      <c r="A442" s="485"/>
      <c r="B442" s="485"/>
      <c r="C442" s="17" t="s">
        <v>10</v>
      </c>
      <c r="D442" s="485">
        <v>1</v>
      </c>
      <c r="E442" s="485">
        <v>1.375</v>
      </c>
      <c r="F442" s="485">
        <v>1.42</v>
      </c>
      <c r="G442" s="485"/>
      <c r="H442" s="18">
        <f t="shared" si="51"/>
        <v>1.9524999999999999</v>
      </c>
    </row>
    <row r="443" spans="1:8">
      <c r="A443" s="17"/>
      <c r="B443" s="17" t="s">
        <v>1190</v>
      </c>
      <c r="C443" s="17" t="s">
        <v>10</v>
      </c>
      <c r="D443" s="17">
        <v>0.5</v>
      </c>
      <c r="E443" s="17">
        <v>2.67</v>
      </c>
      <c r="F443" s="17">
        <v>5.34</v>
      </c>
      <c r="G443" s="17"/>
      <c r="H443" s="18">
        <f t="shared" si="51"/>
        <v>7.1288999999999998</v>
      </c>
    </row>
    <row r="444" spans="1:8">
      <c r="A444" s="17"/>
      <c r="B444" s="17" t="s">
        <v>1191</v>
      </c>
      <c r="C444" s="17" t="s">
        <v>10</v>
      </c>
      <c r="D444" s="17">
        <v>0.5</v>
      </c>
      <c r="E444" s="17">
        <v>5.07</v>
      </c>
      <c r="F444" s="17">
        <v>2.5299999999999998</v>
      </c>
      <c r="G444" s="17"/>
      <c r="H444" s="18">
        <f t="shared" si="51"/>
        <v>6.4135499999999999</v>
      </c>
    </row>
    <row r="445" spans="1:8">
      <c r="A445" s="485"/>
      <c r="B445" s="485" t="s">
        <v>196</v>
      </c>
      <c r="C445" s="17" t="s">
        <v>10</v>
      </c>
      <c r="D445" s="17">
        <v>0.5</v>
      </c>
      <c r="E445" s="17">
        <v>5.05</v>
      </c>
      <c r="F445" s="17">
        <v>2.5</v>
      </c>
      <c r="G445" s="17"/>
      <c r="H445" s="18">
        <f t="shared" si="51"/>
        <v>6.3125</v>
      </c>
    </row>
    <row r="446" spans="1:8">
      <c r="A446" s="17"/>
      <c r="B446" s="17" t="s">
        <v>192</v>
      </c>
      <c r="C446" s="17" t="s">
        <v>10</v>
      </c>
      <c r="D446" s="17">
        <v>1</v>
      </c>
      <c r="E446" s="17">
        <v>4.99</v>
      </c>
      <c r="F446" s="17">
        <v>2.6</v>
      </c>
      <c r="G446" s="17"/>
      <c r="H446" s="18">
        <f t="shared" si="51"/>
        <v>12.974</v>
      </c>
    </row>
    <row r="447" spans="1:8">
      <c r="A447" s="17"/>
      <c r="B447" s="17"/>
      <c r="C447" s="17" t="s">
        <v>10</v>
      </c>
      <c r="D447" s="17">
        <v>1</v>
      </c>
      <c r="E447" s="17">
        <v>1.4</v>
      </c>
      <c r="F447" s="17">
        <v>1.54</v>
      </c>
      <c r="G447" s="17"/>
      <c r="H447" s="18">
        <f t="shared" si="51"/>
        <v>2.1559999999999997</v>
      </c>
    </row>
    <row r="448" spans="1:8">
      <c r="A448" s="485"/>
      <c r="B448" s="485"/>
      <c r="C448" s="17" t="s">
        <v>10</v>
      </c>
      <c r="D448" s="17">
        <v>-1</v>
      </c>
      <c r="E448" s="17">
        <v>0.7</v>
      </c>
      <c r="F448" s="17">
        <v>1.19</v>
      </c>
      <c r="G448" s="17"/>
      <c r="H448" s="18">
        <f t="shared" si="51"/>
        <v>-0.83299999999999996</v>
      </c>
    </row>
    <row r="449" spans="1:8">
      <c r="A449" s="17"/>
      <c r="B449" s="17" t="s">
        <v>1192</v>
      </c>
      <c r="C449" s="17" t="s">
        <v>10</v>
      </c>
      <c r="D449" s="17">
        <v>1</v>
      </c>
      <c r="E449" s="17">
        <v>11.266</v>
      </c>
      <c r="F449" s="17">
        <v>1.5</v>
      </c>
      <c r="G449" s="17"/>
      <c r="H449" s="18">
        <f t="shared" si="51"/>
        <v>16.899000000000001</v>
      </c>
    </row>
    <row r="450" spans="1:8">
      <c r="A450" s="17"/>
      <c r="B450" s="17" t="s">
        <v>1193</v>
      </c>
      <c r="C450" s="17" t="s">
        <v>10</v>
      </c>
      <c r="D450" s="17">
        <v>1</v>
      </c>
      <c r="E450" s="17">
        <v>1.5569999999999999</v>
      </c>
      <c r="F450" s="17">
        <v>0.92700000000000005</v>
      </c>
      <c r="G450" s="17"/>
      <c r="H450" s="18">
        <f t="shared" si="51"/>
        <v>1.4433389999999999</v>
      </c>
    </row>
    <row r="451" spans="1:8">
      <c r="A451" s="17"/>
      <c r="B451" s="17" t="s">
        <v>1915</v>
      </c>
      <c r="C451" s="17" t="s">
        <v>10</v>
      </c>
      <c r="D451" s="17">
        <v>1</v>
      </c>
      <c r="E451" s="17">
        <v>11.8</v>
      </c>
      <c r="F451" s="17">
        <v>1.5</v>
      </c>
      <c r="G451" s="17"/>
      <c r="H451" s="18">
        <f t="shared" si="51"/>
        <v>17.700000000000003</v>
      </c>
    </row>
    <row r="452" spans="1:8">
      <c r="A452" s="485"/>
      <c r="B452" s="485" t="s">
        <v>1973</v>
      </c>
      <c r="C452" s="17" t="s">
        <v>10</v>
      </c>
      <c r="D452" s="485">
        <v>1</v>
      </c>
      <c r="E452" s="485">
        <v>11.2</v>
      </c>
      <c r="F452" s="485">
        <v>1.5</v>
      </c>
      <c r="G452" s="485"/>
      <c r="H452" s="487">
        <f t="shared" si="51"/>
        <v>16.799999999999997</v>
      </c>
    </row>
    <row r="453" spans="1:8">
      <c r="A453" s="485"/>
      <c r="B453" s="485"/>
      <c r="C453" s="17" t="s">
        <v>10</v>
      </c>
      <c r="D453" s="485">
        <v>1</v>
      </c>
      <c r="E453" s="485">
        <v>0.6</v>
      </c>
      <c r="F453" s="485">
        <f>(1.84+1.31)/2</f>
        <v>1.5750000000000002</v>
      </c>
      <c r="G453" s="485"/>
      <c r="H453" s="487">
        <f t="shared" si="51"/>
        <v>0.94500000000000006</v>
      </c>
    </row>
    <row r="454" spans="1:8">
      <c r="A454" s="485"/>
      <c r="B454" s="485"/>
      <c r="C454" s="17" t="s">
        <v>10</v>
      </c>
      <c r="D454" s="485">
        <v>1</v>
      </c>
      <c r="E454" s="485">
        <v>0.9</v>
      </c>
      <c r="F454" s="485">
        <f>(2.546+1.66)/2</f>
        <v>2.1029999999999998</v>
      </c>
      <c r="G454" s="485"/>
      <c r="H454" s="487">
        <f t="shared" si="51"/>
        <v>1.8926999999999998</v>
      </c>
    </row>
    <row r="455" spans="1:8">
      <c r="A455" s="485"/>
      <c r="B455" s="485" t="s">
        <v>1974</v>
      </c>
      <c r="C455" s="17" t="s">
        <v>10</v>
      </c>
      <c r="D455" s="485">
        <v>1</v>
      </c>
      <c r="E455" s="485">
        <v>34.32</v>
      </c>
      <c r="F455" s="485">
        <v>1.8</v>
      </c>
      <c r="G455" s="485"/>
      <c r="H455" s="487">
        <f t="shared" si="51"/>
        <v>61.776000000000003</v>
      </c>
    </row>
    <row r="456" spans="1:8">
      <c r="A456" s="485"/>
      <c r="B456" s="485"/>
      <c r="C456" s="17" t="s">
        <v>10</v>
      </c>
      <c r="D456" s="485">
        <v>0.5</v>
      </c>
      <c r="E456" s="485">
        <v>3.6</v>
      </c>
      <c r="F456" s="485">
        <v>1.8</v>
      </c>
      <c r="G456" s="485"/>
      <c r="H456" s="487">
        <f t="shared" si="51"/>
        <v>3.24</v>
      </c>
    </row>
    <row r="457" spans="1:8">
      <c r="A457" s="485"/>
      <c r="B457" s="485" t="s">
        <v>1914</v>
      </c>
      <c r="C457" s="17" t="s">
        <v>10</v>
      </c>
      <c r="D457" s="485">
        <v>1</v>
      </c>
      <c r="E457" s="485">
        <v>22.05</v>
      </c>
      <c r="F457" s="485">
        <v>1.8</v>
      </c>
      <c r="G457" s="485"/>
      <c r="H457" s="487">
        <f t="shared" si="51"/>
        <v>39.690000000000005</v>
      </c>
    </row>
    <row r="458" spans="1:8">
      <c r="A458" s="485"/>
      <c r="B458" s="485"/>
      <c r="C458" s="17" t="s">
        <v>10</v>
      </c>
      <c r="D458" s="485">
        <v>1</v>
      </c>
      <c r="E458" s="485">
        <v>5.25</v>
      </c>
      <c r="F458" s="485">
        <v>2.65</v>
      </c>
      <c r="G458" s="485"/>
      <c r="H458" s="487">
        <f t="shared" si="51"/>
        <v>13.9125</v>
      </c>
    </row>
    <row r="459" spans="1:8">
      <c r="A459" s="485"/>
      <c r="B459" s="485" t="s">
        <v>1915</v>
      </c>
      <c r="C459" s="17" t="s">
        <v>10</v>
      </c>
      <c r="D459" s="485">
        <v>1</v>
      </c>
      <c r="E459" s="485">
        <v>16.45</v>
      </c>
      <c r="F459" s="485">
        <v>1.75</v>
      </c>
      <c r="G459" s="485"/>
      <c r="H459" s="487">
        <f t="shared" si="51"/>
        <v>28.787499999999998</v>
      </c>
    </row>
    <row r="460" spans="1:8">
      <c r="A460" s="485"/>
      <c r="B460" s="485"/>
      <c r="C460" s="17" t="s">
        <v>10</v>
      </c>
      <c r="D460" s="485">
        <v>-1</v>
      </c>
      <c r="E460" s="485">
        <v>0.85</v>
      </c>
      <c r="F460" s="485">
        <v>0.9</v>
      </c>
      <c r="G460" s="485"/>
      <c r="H460" s="487">
        <f t="shared" si="51"/>
        <v>-0.76500000000000001</v>
      </c>
    </row>
    <row r="461" spans="1:8">
      <c r="A461" s="485"/>
      <c r="B461" s="485"/>
      <c r="C461" s="17" t="s">
        <v>10</v>
      </c>
      <c r="D461" s="485">
        <v>-1</v>
      </c>
      <c r="E461" s="485">
        <v>0.85</v>
      </c>
      <c r="F461" s="485">
        <v>1</v>
      </c>
      <c r="G461" s="485"/>
      <c r="H461" s="487">
        <f t="shared" si="51"/>
        <v>-0.85</v>
      </c>
    </row>
    <row r="462" spans="1:8">
      <c r="A462" s="485"/>
      <c r="B462" s="485" t="s">
        <v>1975</v>
      </c>
      <c r="C462" s="17" t="s">
        <v>10</v>
      </c>
      <c r="D462" s="485">
        <v>1</v>
      </c>
      <c r="E462" s="485">
        <v>24.4</v>
      </c>
      <c r="F462" s="485">
        <v>1.8</v>
      </c>
      <c r="G462" s="485"/>
      <c r="H462" s="487">
        <f t="shared" si="51"/>
        <v>43.92</v>
      </c>
    </row>
    <row r="463" spans="1:8">
      <c r="A463" s="485"/>
      <c r="B463" s="485" t="s">
        <v>1976</v>
      </c>
      <c r="C463" s="17" t="s">
        <v>10</v>
      </c>
      <c r="D463" s="485">
        <v>0.5</v>
      </c>
      <c r="E463" s="485">
        <v>1.42</v>
      </c>
      <c r="F463" s="485">
        <v>2.85</v>
      </c>
      <c r="G463" s="485"/>
      <c r="H463" s="487">
        <f t="shared" si="51"/>
        <v>2.0234999999999999</v>
      </c>
    </row>
    <row r="464" spans="1:8">
      <c r="A464" s="485"/>
      <c r="B464" s="485" t="s">
        <v>1414</v>
      </c>
      <c r="C464" s="17" t="s">
        <v>10</v>
      </c>
      <c r="D464" s="485">
        <v>1</v>
      </c>
      <c r="E464" s="485">
        <v>7.8</v>
      </c>
      <c r="F464" s="485">
        <v>0.75</v>
      </c>
      <c r="G464" s="485"/>
      <c r="H464" s="487">
        <f t="shared" si="51"/>
        <v>5.85</v>
      </c>
    </row>
    <row r="465" spans="1:8">
      <c r="A465" s="485"/>
      <c r="B465" s="485"/>
      <c r="C465" s="17" t="s">
        <v>10</v>
      </c>
      <c r="D465" s="485">
        <v>0.5</v>
      </c>
      <c r="E465" s="485">
        <v>7</v>
      </c>
      <c r="F465" s="485">
        <v>3.64</v>
      </c>
      <c r="G465" s="485"/>
      <c r="H465" s="487">
        <f t="shared" si="51"/>
        <v>12.74</v>
      </c>
    </row>
    <row r="466" spans="1:8">
      <c r="A466" s="485"/>
      <c r="B466" s="485" t="s">
        <v>1977</v>
      </c>
      <c r="C466" s="17" t="s">
        <v>10</v>
      </c>
      <c r="D466" s="485">
        <v>1</v>
      </c>
      <c r="E466" s="485">
        <v>13.45</v>
      </c>
      <c r="F466" s="485">
        <v>1.8</v>
      </c>
      <c r="G466" s="485"/>
      <c r="H466" s="487">
        <f t="shared" si="51"/>
        <v>24.21</v>
      </c>
    </row>
    <row r="467" spans="1:8">
      <c r="A467" s="485"/>
      <c r="B467" s="485" t="s">
        <v>2080</v>
      </c>
      <c r="C467" s="17" t="s">
        <v>10</v>
      </c>
      <c r="D467" s="485">
        <v>1</v>
      </c>
      <c r="E467" s="485">
        <v>1.2</v>
      </c>
      <c r="F467" s="485">
        <v>1.05</v>
      </c>
      <c r="G467" s="485"/>
      <c r="H467" s="487">
        <f t="shared" ref="H467" si="52">PRODUCT(D467:G467)</f>
        <v>1.26</v>
      </c>
    </row>
    <row r="468" spans="1:8">
      <c r="A468" s="485"/>
      <c r="B468" s="485" t="s">
        <v>1978</v>
      </c>
      <c r="C468" s="17" t="s">
        <v>10</v>
      </c>
      <c r="D468" s="485">
        <v>1</v>
      </c>
      <c r="E468" s="485">
        <v>4.55</v>
      </c>
      <c r="F468" s="485">
        <v>2.15</v>
      </c>
      <c r="G468" s="485"/>
      <c r="H468" s="487">
        <f t="shared" si="51"/>
        <v>9.7824999999999989</v>
      </c>
    </row>
    <row r="469" spans="1:8">
      <c r="A469" s="485"/>
      <c r="B469" s="485" t="s">
        <v>1959</v>
      </c>
      <c r="C469" s="17" t="s">
        <v>10</v>
      </c>
      <c r="D469" s="485">
        <v>1</v>
      </c>
      <c r="E469" s="485">
        <v>5.75</v>
      </c>
      <c r="F469" s="485">
        <v>1.55</v>
      </c>
      <c r="G469" s="485"/>
      <c r="H469" s="487">
        <f t="shared" si="51"/>
        <v>8.9124999999999996</v>
      </c>
    </row>
    <row r="470" spans="1:8">
      <c r="A470" s="485"/>
      <c r="B470" s="485" t="s">
        <v>1960</v>
      </c>
      <c r="C470" s="17" t="s">
        <v>10</v>
      </c>
      <c r="D470" s="485">
        <v>1</v>
      </c>
      <c r="E470" s="485">
        <v>6.15</v>
      </c>
      <c r="F470" s="485">
        <v>1.5</v>
      </c>
      <c r="G470" s="485"/>
      <c r="H470" s="487">
        <f t="shared" si="51"/>
        <v>9.2250000000000014</v>
      </c>
    </row>
    <row r="471" spans="1:8">
      <c r="A471" s="485"/>
      <c r="B471" s="485" t="s">
        <v>190</v>
      </c>
      <c r="C471" s="17" t="s">
        <v>10</v>
      </c>
      <c r="D471" s="485">
        <v>1</v>
      </c>
      <c r="E471" s="485">
        <v>1.9</v>
      </c>
      <c r="F471" s="485">
        <v>1.9</v>
      </c>
      <c r="G471" s="485"/>
      <c r="H471" s="487">
        <f t="shared" si="51"/>
        <v>3.61</v>
      </c>
    </row>
    <row r="472" spans="1:8">
      <c r="A472" s="485"/>
      <c r="B472" s="485" t="s">
        <v>1979</v>
      </c>
      <c r="C472" s="17" t="s">
        <v>10</v>
      </c>
      <c r="D472" s="485">
        <v>1</v>
      </c>
      <c r="E472" s="485">
        <v>16.100000000000001</v>
      </c>
      <c r="F472" s="485">
        <v>1.8</v>
      </c>
      <c r="G472" s="485"/>
      <c r="H472" s="487">
        <f t="shared" si="51"/>
        <v>28.980000000000004</v>
      </c>
    </row>
    <row r="473" spans="1:8">
      <c r="A473" s="485"/>
      <c r="B473" s="485" t="s">
        <v>1980</v>
      </c>
      <c r="C473" s="17" t="s">
        <v>10</v>
      </c>
      <c r="D473" s="485">
        <v>1</v>
      </c>
      <c r="E473" s="485">
        <v>2.5499999999999998</v>
      </c>
      <c r="F473" s="485">
        <v>4.0250000000000004</v>
      </c>
      <c r="G473" s="485"/>
      <c r="H473" s="487">
        <f t="shared" si="51"/>
        <v>10.26375</v>
      </c>
    </row>
    <row r="474" spans="1:8">
      <c r="A474" s="485"/>
      <c r="B474" s="485"/>
      <c r="C474" s="17" t="s">
        <v>10</v>
      </c>
      <c r="D474" s="485">
        <v>-1</v>
      </c>
      <c r="E474" s="485">
        <v>1.075</v>
      </c>
      <c r="F474" s="485">
        <v>1.175</v>
      </c>
      <c r="G474" s="485"/>
      <c r="H474" s="487">
        <f t="shared" si="51"/>
        <v>-1.2631250000000001</v>
      </c>
    </row>
    <row r="475" spans="1:8">
      <c r="A475" s="485"/>
      <c r="B475" s="485" t="s">
        <v>186</v>
      </c>
      <c r="C475" s="17" t="s">
        <v>10</v>
      </c>
      <c r="D475" s="485">
        <v>1</v>
      </c>
      <c r="E475" s="485">
        <v>18.25</v>
      </c>
      <c r="F475" s="485">
        <v>1.8</v>
      </c>
      <c r="G475" s="485"/>
      <c r="H475" s="487">
        <f t="shared" si="51"/>
        <v>32.85</v>
      </c>
    </row>
    <row r="476" spans="1:8">
      <c r="A476" s="485"/>
      <c r="B476" s="485" t="s">
        <v>1981</v>
      </c>
      <c r="C476" s="17" t="s">
        <v>10</v>
      </c>
      <c r="D476" s="485">
        <v>1</v>
      </c>
      <c r="E476" s="485">
        <v>1.4</v>
      </c>
      <c r="F476" s="485">
        <v>0.875</v>
      </c>
      <c r="G476" s="485"/>
      <c r="H476" s="487">
        <f t="shared" si="51"/>
        <v>1.2249999999999999</v>
      </c>
    </row>
    <row r="477" spans="1:8">
      <c r="A477" s="485"/>
      <c r="B477" s="485" t="s">
        <v>192</v>
      </c>
      <c r="C477" s="17" t="s">
        <v>10</v>
      </c>
      <c r="D477" s="485">
        <v>1</v>
      </c>
      <c r="E477" s="485">
        <v>6.1</v>
      </c>
      <c r="F477" s="485">
        <v>2.5499999999999998</v>
      </c>
      <c r="G477" s="485"/>
      <c r="H477" s="487">
        <f t="shared" si="51"/>
        <v>15.554999999999998</v>
      </c>
    </row>
    <row r="478" spans="1:8">
      <c r="A478" s="485"/>
      <c r="B478" s="485" t="s">
        <v>285</v>
      </c>
      <c r="C478" s="17" t="s">
        <v>10</v>
      </c>
      <c r="D478" s="485">
        <v>-1</v>
      </c>
      <c r="E478" s="485">
        <v>1.2</v>
      </c>
      <c r="F478" s="485">
        <v>1.2</v>
      </c>
      <c r="G478" s="485"/>
      <c r="H478" s="487">
        <f t="shared" si="51"/>
        <v>-1.44</v>
      </c>
    </row>
    <row r="479" spans="1:8">
      <c r="A479" s="485"/>
      <c r="B479" s="485"/>
      <c r="C479" s="17" t="s">
        <v>10</v>
      </c>
      <c r="D479" s="485">
        <v>1</v>
      </c>
      <c r="E479" s="485">
        <v>1.1000000000000001</v>
      </c>
      <c r="F479" s="485">
        <v>1.5</v>
      </c>
      <c r="G479" s="485"/>
      <c r="H479" s="487">
        <f t="shared" si="51"/>
        <v>1.6500000000000001</v>
      </c>
    </row>
    <row r="480" spans="1:8">
      <c r="A480" s="485"/>
      <c r="B480" s="485"/>
      <c r="C480" s="17" t="s">
        <v>10</v>
      </c>
      <c r="D480" s="485">
        <v>1</v>
      </c>
      <c r="E480" s="485">
        <v>3.4</v>
      </c>
      <c r="F480" s="485">
        <v>1.7</v>
      </c>
      <c r="G480" s="485"/>
      <c r="H480" s="487">
        <f t="shared" si="51"/>
        <v>5.7799999999999994</v>
      </c>
    </row>
    <row r="481" spans="1:8">
      <c r="A481" s="485"/>
      <c r="B481" s="485" t="s">
        <v>1982</v>
      </c>
      <c r="C481" s="17" t="s">
        <v>10</v>
      </c>
      <c r="D481" s="485">
        <v>1</v>
      </c>
      <c r="E481" s="485">
        <v>24.57</v>
      </c>
      <c r="F481" s="485">
        <v>1.8</v>
      </c>
      <c r="G481" s="485"/>
      <c r="H481" s="487">
        <f t="shared" si="51"/>
        <v>44.225999999999999</v>
      </c>
    </row>
    <row r="482" spans="1:8">
      <c r="A482" s="485"/>
      <c r="B482" s="485" t="s">
        <v>1960</v>
      </c>
      <c r="C482" s="17" t="s">
        <v>10</v>
      </c>
      <c r="D482" s="485">
        <v>1</v>
      </c>
      <c r="E482" s="485">
        <v>16.399999999999999</v>
      </c>
      <c r="F482" s="485">
        <v>1.8</v>
      </c>
      <c r="G482" s="485"/>
      <c r="H482" s="487">
        <f t="shared" si="51"/>
        <v>29.52</v>
      </c>
    </row>
    <row r="483" spans="1:8">
      <c r="A483" s="485"/>
      <c r="B483" s="485" t="s">
        <v>1983</v>
      </c>
      <c r="C483" s="17" t="s">
        <v>10</v>
      </c>
      <c r="D483" s="485">
        <v>1</v>
      </c>
      <c r="E483" s="485">
        <v>5.0999999999999996</v>
      </c>
      <c r="F483" s="485">
        <v>1.8</v>
      </c>
      <c r="G483" s="485"/>
      <c r="H483" s="487">
        <f t="shared" si="51"/>
        <v>9.18</v>
      </c>
    </row>
    <row r="484" spans="1:8">
      <c r="A484" s="485"/>
      <c r="B484" s="485" t="s">
        <v>1959</v>
      </c>
      <c r="C484" s="17" t="s">
        <v>10</v>
      </c>
      <c r="D484" s="485">
        <v>1</v>
      </c>
      <c r="E484" s="485">
        <v>5.75</v>
      </c>
      <c r="F484" s="485">
        <v>1.5</v>
      </c>
      <c r="G484" s="485"/>
      <c r="H484" s="487">
        <f t="shared" si="51"/>
        <v>8.625</v>
      </c>
    </row>
    <row r="485" spans="1:8">
      <c r="A485" s="485"/>
      <c r="B485" s="485" t="s">
        <v>1959</v>
      </c>
      <c r="C485" s="17" t="s">
        <v>10</v>
      </c>
      <c r="D485" s="485">
        <v>0.5</v>
      </c>
      <c r="E485" s="485">
        <v>0.85</v>
      </c>
      <c r="F485" s="485">
        <v>0.84</v>
      </c>
      <c r="G485" s="485"/>
      <c r="H485" s="487">
        <f t="shared" si="51"/>
        <v>0.35699999999999998</v>
      </c>
    </row>
    <row r="486" spans="1:8">
      <c r="A486" s="485"/>
      <c r="B486" s="485" t="s">
        <v>1959</v>
      </c>
      <c r="C486" s="17" t="s">
        <v>10</v>
      </c>
      <c r="D486" s="485">
        <v>0.5</v>
      </c>
      <c r="E486" s="485">
        <v>1.1499999999999999</v>
      </c>
      <c r="F486" s="485">
        <v>1.1499999999999999</v>
      </c>
      <c r="G486" s="485"/>
      <c r="H486" s="487">
        <f t="shared" si="51"/>
        <v>0.66124999999999989</v>
      </c>
    </row>
    <row r="487" spans="1:8">
      <c r="A487" s="485"/>
      <c r="B487" s="485" t="s">
        <v>1959</v>
      </c>
      <c r="C487" s="17" t="s">
        <v>10</v>
      </c>
      <c r="D487" s="485">
        <v>1</v>
      </c>
      <c r="E487" s="485">
        <v>1.61</v>
      </c>
      <c r="F487" s="485">
        <v>2</v>
      </c>
      <c r="G487" s="485"/>
      <c r="H487" s="487">
        <f t="shared" si="51"/>
        <v>3.22</v>
      </c>
    </row>
    <row r="488" spans="1:8">
      <c r="A488" s="485"/>
      <c r="B488" s="485" t="s">
        <v>1959</v>
      </c>
      <c r="C488" s="17" t="s">
        <v>10</v>
      </c>
      <c r="D488" s="485">
        <v>1</v>
      </c>
      <c r="E488" s="485">
        <v>0.1</v>
      </c>
      <c r="F488" s="485">
        <v>0.8</v>
      </c>
      <c r="G488" s="485"/>
      <c r="H488" s="487">
        <f t="shared" si="51"/>
        <v>8.0000000000000016E-2</v>
      </c>
    </row>
    <row r="489" spans="1:8">
      <c r="A489" s="485"/>
      <c r="B489" s="485"/>
      <c r="C489" s="17" t="s">
        <v>10</v>
      </c>
      <c r="D489" s="485">
        <v>0.5</v>
      </c>
      <c r="E489" s="485">
        <v>3.4449999999999998</v>
      </c>
      <c r="F489" s="485">
        <v>1.68</v>
      </c>
      <c r="G489" s="485"/>
      <c r="H489" s="487">
        <f t="shared" si="51"/>
        <v>2.8937999999999997</v>
      </c>
    </row>
    <row r="490" spans="1:8">
      <c r="A490" s="485"/>
      <c r="B490" s="485" t="s">
        <v>1927</v>
      </c>
      <c r="C490" s="17" t="s">
        <v>10</v>
      </c>
      <c r="D490" s="485">
        <v>0.5</v>
      </c>
      <c r="E490" s="485">
        <v>2.93</v>
      </c>
      <c r="F490" s="485">
        <v>1.42</v>
      </c>
      <c r="G490" s="485"/>
      <c r="H490" s="487">
        <f t="shared" si="51"/>
        <v>2.0802999999999998</v>
      </c>
    </row>
    <row r="491" spans="1:8">
      <c r="A491" s="485"/>
      <c r="B491" s="485" t="s">
        <v>1928</v>
      </c>
      <c r="C491" s="17" t="s">
        <v>10</v>
      </c>
      <c r="D491" s="485">
        <v>1</v>
      </c>
      <c r="E491" s="485">
        <v>7.7</v>
      </c>
      <c r="F491" s="485">
        <v>1.8320000000000001</v>
      </c>
      <c r="G491" s="485"/>
      <c r="H491" s="487">
        <f t="shared" si="51"/>
        <v>14.106400000000001</v>
      </c>
    </row>
    <row r="492" spans="1:8">
      <c r="A492" s="485"/>
      <c r="B492" s="485"/>
      <c r="C492" s="17" t="s">
        <v>10</v>
      </c>
      <c r="D492" s="485">
        <v>1</v>
      </c>
      <c r="E492" s="485">
        <v>8.9339999999999993</v>
      </c>
      <c r="F492" s="485">
        <f>1.56</f>
        <v>1.56</v>
      </c>
      <c r="G492" s="485"/>
      <c r="H492" s="487">
        <f t="shared" si="51"/>
        <v>13.93704</v>
      </c>
    </row>
    <row r="493" spans="1:8">
      <c r="A493" s="485"/>
      <c r="B493" s="485"/>
      <c r="C493" s="17" t="s">
        <v>10</v>
      </c>
      <c r="D493" s="485">
        <v>0.5</v>
      </c>
      <c r="E493" s="485">
        <v>7.7</v>
      </c>
      <c r="F493" s="485">
        <v>7.8</v>
      </c>
      <c r="G493" s="485"/>
      <c r="H493" s="487">
        <f t="shared" si="51"/>
        <v>30.03</v>
      </c>
    </row>
    <row r="494" spans="1:8">
      <c r="A494" s="485"/>
      <c r="B494" s="485"/>
      <c r="C494" s="17" t="s">
        <v>10</v>
      </c>
      <c r="D494" s="485">
        <v>0.5</v>
      </c>
      <c r="E494" s="485">
        <v>2.68</v>
      </c>
      <c r="F494" s="485">
        <v>1.05</v>
      </c>
      <c r="G494" s="485"/>
      <c r="H494" s="487">
        <f t="shared" si="51"/>
        <v>1.4070000000000003</v>
      </c>
    </row>
    <row r="495" spans="1:8">
      <c r="A495" s="485"/>
      <c r="B495" s="485"/>
      <c r="C495" s="17" t="s">
        <v>10</v>
      </c>
      <c r="D495" s="485">
        <v>0.5</v>
      </c>
      <c r="E495" s="485">
        <v>8.1720000000000006</v>
      </c>
      <c r="F495" s="485">
        <v>1.925</v>
      </c>
      <c r="G495" s="485"/>
      <c r="H495" s="487">
        <f t="shared" si="51"/>
        <v>7.8655500000000007</v>
      </c>
    </row>
    <row r="496" spans="1:8">
      <c r="A496" s="485"/>
      <c r="B496" s="485" t="s">
        <v>1932</v>
      </c>
      <c r="C496" s="17" t="s">
        <v>10</v>
      </c>
      <c r="D496" s="485">
        <v>0.5</v>
      </c>
      <c r="E496" s="485">
        <v>9.16</v>
      </c>
      <c r="F496" s="485">
        <v>4.7</v>
      </c>
      <c r="G496" s="485"/>
      <c r="H496" s="487">
        <f t="shared" ref="H496:H497" si="53">PRODUCT(D496:G496)</f>
        <v>21.526</v>
      </c>
    </row>
    <row r="497" spans="1:8">
      <c r="A497" s="485"/>
      <c r="B497" s="485"/>
      <c r="C497" s="17" t="s">
        <v>10</v>
      </c>
      <c r="D497" s="485">
        <v>0.5</v>
      </c>
      <c r="E497" s="485">
        <v>4.24</v>
      </c>
      <c r="F497" s="485">
        <v>4.05</v>
      </c>
      <c r="G497" s="485"/>
      <c r="H497" s="487">
        <f t="shared" si="53"/>
        <v>8.5860000000000003</v>
      </c>
    </row>
    <row r="498" spans="1:8">
      <c r="A498" s="485"/>
      <c r="B498" s="485" t="s">
        <v>285</v>
      </c>
      <c r="C498" s="17" t="s">
        <v>10</v>
      </c>
      <c r="D498" s="485">
        <v>1</v>
      </c>
      <c r="E498" s="485">
        <v>1.575</v>
      </c>
      <c r="F498" s="485">
        <v>1.39</v>
      </c>
      <c r="G498" s="485"/>
      <c r="H498" s="487">
        <f>PRODUCT(D498:G498)</f>
        <v>2.1892499999999999</v>
      </c>
    </row>
    <row r="499" spans="1:8">
      <c r="A499" s="485"/>
      <c r="B499" s="485" t="s">
        <v>1238</v>
      </c>
      <c r="C499" s="17" t="s">
        <v>10</v>
      </c>
      <c r="D499" s="485">
        <v>1</v>
      </c>
      <c r="E499" s="485">
        <v>1.31</v>
      </c>
      <c r="F499" s="485">
        <v>1.36</v>
      </c>
      <c r="G499" s="485"/>
      <c r="H499" s="487">
        <f t="shared" ref="H499" si="54">PRODUCT(D499:G499)</f>
        <v>1.7816000000000003</v>
      </c>
    </row>
    <row r="500" spans="1:8">
      <c r="A500" s="485"/>
      <c r="B500" s="485" t="s">
        <v>196</v>
      </c>
      <c r="C500" s="17" t="s">
        <v>10</v>
      </c>
      <c r="D500" s="485">
        <v>1</v>
      </c>
      <c r="E500" s="485">
        <v>4.4000000000000004</v>
      </c>
      <c r="F500" s="485">
        <v>1.8</v>
      </c>
      <c r="G500" s="485"/>
      <c r="H500" s="487">
        <f t="shared" ref="H500:H502" si="55">PRODUCT(D500:G500)</f>
        <v>7.9200000000000008</v>
      </c>
    </row>
    <row r="501" spans="1:8">
      <c r="A501" s="485"/>
      <c r="B501" s="485"/>
      <c r="C501" s="17" t="s">
        <v>10</v>
      </c>
      <c r="D501" s="485">
        <v>1</v>
      </c>
      <c r="E501" s="485">
        <f>4.95-1.8</f>
        <v>3.1500000000000004</v>
      </c>
      <c r="F501" s="485">
        <v>1.35</v>
      </c>
      <c r="G501" s="485"/>
      <c r="H501" s="487">
        <f t="shared" si="55"/>
        <v>4.2525000000000004</v>
      </c>
    </row>
    <row r="502" spans="1:8">
      <c r="A502" s="485"/>
      <c r="B502" s="485"/>
      <c r="C502" s="17" t="s">
        <v>10</v>
      </c>
      <c r="D502" s="485">
        <v>0.5</v>
      </c>
      <c r="E502" s="485">
        <f>4.4-1.35</f>
        <v>3.0500000000000003</v>
      </c>
      <c r="F502" s="485">
        <v>3.15</v>
      </c>
      <c r="G502" s="485"/>
      <c r="H502" s="487">
        <f t="shared" si="55"/>
        <v>4.80375</v>
      </c>
    </row>
    <row r="503" spans="1:8">
      <c r="A503" s="485"/>
      <c r="B503" s="485"/>
      <c r="C503" s="485"/>
      <c r="D503" s="485"/>
      <c r="E503" s="485"/>
      <c r="F503" s="485"/>
      <c r="G503" s="485"/>
      <c r="H503" s="487"/>
    </row>
    <row r="504" spans="1:8">
      <c r="A504" s="17"/>
      <c r="B504" s="17"/>
      <c r="C504" s="17"/>
      <c r="D504" s="17"/>
      <c r="E504" s="17"/>
      <c r="F504" s="17"/>
      <c r="G504" s="17"/>
      <c r="H504" s="18"/>
    </row>
    <row r="505" spans="1:8">
      <c r="A505" s="15"/>
      <c r="B505" s="15" t="s">
        <v>21</v>
      </c>
      <c r="C505" s="15"/>
      <c r="D505" s="15"/>
      <c r="E505" s="15"/>
      <c r="F505" s="15"/>
      <c r="G505" s="15"/>
      <c r="H505" s="20">
        <f>SUM(H439:H504)</f>
        <v>754.53555400000016</v>
      </c>
    </row>
    <row r="506" spans="1:8">
      <c r="A506" s="17"/>
      <c r="B506" s="17" t="s">
        <v>22</v>
      </c>
      <c r="C506" s="17"/>
      <c r="D506" s="17"/>
      <c r="E506" s="17"/>
      <c r="F506" s="17"/>
      <c r="G506" s="17"/>
      <c r="H506" s="18"/>
    </row>
    <row r="507" spans="1:8">
      <c r="A507" s="15"/>
      <c r="B507" s="15" t="s">
        <v>23</v>
      </c>
      <c r="C507" s="15"/>
      <c r="D507" s="15"/>
      <c r="E507" s="15"/>
      <c r="F507" s="15"/>
      <c r="G507" s="15"/>
      <c r="H507" s="20">
        <f>ROUND(SUM(H505:H506),0)</f>
        <v>755</v>
      </c>
    </row>
    <row r="508" spans="1:8">
      <c r="A508" s="17"/>
      <c r="B508" s="17"/>
      <c r="C508" s="17"/>
      <c r="D508" s="17"/>
      <c r="E508" s="17"/>
      <c r="F508" s="17"/>
      <c r="G508" s="17"/>
      <c r="H508" s="18"/>
    </row>
    <row r="509" spans="1:8">
      <c r="A509" s="17">
        <v>4</v>
      </c>
      <c r="B509" s="15" t="s">
        <v>116</v>
      </c>
      <c r="C509" s="17"/>
      <c r="D509" s="17"/>
      <c r="E509" s="17"/>
      <c r="F509" s="17"/>
      <c r="G509" s="17"/>
      <c r="H509" s="18"/>
    </row>
    <row r="510" spans="1:8">
      <c r="A510" s="17"/>
      <c r="B510" s="17"/>
      <c r="C510" s="17"/>
      <c r="D510" s="17"/>
      <c r="E510" s="17"/>
      <c r="F510" s="17"/>
      <c r="G510" s="17"/>
      <c r="H510" s="18"/>
    </row>
    <row r="511" spans="1:8">
      <c r="A511" s="17"/>
      <c r="B511" s="17" t="s">
        <v>162</v>
      </c>
      <c r="C511" s="17" t="s">
        <v>10</v>
      </c>
      <c r="D511" s="17">
        <v>1</v>
      </c>
      <c r="E511" s="17">
        <v>5.4</v>
      </c>
      <c r="F511" s="17">
        <v>3.3</v>
      </c>
      <c r="G511" s="17"/>
      <c r="H511" s="18">
        <f t="shared" ref="H511:H512" si="56">PRODUCT(D511:G511)</f>
        <v>17.82</v>
      </c>
    </row>
    <row r="512" spans="1:8">
      <c r="A512" s="485"/>
      <c r="B512" s="485"/>
      <c r="C512" s="17" t="s">
        <v>10</v>
      </c>
      <c r="D512" s="485">
        <v>-1</v>
      </c>
      <c r="E512" s="485">
        <v>0.9</v>
      </c>
      <c r="F512" s="485">
        <v>0.7</v>
      </c>
      <c r="G512" s="485"/>
      <c r="H512" s="487">
        <f t="shared" si="56"/>
        <v>-0.63</v>
      </c>
    </row>
    <row r="513" spans="1:8">
      <c r="A513" s="17"/>
      <c r="B513" s="17" t="s">
        <v>161</v>
      </c>
      <c r="C513" s="17" t="s">
        <v>10</v>
      </c>
      <c r="D513" s="17">
        <v>1</v>
      </c>
      <c r="E513" s="17">
        <v>8.3000000000000007</v>
      </c>
      <c r="F513" s="17">
        <v>2.875</v>
      </c>
      <c r="G513" s="17"/>
      <c r="H513" s="18">
        <f t="shared" ref="H513:H519" si="57">PRODUCT(D513:G513)</f>
        <v>23.862500000000001</v>
      </c>
    </row>
    <row r="514" spans="1:8">
      <c r="A514" s="485"/>
      <c r="B514" s="485"/>
      <c r="C514" s="17" t="s">
        <v>10</v>
      </c>
      <c r="D514" s="17">
        <v>-1</v>
      </c>
      <c r="E514" s="17">
        <v>1</v>
      </c>
      <c r="F514" s="17">
        <v>0.9</v>
      </c>
      <c r="G514" s="17"/>
      <c r="H514" s="18">
        <f t="shared" si="57"/>
        <v>-0.9</v>
      </c>
    </row>
    <row r="515" spans="1:8">
      <c r="A515" s="17"/>
      <c r="B515" s="17" t="s">
        <v>173</v>
      </c>
      <c r="C515" s="17" t="s">
        <v>10</v>
      </c>
      <c r="D515" s="17">
        <v>1</v>
      </c>
      <c r="E515" s="17">
        <v>6.68</v>
      </c>
      <c r="F515" s="17">
        <v>2.1</v>
      </c>
      <c r="G515" s="17"/>
      <c r="H515" s="18">
        <f t="shared" si="57"/>
        <v>14.028</v>
      </c>
    </row>
    <row r="516" spans="1:8">
      <c r="A516" s="485"/>
      <c r="B516" s="485"/>
      <c r="C516" s="17" t="s">
        <v>10</v>
      </c>
      <c r="D516" s="485">
        <v>-1</v>
      </c>
      <c r="E516" s="485">
        <v>0.6</v>
      </c>
      <c r="F516" s="485">
        <v>1.1499999999999999</v>
      </c>
      <c r="G516" s="485"/>
      <c r="H516" s="487">
        <f t="shared" si="57"/>
        <v>-0.69</v>
      </c>
    </row>
    <row r="517" spans="1:8">
      <c r="A517" s="485"/>
      <c r="B517" s="485" t="s">
        <v>1218</v>
      </c>
      <c r="C517" s="17" t="s">
        <v>10</v>
      </c>
      <c r="D517" s="17">
        <v>1</v>
      </c>
      <c r="E517" s="17">
        <v>3.05</v>
      </c>
      <c r="F517" s="17">
        <v>2.5499999999999998</v>
      </c>
      <c r="G517" s="17"/>
      <c r="H517" s="18">
        <f t="shared" si="57"/>
        <v>7.777499999999999</v>
      </c>
    </row>
    <row r="518" spans="1:8">
      <c r="A518" s="17"/>
      <c r="B518" s="17" t="s">
        <v>162</v>
      </c>
      <c r="C518" s="17" t="s">
        <v>10</v>
      </c>
      <c r="D518" s="17">
        <v>1</v>
      </c>
      <c r="E518" s="17">
        <v>8.8000000000000007</v>
      </c>
      <c r="F518" s="17">
        <v>3.5</v>
      </c>
      <c r="G518" s="17"/>
      <c r="H518" s="18">
        <f t="shared" si="57"/>
        <v>30.800000000000004</v>
      </c>
    </row>
    <row r="519" spans="1:8">
      <c r="A519" s="485"/>
      <c r="B519" s="485"/>
      <c r="C519" s="17" t="s">
        <v>10</v>
      </c>
      <c r="D519" s="485">
        <v>-1</v>
      </c>
      <c r="E519" s="485">
        <v>2.2999999999999998</v>
      </c>
      <c r="F519" s="485">
        <v>4.5</v>
      </c>
      <c r="G519" s="485"/>
      <c r="H519" s="487">
        <f t="shared" si="57"/>
        <v>-10.35</v>
      </c>
    </row>
    <row r="520" spans="1:8">
      <c r="A520" s="485"/>
      <c r="B520" s="485"/>
      <c r="C520" s="485"/>
      <c r="D520" s="485"/>
      <c r="E520" s="485"/>
      <c r="F520" s="485"/>
      <c r="G520" s="485"/>
      <c r="H520" s="487"/>
    </row>
    <row r="521" spans="1:8">
      <c r="A521" s="485"/>
      <c r="B521" s="485"/>
      <c r="C521" s="485"/>
      <c r="D521" s="485"/>
      <c r="E521" s="485"/>
      <c r="F521" s="485"/>
      <c r="G521" s="485"/>
      <c r="H521" s="487"/>
    </row>
    <row r="522" spans="1:8">
      <c r="A522" s="17"/>
      <c r="B522" s="17"/>
      <c r="C522" s="17"/>
      <c r="D522" s="17"/>
      <c r="E522" s="17"/>
      <c r="F522" s="17"/>
      <c r="G522" s="17"/>
      <c r="H522" s="18"/>
    </row>
    <row r="523" spans="1:8">
      <c r="A523" s="15"/>
      <c r="B523" s="15" t="s">
        <v>21</v>
      </c>
      <c r="C523" s="15"/>
      <c r="D523" s="15"/>
      <c r="E523" s="15"/>
      <c r="F523" s="15"/>
      <c r="G523" s="15"/>
      <c r="H523" s="20">
        <f>SUM(H513:H522)</f>
        <v>64.52800000000002</v>
      </c>
    </row>
    <row r="524" spans="1:8">
      <c r="A524" s="17"/>
      <c r="B524" s="17" t="s">
        <v>22</v>
      </c>
      <c r="C524" s="17"/>
      <c r="D524" s="17"/>
      <c r="E524" s="17"/>
      <c r="F524" s="17"/>
      <c r="G524" s="17"/>
      <c r="H524" s="18"/>
    </row>
    <row r="525" spans="1:8">
      <c r="A525" s="15"/>
      <c r="B525" s="15" t="s">
        <v>23</v>
      </c>
      <c r="C525" s="15"/>
      <c r="D525" s="15"/>
      <c r="E525" s="15"/>
      <c r="F525" s="15"/>
      <c r="G525" s="15"/>
      <c r="H525" s="20">
        <f>ROUND(SUM(H523:H524),0)</f>
        <v>65</v>
      </c>
    </row>
    <row r="526" spans="1:8">
      <c r="A526" s="17"/>
      <c r="B526" s="17"/>
      <c r="C526" s="17"/>
      <c r="D526" s="17"/>
      <c r="E526" s="17"/>
      <c r="F526" s="17"/>
      <c r="G526" s="17"/>
      <c r="H526" s="18"/>
    </row>
    <row r="527" spans="1:8">
      <c r="A527" s="17">
        <v>5</v>
      </c>
      <c r="B527" s="15" t="s">
        <v>122</v>
      </c>
      <c r="C527" s="17" t="s">
        <v>10</v>
      </c>
      <c r="D527" s="17"/>
      <c r="E527" s="17"/>
      <c r="F527" s="17"/>
      <c r="G527" s="17"/>
      <c r="H527" s="18"/>
    </row>
    <row r="528" spans="1:8">
      <c r="A528" s="17"/>
      <c r="B528" s="17"/>
      <c r="C528" s="17"/>
      <c r="D528" s="17"/>
      <c r="E528" s="17"/>
      <c r="F528" s="17"/>
      <c r="G528" s="17"/>
      <c r="H528" s="18"/>
    </row>
    <row r="529" spans="1:8">
      <c r="A529" s="17"/>
      <c r="B529" s="17" t="s">
        <v>183</v>
      </c>
      <c r="C529" s="17" t="s">
        <v>10</v>
      </c>
      <c r="D529" s="17">
        <v>1</v>
      </c>
      <c r="E529" s="17">
        <v>5.6</v>
      </c>
      <c r="F529" s="17">
        <v>5.0999999999999996</v>
      </c>
      <c r="G529" s="17"/>
      <c r="H529" s="18">
        <f>PRODUCT(D529:G529)</f>
        <v>28.559999999999995</v>
      </c>
    </row>
    <row r="530" spans="1:8">
      <c r="A530" s="485"/>
      <c r="B530" s="17" t="s">
        <v>184</v>
      </c>
      <c r="C530" s="17" t="s">
        <v>10</v>
      </c>
      <c r="D530" s="17">
        <v>1</v>
      </c>
      <c r="E530" s="17">
        <v>6</v>
      </c>
      <c r="F530" s="17">
        <v>6</v>
      </c>
      <c r="G530" s="17"/>
      <c r="H530" s="18">
        <f>PRODUCT(D530:G530)</f>
        <v>36</v>
      </c>
    </row>
    <row r="531" spans="1:8">
      <c r="A531" s="485"/>
      <c r="B531" s="485"/>
      <c r="C531" s="17" t="s">
        <v>10</v>
      </c>
      <c r="D531" s="485">
        <v>-1</v>
      </c>
      <c r="E531" s="485">
        <v>0.6</v>
      </c>
      <c r="F531" s="485">
        <v>2.1</v>
      </c>
      <c r="G531" s="485"/>
      <c r="H531" s="18">
        <f>PRODUCT(D531:G531)</f>
        <v>-1.26</v>
      </c>
    </row>
    <row r="532" spans="1:8">
      <c r="A532" s="17"/>
      <c r="B532" s="17" t="s">
        <v>184</v>
      </c>
      <c r="C532" s="17" t="s">
        <v>10</v>
      </c>
      <c r="D532" s="17">
        <v>1</v>
      </c>
      <c r="E532" s="17">
        <v>6.6</v>
      </c>
      <c r="F532" s="17">
        <v>6.35</v>
      </c>
      <c r="G532" s="17"/>
      <c r="H532" s="18">
        <f>PRODUCT(D532:G532)</f>
        <v>41.91</v>
      </c>
    </row>
    <row r="533" spans="1:8">
      <c r="A533" s="17"/>
      <c r="B533" s="17"/>
      <c r="C533" s="17" t="s">
        <v>10</v>
      </c>
      <c r="D533" s="17">
        <v>-1</v>
      </c>
      <c r="E533" s="17">
        <v>0.8</v>
      </c>
      <c r="F533" s="17">
        <v>2.1</v>
      </c>
      <c r="G533" s="17"/>
      <c r="H533" s="18">
        <f>PRODUCT(D533:G533)</f>
        <v>-1.6800000000000002</v>
      </c>
    </row>
    <row r="534" spans="1:8">
      <c r="A534" s="17"/>
      <c r="B534" s="17"/>
      <c r="C534" s="17"/>
      <c r="D534" s="17"/>
      <c r="E534" s="17"/>
      <c r="F534" s="17"/>
      <c r="G534" s="17"/>
      <c r="H534" s="18"/>
    </row>
    <row r="535" spans="1:8">
      <c r="A535" s="15"/>
      <c r="B535" s="15" t="s">
        <v>21</v>
      </c>
      <c r="C535" s="15"/>
      <c r="D535" s="15"/>
      <c r="E535" s="15"/>
      <c r="F535" s="15"/>
      <c r="G535" s="15"/>
      <c r="H535" s="20">
        <f>SUM(H529:H534)</f>
        <v>103.53</v>
      </c>
    </row>
    <row r="536" spans="1:8">
      <c r="A536" s="17"/>
      <c r="B536" s="17" t="s">
        <v>22</v>
      </c>
      <c r="C536" s="17"/>
      <c r="D536" s="17"/>
      <c r="E536" s="17"/>
      <c r="F536" s="17"/>
      <c r="G536" s="17"/>
      <c r="H536" s="18"/>
    </row>
    <row r="537" spans="1:8">
      <c r="A537" s="15"/>
      <c r="B537" s="15" t="s">
        <v>23</v>
      </c>
      <c r="C537" s="15"/>
      <c r="D537" s="15"/>
      <c r="E537" s="15"/>
      <c r="F537" s="15"/>
      <c r="G537" s="15"/>
      <c r="H537" s="20">
        <f>ROUND(SUM(H535:H536),0)</f>
        <v>104</v>
      </c>
    </row>
    <row r="538" spans="1:8">
      <c r="A538" s="17"/>
      <c r="B538" s="17"/>
      <c r="C538" s="17"/>
      <c r="D538" s="17"/>
      <c r="E538" s="17"/>
      <c r="F538" s="17"/>
      <c r="G538" s="17"/>
      <c r="H538" s="18"/>
    </row>
    <row r="539" spans="1:8">
      <c r="A539" s="17">
        <v>6</v>
      </c>
      <c r="B539" s="15" t="s">
        <v>193</v>
      </c>
      <c r="C539" s="17" t="s">
        <v>10</v>
      </c>
      <c r="D539" s="17"/>
      <c r="E539" s="17"/>
      <c r="F539" s="17"/>
      <c r="G539" s="17"/>
      <c r="H539" s="18"/>
    </row>
    <row r="540" spans="1:8">
      <c r="A540" s="17"/>
      <c r="B540" s="17"/>
      <c r="C540" s="17"/>
      <c r="D540" s="17"/>
      <c r="E540" s="17"/>
      <c r="F540" s="17"/>
      <c r="G540" s="17"/>
      <c r="H540" s="18"/>
    </row>
    <row r="541" spans="1:8">
      <c r="A541" s="485"/>
      <c r="B541" s="485" t="s">
        <v>1205</v>
      </c>
      <c r="C541" s="17" t="s">
        <v>10</v>
      </c>
      <c r="D541" s="485">
        <v>1</v>
      </c>
      <c r="E541" s="485">
        <v>6.64</v>
      </c>
      <c r="F541" s="485">
        <v>3.13</v>
      </c>
      <c r="G541" s="485"/>
      <c r="H541" s="18">
        <f t="shared" ref="H541:H547" si="58">PRODUCT(D541:G541)</f>
        <v>20.783199999999997</v>
      </c>
    </row>
    <row r="542" spans="1:8">
      <c r="A542" s="485"/>
      <c r="B542" s="485" t="s">
        <v>1306</v>
      </c>
      <c r="C542" s="17" t="s">
        <v>10</v>
      </c>
      <c r="D542" s="485">
        <v>1</v>
      </c>
      <c r="E542" s="485">
        <v>3.55</v>
      </c>
      <c r="F542" s="485">
        <v>3.3450000000000002</v>
      </c>
      <c r="G542" s="485"/>
      <c r="H542" s="18">
        <f t="shared" si="58"/>
        <v>11.874750000000001</v>
      </c>
    </row>
    <row r="543" spans="1:8">
      <c r="A543" s="17"/>
      <c r="B543" s="17" t="s">
        <v>1199</v>
      </c>
      <c r="C543" s="17" t="s">
        <v>10</v>
      </c>
      <c r="D543" s="17">
        <v>1</v>
      </c>
      <c r="E543" s="485">
        <v>3.55</v>
      </c>
      <c r="F543" s="17">
        <v>3.07</v>
      </c>
      <c r="G543" s="17"/>
      <c r="H543" s="18">
        <f t="shared" si="58"/>
        <v>10.898499999999999</v>
      </c>
    </row>
    <row r="544" spans="1:8">
      <c r="A544" s="17"/>
      <c r="B544" s="17" t="s">
        <v>1327</v>
      </c>
      <c r="C544" s="17" t="s">
        <v>10</v>
      </c>
      <c r="D544" s="17">
        <v>1</v>
      </c>
      <c r="E544" s="17">
        <v>3.45</v>
      </c>
      <c r="F544" s="17">
        <v>3.07</v>
      </c>
      <c r="G544" s="17"/>
      <c r="H544" s="18">
        <f t="shared" si="58"/>
        <v>10.5915</v>
      </c>
    </row>
    <row r="545" spans="1:9">
      <c r="A545" s="17"/>
      <c r="B545" s="17" t="s">
        <v>1200</v>
      </c>
      <c r="C545" s="17" t="s">
        <v>10</v>
      </c>
      <c r="D545" s="17">
        <v>1</v>
      </c>
      <c r="E545" s="17">
        <v>11.2</v>
      </c>
      <c r="F545" s="17">
        <v>7.12</v>
      </c>
      <c r="G545" s="17"/>
      <c r="H545" s="18">
        <f t="shared" si="58"/>
        <v>79.744</v>
      </c>
    </row>
    <row r="546" spans="1:9">
      <c r="A546" s="17"/>
      <c r="B546" s="17" t="s">
        <v>1201</v>
      </c>
      <c r="C546" s="17" t="s">
        <v>10</v>
      </c>
      <c r="D546" s="17">
        <v>1</v>
      </c>
      <c r="E546" s="17">
        <v>3.7</v>
      </c>
      <c r="F546" s="17">
        <v>3.1</v>
      </c>
      <c r="G546" s="17"/>
      <c r="H546" s="18">
        <f t="shared" si="58"/>
        <v>11.47</v>
      </c>
      <c r="I546" s="21"/>
    </row>
    <row r="547" spans="1:9">
      <c r="A547" s="17"/>
      <c r="B547" s="17" t="s">
        <v>1202</v>
      </c>
      <c r="C547" s="17" t="s">
        <v>10</v>
      </c>
      <c r="D547" s="17">
        <v>1</v>
      </c>
      <c r="E547" s="17">
        <v>3.7</v>
      </c>
      <c r="F547" s="17">
        <v>3.1</v>
      </c>
      <c r="G547" s="17"/>
      <c r="H547" s="18">
        <f t="shared" si="58"/>
        <v>11.47</v>
      </c>
    </row>
    <row r="548" spans="1:9">
      <c r="A548" s="485"/>
      <c r="B548" s="485" t="s">
        <v>195</v>
      </c>
      <c r="C548" s="17" t="s">
        <v>10</v>
      </c>
      <c r="D548" s="485">
        <v>1</v>
      </c>
      <c r="E548" s="17">
        <v>3.7</v>
      </c>
      <c r="F548" s="485">
        <v>4.2</v>
      </c>
      <c r="G548" s="485"/>
      <c r="H548" s="487">
        <f t="shared" ref="H548" si="59">PRODUCT(D548:G548)</f>
        <v>15.540000000000001</v>
      </c>
    </row>
    <row r="549" spans="1:9">
      <c r="A549" s="485"/>
      <c r="B549" s="485" t="s">
        <v>1207</v>
      </c>
      <c r="C549" s="17" t="s">
        <v>10</v>
      </c>
      <c r="D549" s="485">
        <v>1</v>
      </c>
      <c r="E549" s="485">
        <v>5.24</v>
      </c>
      <c r="F549" s="485">
        <v>3.5</v>
      </c>
      <c r="G549" s="485"/>
      <c r="H549" s="487">
        <f t="shared" ref="H549" si="60">PRODUCT(D549:G549)</f>
        <v>18.34</v>
      </c>
    </row>
    <row r="550" spans="1:9">
      <c r="A550" s="485"/>
      <c r="B550" s="485" t="s">
        <v>1208</v>
      </c>
      <c r="C550" s="17" t="s">
        <v>10</v>
      </c>
      <c r="D550" s="485">
        <v>1</v>
      </c>
      <c r="E550" s="485">
        <v>3.55</v>
      </c>
      <c r="F550" s="485">
        <v>3.1</v>
      </c>
      <c r="G550" s="485"/>
      <c r="H550" s="487">
        <f t="shared" ref="H550" si="61">PRODUCT(D550:G550)</f>
        <v>11.004999999999999</v>
      </c>
    </row>
    <row r="551" spans="1:9">
      <c r="A551" s="485"/>
      <c r="B551" s="485" t="s">
        <v>1209</v>
      </c>
      <c r="C551" s="17" t="s">
        <v>10</v>
      </c>
      <c r="D551" s="485">
        <v>1</v>
      </c>
      <c r="E551" s="485">
        <v>3.55</v>
      </c>
      <c r="F551" s="485">
        <v>3.1</v>
      </c>
      <c r="G551" s="485"/>
      <c r="H551" s="487">
        <f t="shared" ref="H551" si="62">PRODUCT(D551:G551)</f>
        <v>11.004999999999999</v>
      </c>
    </row>
    <row r="552" spans="1:9">
      <c r="A552" s="485"/>
      <c r="B552" s="485" t="s">
        <v>1210</v>
      </c>
      <c r="C552" s="17" t="s">
        <v>10</v>
      </c>
      <c r="D552" s="485">
        <v>1</v>
      </c>
      <c r="E552" s="485">
        <v>3.55</v>
      </c>
      <c r="F552" s="485">
        <v>3.1</v>
      </c>
      <c r="G552" s="485"/>
      <c r="H552" s="487">
        <f t="shared" ref="H552" si="63">PRODUCT(D552:G552)</f>
        <v>11.004999999999999</v>
      </c>
    </row>
    <row r="553" spans="1:9">
      <c r="A553" s="485"/>
      <c r="B553" s="485" t="s">
        <v>1241</v>
      </c>
      <c r="C553" s="17" t="s">
        <v>10</v>
      </c>
      <c r="D553" s="485">
        <v>1</v>
      </c>
      <c r="E553" s="485">
        <v>3.9</v>
      </c>
      <c r="F553" s="485">
        <v>3.15</v>
      </c>
      <c r="G553" s="485"/>
      <c r="H553" s="487">
        <f t="shared" ref="H553" si="64">PRODUCT(D553:G553)</f>
        <v>12.285</v>
      </c>
    </row>
    <row r="554" spans="1:9">
      <c r="A554" s="485"/>
      <c r="B554" s="485" t="s">
        <v>172</v>
      </c>
      <c r="C554" s="17" t="s">
        <v>10</v>
      </c>
      <c r="D554" s="485">
        <v>1</v>
      </c>
      <c r="E554" s="485">
        <f>(26.9+19.7)/2</f>
        <v>23.299999999999997</v>
      </c>
      <c r="F554" s="485">
        <v>7.66</v>
      </c>
      <c r="G554" s="485"/>
      <c r="H554" s="487">
        <f t="shared" ref="H554" si="65">PRODUCT(D554:G554)</f>
        <v>178.47799999999998</v>
      </c>
    </row>
    <row r="555" spans="1:9">
      <c r="A555" s="485"/>
      <c r="B555" s="485" t="s">
        <v>1929</v>
      </c>
      <c r="C555" s="17" t="s">
        <v>10</v>
      </c>
      <c r="D555" s="485">
        <v>1</v>
      </c>
      <c r="E555" s="485">
        <v>1.98</v>
      </c>
      <c r="F555" s="485">
        <v>1.2</v>
      </c>
      <c r="G555" s="485"/>
      <c r="H555" s="487">
        <f t="shared" ref="H555" si="66">PRODUCT(D555:G555)</f>
        <v>2.3759999999999999</v>
      </c>
    </row>
    <row r="556" spans="1:9">
      <c r="A556" s="485"/>
      <c r="B556" s="485" t="s">
        <v>1211</v>
      </c>
      <c r="C556" s="17" t="s">
        <v>10</v>
      </c>
      <c r="D556" s="485">
        <v>1</v>
      </c>
      <c r="E556" s="485">
        <v>1.98</v>
      </c>
      <c r="F556" s="485">
        <v>1.2</v>
      </c>
      <c r="G556" s="485"/>
      <c r="H556" s="487">
        <f t="shared" ref="H556" si="67">PRODUCT(D556:G556)</f>
        <v>2.3759999999999999</v>
      </c>
    </row>
    <row r="557" spans="1:9">
      <c r="A557" s="485"/>
      <c r="B557" s="485" t="s">
        <v>1212</v>
      </c>
      <c r="C557" s="17" t="s">
        <v>10</v>
      </c>
      <c r="D557" s="485">
        <v>1</v>
      </c>
      <c r="E557" s="485">
        <v>1.98</v>
      </c>
      <c r="F557" s="485">
        <v>1.2</v>
      </c>
      <c r="G557" s="485"/>
      <c r="H557" s="487">
        <f t="shared" ref="H557" si="68">PRODUCT(D557:G557)</f>
        <v>2.3759999999999999</v>
      </c>
    </row>
    <row r="558" spans="1:9">
      <c r="A558" s="485"/>
      <c r="B558" s="485" t="s">
        <v>172</v>
      </c>
      <c r="C558" s="17" t="s">
        <v>10</v>
      </c>
      <c r="D558" s="485">
        <v>1</v>
      </c>
      <c r="E558" s="485">
        <v>16.45</v>
      </c>
      <c r="F558" s="485">
        <v>6.75</v>
      </c>
      <c r="G558" s="485"/>
      <c r="H558" s="487">
        <f t="shared" ref="H558:H559" si="69">PRODUCT(D558:G558)</f>
        <v>111.03749999999999</v>
      </c>
    </row>
    <row r="559" spans="1:9">
      <c r="A559" s="485"/>
      <c r="B559" s="485" t="s">
        <v>1984</v>
      </c>
      <c r="C559" s="17" t="s">
        <v>10</v>
      </c>
      <c r="D559" s="485">
        <v>1</v>
      </c>
      <c r="E559" s="485">
        <v>6.67</v>
      </c>
      <c r="F559" s="485">
        <v>3.15</v>
      </c>
      <c r="G559" s="485"/>
      <c r="H559" s="487">
        <f t="shared" si="69"/>
        <v>21.0105</v>
      </c>
    </row>
    <row r="560" spans="1:9">
      <c r="A560" s="485"/>
      <c r="B560" s="485" t="s">
        <v>1985</v>
      </c>
      <c r="C560" s="17" t="s">
        <v>10</v>
      </c>
      <c r="D560" s="485">
        <v>1</v>
      </c>
      <c r="E560" s="485">
        <v>6.67</v>
      </c>
      <c r="F560" s="485">
        <v>3.15</v>
      </c>
      <c r="G560" s="485"/>
      <c r="H560" s="487">
        <f t="shared" ref="H560" si="70">PRODUCT(D560:G560)</f>
        <v>21.0105</v>
      </c>
    </row>
    <row r="561" spans="1:8">
      <c r="A561" s="485"/>
      <c r="B561" s="485" t="s">
        <v>1213</v>
      </c>
      <c r="C561" s="17" t="s">
        <v>10</v>
      </c>
      <c r="D561" s="485">
        <v>1</v>
      </c>
      <c r="E561" s="485">
        <v>3.1</v>
      </c>
      <c r="F561" s="485">
        <v>3.55</v>
      </c>
      <c r="G561" s="485"/>
      <c r="H561" s="487">
        <f t="shared" ref="H561" si="71">PRODUCT(D561:G561)</f>
        <v>11.004999999999999</v>
      </c>
    </row>
    <row r="562" spans="1:8">
      <c r="A562" s="485"/>
      <c r="B562" s="485" t="s">
        <v>1214</v>
      </c>
      <c r="C562" s="17" t="s">
        <v>10</v>
      </c>
      <c r="D562" s="485">
        <v>1</v>
      </c>
      <c r="E562" s="485">
        <v>3.1</v>
      </c>
      <c r="F562" s="485">
        <v>3.55</v>
      </c>
      <c r="G562" s="485"/>
      <c r="H562" s="487">
        <f t="shared" ref="H562" si="72">PRODUCT(D562:G562)</f>
        <v>11.004999999999999</v>
      </c>
    </row>
    <row r="563" spans="1:8">
      <c r="A563" s="485"/>
      <c r="B563" s="485" t="s">
        <v>1215</v>
      </c>
      <c r="C563" s="17" t="s">
        <v>10</v>
      </c>
      <c r="D563" s="485">
        <v>1</v>
      </c>
      <c r="E563" s="485">
        <v>3.6</v>
      </c>
      <c r="F563" s="485">
        <v>3.7</v>
      </c>
      <c r="G563" s="485"/>
      <c r="H563" s="487">
        <f t="shared" ref="H563" si="73">PRODUCT(D563:G563)</f>
        <v>13.32</v>
      </c>
    </row>
    <row r="564" spans="1:8">
      <c r="A564" s="485"/>
      <c r="B564" s="485" t="s">
        <v>1216</v>
      </c>
      <c r="C564" s="17" t="s">
        <v>10</v>
      </c>
      <c r="D564" s="485">
        <v>1</v>
      </c>
      <c r="E564" s="485">
        <v>4.4000000000000004</v>
      </c>
      <c r="F564" s="485">
        <v>3.7</v>
      </c>
      <c r="G564" s="485"/>
      <c r="H564" s="487">
        <f t="shared" ref="H564" si="74">PRODUCT(D564:G564)</f>
        <v>16.28</v>
      </c>
    </row>
    <row r="565" spans="1:8">
      <c r="A565" s="485"/>
      <c r="B565" s="485" t="s">
        <v>1217</v>
      </c>
      <c r="C565" s="17" t="s">
        <v>10</v>
      </c>
      <c r="D565" s="485">
        <v>1</v>
      </c>
      <c r="E565" s="485">
        <v>10.4</v>
      </c>
      <c r="F565" s="485">
        <v>6.73</v>
      </c>
      <c r="G565" s="485"/>
      <c r="H565" s="487">
        <f t="shared" ref="H565" si="75">PRODUCT(D565:G565)</f>
        <v>69.992000000000004</v>
      </c>
    </row>
    <row r="566" spans="1:8">
      <c r="A566" s="485"/>
      <c r="B566" s="485"/>
      <c r="C566" s="17" t="s">
        <v>10</v>
      </c>
      <c r="D566" s="485">
        <v>1</v>
      </c>
      <c r="E566" s="485">
        <v>0.6</v>
      </c>
      <c r="F566" s="485">
        <v>1</v>
      </c>
      <c r="G566" s="485"/>
      <c r="H566" s="487">
        <f t="shared" ref="H566" si="76">PRODUCT(D566:G566)</f>
        <v>0.6</v>
      </c>
    </row>
    <row r="567" spans="1:8">
      <c r="A567" s="485"/>
      <c r="B567" s="485" t="s">
        <v>1219</v>
      </c>
      <c r="C567" s="17" t="s">
        <v>10</v>
      </c>
      <c r="D567" s="485">
        <v>1</v>
      </c>
      <c r="E567" s="485">
        <v>4.3</v>
      </c>
      <c r="F567" s="485">
        <v>2.5499999999999998</v>
      </c>
      <c r="G567" s="485"/>
      <c r="H567" s="487">
        <f t="shared" ref="H567:H568" si="77">PRODUCT(D567:G567)</f>
        <v>10.964999999999998</v>
      </c>
    </row>
    <row r="568" spans="1:8">
      <c r="A568" s="485"/>
      <c r="B568" s="485"/>
      <c r="C568" s="17" t="s">
        <v>10</v>
      </c>
      <c r="D568" s="485">
        <v>-1</v>
      </c>
      <c r="E568" s="485">
        <v>1.175</v>
      </c>
      <c r="F568" s="485">
        <v>0.97499999999999998</v>
      </c>
      <c r="G568" s="485"/>
      <c r="H568" s="487">
        <f t="shared" si="77"/>
        <v>-1.1456250000000001</v>
      </c>
    </row>
    <row r="569" spans="1:8">
      <c r="A569" s="485"/>
      <c r="B569" s="485" t="s">
        <v>1930</v>
      </c>
      <c r="C569" s="17" t="s">
        <v>10</v>
      </c>
      <c r="D569" s="485">
        <v>2</v>
      </c>
      <c r="E569" s="485">
        <v>2</v>
      </c>
      <c r="F569" s="485">
        <v>1.2</v>
      </c>
      <c r="G569" s="485"/>
      <c r="H569" s="487">
        <f t="shared" ref="H569:H570" si="78">PRODUCT(D569:G569)</f>
        <v>4.8</v>
      </c>
    </row>
    <row r="570" spans="1:8">
      <c r="A570" s="485"/>
      <c r="B570" s="485" t="s">
        <v>1220</v>
      </c>
      <c r="C570" s="17" t="s">
        <v>10</v>
      </c>
      <c r="D570" s="485">
        <v>1</v>
      </c>
      <c r="E570" s="485">
        <v>4</v>
      </c>
      <c r="F570" s="485">
        <v>6.3</v>
      </c>
      <c r="G570" s="485"/>
      <c r="H570" s="487">
        <f t="shared" si="78"/>
        <v>25.2</v>
      </c>
    </row>
    <row r="571" spans="1:8">
      <c r="A571" s="485"/>
      <c r="B571" s="485" t="s">
        <v>1931</v>
      </c>
      <c r="C571" s="17" t="s">
        <v>10</v>
      </c>
      <c r="D571" s="485">
        <v>1</v>
      </c>
      <c r="E571" s="485">
        <v>10.8</v>
      </c>
      <c r="F571" s="485">
        <v>5.25</v>
      </c>
      <c r="G571" s="485"/>
      <c r="H571" s="487">
        <f t="shared" ref="H571:H572" si="79">PRODUCT(D571:G571)</f>
        <v>56.7</v>
      </c>
    </row>
    <row r="572" spans="1:8">
      <c r="A572" s="485"/>
      <c r="B572" s="485"/>
      <c r="C572" s="17" t="s">
        <v>10</v>
      </c>
      <c r="D572" s="485">
        <v>-1</v>
      </c>
      <c r="E572" s="485">
        <v>2.5</v>
      </c>
      <c r="F572" s="485">
        <v>0.9</v>
      </c>
      <c r="G572" s="485"/>
      <c r="H572" s="487">
        <f t="shared" si="79"/>
        <v>-2.25</v>
      </c>
    </row>
    <row r="573" spans="1:8">
      <c r="A573" s="485"/>
      <c r="B573" s="485" t="s">
        <v>1221</v>
      </c>
      <c r="C573" s="17" t="s">
        <v>10</v>
      </c>
      <c r="D573" s="485">
        <v>1</v>
      </c>
      <c r="E573" s="485">
        <v>6.3</v>
      </c>
      <c r="F573" s="485">
        <v>5.25</v>
      </c>
      <c r="G573" s="485"/>
      <c r="H573" s="487">
        <f t="shared" ref="H573" si="80">PRODUCT(D573:G573)</f>
        <v>33.074999999999996</v>
      </c>
    </row>
    <row r="574" spans="1:8">
      <c r="A574" s="485"/>
      <c r="B574" s="485" t="s">
        <v>1222</v>
      </c>
      <c r="C574" s="17" t="s">
        <v>10</v>
      </c>
      <c r="D574" s="485">
        <v>1</v>
      </c>
      <c r="E574" s="485">
        <v>9.9</v>
      </c>
      <c r="F574" s="485">
        <v>4.45</v>
      </c>
      <c r="G574" s="485"/>
      <c r="H574" s="487">
        <f t="shared" ref="H574:H576" si="81">PRODUCT(D574:G574)</f>
        <v>44.055000000000007</v>
      </c>
    </row>
    <row r="575" spans="1:8">
      <c r="A575" s="485"/>
      <c r="B575" s="485" t="s">
        <v>114</v>
      </c>
      <c r="C575" s="17" t="s">
        <v>10</v>
      </c>
      <c r="D575" s="485">
        <v>-1</v>
      </c>
      <c r="E575" s="485">
        <v>1.1000000000000001</v>
      </c>
      <c r="F575" s="485">
        <v>1.7</v>
      </c>
      <c r="G575" s="485"/>
      <c r="H575" s="487">
        <f t="shared" si="81"/>
        <v>-1.87</v>
      </c>
    </row>
    <row r="576" spans="1:8">
      <c r="A576" s="485"/>
      <c r="B576" s="485"/>
      <c r="C576" s="17" t="s">
        <v>10</v>
      </c>
      <c r="D576" s="485">
        <v>-1</v>
      </c>
      <c r="E576" s="485">
        <v>3.34</v>
      </c>
      <c r="F576" s="485">
        <v>1.3</v>
      </c>
      <c r="G576" s="485"/>
      <c r="H576" s="487">
        <f t="shared" si="81"/>
        <v>-4.3419999999999996</v>
      </c>
    </row>
    <row r="577" spans="1:8">
      <c r="A577" s="485"/>
      <c r="B577" s="485" t="s">
        <v>1223</v>
      </c>
      <c r="C577" s="17" t="s">
        <v>10</v>
      </c>
      <c r="D577" s="485">
        <v>1</v>
      </c>
      <c r="E577" s="485">
        <v>2.5499999999999998</v>
      </c>
      <c r="F577" s="485">
        <v>3.1</v>
      </c>
      <c r="G577" s="485"/>
      <c r="H577" s="487">
        <f t="shared" ref="H577" si="82">PRODUCT(D577:G577)</f>
        <v>7.9049999999999994</v>
      </c>
    </row>
    <row r="578" spans="1:8">
      <c r="A578" s="485"/>
      <c r="B578" s="485" t="s">
        <v>1012</v>
      </c>
      <c r="C578" s="17" t="s">
        <v>10</v>
      </c>
      <c r="D578" s="485">
        <v>1</v>
      </c>
      <c r="E578" s="485">
        <v>2.5499999999999998</v>
      </c>
      <c r="F578" s="485">
        <v>1.7</v>
      </c>
      <c r="G578" s="485"/>
      <c r="H578" s="487">
        <f t="shared" ref="H578" si="83">PRODUCT(D578:G578)</f>
        <v>4.335</v>
      </c>
    </row>
    <row r="579" spans="1:8">
      <c r="A579" s="485"/>
      <c r="B579" s="485" t="s">
        <v>1226</v>
      </c>
      <c r="C579" s="17" t="s">
        <v>10</v>
      </c>
      <c r="D579" s="485">
        <v>1</v>
      </c>
      <c r="E579" s="485">
        <v>2.5499999999999998</v>
      </c>
      <c r="F579" s="485">
        <v>3.2</v>
      </c>
      <c r="G579" s="485"/>
      <c r="H579" s="487">
        <f t="shared" ref="H579" si="84">PRODUCT(D579:G579)</f>
        <v>8.16</v>
      </c>
    </row>
    <row r="580" spans="1:8">
      <c r="A580" s="485"/>
      <c r="B580" s="485" t="s">
        <v>1227</v>
      </c>
      <c r="C580" s="17" t="s">
        <v>10</v>
      </c>
      <c r="D580" s="485">
        <v>1</v>
      </c>
      <c r="E580" s="485">
        <v>3.85</v>
      </c>
      <c r="F580" s="485">
        <v>8.8000000000000007</v>
      </c>
      <c r="G580" s="485"/>
      <c r="H580" s="487">
        <f t="shared" ref="H580" si="85">PRODUCT(D580:G580)</f>
        <v>33.880000000000003</v>
      </c>
    </row>
    <row r="581" spans="1:8">
      <c r="A581" s="485"/>
      <c r="B581" s="485"/>
      <c r="C581" s="17" t="s">
        <v>10</v>
      </c>
      <c r="D581" s="485">
        <v>0.5</v>
      </c>
      <c r="E581" s="485">
        <v>5.83</v>
      </c>
      <c r="F581" s="485">
        <v>2.8</v>
      </c>
      <c r="G581" s="485"/>
      <c r="H581" s="487">
        <f t="shared" ref="H581:H583" si="86">PRODUCT(D581:G581)</f>
        <v>8.161999999999999</v>
      </c>
    </row>
    <row r="582" spans="1:8">
      <c r="A582" s="485"/>
      <c r="B582" s="485"/>
      <c r="C582" s="17" t="s">
        <v>10</v>
      </c>
      <c r="D582" s="485">
        <v>1</v>
      </c>
      <c r="E582" s="485">
        <f>2.05</f>
        <v>2.0499999999999998</v>
      </c>
      <c r="F582" s="485">
        <f>(3.85+1.82)/2</f>
        <v>2.835</v>
      </c>
      <c r="G582" s="485"/>
      <c r="H582" s="487">
        <f t="shared" si="86"/>
        <v>5.8117499999999991</v>
      </c>
    </row>
    <row r="583" spans="1:8">
      <c r="A583" s="485"/>
      <c r="B583" s="485"/>
      <c r="C583" s="17" t="s">
        <v>10</v>
      </c>
      <c r="D583" s="485">
        <v>0.5</v>
      </c>
      <c r="E583" s="485">
        <v>1.82</v>
      </c>
      <c r="F583" s="485">
        <v>0.91</v>
      </c>
      <c r="G583" s="485"/>
      <c r="H583" s="487">
        <f t="shared" si="86"/>
        <v>0.82810000000000006</v>
      </c>
    </row>
    <row r="584" spans="1:8">
      <c r="A584" s="485"/>
      <c r="B584" s="485" t="s">
        <v>1228</v>
      </c>
      <c r="C584" s="17" t="s">
        <v>10</v>
      </c>
      <c r="D584" s="485">
        <v>1</v>
      </c>
      <c r="E584" s="485">
        <v>4.13</v>
      </c>
      <c r="F584" s="485">
        <v>3.55</v>
      </c>
      <c r="G584" s="485"/>
      <c r="H584" s="487">
        <f t="shared" ref="H584:H585" si="87">PRODUCT(D584:G584)</f>
        <v>14.661499999999998</v>
      </c>
    </row>
    <row r="585" spans="1:8">
      <c r="A585" s="485"/>
      <c r="B585" s="485" t="s">
        <v>1230</v>
      </c>
      <c r="C585" s="17" t="s">
        <v>10</v>
      </c>
      <c r="D585" s="485">
        <v>1</v>
      </c>
      <c r="E585" s="485">
        <v>3.2250000000000001</v>
      </c>
      <c r="F585" s="485">
        <v>3.55</v>
      </c>
      <c r="G585" s="485"/>
      <c r="H585" s="487">
        <f t="shared" si="87"/>
        <v>11.44875</v>
      </c>
    </row>
    <row r="586" spans="1:8">
      <c r="A586" s="485"/>
      <c r="B586" s="485" t="s">
        <v>1229</v>
      </c>
      <c r="C586" s="17" t="s">
        <v>10</v>
      </c>
      <c r="D586" s="485">
        <v>1</v>
      </c>
      <c r="E586" s="485">
        <v>3.1</v>
      </c>
      <c r="F586" s="485">
        <v>3.55</v>
      </c>
      <c r="G586" s="485"/>
      <c r="H586" s="487">
        <f t="shared" ref="H586" si="88">PRODUCT(D586:G586)</f>
        <v>11.004999999999999</v>
      </c>
    </row>
    <row r="587" spans="1:8">
      <c r="A587" s="485"/>
      <c r="B587" s="485" t="s">
        <v>1231</v>
      </c>
      <c r="C587" s="17" t="s">
        <v>10</v>
      </c>
      <c r="D587" s="485">
        <v>1</v>
      </c>
      <c r="E587" s="485">
        <v>9.15</v>
      </c>
      <c r="F587" s="485">
        <v>4.05</v>
      </c>
      <c r="G587" s="485"/>
      <c r="H587" s="487">
        <f t="shared" ref="H587:H590" si="89">PRODUCT(D587:G587)</f>
        <v>37.057499999999997</v>
      </c>
    </row>
    <row r="588" spans="1:8">
      <c r="A588" s="485"/>
      <c r="B588" s="485"/>
      <c r="C588" s="17" t="s">
        <v>10</v>
      </c>
      <c r="D588" s="485">
        <v>1</v>
      </c>
      <c r="E588" s="485">
        <v>8.4</v>
      </c>
      <c r="F588" s="485">
        <v>1.4</v>
      </c>
      <c r="G588" s="485"/>
      <c r="H588" s="487">
        <f t="shared" si="89"/>
        <v>11.76</v>
      </c>
    </row>
    <row r="589" spans="1:8">
      <c r="A589" s="485"/>
      <c r="B589" s="485"/>
      <c r="C589" s="17" t="s">
        <v>10</v>
      </c>
      <c r="D589" s="485">
        <v>-1</v>
      </c>
      <c r="E589" s="485">
        <v>0.7</v>
      </c>
      <c r="F589" s="485">
        <v>0.7</v>
      </c>
      <c r="G589" s="485"/>
      <c r="H589" s="487">
        <f t="shared" si="89"/>
        <v>-0.48999999999999994</v>
      </c>
    </row>
    <row r="590" spans="1:8">
      <c r="A590" s="485"/>
      <c r="B590" s="485" t="s">
        <v>1232</v>
      </c>
      <c r="C590" s="17" t="s">
        <v>10</v>
      </c>
      <c r="D590" s="485">
        <v>1</v>
      </c>
      <c r="E590" s="485">
        <v>17.399999999999999</v>
      </c>
      <c r="F590" s="485">
        <v>6.9</v>
      </c>
      <c r="G590" s="485"/>
      <c r="H590" s="487">
        <f t="shared" si="89"/>
        <v>120.06</v>
      </c>
    </row>
    <row r="591" spans="1:8">
      <c r="A591" s="485"/>
      <c r="B591" s="485" t="s">
        <v>1234</v>
      </c>
      <c r="C591" s="17" t="s">
        <v>10</v>
      </c>
      <c r="D591" s="485">
        <v>1</v>
      </c>
      <c r="E591" s="485">
        <v>5.4</v>
      </c>
      <c r="F591" s="485">
        <v>2.4500000000000002</v>
      </c>
      <c r="G591" s="485"/>
      <c r="H591" s="487">
        <f t="shared" ref="H591" si="90">PRODUCT(D591:G591)</f>
        <v>13.230000000000002</v>
      </c>
    </row>
    <row r="592" spans="1:8">
      <c r="A592" s="485"/>
      <c r="B592" s="485" t="s">
        <v>1235</v>
      </c>
      <c r="C592" s="17" t="s">
        <v>10</v>
      </c>
      <c r="D592" s="485">
        <v>1</v>
      </c>
      <c r="E592" s="485">
        <v>3.7</v>
      </c>
      <c r="F592" s="485">
        <v>2.4500000000000002</v>
      </c>
      <c r="G592" s="485"/>
      <c r="H592" s="487">
        <f t="shared" ref="H592" si="91">PRODUCT(D592:G592)</f>
        <v>9.0650000000000013</v>
      </c>
    </row>
    <row r="593" spans="1:8">
      <c r="A593" s="485"/>
      <c r="B593" s="485" t="s">
        <v>1933</v>
      </c>
      <c r="C593" s="17" t="s">
        <v>10</v>
      </c>
      <c r="D593" s="485">
        <v>1</v>
      </c>
      <c r="E593" s="485">
        <v>1.2</v>
      </c>
      <c r="F593" s="485">
        <v>1.96</v>
      </c>
      <c r="G593" s="485"/>
      <c r="H593" s="487">
        <f t="shared" ref="H593" si="92">PRODUCT(D593:G593)</f>
        <v>2.3519999999999999</v>
      </c>
    </row>
    <row r="594" spans="1:8">
      <c r="A594" s="485"/>
      <c r="B594" s="485" t="s">
        <v>1236</v>
      </c>
      <c r="C594" s="17" t="s">
        <v>10</v>
      </c>
      <c r="D594" s="485">
        <v>1</v>
      </c>
      <c r="E594" s="485">
        <v>1.2</v>
      </c>
      <c r="F594" s="485">
        <v>1.96</v>
      </c>
      <c r="G594" s="485"/>
      <c r="H594" s="487">
        <f t="shared" ref="H594" si="93">PRODUCT(D594:G594)</f>
        <v>2.3519999999999999</v>
      </c>
    </row>
    <row r="595" spans="1:8">
      <c r="A595" s="485"/>
      <c r="B595" s="485" t="s">
        <v>1237</v>
      </c>
      <c r="C595" s="17" t="s">
        <v>10</v>
      </c>
      <c r="D595" s="485">
        <v>1</v>
      </c>
      <c r="E595" s="485">
        <v>1.2</v>
      </c>
      <c r="F595" s="485">
        <v>1.96</v>
      </c>
      <c r="G595" s="485"/>
      <c r="H595" s="487">
        <f t="shared" ref="H595" si="94">PRODUCT(D595:G595)</f>
        <v>2.3519999999999999</v>
      </c>
    </row>
    <row r="596" spans="1:8">
      <c r="A596" s="485"/>
      <c r="B596" s="485" t="s">
        <v>1195</v>
      </c>
      <c r="C596" s="17" t="s">
        <v>10</v>
      </c>
      <c r="D596" s="485">
        <v>1</v>
      </c>
      <c r="E596" s="485">
        <v>3.2</v>
      </c>
      <c r="F596" s="485">
        <v>3.67</v>
      </c>
      <c r="G596" s="485"/>
      <c r="H596" s="487">
        <f t="shared" ref="H596" si="95">PRODUCT(D596:G596)</f>
        <v>11.744</v>
      </c>
    </row>
    <row r="597" spans="1:8">
      <c r="A597" s="485"/>
      <c r="B597" s="485" t="s">
        <v>197</v>
      </c>
      <c r="C597" s="17" t="s">
        <v>10</v>
      </c>
      <c r="D597" s="485">
        <v>1</v>
      </c>
      <c r="E597" s="485">
        <v>3.2</v>
      </c>
      <c r="F597" s="485">
        <v>3.67</v>
      </c>
      <c r="G597" s="485"/>
      <c r="H597" s="487">
        <f t="shared" ref="H597" si="96">PRODUCT(D597:G597)</f>
        <v>11.744</v>
      </c>
    </row>
    <row r="598" spans="1:8">
      <c r="A598" s="485"/>
      <c r="B598" s="485" t="s">
        <v>1207</v>
      </c>
      <c r="C598" s="17" t="s">
        <v>10</v>
      </c>
      <c r="D598" s="485">
        <v>1</v>
      </c>
      <c r="E598" s="485">
        <v>3.85</v>
      </c>
      <c r="F598" s="485">
        <v>5.2</v>
      </c>
      <c r="G598" s="485"/>
      <c r="H598" s="487">
        <f t="shared" ref="H598:H602" si="97">PRODUCT(D598:G598)</f>
        <v>20.02</v>
      </c>
    </row>
    <row r="599" spans="1:8">
      <c r="A599" s="485"/>
      <c r="B599" s="485" t="s">
        <v>203</v>
      </c>
      <c r="C599" s="17" t="s">
        <v>10</v>
      </c>
      <c r="D599" s="485">
        <v>1</v>
      </c>
      <c r="E599" s="485">
        <v>6.4</v>
      </c>
      <c r="F599" s="485">
        <v>4.05</v>
      </c>
      <c r="G599" s="485"/>
      <c r="H599" s="487">
        <f t="shared" si="97"/>
        <v>25.92</v>
      </c>
    </row>
    <row r="600" spans="1:8">
      <c r="A600" s="485"/>
      <c r="B600" s="485"/>
      <c r="C600" s="17" t="s">
        <v>10</v>
      </c>
      <c r="D600" s="485">
        <v>1</v>
      </c>
      <c r="E600" s="485">
        <v>1.1399999999999999</v>
      </c>
      <c r="F600" s="485">
        <f>(6.4+5.35)/2</f>
        <v>5.875</v>
      </c>
      <c r="G600" s="485"/>
      <c r="H600" s="487">
        <f t="shared" si="97"/>
        <v>6.6974999999999998</v>
      </c>
    </row>
    <row r="601" spans="1:8">
      <c r="A601" s="485"/>
      <c r="B601" s="485"/>
      <c r="C601" s="17" t="s">
        <v>10</v>
      </c>
      <c r="D601" s="485">
        <v>0.5</v>
      </c>
      <c r="E601" s="485">
        <v>5.2</v>
      </c>
      <c r="F601" s="485">
        <v>2.6</v>
      </c>
      <c r="G601" s="485"/>
      <c r="H601" s="487">
        <f t="shared" si="97"/>
        <v>6.7600000000000007</v>
      </c>
    </row>
    <row r="602" spans="1:8">
      <c r="A602" s="485"/>
      <c r="B602" s="485"/>
      <c r="C602" s="17" t="s">
        <v>10</v>
      </c>
      <c r="D602" s="485">
        <v>1</v>
      </c>
      <c r="E602" s="485">
        <v>2.7250000000000001</v>
      </c>
      <c r="F602" s="485">
        <v>2.68</v>
      </c>
      <c r="G602" s="485"/>
      <c r="H602" s="487">
        <f t="shared" si="97"/>
        <v>7.3030000000000008</v>
      </c>
    </row>
    <row r="603" spans="1:8">
      <c r="A603" s="485"/>
      <c r="B603" s="485" t="s">
        <v>1239</v>
      </c>
      <c r="C603" s="17" t="s">
        <v>10</v>
      </c>
      <c r="D603" s="485">
        <v>1</v>
      </c>
      <c r="E603" s="485">
        <v>6.6</v>
      </c>
      <c r="F603" s="485">
        <v>9.6</v>
      </c>
      <c r="G603" s="485"/>
      <c r="H603" s="487">
        <f t="shared" ref="H603:H605" si="98">PRODUCT(D603:G603)</f>
        <v>63.359999999999992</v>
      </c>
    </row>
    <row r="604" spans="1:8">
      <c r="A604" s="485"/>
      <c r="B604" s="485"/>
      <c r="C604" s="17" t="s">
        <v>10</v>
      </c>
      <c r="D604" s="485">
        <v>-1</v>
      </c>
      <c r="E604" s="485">
        <v>0.8</v>
      </c>
      <c r="F604" s="485">
        <v>3.75</v>
      </c>
      <c r="G604" s="485"/>
      <c r="H604" s="487">
        <f t="shared" si="98"/>
        <v>-3</v>
      </c>
    </row>
    <row r="605" spans="1:8">
      <c r="A605" s="485"/>
      <c r="B605" s="485"/>
      <c r="C605" s="17" t="s">
        <v>10</v>
      </c>
      <c r="D605" s="485">
        <v>-1</v>
      </c>
      <c r="E605" s="485">
        <v>0.55000000000000004</v>
      </c>
      <c r="F605" s="485">
        <v>0.9</v>
      </c>
      <c r="G605" s="485"/>
      <c r="H605" s="487">
        <f t="shared" si="98"/>
        <v>-0.49500000000000005</v>
      </c>
    </row>
    <row r="606" spans="1:8">
      <c r="A606" s="485"/>
      <c r="B606" s="485" t="s">
        <v>1293</v>
      </c>
      <c r="C606" s="17" t="s">
        <v>10</v>
      </c>
      <c r="D606" s="485">
        <v>1</v>
      </c>
      <c r="E606" s="485">
        <v>3.2</v>
      </c>
      <c r="F606" s="485">
        <f>(1.41+4.61)/2</f>
        <v>3.0100000000000002</v>
      </c>
      <c r="G606" s="485"/>
      <c r="H606" s="487">
        <f t="shared" ref="H606:H607" si="99">PRODUCT(D606:G606)</f>
        <v>9.6320000000000014</v>
      </c>
    </row>
    <row r="607" spans="1:8">
      <c r="A607" s="485"/>
      <c r="B607" s="485"/>
      <c r="C607" s="17" t="s">
        <v>10</v>
      </c>
      <c r="D607" s="485">
        <v>1</v>
      </c>
      <c r="E607" s="485">
        <v>0.35</v>
      </c>
      <c r="F607" s="485">
        <v>3.9</v>
      </c>
      <c r="G607" s="485"/>
      <c r="H607" s="487">
        <f t="shared" si="99"/>
        <v>1.365</v>
      </c>
    </row>
    <row r="608" spans="1:8">
      <c r="A608" s="485"/>
      <c r="B608" s="485" t="s">
        <v>1988</v>
      </c>
      <c r="C608" s="17" t="s">
        <v>10</v>
      </c>
      <c r="D608" s="485">
        <v>2</v>
      </c>
      <c r="E608" s="485">
        <v>2.5</v>
      </c>
      <c r="F608" s="485">
        <v>1.95</v>
      </c>
      <c r="G608" s="485"/>
      <c r="H608" s="487">
        <f t="shared" ref="H608:H609" si="100">PRODUCT(D608:G608)</f>
        <v>9.75</v>
      </c>
    </row>
    <row r="609" spans="1:8" s="948" customFormat="1">
      <c r="A609" s="485"/>
      <c r="B609" s="485"/>
      <c r="C609" s="17" t="s">
        <v>10</v>
      </c>
      <c r="D609" s="485">
        <v>0.5</v>
      </c>
      <c r="E609" s="485">
        <v>19.399999999999999</v>
      </c>
      <c r="F609" s="485">
        <v>10</v>
      </c>
      <c r="G609" s="485"/>
      <c r="H609" s="487">
        <f t="shared" si="100"/>
        <v>97</v>
      </c>
    </row>
    <row r="610" spans="1:8">
      <c r="A610" s="17"/>
      <c r="B610" s="17"/>
      <c r="C610" s="17"/>
      <c r="D610" s="17"/>
      <c r="E610" s="17"/>
      <c r="F610" s="17"/>
      <c r="G610" s="17"/>
      <c r="H610" s="18"/>
    </row>
    <row r="611" spans="1:8">
      <c r="A611" s="15"/>
      <c r="B611" s="15" t="s">
        <v>21</v>
      </c>
      <c r="C611" s="15"/>
      <c r="D611" s="15"/>
      <c r="E611" s="15"/>
      <c r="F611" s="15"/>
      <c r="G611" s="15"/>
      <c r="H611" s="20">
        <f>SUM(H543:H610)</f>
        <v>1401.1439750000004</v>
      </c>
    </row>
    <row r="612" spans="1:8">
      <c r="A612" s="17"/>
      <c r="B612" s="17" t="s">
        <v>22</v>
      </c>
      <c r="C612" s="17"/>
      <c r="D612" s="17"/>
      <c r="E612" s="17"/>
      <c r="F612" s="17"/>
      <c r="G612" s="17"/>
      <c r="H612" s="18"/>
    </row>
    <row r="613" spans="1:8">
      <c r="A613" s="15"/>
      <c r="B613" s="15" t="s">
        <v>23</v>
      </c>
      <c r="C613" s="15"/>
      <c r="D613" s="15"/>
      <c r="E613" s="15"/>
      <c r="F613" s="15"/>
      <c r="G613" s="15"/>
      <c r="H613" s="20">
        <f>ROUND(SUM(H611:H612),0)</f>
        <v>1401</v>
      </c>
    </row>
    <row r="614" spans="1:8">
      <c r="A614" s="17"/>
      <c r="B614" s="17"/>
      <c r="C614" s="17"/>
      <c r="D614" s="17"/>
      <c r="E614" s="17"/>
      <c r="F614" s="17"/>
      <c r="G614" s="17"/>
      <c r="H614" s="18"/>
    </row>
    <row r="615" spans="1:8">
      <c r="A615" s="17">
        <v>6</v>
      </c>
      <c r="B615" s="15" t="s">
        <v>193</v>
      </c>
      <c r="C615" s="17" t="s">
        <v>10</v>
      </c>
      <c r="D615" s="17"/>
      <c r="E615" s="17"/>
      <c r="F615" s="17"/>
      <c r="G615" s="17"/>
      <c r="H615" s="18"/>
    </row>
    <row r="616" spans="1:8">
      <c r="A616" s="17"/>
      <c r="B616" s="17"/>
      <c r="C616" s="17"/>
      <c r="D616" s="17"/>
      <c r="E616" s="17"/>
      <c r="F616" s="17"/>
      <c r="G616" s="17"/>
      <c r="H616" s="18"/>
    </row>
    <row r="617" spans="1:8">
      <c r="A617" s="17"/>
      <c r="B617" s="17" t="s">
        <v>1242</v>
      </c>
      <c r="C617" s="17" t="s">
        <v>10</v>
      </c>
      <c r="D617" s="17">
        <v>1</v>
      </c>
      <c r="E617" s="17">
        <v>6.65</v>
      </c>
      <c r="F617" s="17">
        <v>3.9</v>
      </c>
      <c r="G617" s="17"/>
      <c r="H617" s="18">
        <f t="shared" ref="H617:H619" si="101">PRODUCT(D617:G617)</f>
        <v>25.935000000000002</v>
      </c>
    </row>
    <row r="618" spans="1:8">
      <c r="A618" s="17"/>
      <c r="B618" s="17" t="s">
        <v>1243</v>
      </c>
      <c r="C618" s="17" t="s">
        <v>10</v>
      </c>
      <c r="D618" s="17">
        <v>1</v>
      </c>
      <c r="E618" s="17">
        <v>3.9</v>
      </c>
      <c r="F618" s="17">
        <v>5</v>
      </c>
      <c r="G618" s="17"/>
      <c r="H618" s="18">
        <f t="shared" si="101"/>
        <v>19.5</v>
      </c>
    </row>
    <row r="619" spans="1:8">
      <c r="A619" s="17"/>
      <c r="B619" s="17" t="s">
        <v>1244</v>
      </c>
      <c r="C619" s="17" t="s">
        <v>10</v>
      </c>
      <c r="D619" s="17">
        <v>1</v>
      </c>
      <c r="E619" s="17">
        <v>3.8</v>
      </c>
      <c r="F619" s="17">
        <v>4.45</v>
      </c>
      <c r="G619" s="17"/>
      <c r="H619" s="18">
        <f t="shared" si="101"/>
        <v>16.91</v>
      </c>
    </row>
    <row r="620" spans="1:8">
      <c r="A620" s="485"/>
      <c r="B620" s="485" t="s">
        <v>1255</v>
      </c>
      <c r="C620" s="17" t="s">
        <v>10</v>
      </c>
      <c r="D620" s="17">
        <v>1</v>
      </c>
      <c r="E620" s="17">
        <v>5.5</v>
      </c>
      <c r="F620" s="17">
        <v>8.67</v>
      </c>
      <c r="G620" s="17"/>
      <c r="H620" s="18">
        <f t="shared" ref="H620:H621" si="102">PRODUCT(D620:G620)</f>
        <v>47.685000000000002</v>
      </c>
    </row>
    <row r="621" spans="1:8">
      <c r="A621" s="485"/>
      <c r="B621" s="485"/>
      <c r="C621" s="17" t="s">
        <v>10</v>
      </c>
      <c r="D621" s="485">
        <v>1</v>
      </c>
      <c r="E621" s="485">
        <v>2.08</v>
      </c>
      <c r="F621" s="485">
        <v>0.6</v>
      </c>
      <c r="G621" s="485"/>
      <c r="H621" s="487">
        <f t="shared" si="102"/>
        <v>1.248</v>
      </c>
    </row>
    <row r="622" spans="1:8">
      <c r="A622" s="17"/>
      <c r="B622" s="17"/>
      <c r="C622" s="17"/>
      <c r="D622" s="17"/>
      <c r="E622" s="17"/>
      <c r="F622" s="17"/>
      <c r="G622" s="17"/>
      <c r="H622" s="18"/>
    </row>
    <row r="623" spans="1:8">
      <c r="A623" s="15"/>
      <c r="B623" s="15" t="s">
        <v>21</v>
      </c>
      <c r="C623" s="15"/>
      <c r="D623" s="15"/>
      <c r="E623" s="15"/>
      <c r="F623" s="15"/>
      <c r="G623" s="15"/>
      <c r="H623" s="20">
        <f>SUM(H617:H622)</f>
        <v>111.27800000000001</v>
      </c>
    </row>
    <row r="624" spans="1:8">
      <c r="A624" s="17"/>
      <c r="B624" s="17" t="s">
        <v>22</v>
      </c>
      <c r="C624" s="17"/>
      <c r="D624" s="17"/>
      <c r="E624" s="17"/>
      <c r="F624" s="17"/>
      <c r="G624" s="17"/>
      <c r="H624" s="18"/>
    </row>
    <row r="625" spans="1:8">
      <c r="A625" s="15"/>
      <c r="B625" s="15" t="s">
        <v>23</v>
      </c>
      <c r="C625" s="15"/>
      <c r="D625" s="15"/>
      <c r="E625" s="15"/>
      <c r="F625" s="15"/>
      <c r="G625" s="15"/>
      <c r="H625" s="20">
        <f>ROUND(SUM(H623:H624),0)</f>
        <v>111</v>
      </c>
    </row>
    <row r="626" spans="1:8">
      <c r="A626" s="17"/>
      <c r="B626" s="17"/>
      <c r="C626" s="17"/>
      <c r="D626" s="17"/>
      <c r="E626" s="17"/>
      <c r="F626" s="17"/>
      <c r="G626" s="17"/>
      <c r="H626" s="18"/>
    </row>
    <row r="627" spans="1:8">
      <c r="A627" s="17">
        <v>6</v>
      </c>
      <c r="B627" s="15" t="s">
        <v>115</v>
      </c>
      <c r="C627" s="17" t="s">
        <v>10</v>
      </c>
      <c r="D627" s="17"/>
      <c r="E627" s="17"/>
      <c r="F627" s="17"/>
      <c r="G627" s="17"/>
      <c r="H627" s="18"/>
    </row>
    <row r="628" spans="1:8">
      <c r="A628" s="17"/>
      <c r="B628" s="17"/>
      <c r="C628" s="17"/>
      <c r="D628" s="17"/>
      <c r="E628" s="17"/>
      <c r="F628" s="17"/>
      <c r="G628" s="17"/>
      <c r="H628" s="18"/>
    </row>
    <row r="629" spans="1:8">
      <c r="A629" s="17"/>
      <c r="B629" s="17" t="s">
        <v>181</v>
      </c>
      <c r="C629" s="17" t="s">
        <v>10</v>
      </c>
      <c r="D629" s="17">
        <v>1</v>
      </c>
      <c r="E629" s="17">
        <v>3.2</v>
      </c>
      <c r="F629" s="17">
        <v>6.8250000000000002</v>
      </c>
      <c r="G629" s="17"/>
      <c r="H629" s="18">
        <f>PRODUCT(D629:G629)</f>
        <v>21.840000000000003</v>
      </c>
    </row>
    <row r="630" spans="1:8">
      <c r="A630" s="17"/>
      <c r="B630" s="17"/>
      <c r="C630" s="17"/>
      <c r="D630" s="17"/>
      <c r="E630" s="17"/>
      <c r="F630" s="17"/>
      <c r="G630" s="17"/>
      <c r="H630" s="18"/>
    </row>
    <row r="631" spans="1:8">
      <c r="A631" s="15"/>
      <c r="B631" s="15" t="s">
        <v>21</v>
      </c>
      <c r="C631" s="15"/>
      <c r="D631" s="15"/>
      <c r="E631" s="15"/>
      <c r="F631" s="15"/>
      <c r="G631" s="15"/>
      <c r="H631" s="20">
        <f>SUM(H629:H630)</f>
        <v>21.840000000000003</v>
      </c>
    </row>
    <row r="632" spans="1:8">
      <c r="A632" s="17"/>
      <c r="B632" s="17" t="s">
        <v>22</v>
      </c>
      <c r="C632" s="17"/>
      <c r="D632" s="17"/>
      <c r="E632" s="17"/>
      <c r="F632" s="17"/>
      <c r="G632" s="17"/>
      <c r="H632" s="18"/>
    </row>
    <row r="633" spans="1:8">
      <c r="A633" s="15"/>
      <c r="B633" s="15" t="s">
        <v>23</v>
      </c>
      <c r="C633" s="15"/>
      <c r="D633" s="15"/>
      <c r="E633" s="15"/>
      <c r="F633" s="15"/>
      <c r="G633" s="15"/>
      <c r="H633" s="20">
        <f>ROUND(SUM(H631:H632),0)</f>
        <v>22</v>
      </c>
    </row>
    <row r="634" spans="1:8">
      <c r="A634" s="17"/>
      <c r="B634" s="17"/>
      <c r="C634" s="17"/>
      <c r="D634" s="17"/>
      <c r="E634" s="17"/>
      <c r="F634" s="17"/>
      <c r="G634" s="17"/>
      <c r="H634" s="18"/>
    </row>
    <row r="635" spans="1:8">
      <c r="A635" s="17">
        <v>6</v>
      </c>
      <c r="B635" s="15" t="s">
        <v>1248</v>
      </c>
      <c r="C635" s="17" t="s">
        <v>10</v>
      </c>
      <c r="D635" s="17"/>
      <c r="E635" s="17"/>
      <c r="F635" s="17"/>
      <c r="G635" s="17"/>
      <c r="H635" s="18"/>
    </row>
    <row r="636" spans="1:8">
      <c r="A636" s="17"/>
      <c r="B636" s="17"/>
      <c r="C636" s="17"/>
      <c r="D636" s="17"/>
      <c r="E636" s="17"/>
      <c r="F636" s="17"/>
      <c r="G636" s="17"/>
      <c r="H636" s="18"/>
    </row>
    <row r="637" spans="1:8">
      <c r="A637" s="17"/>
      <c r="B637" s="17" t="s">
        <v>1249</v>
      </c>
      <c r="C637" s="17" t="s">
        <v>10</v>
      </c>
      <c r="D637" s="17">
        <v>1</v>
      </c>
      <c r="E637" s="17">
        <v>3</v>
      </c>
      <c r="F637" s="17">
        <v>4</v>
      </c>
      <c r="G637" s="17"/>
      <c r="H637" s="18">
        <f>PRODUCT(D637:G637)</f>
        <v>12</v>
      </c>
    </row>
    <row r="638" spans="1:8">
      <c r="A638" s="485"/>
      <c r="B638" s="485"/>
      <c r="C638" s="17" t="s">
        <v>10</v>
      </c>
      <c r="D638" s="17">
        <v>1</v>
      </c>
      <c r="E638" s="17">
        <v>2.5499999999999998</v>
      </c>
      <c r="F638" s="17">
        <v>1.2</v>
      </c>
      <c r="G638" s="17"/>
      <c r="H638" s="18">
        <f>PRODUCT(D638:G638)</f>
        <v>3.0599999999999996</v>
      </c>
    </row>
    <row r="639" spans="1:8">
      <c r="A639" s="485"/>
      <c r="B639" s="485"/>
      <c r="C639" s="485"/>
      <c r="D639" s="485"/>
      <c r="E639" s="485"/>
      <c r="F639" s="485"/>
      <c r="G639" s="485"/>
      <c r="H639" s="487"/>
    </row>
    <row r="640" spans="1:8">
      <c r="A640" s="17"/>
      <c r="B640" s="17"/>
      <c r="C640" s="17"/>
      <c r="D640" s="17"/>
      <c r="E640" s="17"/>
      <c r="F640" s="17"/>
      <c r="G640" s="17"/>
      <c r="H640" s="18"/>
    </row>
    <row r="641" spans="1:9">
      <c r="A641" s="15"/>
      <c r="B641" s="15" t="s">
        <v>21</v>
      </c>
      <c r="C641" s="15"/>
      <c r="D641" s="15"/>
      <c r="E641" s="15"/>
      <c r="F641" s="15"/>
      <c r="G641" s="15"/>
      <c r="H641" s="20">
        <f>SUM(H637:H640)</f>
        <v>15.059999999999999</v>
      </c>
      <c r="I641">
        <f>H641*10.764</f>
        <v>162.10583999999997</v>
      </c>
    </row>
    <row r="642" spans="1:9">
      <c r="A642" s="17"/>
      <c r="B642" s="17" t="s">
        <v>22</v>
      </c>
      <c r="C642" s="17"/>
      <c r="D642" s="17"/>
      <c r="E642" s="17"/>
      <c r="F642" s="17"/>
      <c r="G642" s="17"/>
      <c r="H642" s="18"/>
    </row>
    <row r="643" spans="1:9">
      <c r="A643" s="15"/>
      <c r="B643" s="15" t="s">
        <v>23</v>
      </c>
      <c r="C643" s="15"/>
      <c r="D643" s="15"/>
      <c r="E643" s="15"/>
      <c r="F643" s="15"/>
      <c r="G643" s="15"/>
      <c r="H643" s="20">
        <f>ROUND(SUM(H641:H642),0)</f>
        <v>15</v>
      </c>
    </row>
    <row r="644" spans="1:9">
      <c r="A644" s="17"/>
      <c r="B644" s="17"/>
      <c r="C644" s="17"/>
      <c r="D644" s="17"/>
      <c r="E644" s="17"/>
      <c r="F644" s="17"/>
      <c r="G644" s="17"/>
      <c r="H644" s="18"/>
    </row>
    <row r="645" spans="1:9">
      <c r="A645" s="17">
        <v>6</v>
      </c>
      <c r="B645" s="15" t="s">
        <v>1251</v>
      </c>
      <c r="C645" s="17" t="s">
        <v>10</v>
      </c>
      <c r="D645" s="17"/>
      <c r="E645" s="17"/>
      <c r="F645" s="17"/>
      <c r="G645" s="17"/>
      <c r="H645" s="18"/>
    </row>
    <row r="646" spans="1:9">
      <c r="A646" s="17"/>
      <c r="B646" s="17"/>
      <c r="C646" s="17"/>
      <c r="D646" s="17"/>
      <c r="E646" s="17"/>
      <c r="F646" s="17"/>
      <c r="G646" s="17"/>
      <c r="H646" s="18"/>
    </row>
    <row r="647" spans="1:9">
      <c r="A647" s="17"/>
      <c r="B647" s="17" t="s">
        <v>1252</v>
      </c>
      <c r="C647" s="17" t="s">
        <v>10</v>
      </c>
      <c r="D647" s="17">
        <v>1</v>
      </c>
      <c r="E647" s="17">
        <v>5</v>
      </c>
      <c r="F647" s="17">
        <v>0.97</v>
      </c>
      <c r="G647" s="17"/>
      <c r="H647" s="18">
        <f>PRODUCT(D647:G647)</f>
        <v>4.8499999999999996</v>
      </c>
    </row>
    <row r="648" spans="1:9">
      <c r="A648" s="485"/>
      <c r="B648" s="485"/>
      <c r="C648" s="17" t="s">
        <v>10</v>
      </c>
      <c r="D648" s="17">
        <v>1</v>
      </c>
      <c r="E648" s="17">
        <v>3.02</v>
      </c>
      <c r="F648" s="17">
        <v>1.1499999999999999</v>
      </c>
      <c r="G648" s="17"/>
      <c r="H648" s="18">
        <f>PRODUCT(D648:G648)</f>
        <v>3.4729999999999999</v>
      </c>
    </row>
    <row r="649" spans="1:9">
      <c r="A649" s="485"/>
      <c r="B649" s="485"/>
      <c r="C649" s="17" t="s">
        <v>10</v>
      </c>
      <c r="D649" s="485">
        <v>0.5</v>
      </c>
      <c r="E649" s="485">
        <v>4</v>
      </c>
      <c r="F649" s="485">
        <v>3.89</v>
      </c>
      <c r="G649" s="485"/>
      <c r="H649" s="18">
        <f>PRODUCT(D649:G649)</f>
        <v>7.78</v>
      </c>
    </row>
    <row r="650" spans="1:9">
      <c r="A650" s="17"/>
      <c r="B650" s="17"/>
      <c r="C650" s="17"/>
      <c r="D650" s="17"/>
      <c r="E650" s="17"/>
      <c r="F650" s="17"/>
      <c r="G650" s="17"/>
      <c r="H650" s="18"/>
    </row>
    <row r="651" spans="1:9">
      <c r="A651" s="15"/>
      <c r="B651" s="15" t="s">
        <v>21</v>
      </c>
      <c r="C651" s="15"/>
      <c r="D651" s="15"/>
      <c r="E651" s="15"/>
      <c r="F651" s="15"/>
      <c r="G651" s="15"/>
      <c r="H651" s="20">
        <f>SUM(H647:H650)</f>
        <v>16.103000000000002</v>
      </c>
    </row>
    <row r="652" spans="1:9">
      <c r="A652" s="17"/>
      <c r="B652" s="17" t="s">
        <v>22</v>
      </c>
      <c r="C652" s="17"/>
      <c r="D652" s="17"/>
      <c r="E652" s="17"/>
      <c r="F652" s="17"/>
      <c r="G652" s="17"/>
      <c r="H652" s="18"/>
    </row>
    <row r="653" spans="1:9">
      <c r="A653" s="15"/>
      <c r="B653" s="15" t="s">
        <v>23</v>
      </c>
      <c r="C653" s="15"/>
      <c r="D653" s="15"/>
      <c r="E653" s="15"/>
      <c r="F653" s="15"/>
      <c r="G653" s="15"/>
      <c r="H653" s="20">
        <f>ROUND(SUM(H651:H652),0)</f>
        <v>16</v>
      </c>
    </row>
    <row r="654" spans="1:9">
      <c r="A654" s="15"/>
      <c r="B654" s="15"/>
      <c r="C654" s="15"/>
      <c r="D654" s="15"/>
      <c r="E654" s="15"/>
      <c r="F654" s="15"/>
      <c r="G654" s="15"/>
      <c r="H654" s="20"/>
    </row>
    <row r="655" spans="1:9">
      <c r="A655" s="17">
        <v>6</v>
      </c>
      <c r="B655" s="15" t="s">
        <v>32</v>
      </c>
      <c r="C655" s="17"/>
      <c r="D655" s="17"/>
      <c r="E655" s="17"/>
      <c r="F655" s="17"/>
      <c r="G655" s="17"/>
      <c r="H655" s="18"/>
    </row>
    <row r="656" spans="1:9">
      <c r="A656" s="17"/>
      <c r="B656" s="17"/>
      <c r="C656" s="17"/>
      <c r="D656" s="17"/>
      <c r="E656" s="17"/>
      <c r="F656" s="17"/>
      <c r="G656" s="17"/>
      <c r="H656" s="18"/>
    </row>
    <row r="657" spans="1:8">
      <c r="A657" s="17"/>
      <c r="B657" s="17" t="s">
        <v>156</v>
      </c>
      <c r="C657" s="17" t="s">
        <v>31</v>
      </c>
      <c r="D657" s="17">
        <v>1</v>
      </c>
      <c r="E657" s="17">
        <f>1.8+0.125+5.73+0.995+12.41+0.47+6.77+0.24+1.58</f>
        <v>30.119999999999997</v>
      </c>
      <c r="F657" s="17"/>
      <c r="G657" s="17"/>
      <c r="H657" s="18">
        <f t="shared" ref="H657:H658" si="103">PRODUCT(D657:G657)</f>
        <v>30.119999999999997</v>
      </c>
    </row>
    <row r="658" spans="1:8">
      <c r="A658" s="485"/>
      <c r="B658" s="485"/>
      <c r="C658" s="17" t="s">
        <v>31</v>
      </c>
      <c r="D658" s="485">
        <v>-1</v>
      </c>
      <c r="E658" s="485">
        <v>1.5</v>
      </c>
      <c r="F658" s="485"/>
      <c r="G658" s="485"/>
      <c r="H658" s="18">
        <f t="shared" si="103"/>
        <v>-1.5</v>
      </c>
    </row>
    <row r="659" spans="1:8">
      <c r="A659" s="485"/>
      <c r="B659" s="485" t="s">
        <v>282</v>
      </c>
      <c r="C659" s="17" t="s">
        <v>31</v>
      </c>
      <c r="D659" s="485">
        <v>1</v>
      </c>
      <c r="E659" s="485">
        <v>8.9</v>
      </c>
      <c r="F659" s="485"/>
      <c r="G659" s="485"/>
      <c r="H659" s="18">
        <f t="shared" ref="H659:H662" si="104">PRODUCT(D659:G659)</f>
        <v>8.9</v>
      </c>
    </row>
    <row r="660" spans="1:8">
      <c r="A660" s="485"/>
      <c r="B660" s="485"/>
      <c r="C660" s="17" t="s">
        <v>31</v>
      </c>
      <c r="D660" s="485">
        <v>-1</v>
      </c>
      <c r="E660" s="485">
        <v>1.8</v>
      </c>
      <c r="F660" s="485"/>
      <c r="G660" s="485"/>
      <c r="H660" s="18">
        <f t="shared" si="104"/>
        <v>-1.8</v>
      </c>
    </row>
    <row r="661" spans="1:8">
      <c r="A661" s="485"/>
      <c r="B661" s="485"/>
      <c r="C661" s="17" t="s">
        <v>31</v>
      </c>
      <c r="D661" s="485">
        <v>1</v>
      </c>
      <c r="E661" s="485">
        <v>5.3</v>
      </c>
      <c r="F661" s="485"/>
      <c r="G661" s="485"/>
      <c r="H661" s="487">
        <f t="shared" si="104"/>
        <v>5.3</v>
      </c>
    </row>
    <row r="662" spans="1:8">
      <c r="A662" s="485"/>
      <c r="B662" s="485"/>
      <c r="C662" s="17" t="s">
        <v>31</v>
      </c>
      <c r="D662" s="485">
        <v>-1</v>
      </c>
      <c r="E662" s="485">
        <v>1</v>
      </c>
      <c r="F662" s="485"/>
      <c r="G662" s="485"/>
      <c r="H662" s="487">
        <f t="shared" si="104"/>
        <v>-1</v>
      </c>
    </row>
    <row r="663" spans="1:8">
      <c r="A663" s="485"/>
      <c r="B663" s="485" t="s">
        <v>1254</v>
      </c>
      <c r="C663" s="17" t="s">
        <v>31</v>
      </c>
      <c r="D663" s="485">
        <v>2</v>
      </c>
      <c r="E663" s="485">
        <v>6.7</v>
      </c>
      <c r="F663" s="485"/>
      <c r="G663" s="485"/>
      <c r="H663" s="487">
        <f t="shared" ref="H663:H673" si="105">PRODUCT(D663:G663)</f>
        <v>13.4</v>
      </c>
    </row>
    <row r="664" spans="1:8">
      <c r="A664" s="485"/>
      <c r="B664" s="485"/>
      <c r="C664" s="17" t="s">
        <v>31</v>
      </c>
      <c r="D664" s="485">
        <v>-1</v>
      </c>
      <c r="E664" s="485">
        <v>1.5</v>
      </c>
      <c r="F664" s="485"/>
      <c r="G664" s="485"/>
      <c r="H664" s="487">
        <f t="shared" si="105"/>
        <v>-1.5</v>
      </c>
    </row>
    <row r="665" spans="1:8">
      <c r="A665" s="485"/>
      <c r="B665" s="485"/>
      <c r="C665" s="17" t="s">
        <v>31</v>
      </c>
      <c r="D665" s="485">
        <v>1</v>
      </c>
      <c r="E665" s="485">
        <v>3.3</v>
      </c>
      <c r="F665" s="485"/>
      <c r="G665" s="485"/>
      <c r="H665" s="487">
        <f t="shared" si="105"/>
        <v>3.3</v>
      </c>
    </row>
    <row r="666" spans="1:8">
      <c r="A666" s="485"/>
      <c r="B666" s="485"/>
      <c r="C666" s="17" t="s">
        <v>31</v>
      </c>
      <c r="D666" s="485">
        <v>1</v>
      </c>
      <c r="E666" s="485">
        <v>1.1000000000000001</v>
      </c>
      <c r="F666" s="485"/>
      <c r="G666" s="485"/>
      <c r="H666" s="487">
        <f t="shared" si="105"/>
        <v>1.1000000000000001</v>
      </c>
    </row>
    <row r="667" spans="1:8">
      <c r="A667" s="485"/>
      <c r="B667" s="485"/>
      <c r="C667" s="17" t="s">
        <v>31</v>
      </c>
      <c r="D667" s="485">
        <v>-1</v>
      </c>
      <c r="E667" s="485">
        <v>1.8</v>
      </c>
      <c r="F667" s="485"/>
      <c r="G667" s="485"/>
      <c r="H667" s="487">
        <f t="shared" si="105"/>
        <v>-1.8</v>
      </c>
    </row>
    <row r="668" spans="1:8">
      <c r="A668" s="485"/>
      <c r="B668" s="485"/>
      <c r="C668" s="17" t="s">
        <v>31</v>
      </c>
      <c r="D668" s="485">
        <v>-1</v>
      </c>
      <c r="E668" s="485">
        <v>1.1000000000000001</v>
      </c>
      <c r="F668" s="485"/>
      <c r="G668" s="485"/>
      <c r="H668" s="487">
        <f t="shared" si="105"/>
        <v>-1.1000000000000001</v>
      </c>
    </row>
    <row r="669" spans="1:8">
      <c r="A669" s="485"/>
      <c r="B669" s="485"/>
      <c r="C669" s="17" t="s">
        <v>31</v>
      </c>
      <c r="D669" s="485">
        <v>-1</v>
      </c>
      <c r="E669" s="485">
        <v>1</v>
      </c>
      <c r="F669" s="485"/>
      <c r="G669" s="485"/>
      <c r="H669" s="487">
        <f t="shared" si="105"/>
        <v>-1</v>
      </c>
    </row>
    <row r="670" spans="1:8">
      <c r="A670" s="485"/>
      <c r="B670" s="485" t="s">
        <v>181</v>
      </c>
      <c r="C670" s="17" t="s">
        <v>31</v>
      </c>
      <c r="D670" s="485">
        <v>1</v>
      </c>
      <c r="E670" s="485">
        <f>0.47+8.55+0.55+2.8+0.55+1.75+1.49+3.3+4.39+0.7+0.3</f>
        <v>24.85</v>
      </c>
      <c r="F670" s="485"/>
      <c r="G670" s="485"/>
      <c r="H670" s="487">
        <f t="shared" si="105"/>
        <v>24.85</v>
      </c>
    </row>
    <row r="671" spans="1:8">
      <c r="A671" s="485"/>
      <c r="B671" s="485"/>
      <c r="C671" s="17" t="s">
        <v>31</v>
      </c>
      <c r="D671" s="485">
        <v>-3</v>
      </c>
      <c r="E671" s="485">
        <v>1.1000000000000001</v>
      </c>
      <c r="F671" s="485"/>
      <c r="G671" s="485"/>
      <c r="H671" s="487">
        <f t="shared" si="105"/>
        <v>-3.3000000000000003</v>
      </c>
    </row>
    <row r="672" spans="1:8">
      <c r="A672" s="485"/>
      <c r="B672" s="485"/>
      <c r="C672" s="17" t="s">
        <v>31</v>
      </c>
      <c r="D672" s="485">
        <v>-1</v>
      </c>
      <c r="E672" s="485">
        <v>0.6</v>
      </c>
      <c r="F672" s="485"/>
      <c r="G672" s="485"/>
      <c r="H672" s="487">
        <f t="shared" si="105"/>
        <v>-0.6</v>
      </c>
    </row>
    <row r="673" spans="1:8">
      <c r="A673" s="485"/>
      <c r="B673" s="485"/>
      <c r="C673" s="17" t="s">
        <v>31</v>
      </c>
      <c r="D673" s="485">
        <v>-1</v>
      </c>
      <c r="E673" s="485">
        <v>1</v>
      </c>
      <c r="F673" s="485"/>
      <c r="G673" s="485"/>
      <c r="H673" s="487">
        <f t="shared" si="105"/>
        <v>-1</v>
      </c>
    </row>
    <row r="674" spans="1:8">
      <c r="A674" s="485"/>
      <c r="B674" s="485" t="s">
        <v>1252</v>
      </c>
      <c r="C674" s="17" t="s">
        <v>31</v>
      </c>
      <c r="D674" s="485">
        <v>1</v>
      </c>
      <c r="E674" s="485">
        <f>5+0.965+0.236+5.475+0.765+0.816+3.99-1</f>
        <v>16.247</v>
      </c>
      <c r="F674" s="485"/>
      <c r="G674" s="485"/>
      <c r="H674" s="487">
        <f t="shared" ref="H674" si="106">PRODUCT(D674:G674)</f>
        <v>16.247</v>
      </c>
    </row>
    <row r="675" spans="1:8">
      <c r="A675" s="485"/>
      <c r="B675" s="485" t="s">
        <v>1256</v>
      </c>
      <c r="C675" s="17" t="s">
        <v>31</v>
      </c>
      <c r="D675" s="485">
        <v>1</v>
      </c>
      <c r="E675" s="485">
        <f>3.14+3.25+0.315+0.3+3.55</f>
        <v>10.555</v>
      </c>
      <c r="F675" s="485"/>
      <c r="G675" s="485"/>
      <c r="H675" s="487">
        <f t="shared" ref="H675" si="107">PRODUCT(D675:G675)</f>
        <v>10.555</v>
      </c>
    </row>
    <row r="676" spans="1:8">
      <c r="A676" s="485"/>
      <c r="B676" s="485" t="s">
        <v>1257</v>
      </c>
      <c r="C676" s="17" t="s">
        <v>31</v>
      </c>
      <c r="D676" s="485">
        <v>1</v>
      </c>
      <c r="E676" s="485">
        <f>3.55+3.15+3.25+0.314+0.3</f>
        <v>10.564</v>
      </c>
      <c r="F676" s="485"/>
      <c r="G676" s="485"/>
      <c r="H676" s="487">
        <f t="shared" ref="H676" si="108">PRODUCT(D676:G676)</f>
        <v>10.564</v>
      </c>
    </row>
    <row r="677" spans="1:8">
      <c r="A677" s="485"/>
      <c r="B677" s="485" t="s">
        <v>1258</v>
      </c>
      <c r="C677" s="17" t="s">
        <v>31</v>
      </c>
      <c r="D677" s="485">
        <v>1</v>
      </c>
      <c r="E677" s="485">
        <f>3.89+0.47+0.3+0.25+0.3+0.47+3.25+1.11+0.6+9+0.1</f>
        <v>19.740000000000002</v>
      </c>
      <c r="F677" s="485"/>
      <c r="G677" s="485"/>
      <c r="H677" s="487">
        <f t="shared" ref="H677" si="109">PRODUCT(D677:G677)</f>
        <v>19.740000000000002</v>
      </c>
    </row>
    <row r="678" spans="1:8">
      <c r="A678" s="485"/>
      <c r="B678" s="485" t="s">
        <v>1259</v>
      </c>
      <c r="C678" s="17" t="s">
        <v>31</v>
      </c>
      <c r="D678" s="485">
        <v>1</v>
      </c>
      <c r="E678" s="485">
        <f>3.5+0.314+3.1+3.7</f>
        <v>10.614000000000001</v>
      </c>
      <c r="F678" s="485"/>
      <c r="G678" s="485"/>
      <c r="H678" s="487">
        <f t="shared" ref="H678" si="110">PRODUCT(D678:G678)</f>
        <v>10.614000000000001</v>
      </c>
    </row>
    <row r="679" spans="1:8">
      <c r="A679" s="485"/>
      <c r="B679" s="485" t="s">
        <v>1260</v>
      </c>
      <c r="C679" s="17" t="s">
        <v>31</v>
      </c>
      <c r="D679" s="485">
        <v>1</v>
      </c>
      <c r="E679" s="485">
        <f>3.5+0.314+3.1+3.7</f>
        <v>10.614000000000001</v>
      </c>
      <c r="F679" s="485"/>
      <c r="G679" s="485"/>
      <c r="H679" s="487">
        <f t="shared" ref="H679" si="111">PRODUCT(D679:G679)</f>
        <v>10.614000000000001</v>
      </c>
    </row>
    <row r="680" spans="1:8">
      <c r="A680" s="485"/>
      <c r="B680" s="485" t="s">
        <v>1261</v>
      </c>
      <c r="C680" s="17" t="s">
        <v>31</v>
      </c>
      <c r="D680" s="485">
        <v>1</v>
      </c>
      <c r="E680" s="485">
        <f>3.7+0.17+0.314+0.834+3.6+0.15+1.26+0.157+0.417-1</f>
        <v>9.6020000000000003</v>
      </c>
      <c r="F680" s="485"/>
      <c r="G680" s="485"/>
      <c r="H680" s="487">
        <f t="shared" ref="H680" si="112">PRODUCT(D680:G680)</f>
        <v>9.6020000000000003</v>
      </c>
    </row>
    <row r="681" spans="1:8">
      <c r="A681" s="485"/>
      <c r="B681" s="485" t="s">
        <v>1262</v>
      </c>
      <c r="C681" s="17" t="s">
        <v>31</v>
      </c>
      <c r="D681" s="485">
        <v>1</v>
      </c>
      <c r="E681" s="485">
        <f>3.7+4.2+3.7</f>
        <v>11.600000000000001</v>
      </c>
      <c r="F681" s="485"/>
      <c r="G681" s="485"/>
      <c r="H681" s="487">
        <f t="shared" ref="H681:H683" si="113">PRODUCT(D681:G681)</f>
        <v>11.600000000000001</v>
      </c>
    </row>
    <row r="682" spans="1:8">
      <c r="A682" s="485"/>
      <c r="B682" s="485" t="s">
        <v>1263</v>
      </c>
      <c r="C682" s="17" t="s">
        <v>31</v>
      </c>
      <c r="D682" s="485">
        <v>1</v>
      </c>
      <c r="E682" s="485">
        <f>0.1+0.3+0.417+0.236+1.258+0.4+0.415</f>
        <v>3.1259999999999999</v>
      </c>
      <c r="F682" s="485"/>
      <c r="G682" s="485"/>
      <c r="H682" s="487">
        <f t="shared" si="113"/>
        <v>3.1259999999999999</v>
      </c>
    </row>
    <row r="683" spans="1:8">
      <c r="A683" s="485"/>
      <c r="B683" s="485" t="s">
        <v>1264</v>
      </c>
      <c r="C683" s="17" t="s">
        <v>31</v>
      </c>
      <c r="D683" s="485">
        <v>1</v>
      </c>
      <c r="E683" s="485">
        <f>3.134+3.4+2.84+0.314+0.4</f>
        <v>10.087999999999999</v>
      </c>
      <c r="F683" s="485"/>
      <c r="G683" s="485"/>
      <c r="H683" s="487">
        <f t="shared" si="113"/>
        <v>10.087999999999999</v>
      </c>
    </row>
    <row r="684" spans="1:8">
      <c r="A684" s="485"/>
      <c r="B684" s="485" t="s">
        <v>1263</v>
      </c>
      <c r="C684" s="17" t="s">
        <v>31</v>
      </c>
      <c r="D684" s="485">
        <v>1</v>
      </c>
      <c r="E684" s="485">
        <f>3.66+2.822+0.472+0.4+0.1+0.93+1.58+0.93+0.1+3.13+6.64+0.47+3.05+0.47+0.3+0.25+0.1+0.25+1.3+0.47+0.05+0.1+0.05+0.314+1.2+3.5</f>
        <v>32.638000000000005</v>
      </c>
      <c r="F684" s="485"/>
      <c r="G684" s="485"/>
      <c r="H684" s="487">
        <f t="shared" ref="H684" si="114">PRODUCT(D684:G684)</f>
        <v>32.638000000000005</v>
      </c>
    </row>
    <row r="685" spans="1:8">
      <c r="A685" s="485"/>
      <c r="B685" s="485" t="s">
        <v>1265</v>
      </c>
      <c r="C685" s="17" t="s">
        <v>31</v>
      </c>
      <c r="D685" s="485">
        <v>1</v>
      </c>
      <c r="E685" s="485">
        <f>3.55+5.04+0.314+3.05+0.314+0.3</f>
        <v>12.568000000000001</v>
      </c>
      <c r="F685" s="485"/>
      <c r="G685" s="485"/>
      <c r="H685" s="487">
        <f t="shared" ref="H685" si="115">PRODUCT(D685:G685)</f>
        <v>12.568000000000001</v>
      </c>
    </row>
    <row r="686" spans="1:8">
      <c r="A686" s="485"/>
      <c r="B686" s="485" t="s">
        <v>1266</v>
      </c>
      <c r="C686" s="17" t="s">
        <v>31</v>
      </c>
      <c r="D686" s="485">
        <v>1</v>
      </c>
      <c r="E686" s="485">
        <f>3.55+3.21+3.55</f>
        <v>10.309999999999999</v>
      </c>
      <c r="F686" s="485"/>
      <c r="G686" s="485"/>
      <c r="H686" s="487">
        <f t="shared" ref="H686" si="116">PRODUCT(D686:G686)</f>
        <v>10.309999999999999</v>
      </c>
    </row>
    <row r="687" spans="1:8">
      <c r="A687" s="485"/>
      <c r="B687" s="485" t="s">
        <v>1267</v>
      </c>
      <c r="C687" s="17" t="s">
        <v>31</v>
      </c>
      <c r="D687" s="485">
        <v>1</v>
      </c>
      <c r="E687" s="485">
        <f>3.55+3.21+3.55</f>
        <v>10.309999999999999</v>
      </c>
      <c r="F687" s="485"/>
      <c r="G687" s="485"/>
      <c r="H687" s="487">
        <f t="shared" ref="H687" si="117">PRODUCT(D687:G687)</f>
        <v>10.309999999999999</v>
      </c>
    </row>
    <row r="688" spans="1:8">
      <c r="A688" s="485"/>
      <c r="B688" s="485" t="s">
        <v>1268</v>
      </c>
      <c r="C688" s="17" t="s">
        <v>31</v>
      </c>
      <c r="D688" s="485">
        <v>1</v>
      </c>
      <c r="E688" s="485">
        <f>3.55+3.21+3.55</f>
        <v>10.309999999999999</v>
      </c>
      <c r="F688" s="485"/>
      <c r="G688" s="485"/>
      <c r="H688" s="487">
        <f t="shared" ref="H688" si="118">PRODUCT(D688:G688)</f>
        <v>10.309999999999999</v>
      </c>
    </row>
    <row r="689" spans="1:8">
      <c r="A689" s="485"/>
      <c r="B689" s="485" t="s">
        <v>1270</v>
      </c>
      <c r="C689" s="17" t="s">
        <v>31</v>
      </c>
      <c r="D689" s="485">
        <v>1</v>
      </c>
      <c r="E689" s="485">
        <f>7.62+1.88+0.47+1.55+0.1+1.13+1.38+0.236+0.565+0.236+0.4+1.3+1.554</f>
        <v>18.420999999999999</v>
      </c>
      <c r="F689" s="485"/>
      <c r="G689" s="485"/>
      <c r="H689" s="487">
        <f t="shared" ref="H689:H692" si="119">PRODUCT(D689:G689)</f>
        <v>18.420999999999999</v>
      </c>
    </row>
    <row r="690" spans="1:8">
      <c r="A690" s="485"/>
      <c r="B690" s="485" t="s">
        <v>1269</v>
      </c>
      <c r="C690" s="17" t="s">
        <v>31</v>
      </c>
      <c r="D690" s="485">
        <v>2</v>
      </c>
      <c r="E690" s="485">
        <f>1.5+1.5+1.976+1.976-0.75</f>
        <v>6.202</v>
      </c>
      <c r="F690" s="485"/>
      <c r="G690" s="485"/>
      <c r="H690" s="487">
        <f t="shared" si="119"/>
        <v>12.404</v>
      </c>
    </row>
    <row r="691" spans="1:8">
      <c r="A691" s="485"/>
      <c r="B691" s="485"/>
      <c r="C691" s="17" t="s">
        <v>31</v>
      </c>
      <c r="D691" s="485">
        <v>1</v>
      </c>
      <c r="E691" s="485">
        <f>1.976+1.5+0.89+1.38+0.157+0.565+0.157-0.75</f>
        <v>5.875</v>
      </c>
      <c r="F691" s="485"/>
      <c r="G691" s="485"/>
      <c r="H691" s="487">
        <f t="shared" si="119"/>
        <v>5.875</v>
      </c>
    </row>
    <row r="692" spans="1:8">
      <c r="A692" s="485"/>
      <c r="B692" s="485" t="s">
        <v>114</v>
      </c>
      <c r="C692" s="17" t="s">
        <v>31</v>
      </c>
      <c r="D692" s="485">
        <v>3</v>
      </c>
      <c r="E692" s="485">
        <f>3.14*1.72</f>
        <v>5.4008000000000003</v>
      </c>
      <c r="F692" s="485"/>
      <c r="G692" s="485"/>
      <c r="H692" s="487">
        <f t="shared" si="119"/>
        <v>16.202400000000001</v>
      </c>
    </row>
    <row r="693" spans="1:8">
      <c r="A693" s="485"/>
      <c r="B693" s="485" t="s">
        <v>1271</v>
      </c>
      <c r="C693" s="17" t="s">
        <v>31</v>
      </c>
      <c r="D693" s="485">
        <v>1</v>
      </c>
      <c r="E693" s="485">
        <f>3.9+6.55+3.9</f>
        <v>14.35</v>
      </c>
      <c r="F693" s="485"/>
      <c r="G693" s="485"/>
      <c r="H693" s="487">
        <f t="shared" ref="H693" si="120">PRODUCT(D693:G693)</f>
        <v>14.35</v>
      </c>
    </row>
    <row r="694" spans="1:8">
      <c r="A694" s="485"/>
      <c r="B694" s="485" t="s">
        <v>1272</v>
      </c>
      <c r="C694" s="17" t="s">
        <v>31</v>
      </c>
      <c r="D694" s="485">
        <v>1</v>
      </c>
      <c r="E694" s="485">
        <f>0.2+3.9+3.15+3.9+0.9</f>
        <v>12.05</v>
      </c>
      <c r="F694" s="485"/>
      <c r="G694" s="485"/>
      <c r="H694" s="487">
        <f t="shared" ref="H694:H695" si="121">PRODUCT(D694:G694)</f>
        <v>12.05</v>
      </c>
    </row>
    <row r="695" spans="1:8">
      <c r="A695" s="485"/>
      <c r="B695" s="485" t="s">
        <v>1273</v>
      </c>
      <c r="C695" s="17" t="s">
        <v>31</v>
      </c>
      <c r="D695" s="485">
        <v>1</v>
      </c>
      <c r="E695" s="485">
        <f>3.9+5+3.9</f>
        <v>12.8</v>
      </c>
      <c r="F695" s="485"/>
      <c r="G695" s="485"/>
      <c r="H695" s="487">
        <f t="shared" si="121"/>
        <v>12.8</v>
      </c>
    </row>
    <row r="696" spans="1:8">
      <c r="A696" s="485"/>
      <c r="B696" s="485" t="s">
        <v>1274</v>
      </c>
      <c r="C696" s="17" t="s">
        <v>31</v>
      </c>
      <c r="D696" s="485">
        <v>1</v>
      </c>
      <c r="E696" s="485">
        <f>3.8+4.45+3.8+4.45-1</f>
        <v>15.5</v>
      </c>
      <c r="F696" s="485"/>
      <c r="G696" s="485"/>
      <c r="H696" s="487">
        <f t="shared" ref="H696" si="122">PRODUCT(D696:G696)</f>
        <v>15.5</v>
      </c>
    </row>
    <row r="697" spans="1:8">
      <c r="A697" s="485"/>
      <c r="B697" s="485" t="s">
        <v>1275</v>
      </c>
      <c r="C697" s="17" t="s">
        <v>31</v>
      </c>
      <c r="D697" s="485">
        <v>1</v>
      </c>
      <c r="E697" s="485">
        <f>5.824-1+0.85+9.825+0.925+1.05+0.925+9.75+0.925+1.075+7.875+3.5-0.75-0.75+0.47+1.3+3.75-1-1+1.55+4.2+0.6+1.9-1.5+1.95-1+0.47+1.35+0.375+1.1+1.05</f>
        <v>55.588999999999999</v>
      </c>
      <c r="F697" s="485"/>
      <c r="G697" s="485"/>
      <c r="H697" s="487">
        <f t="shared" ref="H697" si="123">PRODUCT(D697:G697)</f>
        <v>55.588999999999999</v>
      </c>
    </row>
    <row r="698" spans="1:8">
      <c r="A698" s="485"/>
      <c r="B698" s="485" t="s">
        <v>1276</v>
      </c>
      <c r="C698" s="17" t="s">
        <v>31</v>
      </c>
      <c r="D698" s="485">
        <v>1</v>
      </c>
      <c r="E698" s="485">
        <f>0.3+0.315+3.39+4.5+3.7</f>
        <v>12.204999999999998</v>
      </c>
      <c r="F698" s="485"/>
      <c r="G698" s="485"/>
      <c r="H698" s="487">
        <f t="shared" ref="H698" si="124">PRODUCT(D698:G698)</f>
        <v>12.204999999999998</v>
      </c>
    </row>
    <row r="699" spans="1:8">
      <c r="A699" s="485"/>
      <c r="B699" s="485" t="s">
        <v>1277</v>
      </c>
      <c r="C699" s="17" t="s">
        <v>31</v>
      </c>
      <c r="D699" s="485">
        <v>1</v>
      </c>
      <c r="E699" s="485">
        <f>3.7+3.65+3.7</f>
        <v>11.05</v>
      </c>
      <c r="F699" s="485"/>
      <c r="G699" s="485"/>
      <c r="H699" s="487">
        <f t="shared" ref="H699:H700" si="125">PRODUCT(D699:G699)</f>
        <v>11.05</v>
      </c>
    </row>
    <row r="700" spans="1:8">
      <c r="A700" s="485"/>
      <c r="B700" s="485" t="s">
        <v>1258</v>
      </c>
      <c r="C700" s="17" t="s">
        <v>31</v>
      </c>
      <c r="D700" s="485">
        <v>1</v>
      </c>
      <c r="E700" s="485">
        <f>0.471+0.3+0.1+0.15+6.66+6.24+2.1+1.7+1.05+1.2+1.05+1.2+0.1+0.25+0.3+0.471+3.35+1.4+2.1+0.47+12.91-1</f>
        <v>42.572000000000003</v>
      </c>
      <c r="F700" s="485"/>
      <c r="G700" s="485"/>
      <c r="H700" s="487">
        <f t="shared" si="125"/>
        <v>42.572000000000003</v>
      </c>
    </row>
    <row r="701" spans="1:8">
      <c r="A701" s="485"/>
      <c r="B701" s="485" t="s">
        <v>1278</v>
      </c>
      <c r="C701" s="17" t="s">
        <v>31</v>
      </c>
      <c r="D701" s="485">
        <v>1</v>
      </c>
      <c r="E701" s="485">
        <f>3.55+3.2+3.55</f>
        <v>10.3</v>
      </c>
      <c r="F701" s="485"/>
      <c r="G701" s="485"/>
      <c r="H701" s="487">
        <f t="shared" ref="H701:H702" si="126">PRODUCT(D701:G701)</f>
        <v>10.3</v>
      </c>
    </row>
    <row r="702" spans="1:8">
      <c r="A702" s="485"/>
      <c r="B702" s="485" t="s">
        <v>1279</v>
      </c>
      <c r="C702" s="17" t="s">
        <v>31</v>
      </c>
      <c r="D702" s="485">
        <v>1</v>
      </c>
      <c r="E702" s="485">
        <f>3.55+3.2+3.25+0.314+0.3</f>
        <v>10.614000000000001</v>
      </c>
      <c r="F702" s="485"/>
      <c r="G702" s="485"/>
      <c r="H702" s="487">
        <f t="shared" si="126"/>
        <v>10.614000000000001</v>
      </c>
    </row>
    <row r="703" spans="1:8">
      <c r="A703" s="485"/>
      <c r="B703" s="485" t="s">
        <v>1217</v>
      </c>
      <c r="C703" s="17" t="s">
        <v>31</v>
      </c>
      <c r="D703" s="485">
        <v>1</v>
      </c>
      <c r="E703" s="485">
        <f>6.724+10.4+6.724+1+1+1+1+1.4</f>
        <v>29.248000000000001</v>
      </c>
      <c r="F703" s="485"/>
      <c r="G703" s="485"/>
      <c r="H703" s="487">
        <f t="shared" ref="H703" si="127">PRODUCT(D703:G703)</f>
        <v>29.248000000000001</v>
      </c>
    </row>
    <row r="704" spans="1:8">
      <c r="A704" s="485"/>
      <c r="B704" s="485" t="s">
        <v>161</v>
      </c>
      <c r="C704" s="17" t="s">
        <v>31</v>
      </c>
      <c r="D704" s="485">
        <v>1</v>
      </c>
      <c r="E704" s="485">
        <f>8.21+2.825+2.825+8.21-1-1</f>
        <v>20.07</v>
      </c>
      <c r="F704" s="485"/>
      <c r="G704" s="485"/>
      <c r="H704" s="487">
        <f t="shared" ref="H704" si="128">PRODUCT(D704:G704)</f>
        <v>20.07</v>
      </c>
    </row>
    <row r="705" spans="1:8">
      <c r="A705" s="485"/>
      <c r="B705" s="485" t="s">
        <v>280</v>
      </c>
      <c r="C705" s="17" t="s">
        <v>31</v>
      </c>
      <c r="D705" s="485">
        <v>1</v>
      </c>
      <c r="E705" s="485">
        <f>6.55+6.55+2+2-1</f>
        <v>16.100000000000001</v>
      </c>
      <c r="F705" s="485"/>
      <c r="G705" s="485"/>
      <c r="H705" s="487">
        <f t="shared" ref="H705" si="129">PRODUCT(D705:G705)</f>
        <v>16.100000000000001</v>
      </c>
    </row>
    <row r="706" spans="1:8">
      <c r="A706" s="485"/>
      <c r="B706" s="485" t="s">
        <v>1219</v>
      </c>
      <c r="C706" s="17" t="s">
        <v>31</v>
      </c>
      <c r="D706" s="485">
        <v>1</v>
      </c>
      <c r="E706" s="485">
        <f>2.55+3.124+0.1+0.15+0.2+0.314+1.25+1.325+1.2</f>
        <v>10.212999999999999</v>
      </c>
      <c r="F706" s="485"/>
      <c r="G706" s="485"/>
      <c r="H706" s="487">
        <f t="shared" ref="H706" si="130">PRODUCT(D706:G706)</f>
        <v>10.212999999999999</v>
      </c>
    </row>
    <row r="707" spans="1:8">
      <c r="A707" s="485"/>
      <c r="B707" s="485" t="s">
        <v>1280</v>
      </c>
      <c r="C707" s="17" t="s">
        <v>31</v>
      </c>
      <c r="D707" s="485">
        <v>1</v>
      </c>
      <c r="E707" s="485">
        <f>2.55+3.1+2.55</f>
        <v>8.1999999999999993</v>
      </c>
      <c r="F707" s="485"/>
      <c r="G707" s="485"/>
      <c r="H707" s="487">
        <f t="shared" ref="H707:H708" si="131">PRODUCT(D707:G707)</f>
        <v>8.1999999999999993</v>
      </c>
    </row>
    <row r="708" spans="1:8">
      <c r="A708" s="485"/>
      <c r="B708" s="485"/>
      <c r="C708" s="17" t="s">
        <v>31</v>
      </c>
      <c r="D708" s="485">
        <v>1</v>
      </c>
      <c r="E708" s="485">
        <f>1.5+2.45+1.2+0.314+0.05+0.1+0.05+0.471+1.4+0.15</f>
        <v>7.6850000000000005</v>
      </c>
      <c r="F708" s="485"/>
      <c r="G708" s="485"/>
      <c r="H708" s="487">
        <f t="shared" si="131"/>
        <v>7.6850000000000005</v>
      </c>
    </row>
    <row r="709" spans="1:8">
      <c r="A709" s="485"/>
      <c r="B709" s="485" t="s">
        <v>191</v>
      </c>
      <c r="C709" s="17" t="s">
        <v>31</v>
      </c>
      <c r="D709" s="485">
        <v>1</v>
      </c>
      <c r="E709" s="485">
        <f>1.8+1.6+1.8+1.6-1</f>
        <v>5.8000000000000007</v>
      </c>
      <c r="F709" s="485"/>
      <c r="G709" s="485"/>
      <c r="H709" s="487">
        <f t="shared" ref="H709" si="132">PRODUCT(D709:G709)</f>
        <v>5.8000000000000007</v>
      </c>
    </row>
    <row r="710" spans="1:8">
      <c r="A710" s="485"/>
      <c r="B710" s="485"/>
      <c r="C710" s="17" t="s">
        <v>31</v>
      </c>
      <c r="D710" s="485">
        <v>1</v>
      </c>
      <c r="E710" s="485">
        <f>1.8+1.6+1.8+1.3+0.314-1</f>
        <v>5.8140000000000001</v>
      </c>
      <c r="F710" s="485"/>
      <c r="G710" s="485"/>
      <c r="H710" s="487">
        <f t="shared" ref="H710" si="133">PRODUCT(D710:G710)</f>
        <v>5.8140000000000001</v>
      </c>
    </row>
    <row r="711" spans="1:8">
      <c r="A711" s="485"/>
      <c r="B711" s="485" t="s">
        <v>214</v>
      </c>
      <c r="C711" s="17" t="s">
        <v>31</v>
      </c>
      <c r="D711" s="485">
        <v>1</v>
      </c>
      <c r="E711" s="485">
        <f>5.35+9.75+5.35+9.75-1</f>
        <v>29.2</v>
      </c>
      <c r="F711" s="485"/>
      <c r="G711" s="485"/>
      <c r="H711" s="487">
        <f t="shared" ref="H711" si="134">PRODUCT(D711:G711)</f>
        <v>29.2</v>
      </c>
    </row>
    <row r="712" spans="1:8">
      <c r="A712" s="485"/>
      <c r="B712" s="485" t="s">
        <v>215</v>
      </c>
      <c r="C712" s="17" t="s">
        <v>31</v>
      </c>
      <c r="D712" s="485">
        <v>1</v>
      </c>
      <c r="E712" s="485">
        <f>5.35+9.75+5.35+9.75-1</f>
        <v>29.2</v>
      </c>
      <c r="F712" s="485"/>
      <c r="G712" s="485"/>
      <c r="H712" s="487">
        <f t="shared" ref="H712" si="135">PRODUCT(D712:G712)</f>
        <v>29.2</v>
      </c>
    </row>
    <row r="713" spans="1:8">
      <c r="A713" s="485"/>
      <c r="B713" s="485" t="s">
        <v>1281</v>
      </c>
      <c r="C713" s="17" t="s">
        <v>31</v>
      </c>
      <c r="D713" s="485">
        <v>1</v>
      </c>
      <c r="E713" s="485">
        <f>3.25+3.2+3.25</f>
        <v>9.6999999999999993</v>
      </c>
      <c r="F713" s="485"/>
      <c r="G713" s="485"/>
      <c r="H713" s="487">
        <f t="shared" ref="H713" si="136">PRODUCT(D713:G713)</f>
        <v>9.6999999999999993</v>
      </c>
    </row>
    <row r="714" spans="1:8">
      <c r="A714" s="485"/>
      <c r="B714" s="485" t="s">
        <v>1282</v>
      </c>
      <c r="C714" s="17" t="s">
        <v>31</v>
      </c>
      <c r="D714" s="485">
        <v>1</v>
      </c>
      <c r="E714" s="485">
        <f>8.55+4.45+8.85+4.45+1.1+1.1-1</f>
        <v>27.500000000000004</v>
      </c>
      <c r="F714" s="485"/>
      <c r="G714" s="485"/>
      <c r="H714" s="487">
        <f t="shared" ref="H714" si="137">PRODUCT(D714:G714)</f>
        <v>27.500000000000004</v>
      </c>
    </row>
    <row r="715" spans="1:8">
      <c r="A715" s="485"/>
      <c r="B715" s="485" t="s">
        <v>1283</v>
      </c>
      <c r="C715" s="17" t="s">
        <v>31</v>
      </c>
      <c r="D715" s="485">
        <v>1</v>
      </c>
      <c r="E715" s="485">
        <f>2.524+1.35+0.8+0.47+0.6+0.47+3.75+0.4+0.35+0.47+2.25+1+1.2</f>
        <v>15.633999999999999</v>
      </c>
      <c r="F715" s="485"/>
      <c r="G715" s="485"/>
      <c r="H715" s="487">
        <f t="shared" ref="H715" si="138">PRODUCT(D715:G715)</f>
        <v>15.633999999999999</v>
      </c>
    </row>
    <row r="716" spans="1:8">
      <c r="A716" s="485"/>
      <c r="B716" s="485" t="s">
        <v>1218</v>
      </c>
      <c r="C716" s="17" t="s">
        <v>31</v>
      </c>
      <c r="D716" s="485">
        <v>1</v>
      </c>
      <c r="E716" s="485">
        <f>4+2.45+4+2.45-1</f>
        <v>11.899999999999999</v>
      </c>
      <c r="F716" s="485"/>
      <c r="G716" s="485"/>
      <c r="H716" s="487">
        <f t="shared" ref="H716" si="139">PRODUCT(D716:G716)</f>
        <v>11.899999999999999</v>
      </c>
    </row>
    <row r="717" spans="1:8">
      <c r="A717" s="485"/>
      <c r="B717" s="485" t="s">
        <v>1225</v>
      </c>
      <c r="C717" s="17" t="s">
        <v>31</v>
      </c>
      <c r="D717" s="485">
        <v>1</v>
      </c>
      <c r="E717" s="485">
        <f>2.45+1.7+1.95+0.3+0.315+0.35</f>
        <v>7.0650000000000004</v>
      </c>
      <c r="F717" s="485"/>
      <c r="G717" s="485"/>
      <c r="H717" s="487">
        <f t="shared" ref="H717" si="140">PRODUCT(D717:G717)</f>
        <v>7.0650000000000004</v>
      </c>
    </row>
    <row r="718" spans="1:8">
      <c r="A718" s="485"/>
      <c r="B718" s="485" t="s">
        <v>1284</v>
      </c>
      <c r="C718" s="17" t="s">
        <v>31</v>
      </c>
      <c r="D718" s="485">
        <v>1</v>
      </c>
      <c r="E718" s="485">
        <f>2.55+0.47+0.972+0.1+0.3+0.47+3.35</f>
        <v>8.2119999999999997</v>
      </c>
      <c r="F718" s="485"/>
      <c r="G718" s="485"/>
      <c r="H718" s="487">
        <f t="shared" ref="H718" si="141">PRODUCT(D718:G718)</f>
        <v>8.2119999999999997</v>
      </c>
    </row>
    <row r="719" spans="1:8">
      <c r="A719" s="485"/>
      <c r="B719" s="485" t="s">
        <v>1233</v>
      </c>
      <c r="C719" s="17" t="s">
        <v>31</v>
      </c>
      <c r="D719" s="485">
        <v>1</v>
      </c>
      <c r="E719" s="485">
        <f>2.55+3.126+2.55</f>
        <v>8.2259999999999991</v>
      </c>
      <c r="F719" s="485"/>
      <c r="G719" s="485"/>
      <c r="H719" s="487">
        <f t="shared" ref="H719" si="142">PRODUCT(D719:G719)</f>
        <v>8.2259999999999991</v>
      </c>
    </row>
    <row r="720" spans="1:8">
      <c r="A720" s="485"/>
      <c r="B720" s="485" t="s">
        <v>1226</v>
      </c>
      <c r="C720" s="17" t="s">
        <v>31</v>
      </c>
      <c r="D720" s="485">
        <v>1</v>
      </c>
      <c r="E720" s="485">
        <f>2.55+3.2+2.25+0.1+0.314+0.3</f>
        <v>8.7140000000000004</v>
      </c>
      <c r="F720" s="485"/>
      <c r="G720" s="485"/>
      <c r="H720" s="487">
        <f t="shared" ref="H720" si="143">PRODUCT(D720:G720)</f>
        <v>8.7140000000000004</v>
      </c>
    </row>
    <row r="721" spans="1:8">
      <c r="A721" s="485"/>
      <c r="B721" s="485" t="s">
        <v>1249</v>
      </c>
      <c r="C721" s="17" t="s">
        <v>31</v>
      </c>
      <c r="D721" s="485">
        <v>1</v>
      </c>
      <c r="E721" s="485">
        <f>0.3+0.47+0.2+0.1+0.2+0.315+0.3+3.55+0.6+3.83+0.24+4.71+0.471+1.325+10.13+0.47</f>
        <v>27.210999999999999</v>
      </c>
      <c r="F721" s="485"/>
      <c r="G721" s="485"/>
      <c r="H721" s="487">
        <f t="shared" ref="H721:H722" si="144">PRODUCT(D721:G721)</f>
        <v>27.210999999999999</v>
      </c>
    </row>
    <row r="722" spans="1:8">
      <c r="A722" s="485"/>
      <c r="B722" s="485" t="s">
        <v>1227</v>
      </c>
      <c r="C722" s="17" t="s">
        <v>31</v>
      </c>
      <c r="D722" s="485">
        <v>1</v>
      </c>
      <c r="E722" s="485">
        <f>3.85+3.2+1+2.35+1+3.79+4.173+5.25+3.73+0.43+4.71-1</f>
        <v>32.482999999999997</v>
      </c>
      <c r="F722" s="485"/>
      <c r="G722" s="485"/>
      <c r="H722" s="487">
        <f t="shared" si="144"/>
        <v>32.482999999999997</v>
      </c>
    </row>
    <row r="723" spans="1:8">
      <c r="A723" s="485"/>
      <c r="B723" s="485" t="s">
        <v>1285</v>
      </c>
      <c r="C723" s="17" t="s">
        <v>31</v>
      </c>
      <c r="D723" s="485">
        <v>1</v>
      </c>
      <c r="E723" s="485">
        <f>8.72+5.5+0.6+8.72+0.6+5.5-1</f>
        <v>28.64</v>
      </c>
      <c r="F723" s="485"/>
      <c r="G723" s="485"/>
      <c r="H723" s="487">
        <f t="shared" ref="H723" si="145">PRODUCT(D723:G723)</f>
        <v>28.64</v>
      </c>
    </row>
    <row r="724" spans="1:8">
      <c r="A724" s="485"/>
      <c r="B724" s="485" t="s">
        <v>171</v>
      </c>
      <c r="C724" s="17" t="s">
        <v>31</v>
      </c>
      <c r="D724" s="485">
        <v>1</v>
      </c>
      <c r="E724" s="485">
        <f>3.15+2.08+2.95+0.314+1.88-1</f>
        <v>9.3739999999999988</v>
      </c>
      <c r="F724" s="485"/>
      <c r="G724" s="485"/>
      <c r="H724" s="487">
        <f t="shared" ref="H724" si="146">PRODUCT(D724:G724)</f>
        <v>9.3739999999999988</v>
      </c>
    </row>
    <row r="725" spans="1:8">
      <c r="A725" s="485"/>
      <c r="B725" s="485" t="s">
        <v>1286</v>
      </c>
      <c r="C725" s="17" t="s">
        <v>31</v>
      </c>
      <c r="D725" s="485">
        <v>1</v>
      </c>
      <c r="E725" s="485">
        <f>5.69+5.68+1.102+0.552+2.78+7.65+3.94-1</f>
        <v>26.394000000000002</v>
      </c>
      <c r="F725" s="485"/>
      <c r="G725" s="485"/>
      <c r="H725" s="487">
        <f t="shared" ref="H725" si="147">PRODUCT(D725:G725)</f>
        <v>26.394000000000002</v>
      </c>
    </row>
    <row r="726" spans="1:8">
      <c r="A726" s="485"/>
      <c r="B726" s="485" t="s">
        <v>1287</v>
      </c>
      <c r="C726" s="17" t="s">
        <v>31</v>
      </c>
      <c r="D726" s="485">
        <v>1</v>
      </c>
      <c r="E726" s="485">
        <f>3.55+4.275+3.55</f>
        <v>11.375</v>
      </c>
      <c r="F726" s="485"/>
      <c r="G726" s="485"/>
      <c r="H726" s="487">
        <f t="shared" ref="H726" si="148">PRODUCT(D726:G726)</f>
        <v>11.375</v>
      </c>
    </row>
    <row r="727" spans="1:8">
      <c r="A727" s="485"/>
      <c r="B727" s="485" t="s">
        <v>1230</v>
      </c>
      <c r="C727" s="17" t="s">
        <v>31</v>
      </c>
      <c r="D727" s="485">
        <v>1</v>
      </c>
      <c r="E727" s="485">
        <f>3.55+3.225+3.55</f>
        <v>10.324999999999999</v>
      </c>
      <c r="F727" s="485"/>
      <c r="G727" s="485"/>
      <c r="H727" s="487">
        <f t="shared" ref="H727" si="149">PRODUCT(D727:G727)</f>
        <v>10.324999999999999</v>
      </c>
    </row>
    <row r="728" spans="1:8">
      <c r="A728" s="485"/>
      <c r="B728" s="485" t="s">
        <v>1229</v>
      </c>
      <c r="C728" s="17" t="s">
        <v>31</v>
      </c>
      <c r="D728" s="485">
        <v>1</v>
      </c>
      <c r="E728" s="485">
        <f>3.55+3.105+3.25+0.315+0.3</f>
        <v>10.52</v>
      </c>
      <c r="F728" s="485"/>
      <c r="G728" s="485"/>
      <c r="H728" s="487">
        <f t="shared" ref="H728:H730" si="150">PRODUCT(D728:G728)</f>
        <v>10.52</v>
      </c>
    </row>
    <row r="729" spans="1:8">
      <c r="A729" s="485"/>
      <c r="B729" s="485" t="s">
        <v>1258</v>
      </c>
      <c r="C729" s="17" t="s">
        <v>31</v>
      </c>
      <c r="D729" s="485">
        <v>1</v>
      </c>
      <c r="E729" s="485">
        <f>0.25+0.1+1.575+1.4+1.575+0.25+0.3+0.314+6.17+0.5+4.75+0.7+8.4+1.6+5.3+1.6+9.3+0.73+8.73+1.72+0.6+1.94-1+2.38+0.315+0.125+0.1+0.125+1.06+1.31+1.36+0.2+0.1+0.35+1.95+0.25+2.27</f>
        <v>68.698999999999998</v>
      </c>
      <c r="F729" s="485"/>
      <c r="G729" s="485"/>
      <c r="H729" s="487">
        <f t="shared" si="150"/>
        <v>68.698999999999998</v>
      </c>
    </row>
    <row r="730" spans="1:8">
      <c r="A730" s="485"/>
      <c r="B730" s="485" t="s">
        <v>196</v>
      </c>
      <c r="C730" s="17" t="s">
        <v>31</v>
      </c>
      <c r="D730" s="485">
        <v>1</v>
      </c>
      <c r="E730" s="485">
        <f>6+0.7+0.1+0.6+5.8+0.6+0.1+0.7+0.6+0.145</f>
        <v>15.344999999999997</v>
      </c>
      <c r="F730" s="485"/>
      <c r="G730" s="485"/>
      <c r="H730" s="487">
        <f t="shared" si="150"/>
        <v>15.344999999999997</v>
      </c>
    </row>
    <row r="731" spans="1:8">
      <c r="A731" s="485"/>
      <c r="B731" s="485" t="s">
        <v>1289</v>
      </c>
      <c r="C731" s="17" t="s">
        <v>31</v>
      </c>
      <c r="D731" s="485">
        <v>1</v>
      </c>
      <c r="E731" s="485">
        <f>1.97+1.825+1.97+1.825-0.75</f>
        <v>6.84</v>
      </c>
      <c r="F731" s="485"/>
      <c r="G731" s="485"/>
      <c r="H731" s="487">
        <f t="shared" ref="H731" si="151">PRODUCT(D731:G731)</f>
        <v>6.84</v>
      </c>
    </row>
    <row r="732" spans="1:8">
      <c r="A732" s="485"/>
      <c r="B732" s="485" t="s">
        <v>1288</v>
      </c>
      <c r="C732" s="17" t="s">
        <v>31</v>
      </c>
      <c r="D732" s="485">
        <v>1</v>
      </c>
      <c r="E732" s="485">
        <f>1.97+1.825+1.97+1.825-0.75</f>
        <v>6.84</v>
      </c>
      <c r="F732" s="485"/>
      <c r="G732" s="485"/>
      <c r="H732" s="487">
        <f t="shared" ref="H732" si="152">PRODUCT(D732:G732)</f>
        <v>6.84</v>
      </c>
    </row>
    <row r="733" spans="1:8">
      <c r="A733" s="485"/>
      <c r="B733" s="485" t="s">
        <v>1195</v>
      </c>
      <c r="C733" s="17" t="s">
        <v>31</v>
      </c>
      <c r="D733" s="485">
        <v>1</v>
      </c>
      <c r="E733" s="485">
        <f>3.67+3.2+3.67</f>
        <v>10.54</v>
      </c>
      <c r="F733" s="485"/>
      <c r="G733" s="485"/>
      <c r="H733" s="487">
        <f t="shared" ref="H733" si="153">PRODUCT(D733:G733)</f>
        <v>10.54</v>
      </c>
    </row>
    <row r="734" spans="1:8">
      <c r="A734" s="485"/>
      <c r="B734" s="485" t="s">
        <v>1290</v>
      </c>
      <c r="C734" s="17" t="s">
        <v>31</v>
      </c>
      <c r="D734" s="485">
        <v>1</v>
      </c>
      <c r="E734" s="485">
        <f>3.85+5.2+0.242+0.314+0.3</f>
        <v>9.9060000000000024</v>
      </c>
      <c r="F734" s="485"/>
      <c r="G734" s="485"/>
      <c r="H734" s="487">
        <f t="shared" ref="H734" si="154">PRODUCT(D734:G734)</f>
        <v>9.9060000000000024</v>
      </c>
    </row>
    <row r="735" spans="1:8">
      <c r="A735" s="485"/>
      <c r="B735" s="485" t="s">
        <v>1263</v>
      </c>
      <c r="C735" s="17" t="s">
        <v>31</v>
      </c>
      <c r="D735" s="485">
        <v>1</v>
      </c>
      <c r="E735" s="485">
        <f>0.242+0.471+0.3+1.5-1+0.13+0.23+2.25+2.42+0.425+2+0.1+0.8+2-1.5+0.8+4.4+2.3-1.8+1.3+2.45+0.314+10.15+0.471+1.1+0.1+1.1+1.6-1.1+3.4-1.1-0.6+1.7-1.1+2.3+1.1+1.5-1.1+3.35+0.314+0.3</f>
        <v>43.616999999999997</v>
      </c>
      <c r="F735" s="485"/>
      <c r="G735" s="485"/>
      <c r="H735" s="487">
        <f t="shared" ref="H735" si="155">PRODUCT(D735:G735)</f>
        <v>43.616999999999997</v>
      </c>
    </row>
    <row r="736" spans="1:8">
      <c r="A736" s="485"/>
      <c r="B736" s="485" t="s">
        <v>1291</v>
      </c>
      <c r="C736" s="17" t="s">
        <v>31</v>
      </c>
      <c r="D736" s="485">
        <v>1</v>
      </c>
      <c r="E736" s="485">
        <f>2.3+0.47+0.6+0.47+0.1+0.1+0.1+0.314+0.6+0.283+1.3+1.1+1+1.2</f>
        <v>9.9369999999999994</v>
      </c>
      <c r="F736" s="485"/>
      <c r="G736" s="485"/>
      <c r="H736" s="487">
        <f t="shared" ref="H736:H737" si="156">PRODUCT(D736:G736)</f>
        <v>9.9369999999999994</v>
      </c>
    </row>
    <row r="737" spans="1:8">
      <c r="A737" s="485"/>
      <c r="B737" s="485" t="s">
        <v>114</v>
      </c>
      <c r="C737" s="17" t="s">
        <v>31</v>
      </c>
      <c r="D737" s="485">
        <v>1</v>
      </c>
      <c r="E737" s="485">
        <f>3.14*1.45</f>
        <v>4.5529999999999999</v>
      </c>
      <c r="F737" s="485"/>
      <c r="G737" s="485"/>
      <c r="H737" s="487">
        <f t="shared" si="156"/>
        <v>4.5529999999999999</v>
      </c>
    </row>
    <row r="738" spans="1:8">
      <c r="A738" s="485"/>
      <c r="B738" s="485" t="s">
        <v>1292</v>
      </c>
      <c r="C738" s="17" t="s">
        <v>31</v>
      </c>
      <c r="D738" s="485">
        <v>1</v>
      </c>
      <c r="E738" s="485">
        <f>5.2+6.4+4.1+7.95+2.75+2.68+0.952+0.075-1</f>
        <v>29.107000000000003</v>
      </c>
      <c r="F738" s="485"/>
      <c r="G738" s="485"/>
      <c r="H738" s="487">
        <f t="shared" ref="H738" si="157">PRODUCT(D738:G738)</f>
        <v>29.107000000000003</v>
      </c>
    </row>
    <row r="739" spans="1:8">
      <c r="A739" s="485"/>
      <c r="B739" s="485" t="s">
        <v>1293</v>
      </c>
      <c r="C739" s="17" t="s">
        <v>31</v>
      </c>
      <c r="D739" s="485">
        <v>1</v>
      </c>
      <c r="E739" s="485">
        <f>3.97+0.3+0.99+3.25-1+1.41+5.02</f>
        <v>13.940000000000001</v>
      </c>
      <c r="F739" s="485"/>
      <c r="G739" s="485"/>
      <c r="H739" s="487">
        <f t="shared" ref="H739" si="158">PRODUCT(D739:G739)</f>
        <v>13.940000000000001</v>
      </c>
    </row>
    <row r="740" spans="1:8">
      <c r="A740" s="485"/>
      <c r="B740" s="485" t="s">
        <v>1294</v>
      </c>
      <c r="C740" s="17" t="s">
        <v>31</v>
      </c>
      <c r="D740" s="485">
        <v>1</v>
      </c>
      <c r="E740" s="485">
        <f>9.6+9.6+6.6+6.6+0.55+0.55-1</f>
        <v>32.499999999999993</v>
      </c>
      <c r="F740" s="485"/>
      <c r="G740" s="485"/>
      <c r="H740" s="487">
        <f t="shared" ref="H740" si="159">PRODUCT(D740:G740)</f>
        <v>32.499999999999993</v>
      </c>
    </row>
    <row r="741" spans="1:8">
      <c r="A741" s="17"/>
      <c r="B741" s="17"/>
      <c r="C741" s="17"/>
      <c r="D741" s="17"/>
      <c r="E741" s="17"/>
      <c r="F741" s="17"/>
      <c r="G741" s="17"/>
      <c r="H741" s="18"/>
    </row>
    <row r="742" spans="1:8">
      <c r="A742" s="15"/>
      <c r="B742" s="15" t="s">
        <v>21</v>
      </c>
      <c r="C742" s="15"/>
      <c r="D742" s="15"/>
      <c r="E742" s="15"/>
      <c r="F742" s="15"/>
      <c r="G742" s="15"/>
      <c r="H742" s="20">
        <f>SUM(H657:H741)</f>
        <v>1177.8154000000002</v>
      </c>
    </row>
    <row r="743" spans="1:8">
      <c r="A743" s="17"/>
      <c r="B743" s="17" t="s">
        <v>22</v>
      </c>
      <c r="C743" s="17"/>
      <c r="D743" s="17"/>
      <c r="E743" s="17"/>
      <c r="F743" s="17"/>
      <c r="G743" s="17"/>
      <c r="H743" s="18"/>
    </row>
    <row r="744" spans="1:8">
      <c r="A744" s="15"/>
      <c r="B744" s="15" t="s">
        <v>23</v>
      </c>
      <c r="C744" s="15"/>
      <c r="D744" s="15"/>
      <c r="E744" s="15"/>
      <c r="F744" s="15"/>
      <c r="G744" s="15"/>
      <c r="H744" s="20">
        <f>ROUND(SUM(H742:H743),0)</f>
        <v>1178</v>
      </c>
    </row>
    <row r="745" spans="1:8">
      <c r="A745" s="15"/>
      <c r="B745" s="15"/>
      <c r="C745" s="15"/>
      <c r="D745" s="15"/>
      <c r="E745" s="15"/>
      <c r="F745" s="15"/>
      <c r="G745" s="15"/>
      <c r="H745" s="20"/>
    </row>
    <row r="746" spans="1:8">
      <c r="A746" s="17">
        <v>6</v>
      </c>
      <c r="B746" s="15" t="s">
        <v>287</v>
      </c>
      <c r="C746" s="17"/>
      <c r="D746" s="17"/>
      <c r="E746" s="17"/>
      <c r="F746" s="17"/>
      <c r="G746" s="17"/>
      <c r="H746" s="18"/>
    </row>
    <row r="747" spans="1:8">
      <c r="A747" s="17"/>
      <c r="B747" s="17"/>
      <c r="C747" s="17"/>
      <c r="D747" s="17"/>
      <c r="E747" s="17"/>
      <c r="F747" s="17"/>
      <c r="G747" s="17"/>
      <c r="H747" s="18"/>
    </row>
    <row r="748" spans="1:8">
      <c r="A748" s="17"/>
      <c r="B748" s="17" t="s">
        <v>156</v>
      </c>
      <c r="C748" s="17" t="s">
        <v>31</v>
      </c>
      <c r="D748" s="17">
        <v>1</v>
      </c>
      <c r="E748" s="17">
        <f>12.58-1.4-1-1+19.78+4.685+7.685</f>
        <v>41.330000000000005</v>
      </c>
      <c r="F748" s="17"/>
      <c r="G748" s="17"/>
      <c r="H748" s="18">
        <f t="shared" ref="H748:H750" si="160">PRODUCT(D748:G748)</f>
        <v>41.330000000000005</v>
      </c>
    </row>
    <row r="749" spans="1:8">
      <c r="A749" s="17"/>
      <c r="B749" s="17" t="s">
        <v>171</v>
      </c>
      <c r="C749" s="17" t="s">
        <v>31</v>
      </c>
      <c r="D749" s="17">
        <v>1</v>
      </c>
      <c r="E749" s="17">
        <f>4.7+3.1+3.1+4.7-1</f>
        <v>14.600000000000001</v>
      </c>
      <c r="F749" s="17"/>
      <c r="G749" s="17"/>
      <c r="H749" s="18">
        <f t="shared" si="160"/>
        <v>14.600000000000001</v>
      </c>
    </row>
    <row r="750" spans="1:8">
      <c r="A750" s="485"/>
      <c r="B750" s="485" t="s">
        <v>1295</v>
      </c>
      <c r="C750" s="17" t="s">
        <v>31</v>
      </c>
      <c r="D750" s="485">
        <v>1</v>
      </c>
      <c r="E750" s="485">
        <f>3.5+3.415-1+3.71+7.8+4.7+19.78+4.93+13.2+1.8+15.1+38.1+15</f>
        <v>130.035</v>
      </c>
      <c r="F750" s="485"/>
      <c r="G750" s="485"/>
      <c r="H750" s="18">
        <f t="shared" si="160"/>
        <v>130.035</v>
      </c>
    </row>
    <row r="751" spans="1:8">
      <c r="A751" s="485"/>
      <c r="B751" s="485"/>
      <c r="C751" s="485"/>
      <c r="D751" s="485"/>
      <c r="E751" s="485"/>
      <c r="F751" s="485"/>
      <c r="G751" s="485"/>
      <c r="H751" s="487"/>
    </row>
    <row r="752" spans="1:8">
      <c r="A752" s="17"/>
      <c r="B752" s="17"/>
      <c r="C752" s="17"/>
      <c r="D752" s="17"/>
      <c r="E752" s="17"/>
      <c r="F752" s="17"/>
      <c r="G752" s="17"/>
      <c r="H752" s="18"/>
    </row>
    <row r="753" spans="1:8">
      <c r="A753" s="15"/>
      <c r="B753" s="15" t="s">
        <v>21</v>
      </c>
      <c r="C753" s="15"/>
      <c r="D753" s="15"/>
      <c r="E753" s="15"/>
      <c r="F753" s="15"/>
      <c r="G753" s="15"/>
      <c r="H753" s="20">
        <f>SUM(H748:H752)</f>
        <v>185.965</v>
      </c>
    </row>
    <row r="754" spans="1:8">
      <c r="A754" s="17"/>
      <c r="B754" s="17" t="s">
        <v>22</v>
      </c>
      <c r="C754" s="17"/>
      <c r="D754" s="17"/>
      <c r="E754" s="17"/>
      <c r="F754" s="17"/>
      <c r="G754" s="17"/>
      <c r="H754" s="18"/>
    </row>
    <row r="755" spans="1:8">
      <c r="A755" s="15"/>
      <c r="B755" s="15" t="s">
        <v>23</v>
      </c>
      <c r="C755" s="15"/>
      <c r="D755" s="15"/>
      <c r="E755" s="15"/>
      <c r="F755" s="15"/>
      <c r="G755" s="15"/>
      <c r="H755" s="20">
        <f>ROUND(SUM(H753:H754),0)</f>
        <v>186</v>
      </c>
    </row>
    <row r="756" spans="1:8" s="948" customFormat="1">
      <c r="A756" s="17"/>
      <c r="B756" s="17"/>
      <c r="C756" s="17"/>
      <c r="D756" s="17"/>
      <c r="E756" s="17"/>
      <c r="F756" s="17"/>
      <c r="G756" s="17"/>
      <c r="H756" s="18"/>
    </row>
    <row r="757" spans="1:8" s="948" customFormat="1">
      <c r="A757" s="17">
        <v>3</v>
      </c>
      <c r="B757" s="15" t="s">
        <v>126</v>
      </c>
      <c r="C757" s="17" t="s">
        <v>31</v>
      </c>
      <c r="D757" s="17"/>
      <c r="E757" s="17"/>
      <c r="F757" s="17"/>
      <c r="G757" s="17"/>
      <c r="H757" s="18"/>
    </row>
    <row r="758" spans="1:8" s="948" customFormat="1">
      <c r="A758" s="17"/>
      <c r="B758" s="17" t="s">
        <v>1252</v>
      </c>
      <c r="C758" s="17" t="s">
        <v>31</v>
      </c>
      <c r="D758" s="17">
        <v>1</v>
      </c>
      <c r="E758" s="17">
        <v>14.74</v>
      </c>
      <c r="F758" s="17"/>
      <c r="G758" s="17"/>
      <c r="H758" s="18">
        <f t="shared" ref="H758:H814" si="161">PRODUCT(D758:G758)</f>
        <v>14.74</v>
      </c>
    </row>
    <row r="759" spans="1:8" s="948" customFormat="1">
      <c r="A759" s="17"/>
      <c r="B759" s="17" t="s">
        <v>196</v>
      </c>
      <c r="C759" s="17" t="s">
        <v>31</v>
      </c>
      <c r="D759" s="17">
        <v>1</v>
      </c>
      <c r="E759" s="17">
        <f>4.87+0.985+3.445</f>
        <v>9.3000000000000007</v>
      </c>
      <c r="F759" s="17"/>
      <c r="G759" s="17"/>
      <c r="H759" s="18">
        <f t="shared" si="161"/>
        <v>9.3000000000000007</v>
      </c>
    </row>
    <row r="760" spans="1:8" s="948" customFormat="1">
      <c r="A760" s="17"/>
      <c r="B760" s="17" t="s">
        <v>1200</v>
      </c>
      <c r="C760" s="17" t="s">
        <v>31</v>
      </c>
      <c r="D760" s="17">
        <v>0</v>
      </c>
      <c r="E760" s="17">
        <f>11.24+7.15+11.24</f>
        <v>29.630000000000003</v>
      </c>
      <c r="F760" s="17"/>
      <c r="G760" s="17"/>
      <c r="H760" s="18">
        <f t="shared" si="161"/>
        <v>0</v>
      </c>
    </row>
    <row r="761" spans="1:8" s="948" customFormat="1">
      <c r="A761" s="17"/>
      <c r="B761" s="17" t="s">
        <v>1193</v>
      </c>
      <c r="C761" s="17" t="s">
        <v>31</v>
      </c>
      <c r="D761" s="17">
        <v>0</v>
      </c>
      <c r="E761" s="17">
        <v>1.56</v>
      </c>
      <c r="F761" s="17"/>
      <c r="G761" s="17"/>
      <c r="H761" s="18">
        <f t="shared" si="161"/>
        <v>0</v>
      </c>
    </row>
    <row r="762" spans="1:8" s="948" customFormat="1">
      <c r="A762" s="17"/>
      <c r="B762" s="17" t="s">
        <v>1296</v>
      </c>
      <c r="C762" s="17" t="s">
        <v>31</v>
      </c>
      <c r="D762" s="17">
        <v>0</v>
      </c>
      <c r="E762" s="17">
        <f>6.64+3.13+0.3</f>
        <v>10.07</v>
      </c>
      <c r="F762" s="17"/>
      <c r="G762" s="17"/>
      <c r="H762" s="18">
        <f t="shared" si="161"/>
        <v>0</v>
      </c>
    </row>
    <row r="763" spans="1:8" s="948" customFormat="1">
      <c r="A763" s="17"/>
      <c r="B763" s="17" t="s">
        <v>1297</v>
      </c>
      <c r="C763" s="17" t="s">
        <v>31</v>
      </c>
      <c r="D763" s="17">
        <v>0</v>
      </c>
      <c r="E763" s="17">
        <v>1</v>
      </c>
      <c r="F763" s="17"/>
      <c r="G763" s="17"/>
      <c r="H763" s="18">
        <f t="shared" si="161"/>
        <v>0</v>
      </c>
    </row>
    <row r="764" spans="1:8" s="948" customFormat="1">
      <c r="A764" s="485"/>
      <c r="B764" s="485" t="s">
        <v>1206</v>
      </c>
      <c r="C764" s="17" t="s">
        <v>31</v>
      </c>
      <c r="D764" s="17">
        <v>0</v>
      </c>
      <c r="E764" s="17">
        <v>1</v>
      </c>
      <c r="F764" s="17"/>
      <c r="G764" s="17"/>
      <c r="H764" s="18">
        <f t="shared" si="161"/>
        <v>0</v>
      </c>
    </row>
    <row r="765" spans="1:8" s="948" customFormat="1">
      <c r="A765" s="485"/>
      <c r="B765" s="485" t="s">
        <v>1298</v>
      </c>
      <c r="C765" s="17" t="s">
        <v>31</v>
      </c>
      <c r="D765" s="17">
        <v>0</v>
      </c>
      <c r="E765" s="17">
        <v>1</v>
      </c>
      <c r="F765" s="17"/>
      <c r="G765" s="17"/>
      <c r="H765" s="18">
        <f t="shared" si="161"/>
        <v>0</v>
      </c>
    </row>
    <row r="766" spans="1:8" s="948" customFormat="1">
      <c r="A766" s="485"/>
      <c r="B766" s="485" t="s">
        <v>1299</v>
      </c>
      <c r="C766" s="17" t="s">
        <v>31</v>
      </c>
      <c r="D766" s="17">
        <v>0</v>
      </c>
      <c r="E766" s="17">
        <v>1</v>
      </c>
      <c r="F766" s="17"/>
      <c r="G766" s="17"/>
      <c r="H766" s="18">
        <f t="shared" si="161"/>
        <v>0</v>
      </c>
    </row>
    <row r="767" spans="1:8" s="948" customFormat="1">
      <c r="A767" s="485"/>
      <c r="B767" s="485" t="s">
        <v>1300</v>
      </c>
      <c r="C767" s="17" t="s">
        <v>31</v>
      </c>
      <c r="D767" s="17">
        <v>0</v>
      </c>
      <c r="E767" s="17">
        <v>1</v>
      </c>
      <c r="F767" s="17"/>
      <c r="G767" s="17"/>
      <c r="H767" s="18">
        <f t="shared" si="161"/>
        <v>0</v>
      </c>
    </row>
    <row r="768" spans="1:8" s="948" customFormat="1">
      <c r="A768" s="485"/>
      <c r="B768" s="485" t="s">
        <v>1301</v>
      </c>
      <c r="C768" s="17" t="s">
        <v>31</v>
      </c>
      <c r="D768" s="17">
        <v>0</v>
      </c>
      <c r="E768" s="17">
        <v>1</v>
      </c>
      <c r="F768" s="17"/>
      <c r="G768" s="17"/>
      <c r="H768" s="18">
        <f t="shared" si="161"/>
        <v>0</v>
      </c>
    </row>
    <row r="769" spans="1:8" s="948" customFormat="1">
      <c r="A769" s="485"/>
      <c r="B769" s="485" t="s">
        <v>196</v>
      </c>
      <c r="C769" s="17" t="s">
        <v>31</v>
      </c>
      <c r="D769" s="485">
        <v>1</v>
      </c>
      <c r="E769" s="485">
        <f>4.1+1.04+1.365</f>
        <v>6.5049999999999999</v>
      </c>
      <c r="F769" s="485"/>
      <c r="G769" s="485"/>
      <c r="H769" s="18">
        <f t="shared" si="161"/>
        <v>6.5049999999999999</v>
      </c>
    </row>
    <row r="770" spans="1:8" s="948" customFormat="1">
      <c r="A770" s="485"/>
      <c r="B770" s="485" t="s">
        <v>191</v>
      </c>
      <c r="C770" s="17" t="s">
        <v>31</v>
      </c>
      <c r="D770" s="485">
        <v>3</v>
      </c>
      <c r="E770" s="485">
        <v>0.75</v>
      </c>
      <c r="F770" s="485"/>
      <c r="G770" s="485"/>
      <c r="H770" s="18">
        <f t="shared" si="161"/>
        <v>2.25</v>
      </c>
    </row>
    <row r="771" spans="1:8" s="948" customFormat="1">
      <c r="A771" s="485"/>
      <c r="B771" s="485" t="s">
        <v>196</v>
      </c>
      <c r="C771" s="17" t="s">
        <v>31</v>
      </c>
      <c r="D771" s="485">
        <v>1</v>
      </c>
      <c r="E771" s="485">
        <f>15.37+0.48+14.15+19.92+7.32+19.6</f>
        <v>76.84</v>
      </c>
      <c r="F771" s="485"/>
      <c r="G771" s="485"/>
      <c r="H771" s="18">
        <f t="shared" si="161"/>
        <v>76.84</v>
      </c>
    </row>
    <row r="772" spans="1:8" s="948" customFormat="1">
      <c r="A772" s="485"/>
      <c r="B772" s="485" t="s">
        <v>1201</v>
      </c>
      <c r="C772" s="17" t="s">
        <v>31</v>
      </c>
      <c r="D772" s="485">
        <v>2</v>
      </c>
      <c r="E772" s="485">
        <v>1</v>
      </c>
      <c r="F772" s="485"/>
      <c r="G772" s="485"/>
      <c r="H772" s="18">
        <f t="shared" si="161"/>
        <v>2</v>
      </c>
    </row>
    <row r="773" spans="1:8" s="948" customFormat="1">
      <c r="A773" s="485"/>
      <c r="B773" s="485" t="s">
        <v>1302</v>
      </c>
      <c r="C773" s="17" t="s">
        <v>31</v>
      </c>
      <c r="D773" s="485">
        <v>1</v>
      </c>
      <c r="E773" s="485">
        <v>1</v>
      </c>
      <c r="F773" s="485"/>
      <c r="G773" s="485"/>
      <c r="H773" s="18">
        <f t="shared" si="161"/>
        <v>1</v>
      </c>
    </row>
    <row r="774" spans="1:8" s="948" customFormat="1">
      <c r="A774" s="485"/>
      <c r="B774" s="485" t="s">
        <v>1303</v>
      </c>
      <c r="C774" s="17" t="s">
        <v>31</v>
      </c>
      <c r="D774" s="485">
        <v>1</v>
      </c>
      <c r="E774" s="485">
        <v>1</v>
      </c>
      <c r="F774" s="485"/>
      <c r="G774" s="485"/>
      <c r="H774" s="18">
        <f t="shared" si="161"/>
        <v>1</v>
      </c>
    </row>
    <row r="775" spans="1:8" s="948" customFormat="1">
      <c r="A775" s="17"/>
      <c r="B775" s="17" t="s">
        <v>1242</v>
      </c>
      <c r="C775" s="17" t="s">
        <v>31</v>
      </c>
      <c r="D775" s="485">
        <v>1</v>
      </c>
      <c r="E775" s="485">
        <v>1</v>
      </c>
      <c r="F775" s="485"/>
      <c r="G775" s="485"/>
      <c r="H775" s="18">
        <f t="shared" si="161"/>
        <v>1</v>
      </c>
    </row>
    <row r="776" spans="1:8" s="948" customFormat="1">
      <c r="A776" s="485"/>
      <c r="B776" s="485" t="s">
        <v>1304</v>
      </c>
      <c r="C776" s="17" t="s">
        <v>31</v>
      </c>
      <c r="D776" s="485">
        <v>1</v>
      </c>
      <c r="E776" s="485">
        <v>3.15</v>
      </c>
      <c r="F776" s="485"/>
      <c r="G776" s="485"/>
      <c r="H776" s="18">
        <f t="shared" si="161"/>
        <v>3.15</v>
      </c>
    </row>
    <row r="777" spans="1:8" s="948" customFormat="1">
      <c r="A777" s="485"/>
      <c r="B777" s="485" t="s">
        <v>1243</v>
      </c>
      <c r="C777" s="17" t="s">
        <v>31</v>
      </c>
      <c r="D777" s="485">
        <v>1</v>
      </c>
      <c r="E777" s="485">
        <v>1</v>
      </c>
      <c r="F777" s="485"/>
      <c r="G777" s="485"/>
      <c r="H777" s="18">
        <f t="shared" si="161"/>
        <v>1</v>
      </c>
    </row>
    <row r="778" spans="1:8" s="948" customFormat="1">
      <c r="A778" s="485"/>
      <c r="B778" s="485" t="s">
        <v>1244</v>
      </c>
      <c r="C778" s="17" t="s">
        <v>31</v>
      </c>
      <c r="D778" s="485">
        <v>1</v>
      </c>
      <c r="E778" s="485">
        <v>1</v>
      </c>
      <c r="F778" s="485"/>
      <c r="G778" s="485"/>
      <c r="H778" s="18">
        <f t="shared" si="161"/>
        <v>1</v>
      </c>
    </row>
    <row r="779" spans="1:8" s="948" customFormat="1">
      <c r="A779" s="485"/>
      <c r="B779" s="485" t="s">
        <v>1305</v>
      </c>
      <c r="C779" s="17" t="s">
        <v>31</v>
      </c>
      <c r="D779" s="485">
        <v>1</v>
      </c>
      <c r="E779" s="485">
        <v>1</v>
      </c>
      <c r="F779" s="485"/>
      <c r="G779" s="485"/>
      <c r="H779" s="18">
        <f t="shared" si="161"/>
        <v>1</v>
      </c>
    </row>
    <row r="780" spans="1:8" s="948" customFormat="1">
      <c r="A780" s="485"/>
      <c r="B780" s="485" t="s">
        <v>1306</v>
      </c>
      <c r="C780" s="17" t="s">
        <v>31</v>
      </c>
      <c r="D780" s="485">
        <v>1</v>
      </c>
      <c r="E780" s="485">
        <v>1</v>
      </c>
      <c r="F780" s="485"/>
      <c r="G780" s="485"/>
      <c r="H780" s="18">
        <f t="shared" si="161"/>
        <v>1</v>
      </c>
    </row>
    <row r="781" spans="1:8" s="948" customFormat="1">
      <c r="A781" s="485"/>
      <c r="B781" s="485" t="s">
        <v>1307</v>
      </c>
      <c r="C781" s="17" t="s">
        <v>31</v>
      </c>
      <c r="D781" s="485">
        <v>1</v>
      </c>
      <c r="E781" s="485">
        <f>7.95+6.68</f>
        <v>14.629999999999999</v>
      </c>
      <c r="F781" s="485"/>
      <c r="G781" s="485"/>
      <c r="H781" s="18">
        <f t="shared" si="161"/>
        <v>14.629999999999999</v>
      </c>
    </row>
    <row r="782" spans="1:8" s="948" customFormat="1">
      <c r="A782" s="485"/>
      <c r="B782" s="485" t="s">
        <v>1296</v>
      </c>
      <c r="C782" s="17" t="s">
        <v>31</v>
      </c>
      <c r="D782" s="485">
        <v>1</v>
      </c>
      <c r="E782" s="485">
        <f>16.43+16.43+6.75</f>
        <v>39.61</v>
      </c>
      <c r="F782" s="485"/>
      <c r="G782" s="485"/>
      <c r="H782" s="18">
        <f t="shared" si="161"/>
        <v>39.61</v>
      </c>
    </row>
    <row r="783" spans="1:8" s="948" customFormat="1">
      <c r="A783" s="485"/>
      <c r="B783" s="485" t="s">
        <v>1308</v>
      </c>
      <c r="C783" s="17" t="s">
        <v>31</v>
      </c>
      <c r="D783" s="485">
        <v>2</v>
      </c>
      <c r="E783" s="485">
        <v>1</v>
      </c>
      <c r="F783" s="485"/>
      <c r="G783" s="485"/>
      <c r="H783" s="18">
        <f t="shared" si="161"/>
        <v>2</v>
      </c>
    </row>
    <row r="784" spans="1:8" s="948" customFormat="1">
      <c r="A784" s="485"/>
      <c r="B784" s="485" t="s">
        <v>1309</v>
      </c>
      <c r="C784" s="17" t="s">
        <v>31</v>
      </c>
      <c r="D784" s="485">
        <v>2</v>
      </c>
      <c r="E784" s="485">
        <v>1</v>
      </c>
      <c r="F784" s="485"/>
      <c r="G784" s="485"/>
      <c r="H784" s="18">
        <f t="shared" si="161"/>
        <v>2</v>
      </c>
    </row>
    <row r="785" spans="1:8" s="948" customFormat="1">
      <c r="A785" s="485"/>
      <c r="B785" s="485" t="s">
        <v>191</v>
      </c>
      <c r="C785" s="17" t="s">
        <v>31</v>
      </c>
      <c r="D785" s="485">
        <v>2</v>
      </c>
      <c r="E785" s="485">
        <v>0.75</v>
      </c>
      <c r="F785" s="485"/>
      <c r="G785" s="485"/>
      <c r="H785" s="18">
        <f t="shared" si="161"/>
        <v>1.5</v>
      </c>
    </row>
    <row r="786" spans="1:8" s="948" customFormat="1">
      <c r="A786" s="485"/>
      <c r="B786" s="485" t="s">
        <v>214</v>
      </c>
      <c r="C786" s="17" t="s">
        <v>31</v>
      </c>
      <c r="D786" s="485">
        <v>2</v>
      </c>
      <c r="E786" s="485">
        <v>1</v>
      </c>
      <c r="F786" s="485"/>
      <c r="G786" s="485"/>
      <c r="H786" s="18">
        <f t="shared" si="161"/>
        <v>2</v>
      </c>
    </row>
    <row r="787" spans="1:8" s="948" customFormat="1">
      <c r="A787" s="485"/>
      <c r="B787" s="485" t="s">
        <v>1310</v>
      </c>
      <c r="C787" s="17" t="s">
        <v>31</v>
      </c>
      <c r="D787" s="485">
        <v>1</v>
      </c>
      <c r="E787" s="485">
        <v>1</v>
      </c>
      <c r="F787" s="485"/>
      <c r="G787" s="485"/>
      <c r="H787" s="18">
        <f t="shared" si="161"/>
        <v>1</v>
      </c>
    </row>
    <row r="788" spans="1:8" s="948" customFormat="1">
      <c r="A788" s="485"/>
      <c r="B788" s="485" t="s">
        <v>1311</v>
      </c>
      <c r="C788" s="17" t="s">
        <v>31</v>
      </c>
      <c r="D788" s="485">
        <v>1</v>
      </c>
      <c r="E788" s="485">
        <v>1</v>
      </c>
      <c r="F788" s="485"/>
      <c r="G788" s="485"/>
      <c r="H788" s="18">
        <f t="shared" si="161"/>
        <v>1</v>
      </c>
    </row>
    <row r="789" spans="1:8" s="948" customFormat="1">
      <c r="A789" s="485"/>
      <c r="B789" s="485" t="s">
        <v>1219</v>
      </c>
      <c r="C789" s="17" t="s">
        <v>31</v>
      </c>
      <c r="D789" s="485">
        <v>1</v>
      </c>
      <c r="E789" s="485">
        <v>1</v>
      </c>
      <c r="F789" s="485"/>
      <c r="G789" s="485"/>
      <c r="H789" s="18">
        <f t="shared" si="161"/>
        <v>1</v>
      </c>
    </row>
    <row r="790" spans="1:8" s="948" customFormat="1">
      <c r="A790" s="485"/>
      <c r="B790" s="485" t="s">
        <v>1280</v>
      </c>
      <c r="C790" s="17" t="s">
        <v>31</v>
      </c>
      <c r="D790" s="485">
        <v>1</v>
      </c>
      <c r="E790" s="485">
        <v>1</v>
      </c>
      <c r="F790" s="485"/>
      <c r="G790" s="485"/>
      <c r="H790" s="18">
        <f t="shared" si="161"/>
        <v>1</v>
      </c>
    </row>
    <row r="791" spans="1:8" s="948" customFormat="1">
      <c r="A791" s="485"/>
      <c r="B791" s="485" t="s">
        <v>1218</v>
      </c>
      <c r="C791" s="17" t="s">
        <v>31</v>
      </c>
      <c r="D791" s="485">
        <v>1</v>
      </c>
      <c r="E791" s="485">
        <v>1</v>
      </c>
      <c r="F791" s="485"/>
      <c r="G791" s="485"/>
      <c r="H791" s="18">
        <f t="shared" si="161"/>
        <v>1</v>
      </c>
    </row>
    <row r="792" spans="1:8" s="948" customFormat="1">
      <c r="A792" s="485"/>
      <c r="B792" s="485" t="s">
        <v>199</v>
      </c>
      <c r="C792" s="17" t="s">
        <v>31</v>
      </c>
      <c r="D792" s="485">
        <v>2</v>
      </c>
      <c r="E792" s="485">
        <v>1</v>
      </c>
      <c r="F792" s="485"/>
      <c r="G792" s="485"/>
      <c r="H792" s="18">
        <f t="shared" si="161"/>
        <v>2</v>
      </c>
    </row>
    <row r="793" spans="1:8" s="948" customFormat="1">
      <c r="A793" s="485"/>
      <c r="B793" s="485" t="s">
        <v>1312</v>
      </c>
      <c r="C793" s="17" t="s">
        <v>31</v>
      </c>
      <c r="D793" s="485">
        <v>1</v>
      </c>
      <c r="E793" s="485">
        <f>4.132+2.21+1.08+0.71+0.85+0.36+1.52+2.5+1.06</f>
        <v>14.421999999999999</v>
      </c>
      <c r="F793" s="485"/>
      <c r="G793" s="485"/>
      <c r="H793" s="18">
        <f t="shared" si="161"/>
        <v>14.421999999999999</v>
      </c>
    </row>
    <row r="794" spans="1:8" s="948" customFormat="1">
      <c r="A794" s="485"/>
      <c r="B794" s="485" t="s">
        <v>1280</v>
      </c>
      <c r="C794" s="17" t="s">
        <v>31</v>
      </c>
      <c r="D794" s="485">
        <v>2</v>
      </c>
      <c r="E794" s="485">
        <v>1</v>
      </c>
      <c r="F794" s="485"/>
      <c r="G794" s="485"/>
      <c r="H794" s="18">
        <f t="shared" si="161"/>
        <v>2</v>
      </c>
    </row>
    <row r="795" spans="1:8" s="948" customFormat="1">
      <c r="A795" s="485"/>
      <c r="B795" s="485" t="s">
        <v>1227</v>
      </c>
      <c r="C795" s="17" t="s">
        <v>31</v>
      </c>
      <c r="D795" s="485">
        <v>1</v>
      </c>
      <c r="E795" s="485">
        <v>1.6</v>
      </c>
      <c r="F795" s="485"/>
      <c r="G795" s="485"/>
      <c r="H795" s="18">
        <f t="shared" si="161"/>
        <v>1.6</v>
      </c>
    </row>
    <row r="796" spans="1:8" s="948" customFormat="1">
      <c r="A796" s="485"/>
      <c r="B796" s="485" t="s">
        <v>1255</v>
      </c>
      <c r="C796" s="17" t="s">
        <v>31</v>
      </c>
      <c r="D796" s="485">
        <v>1</v>
      </c>
      <c r="E796" s="485">
        <v>1</v>
      </c>
      <c r="F796" s="485"/>
      <c r="G796" s="485"/>
      <c r="H796" s="18">
        <f t="shared" si="161"/>
        <v>1</v>
      </c>
    </row>
    <row r="797" spans="1:8" s="948" customFormat="1">
      <c r="A797" s="485"/>
      <c r="B797" s="485" t="s">
        <v>1291</v>
      </c>
      <c r="C797" s="17" t="s">
        <v>31</v>
      </c>
      <c r="D797" s="485">
        <v>1</v>
      </c>
      <c r="E797" s="485">
        <v>1.2</v>
      </c>
      <c r="F797" s="485"/>
      <c r="G797" s="485"/>
      <c r="H797" s="18">
        <f t="shared" si="161"/>
        <v>1.2</v>
      </c>
    </row>
    <row r="798" spans="1:8" s="948" customFormat="1">
      <c r="A798" s="485"/>
      <c r="B798" s="485" t="s">
        <v>1313</v>
      </c>
      <c r="C798" s="17" t="s">
        <v>31</v>
      </c>
      <c r="D798" s="485">
        <v>2</v>
      </c>
      <c r="E798" s="485">
        <v>1</v>
      </c>
      <c r="F798" s="485"/>
      <c r="G798" s="485"/>
      <c r="H798" s="18">
        <f t="shared" si="161"/>
        <v>2</v>
      </c>
    </row>
    <row r="799" spans="1:8" s="948" customFormat="1">
      <c r="A799" s="485"/>
      <c r="B799" s="485" t="s">
        <v>196</v>
      </c>
      <c r="C799" s="17" t="s">
        <v>31</v>
      </c>
      <c r="D799" s="485">
        <v>1</v>
      </c>
      <c r="E799" s="485">
        <f>7.4+0.86+4.32+17.31+6.89+16.41</f>
        <v>53.19</v>
      </c>
      <c r="F799" s="485"/>
      <c r="G799" s="485"/>
      <c r="H799" s="18">
        <f t="shared" si="161"/>
        <v>53.19</v>
      </c>
    </row>
    <row r="800" spans="1:8" s="948" customFormat="1">
      <c r="A800" s="485"/>
      <c r="B800" s="485" t="s">
        <v>1314</v>
      </c>
      <c r="C800" s="17" t="s">
        <v>31</v>
      </c>
      <c r="D800" s="485">
        <v>1</v>
      </c>
      <c r="E800" s="485">
        <v>1</v>
      </c>
      <c r="F800" s="485"/>
      <c r="G800" s="485"/>
      <c r="H800" s="18">
        <f t="shared" si="161"/>
        <v>1</v>
      </c>
    </row>
    <row r="801" spans="1:8" s="948" customFormat="1">
      <c r="A801" s="485"/>
      <c r="B801" s="485" t="s">
        <v>1315</v>
      </c>
      <c r="C801" s="17" t="s">
        <v>31</v>
      </c>
      <c r="D801" s="485">
        <v>1</v>
      </c>
      <c r="E801" s="485">
        <v>1</v>
      </c>
      <c r="F801" s="485"/>
      <c r="G801" s="485"/>
      <c r="H801" s="18">
        <f t="shared" si="161"/>
        <v>1</v>
      </c>
    </row>
    <row r="802" spans="1:8" s="948" customFormat="1">
      <c r="A802" s="485"/>
      <c r="B802" s="485" t="s">
        <v>1291</v>
      </c>
      <c r="C802" s="17" t="s">
        <v>31</v>
      </c>
      <c r="D802" s="485">
        <v>1</v>
      </c>
      <c r="E802" s="485">
        <v>1.39</v>
      </c>
      <c r="F802" s="485"/>
      <c r="G802" s="485"/>
      <c r="H802" s="18">
        <f t="shared" si="161"/>
        <v>1.39</v>
      </c>
    </row>
    <row r="803" spans="1:8" s="948" customFormat="1">
      <c r="A803" s="485"/>
      <c r="B803" s="485" t="s">
        <v>1229</v>
      </c>
      <c r="C803" s="17" t="s">
        <v>31</v>
      </c>
      <c r="D803" s="485">
        <v>1</v>
      </c>
      <c r="E803" s="485">
        <v>1</v>
      </c>
      <c r="F803" s="485"/>
      <c r="G803" s="485"/>
      <c r="H803" s="18">
        <f t="shared" si="161"/>
        <v>1</v>
      </c>
    </row>
    <row r="804" spans="1:8" s="948" customFormat="1">
      <c r="A804" s="485"/>
      <c r="B804" s="485" t="s">
        <v>1316</v>
      </c>
      <c r="C804" s="17" t="s">
        <v>31</v>
      </c>
      <c r="D804" s="485">
        <v>1</v>
      </c>
      <c r="E804" s="485">
        <f>9.15+5.73+4.05+8.4</f>
        <v>27.33</v>
      </c>
      <c r="F804" s="485"/>
      <c r="G804" s="485"/>
      <c r="H804" s="18">
        <f t="shared" si="161"/>
        <v>27.33</v>
      </c>
    </row>
    <row r="805" spans="1:8" s="948" customFormat="1">
      <c r="A805" s="485"/>
      <c r="B805" s="485" t="s">
        <v>1293</v>
      </c>
      <c r="C805" s="17" t="s">
        <v>31</v>
      </c>
      <c r="D805" s="485">
        <v>1</v>
      </c>
      <c r="E805" s="485">
        <v>1</v>
      </c>
      <c r="F805" s="485"/>
      <c r="G805" s="485"/>
      <c r="H805" s="18">
        <f t="shared" si="161"/>
        <v>1</v>
      </c>
    </row>
    <row r="806" spans="1:8" s="948" customFormat="1">
      <c r="A806" s="485"/>
      <c r="B806" s="485" t="s">
        <v>1291</v>
      </c>
      <c r="C806" s="17" t="s">
        <v>31</v>
      </c>
      <c r="D806" s="485">
        <v>1</v>
      </c>
      <c r="E806" s="485">
        <v>1</v>
      </c>
      <c r="F806" s="485"/>
      <c r="G806" s="485"/>
      <c r="H806" s="18">
        <f t="shared" si="161"/>
        <v>1</v>
      </c>
    </row>
    <row r="807" spans="1:8" s="948" customFormat="1">
      <c r="A807" s="485"/>
      <c r="B807" s="485" t="s">
        <v>1317</v>
      </c>
      <c r="C807" s="17" t="s">
        <v>31</v>
      </c>
      <c r="D807" s="485">
        <v>1</v>
      </c>
      <c r="E807" s="485">
        <v>1</v>
      </c>
      <c r="F807" s="485"/>
      <c r="G807" s="485"/>
      <c r="H807" s="18">
        <f t="shared" si="161"/>
        <v>1</v>
      </c>
    </row>
    <row r="808" spans="1:8" s="948" customFormat="1">
      <c r="A808" s="485"/>
      <c r="B808" s="485" t="s">
        <v>1195</v>
      </c>
      <c r="C808" s="17" t="s">
        <v>31</v>
      </c>
      <c r="D808" s="485">
        <v>1</v>
      </c>
      <c r="E808" s="485">
        <v>1</v>
      </c>
      <c r="F808" s="485"/>
      <c r="G808" s="485"/>
      <c r="H808" s="18">
        <f t="shared" si="161"/>
        <v>1</v>
      </c>
    </row>
    <row r="809" spans="1:8" s="948" customFormat="1">
      <c r="A809" s="485"/>
      <c r="B809" s="485" t="s">
        <v>191</v>
      </c>
      <c r="C809" s="17" t="s">
        <v>31</v>
      </c>
      <c r="D809" s="485">
        <v>2</v>
      </c>
      <c r="E809" s="485">
        <v>0.75</v>
      </c>
      <c r="F809" s="485"/>
      <c r="G809" s="485"/>
      <c r="H809" s="18">
        <f t="shared" si="161"/>
        <v>1.5</v>
      </c>
    </row>
    <row r="810" spans="1:8" s="948" customFormat="1">
      <c r="A810" s="485"/>
      <c r="B810" s="485" t="s">
        <v>196</v>
      </c>
      <c r="C810" s="17" t="s">
        <v>31</v>
      </c>
      <c r="D810" s="485">
        <v>1</v>
      </c>
      <c r="E810" s="485">
        <f>1.5+0.47+0.35+0.185+3.46</f>
        <v>5.9649999999999999</v>
      </c>
      <c r="F810" s="485"/>
      <c r="G810" s="485"/>
      <c r="H810" s="18">
        <f t="shared" si="161"/>
        <v>5.9649999999999999</v>
      </c>
    </row>
    <row r="811" spans="1:8" s="948" customFormat="1">
      <c r="A811" s="485"/>
      <c r="B811" s="485" t="s">
        <v>196</v>
      </c>
      <c r="C811" s="17" t="s">
        <v>31</v>
      </c>
      <c r="D811" s="485">
        <v>1</v>
      </c>
      <c r="E811" s="485">
        <f>0.16+4.24+0.35+1.58</f>
        <v>6.33</v>
      </c>
      <c r="F811" s="485"/>
      <c r="G811" s="485"/>
      <c r="H811" s="487">
        <f t="shared" si="161"/>
        <v>6.33</v>
      </c>
    </row>
    <row r="812" spans="1:8" s="948" customFormat="1">
      <c r="A812" s="485"/>
      <c r="B812" s="485" t="s">
        <v>1298</v>
      </c>
      <c r="C812" s="17" t="s">
        <v>31</v>
      </c>
      <c r="D812" s="485">
        <v>1</v>
      </c>
      <c r="E812" s="485">
        <v>1</v>
      </c>
      <c r="F812" s="485"/>
      <c r="G812" s="485"/>
      <c r="H812" s="487">
        <f t="shared" si="161"/>
        <v>1</v>
      </c>
    </row>
    <row r="813" spans="1:8" s="948" customFormat="1">
      <c r="A813" s="485"/>
      <c r="B813" s="485" t="s">
        <v>1292</v>
      </c>
      <c r="C813" s="17" t="s">
        <v>31</v>
      </c>
      <c r="D813" s="485">
        <v>1</v>
      </c>
      <c r="E813" s="485">
        <v>1</v>
      </c>
      <c r="F813" s="485"/>
      <c r="G813" s="485"/>
      <c r="H813" s="487">
        <f t="shared" si="161"/>
        <v>1</v>
      </c>
    </row>
    <row r="814" spans="1:8" s="948" customFormat="1">
      <c r="A814" s="485"/>
      <c r="B814" s="485" t="s">
        <v>1294</v>
      </c>
      <c r="C814" s="17" t="s">
        <v>31</v>
      </c>
      <c r="D814" s="485">
        <v>1</v>
      </c>
      <c r="E814" s="485">
        <v>1</v>
      </c>
      <c r="F814" s="485"/>
      <c r="G814" s="485"/>
      <c r="H814" s="487">
        <f t="shared" si="161"/>
        <v>1</v>
      </c>
    </row>
    <row r="815" spans="1:8" s="948" customFormat="1">
      <c r="A815" s="485"/>
      <c r="B815" s="485"/>
      <c r="C815" s="485"/>
      <c r="D815" s="485"/>
      <c r="E815" s="485"/>
      <c r="F815" s="485"/>
      <c r="G815" s="485"/>
      <c r="H815" s="487"/>
    </row>
    <row r="816" spans="1:8" s="948" customFormat="1">
      <c r="A816" s="485"/>
      <c r="B816" s="485"/>
      <c r="C816" s="485"/>
      <c r="D816" s="485"/>
      <c r="E816" s="485"/>
      <c r="F816" s="485"/>
      <c r="G816" s="485"/>
      <c r="H816" s="487"/>
    </row>
    <row r="817" spans="1:8" s="948" customFormat="1">
      <c r="A817" s="17"/>
      <c r="B817" s="17"/>
      <c r="C817" s="17"/>
      <c r="D817" s="17"/>
      <c r="E817" s="17"/>
      <c r="F817" s="17"/>
      <c r="G817" s="17"/>
      <c r="H817" s="18"/>
    </row>
    <row r="818" spans="1:8" s="948" customFormat="1">
      <c r="A818" s="15"/>
      <c r="B818" s="15" t="s">
        <v>21</v>
      </c>
      <c r="C818" s="15"/>
      <c r="D818" s="15"/>
      <c r="E818" s="15"/>
      <c r="F818" s="15"/>
      <c r="G818" s="15"/>
      <c r="H818" s="20">
        <f>SUM(H758:H817)</f>
        <v>318.45199999999994</v>
      </c>
    </row>
    <row r="819" spans="1:8" s="948" customFormat="1">
      <c r="A819" s="17"/>
      <c r="B819" s="17" t="s">
        <v>22</v>
      </c>
      <c r="C819" s="17"/>
      <c r="D819" s="17"/>
      <c r="E819" s="17"/>
      <c r="F819" s="17"/>
      <c r="G819" s="17"/>
      <c r="H819" s="18"/>
    </row>
    <row r="820" spans="1:8" s="948" customFormat="1">
      <c r="A820" s="15"/>
      <c r="B820" s="15" t="s">
        <v>23</v>
      </c>
      <c r="C820" s="15"/>
      <c r="D820" s="15"/>
      <c r="E820" s="15"/>
      <c r="F820" s="15"/>
      <c r="G820" s="15"/>
      <c r="H820" s="20">
        <f>ROUND(SUM(H818:H819),0)</f>
        <v>318</v>
      </c>
    </row>
    <row r="821" spans="1:8">
      <c r="A821" s="17"/>
      <c r="B821" s="17"/>
      <c r="C821" s="17"/>
      <c r="D821" s="17"/>
      <c r="E821" s="17"/>
      <c r="F821" s="17"/>
      <c r="G821" s="17"/>
      <c r="H821" s="18"/>
    </row>
    <row r="822" spans="1:8">
      <c r="A822" s="17">
        <v>3</v>
      </c>
      <c r="B822" s="15" t="s">
        <v>126</v>
      </c>
      <c r="C822" s="17" t="s">
        <v>31</v>
      </c>
      <c r="D822" s="17"/>
      <c r="E822" s="17"/>
      <c r="F822" s="17"/>
      <c r="G822" s="17"/>
      <c r="H822" s="18"/>
    </row>
    <row r="823" spans="1:8">
      <c r="A823" s="17"/>
      <c r="B823" s="17" t="s">
        <v>1252</v>
      </c>
      <c r="C823" s="17" t="s">
        <v>31</v>
      </c>
      <c r="D823" s="17">
        <v>1</v>
      </c>
      <c r="E823" s="17">
        <v>1</v>
      </c>
      <c r="F823" s="17"/>
      <c r="G823" s="17"/>
      <c r="H823" s="18">
        <f t="shared" ref="H823:H854" si="162">PRODUCT(D823:G823)</f>
        <v>1</v>
      </c>
    </row>
    <row r="824" spans="1:8">
      <c r="A824" s="17"/>
      <c r="B824" s="17" t="s">
        <v>196</v>
      </c>
      <c r="C824" s="17" t="s">
        <v>31</v>
      </c>
      <c r="D824" s="17">
        <v>1</v>
      </c>
      <c r="E824" s="17">
        <f>4.87+0.985+3.445</f>
        <v>9.3000000000000007</v>
      </c>
      <c r="F824" s="17"/>
      <c r="G824" s="17"/>
      <c r="H824" s="18">
        <f t="shared" si="162"/>
        <v>9.3000000000000007</v>
      </c>
    </row>
    <row r="825" spans="1:8">
      <c r="A825" s="17"/>
      <c r="B825" s="17" t="s">
        <v>1200</v>
      </c>
      <c r="C825" s="17" t="s">
        <v>31</v>
      </c>
      <c r="D825" s="17">
        <v>1</v>
      </c>
      <c r="E825" s="17">
        <f>11.24+7.15+11.24</f>
        <v>29.630000000000003</v>
      </c>
      <c r="F825" s="17"/>
      <c r="G825" s="17"/>
      <c r="H825" s="18">
        <f t="shared" si="162"/>
        <v>29.630000000000003</v>
      </c>
    </row>
    <row r="826" spans="1:8">
      <c r="A826" s="17"/>
      <c r="B826" s="17" t="s">
        <v>1193</v>
      </c>
      <c r="C826" s="17" t="s">
        <v>31</v>
      </c>
      <c r="D826" s="17">
        <v>1</v>
      </c>
      <c r="E826" s="17">
        <v>1.56</v>
      </c>
      <c r="F826" s="17"/>
      <c r="G826" s="17"/>
      <c r="H826" s="18">
        <f t="shared" si="162"/>
        <v>1.56</v>
      </c>
    </row>
    <row r="827" spans="1:8">
      <c r="A827" s="17"/>
      <c r="B827" s="17" t="s">
        <v>1296</v>
      </c>
      <c r="C827" s="17" t="s">
        <v>31</v>
      </c>
      <c r="D827" s="17">
        <v>1</v>
      </c>
      <c r="E827" s="17">
        <f>6.64+3.13+0.3</f>
        <v>10.07</v>
      </c>
      <c r="F827" s="17"/>
      <c r="G827" s="17"/>
      <c r="H827" s="18">
        <f t="shared" si="162"/>
        <v>10.07</v>
      </c>
    </row>
    <row r="828" spans="1:8">
      <c r="A828" s="17"/>
      <c r="B828" s="17" t="s">
        <v>1297</v>
      </c>
      <c r="C828" s="17" t="s">
        <v>31</v>
      </c>
      <c r="D828" s="17">
        <v>2</v>
      </c>
      <c r="E828" s="17">
        <v>1</v>
      </c>
      <c r="F828" s="17"/>
      <c r="G828" s="17"/>
      <c r="H828" s="18">
        <f t="shared" si="162"/>
        <v>2</v>
      </c>
    </row>
    <row r="829" spans="1:8">
      <c r="A829" s="485"/>
      <c r="B829" s="485" t="s">
        <v>1206</v>
      </c>
      <c r="C829" s="17" t="s">
        <v>31</v>
      </c>
      <c r="D829" s="17">
        <v>1</v>
      </c>
      <c r="E829" s="17">
        <v>1</v>
      </c>
      <c r="F829" s="17"/>
      <c r="G829" s="17"/>
      <c r="H829" s="18">
        <f t="shared" si="162"/>
        <v>1</v>
      </c>
    </row>
    <row r="830" spans="1:8">
      <c r="A830" s="485"/>
      <c r="B830" s="485" t="s">
        <v>1298</v>
      </c>
      <c r="C830" s="17" t="s">
        <v>31</v>
      </c>
      <c r="D830" s="17">
        <v>1</v>
      </c>
      <c r="E830" s="17">
        <v>1</v>
      </c>
      <c r="F830" s="17"/>
      <c r="G830" s="17"/>
      <c r="H830" s="18">
        <f t="shared" si="162"/>
        <v>1</v>
      </c>
    </row>
    <row r="831" spans="1:8">
      <c r="A831" s="485"/>
      <c r="B831" s="485" t="s">
        <v>1299</v>
      </c>
      <c r="C831" s="17" t="s">
        <v>31</v>
      </c>
      <c r="D831" s="17">
        <v>1</v>
      </c>
      <c r="E831" s="17">
        <v>1</v>
      </c>
      <c r="F831" s="17"/>
      <c r="G831" s="17"/>
      <c r="H831" s="18">
        <f t="shared" si="162"/>
        <v>1</v>
      </c>
    </row>
    <row r="832" spans="1:8">
      <c r="A832" s="485"/>
      <c r="B832" s="485" t="s">
        <v>1300</v>
      </c>
      <c r="C832" s="17" t="s">
        <v>31</v>
      </c>
      <c r="D832" s="17">
        <v>1</v>
      </c>
      <c r="E832" s="17">
        <v>1</v>
      </c>
      <c r="F832" s="17"/>
      <c r="G832" s="17"/>
      <c r="H832" s="18">
        <f t="shared" si="162"/>
        <v>1</v>
      </c>
    </row>
    <row r="833" spans="1:8">
      <c r="A833" s="485"/>
      <c r="B833" s="485" t="s">
        <v>1301</v>
      </c>
      <c r="C833" s="17" t="s">
        <v>31</v>
      </c>
      <c r="D833" s="17">
        <v>1</v>
      </c>
      <c r="E833" s="17">
        <v>1</v>
      </c>
      <c r="F833" s="17"/>
      <c r="G833" s="17"/>
      <c r="H833" s="18">
        <f t="shared" si="162"/>
        <v>1</v>
      </c>
    </row>
    <row r="834" spans="1:8">
      <c r="A834" s="485"/>
      <c r="B834" s="485" t="s">
        <v>196</v>
      </c>
      <c r="C834" s="17" t="s">
        <v>31</v>
      </c>
      <c r="D834" s="485">
        <v>1</v>
      </c>
      <c r="E834" s="485">
        <f>4.1+1.04+1.365</f>
        <v>6.5049999999999999</v>
      </c>
      <c r="F834" s="485"/>
      <c r="G834" s="485"/>
      <c r="H834" s="18">
        <f t="shared" si="162"/>
        <v>6.5049999999999999</v>
      </c>
    </row>
    <row r="835" spans="1:8">
      <c r="A835" s="485"/>
      <c r="B835" s="485" t="s">
        <v>191</v>
      </c>
      <c r="C835" s="17" t="s">
        <v>31</v>
      </c>
      <c r="D835" s="485">
        <v>3</v>
      </c>
      <c r="E835" s="485">
        <v>0.75</v>
      </c>
      <c r="F835" s="485"/>
      <c r="G835" s="485"/>
      <c r="H835" s="18">
        <f t="shared" si="162"/>
        <v>2.25</v>
      </c>
    </row>
    <row r="836" spans="1:8">
      <c r="A836" s="485"/>
      <c r="B836" s="485" t="s">
        <v>196</v>
      </c>
      <c r="C836" s="17" t="s">
        <v>31</v>
      </c>
      <c r="D836" s="485">
        <v>1</v>
      </c>
      <c r="E836" s="485">
        <f>15.37+0.48+14.15+19.92+7.32+19.6</f>
        <v>76.84</v>
      </c>
      <c r="F836" s="485"/>
      <c r="G836" s="485"/>
      <c r="H836" s="18">
        <f t="shared" si="162"/>
        <v>76.84</v>
      </c>
    </row>
    <row r="837" spans="1:8">
      <c r="A837" s="485"/>
      <c r="B837" s="485" t="s">
        <v>1201</v>
      </c>
      <c r="C837" s="17" t="s">
        <v>31</v>
      </c>
      <c r="D837" s="485">
        <v>2</v>
      </c>
      <c r="E837" s="485">
        <v>1</v>
      </c>
      <c r="F837" s="485"/>
      <c r="G837" s="485"/>
      <c r="H837" s="18">
        <f t="shared" si="162"/>
        <v>2</v>
      </c>
    </row>
    <row r="838" spans="1:8">
      <c r="A838" s="485"/>
      <c r="B838" s="485" t="s">
        <v>1302</v>
      </c>
      <c r="C838" s="17" t="s">
        <v>31</v>
      </c>
      <c r="D838" s="485">
        <v>1</v>
      </c>
      <c r="E838" s="485">
        <v>1</v>
      </c>
      <c r="F838" s="485"/>
      <c r="G838" s="485"/>
      <c r="H838" s="18">
        <f t="shared" si="162"/>
        <v>1</v>
      </c>
    </row>
    <row r="839" spans="1:8">
      <c r="A839" s="485"/>
      <c r="B839" s="485" t="s">
        <v>1303</v>
      </c>
      <c r="C839" s="17" t="s">
        <v>31</v>
      </c>
      <c r="D839" s="485">
        <v>1</v>
      </c>
      <c r="E839" s="485">
        <v>1</v>
      </c>
      <c r="F839" s="485"/>
      <c r="G839" s="485"/>
      <c r="H839" s="18">
        <f t="shared" si="162"/>
        <v>1</v>
      </c>
    </row>
    <row r="840" spans="1:8">
      <c r="A840" s="17"/>
      <c r="B840" s="17" t="s">
        <v>1242</v>
      </c>
      <c r="C840" s="17" t="s">
        <v>31</v>
      </c>
      <c r="D840" s="485">
        <v>1</v>
      </c>
      <c r="E840" s="485">
        <v>1</v>
      </c>
      <c r="F840" s="485"/>
      <c r="G840" s="485"/>
      <c r="H840" s="18">
        <f t="shared" si="162"/>
        <v>1</v>
      </c>
    </row>
    <row r="841" spans="1:8">
      <c r="A841" s="485"/>
      <c r="B841" s="485" t="s">
        <v>1304</v>
      </c>
      <c r="C841" s="17" t="s">
        <v>31</v>
      </c>
      <c r="D841" s="485">
        <v>1</v>
      </c>
      <c r="E841" s="485">
        <v>3.15</v>
      </c>
      <c r="F841" s="485"/>
      <c r="G841" s="485"/>
      <c r="H841" s="18">
        <f t="shared" si="162"/>
        <v>3.15</v>
      </c>
    </row>
    <row r="842" spans="1:8">
      <c r="A842" s="485"/>
      <c r="B842" s="485" t="s">
        <v>1243</v>
      </c>
      <c r="C842" s="17" t="s">
        <v>31</v>
      </c>
      <c r="D842" s="485">
        <v>1</v>
      </c>
      <c r="E842" s="485">
        <v>1</v>
      </c>
      <c r="F842" s="485"/>
      <c r="G842" s="485"/>
      <c r="H842" s="18">
        <f t="shared" si="162"/>
        <v>1</v>
      </c>
    </row>
    <row r="843" spans="1:8">
      <c r="A843" s="485"/>
      <c r="B843" s="485" t="s">
        <v>1244</v>
      </c>
      <c r="C843" s="17" t="s">
        <v>31</v>
      </c>
      <c r="D843" s="485">
        <v>1</v>
      </c>
      <c r="E843" s="485">
        <v>1</v>
      </c>
      <c r="F843" s="485"/>
      <c r="G843" s="485"/>
      <c r="H843" s="18">
        <f t="shared" si="162"/>
        <v>1</v>
      </c>
    </row>
    <row r="844" spans="1:8">
      <c r="A844" s="485"/>
      <c r="B844" s="485" t="s">
        <v>1305</v>
      </c>
      <c r="C844" s="17" t="s">
        <v>31</v>
      </c>
      <c r="D844" s="485">
        <v>1</v>
      </c>
      <c r="E844" s="485">
        <v>1</v>
      </c>
      <c r="F844" s="485"/>
      <c r="G844" s="485"/>
      <c r="H844" s="18">
        <f t="shared" si="162"/>
        <v>1</v>
      </c>
    </row>
    <row r="845" spans="1:8">
      <c r="A845" s="485"/>
      <c r="B845" s="485" t="s">
        <v>1306</v>
      </c>
      <c r="C845" s="17" t="s">
        <v>31</v>
      </c>
      <c r="D845" s="485">
        <v>1</v>
      </c>
      <c r="E845" s="485">
        <v>1</v>
      </c>
      <c r="F845" s="485"/>
      <c r="G845" s="485"/>
      <c r="H845" s="18">
        <f t="shared" si="162"/>
        <v>1</v>
      </c>
    </row>
    <row r="846" spans="1:8">
      <c r="A846" s="485"/>
      <c r="B846" s="485" t="s">
        <v>1307</v>
      </c>
      <c r="C846" s="17" t="s">
        <v>31</v>
      </c>
      <c r="D846" s="485">
        <v>1</v>
      </c>
      <c r="E846" s="485">
        <f>7.95+6.68</f>
        <v>14.629999999999999</v>
      </c>
      <c r="F846" s="485"/>
      <c r="G846" s="485"/>
      <c r="H846" s="18">
        <f t="shared" si="162"/>
        <v>14.629999999999999</v>
      </c>
    </row>
    <row r="847" spans="1:8">
      <c r="A847" s="485"/>
      <c r="B847" s="485" t="s">
        <v>1296</v>
      </c>
      <c r="C847" s="17" t="s">
        <v>31</v>
      </c>
      <c r="D847" s="485">
        <v>1</v>
      </c>
      <c r="E847" s="485">
        <f>16.43+16.43+6.75</f>
        <v>39.61</v>
      </c>
      <c r="F847" s="485"/>
      <c r="G847" s="485"/>
      <c r="H847" s="18">
        <f t="shared" si="162"/>
        <v>39.61</v>
      </c>
    </row>
    <row r="848" spans="1:8">
      <c r="A848" s="485"/>
      <c r="B848" s="485" t="s">
        <v>1308</v>
      </c>
      <c r="C848" s="17" t="s">
        <v>31</v>
      </c>
      <c r="D848" s="485">
        <v>2</v>
      </c>
      <c r="E848" s="485">
        <v>1</v>
      </c>
      <c r="F848" s="485"/>
      <c r="G848" s="485"/>
      <c r="H848" s="18">
        <f t="shared" si="162"/>
        <v>2</v>
      </c>
    </row>
    <row r="849" spans="1:8">
      <c r="A849" s="485"/>
      <c r="B849" s="485" t="s">
        <v>1309</v>
      </c>
      <c r="C849" s="17" t="s">
        <v>31</v>
      </c>
      <c r="D849" s="485">
        <v>2</v>
      </c>
      <c r="E849" s="485">
        <v>1</v>
      </c>
      <c r="F849" s="485"/>
      <c r="G849" s="485"/>
      <c r="H849" s="18">
        <f t="shared" si="162"/>
        <v>2</v>
      </c>
    </row>
    <row r="850" spans="1:8">
      <c r="A850" s="485"/>
      <c r="B850" s="485" t="s">
        <v>191</v>
      </c>
      <c r="C850" s="17" t="s">
        <v>31</v>
      </c>
      <c r="D850" s="485">
        <v>2</v>
      </c>
      <c r="E850" s="485">
        <v>0.75</v>
      </c>
      <c r="F850" s="485"/>
      <c r="G850" s="485"/>
      <c r="H850" s="18">
        <f t="shared" si="162"/>
        <v>1.5</v>
      </c>
    </row>
    <row r="851" spans="1:8">
      <c r="A851" s="485"/>
      <c r="B851" s="485" t="s">
        <v>214</v>
      </c>
      <c r="C851" s="17" t="s">
        <v>31</v>
      </c>
      <c r="D851" s="485">
        <v>2</v>
      </c>
      <c r="E851" s="485">
        <v>1</v>
      </c>
      <c r="F851" s="485"/>
      <c r="G851" s="485"/>
      <c r="H851" s="18">
        <f t="shared" si="162"/>
        <v>2</v>
      </c>
    </row>
    <row r="852" spans="1:8">
      <c r="A852" s="485"/>
      <c r="B852" s="485" t="s">
        <v>1310</v>
      </c>
      <c r="C852" s="17" t="s">
        <v>31</v>
      </c>
      <c r="D852" s="485">
        <v>1</v>
      </c>
      <c r="E852" s="485">
        <v>1</v>
      </c>
      <c r="F852" s="485"/>
      <c r="G852" s="485"/>
      <c r="H852" s="18">
        <f t="shared" si="162"/>
        <v>1</v>
      </c>
    </row>
    <row r="853" spans="1:8">
      <c r="A853" s="485"/>
      <c r="B853" s="485" t="s">
        <v>1311</v>
      </c>
      <c r="C853" s="17" t="s">
        <v>31</v>
      </c>
      <c r="D853" s="485">
        <v>1</v>
      </c>
      <c r="E853" s="485">
        <v>1</v>
      </c>
      <c r="F853" s="485"/>
      <c r="G853" s="485"/>
      <c r="H853" s="18">
        <f t="shared" si="162"/>
        <v>1</v>
      </c>
    </row>
    <row r="854" spans="1:8">
      <c r="A854" s="485"/>
      <c r="B854" s="485" t="s">
        <v>1219</v>
      </c>
      <c r="C854" s="17" t="s">
        <v>31</v>
      </c>
      <c r="D854" s="485">
        <v>1</v>
      </c>
      <c r="E854" s="485">
        <v>1</v>
      </c>
      <c r="F854" s="485"/>
      <c r="G854" s="485"/>
      <c r="H854" s="18">
        <f t="shared" si="162"/>
        <v>1</v>
      </c>
    </row>
    <row r="855" spans="1:8">
      <c r="A855" s="485"/>
      <c r="B855" s="485" t="s">
        <v>1280</v>
      </c>
      <c r="C855" s="17" t="s">
        <v>31</v>
      </c>
      <c r="D855" s="485">
        <v>1</v>
      </c>
      <c r="E855" s="485">
        <v>1</v>
      </c>
      <c r="F855" s="485"/>
      <c r="G855" s="485"/>
      <c r="H855" s="18">
        <f t="shared" ref="H855:H879" si="163">PRODUCT(D855:G855)</f>
        <v>1</v>
      </c>
    </row>
    <row r="856" spans="1:8">
      <c r="A856" s="485"/>
      <c r="B856" s="485" t="s">
        <v>1218</v>
      </c>
      <c r="C856" s="17" t="s">
        <v>31</v>
      </c>
      <c r="D856" s="485">
        <v>1</v>
      </c>
      <c r="E856" s="485">
        <v>1</v>
      </c>
      <c r="F856" s="485"/>
      <c r="G856" s="485"/>
      <c r="H856" s="18">
        <f t="shared" si="163"/>
        <v>1</v>
      </c>
    </row>
    <row r="857" spans="1:8">
      <c r="A857" s="485"/>
      <c r="B857" s="485" t="s">
        <v>199</v>
      </c>
      <c r="C857" s="17" t="s">
        <v>31</v>
      </c>
      <c r="D857" s="485">
        <v>2</v>
      </c>
      <c r="E857" s="485">
        <v>1</v>
      </c>
      <c r="F857" s="485"/>
      <c r="G857" s="485"/>
      <c r="H857" s="18">
        <f t="shared" si="163"/>
        <v>2</v>
      </c>
    </row>
    <row r="858" spans="1:8">
      <c r="A858" s="485"/>
      <c r="B858" s="485" t="s">
        <v>1312</v>
      </c>
      <c r="C858" s="17" t="s">
        <v>31</v>
      </c>
      <c r="D858" s="485">
        <v>1</v>
      </c>
      <c r="E858" s="485">
        <f>4.132+2.21+1.08+0.71+0.85+0.36+1.52+2.5+1.06</f>
        <v>14.421999999999999</v>
      </c>
      <c r="F858" s="485"/>
      <c r="G858" s="485"/>
      <c r="H858" s="18">
        <f t="shared" si="163"/>
        <v>14.421999999999999</v>
      </c>
    </row>
    <row r="859" spans="1:8">
      <c r="A859" s="485"/>
      <c r="B859" s="485" t="s">
        <v>1280</v>
      </c>
      <c r="C859" s="17" t="s">
        <v>31</v>
      </c>
      <c r="D859" s="485">
        <v>2</v>
      </c>
      <c r="E859" s="485">
        <v>1</v>
      </c>
      <c r="F859" s="485"/>
      <c r="G859" s="485"/>
      <c r="H859" s="18">
        <f t="shared" si="163"/>
        <v>2</v>
      </c>
    </row>
    <row r="860" spans="1:8">
      <c r="A860" s="485"/>
      <c r="B860" s="485" t="s">
        <v>1227</v>
      </c>
      <c r="C860" s="17" t="s">
        <v>31</v>
      </c>
      <c r="D860" s="485">
        <v>1</v>
      </c>
      <c r="E860" s="485">
        <v>1.6</v>
      </c>
      <c r="F860" s="485"/>
      <c r="G860" s="485"/>
      <c r="H860" s="18">
        <f t="shared" si="163"/>
        <v>1.6</v>
      </c>
    </row>
    <row r="861" spans="1:8">
      <c r="A861" s="485"/>
      <c r="B861" s="485" t="s">
        <v>1255</v>
      </c>
      <c r="C861" s="17" t="s">
        <v>31</v>
      </c>
      <c r="D861" s="485">
        <v>1</v>
      </c>
      <c r="E861" s="485">
        <v>1</v>
      </c>
      <c r="F861" s="485"/>
      <c r="G861" s="485"/>
      <c r="H861" s="18">
        <f t="shared" si="163"/>
        <v>1</v>
      </c>
    </row>
    <row r="862" spans="1:8">
      <c r="A862" s="485"/>
      <c r="B862" s="485" t="s">
        <v>1291</v>
      </c>
      <c r="C862" s="17" t="s">
        <v>31</v>
      </c>
      <c r="D862" s="485">
        <v>1</v>
      </c>
      <c r="E862" s="485">
        <v>1.2</v>
      </c>
      <c r="F862" s="485"/>
      <c r="G862" s="485"/>
      <c r="H862" s="18">
        <f t="shared" si="163"/>
        <v>1.2</v>
      </c>
    </row>
    <row r="863" spans="1:8">
      <c r="A863" s="485"/>
      <c r="B863" s="485" t="s">
        <v>1313</v>
      </c>
      <c r="C863" s="17" t="s">
        <v>31</v>
      </c>
      <c r="D863" s="485">
        <v>2</v>
      </c>
      <c r="E863" s="485">
        <v>1</v>
      </c>
      <c r="F863" s="485"/>
      <c r="G863" s="485"/>
      <c r="H863" s="18">
        <f t="shared" si="163"/>
        <v>2</v>
      </c>
    </row>
    <row r="864" spans="1:8">
      <c r="A864" s="485"/>
      <c r="B864" s="485" t="s">
        <v>196</v>
      </c>
      <c r="C864" s="17" t="s">
        <v>31</v>
      </c>
      <c r="D864" s="485">
        <v>1</v>
      </c>
      <c r="E864" s="485">
        <f>7.4+0.86+4.32+17.31+6.89+16.41</f>
        <v>53.19</v>
      </c>
      <c r="F864" s="485"/>
      <c r="G864" s="485"/>
      <c r="H864" s="18">
        <f t="shared" si="163"/>
        <v>53.19</v>
      </c>
    </row>
    <row r="865" spans="1:8">
      <c r="A865" s="485"/>
      <c r="B865" s="485" t="s">
        <v>1314</v>
      </c>
      <c r="C865" s="17" t="s">
        <v>31</v>
      </c>
      <c r="D865" s="485">
        <v>1</v>
      </c>
      <c r="E865" s="485">
        <v>1</v>
      </c>
      <c r="F865" s="485"/>
      <c r="G865" s="485"/>
      <c r="H865" s="18">
        <f t="shared" si="163"/>
        <v>1</v>
      </c>
    </row>
    <row r="866" spans="1:8">
      <c r="A866" s="485"/>
      <c r="B866" s="485" t="s">
        <v>1315</v>
      </c>
      <c r="C866" s="17" t="s">
        <v>31</v>
      </c>
      <c r="D866" s="485">
        <v>1</v>
      </c>
      <c r="E866" s="485">
        <v>1</v>
      </c>
      <c r="F866" s="485"/>
      <c r="G866" s="485"/>
      <c r="H866" s="18">
        <f t="shared" si="163"/>
        <v>1</v>
      </c>
    </row>
    <row r="867" spans="1:8">
      <c r="A867" s="485"/>
      <c r="B867" s="485" t="s">
        <v>1291</v>
      </c>
      <c r="C867" s="17" t="s">
        <v>31</v>
      </c>
      <c r="D867" s="485">
        <v>1</v>
      </c>
      <c r="E867" s="485">
        <v>1.39</v>
      </c>
      <c r="F867" s="485"/>
      <c r="G867" s="485"/>
      <c r="H867" s="18">
        <f t="shared" si="163"/>
        <v>1.39</v>
      </c>
    </row>
    <row r="868" spans="1:8">
      <c r="A868" s="485"/>
      <c r="B868" s="485" t="s">
        <v>1229</v>
      </c>
      <c r="C868" s="17" t="s">
        <v>31</v>
      </c>
      <c r="D868" s="485">
        <v>1</v>
      </c>
      <c r="E868" s="485">
        <v>1</v>
      </c>
      <c r="F868" s="485"/>
      <c r="G868" s="485"/>
      <c r="H868" s="18">
        <f t="shared" si="163"/>
        <v>1</v>
      </c>
    </row>
    <row r="869" spans="1:8">
      <c r="A869" s="485"/>
      <c r="B869" s="485" t="s">
        <v>1316</v>
      </c>
      <c r="C869" s="17" t="s">
        <v>31</v>
      </c>
      <c r="D869" s="485">
        <v>1</v>
      </c>
      <c r="E869" s="485">
        <f>9.15+5.73+4.05+8.4</f>
        <v>27.33</v>
      </c>
      <c r="F869" s="485"/>
      <c r="G869" s="485"/>
      <c r="H869" s="18">
        <f t="shared" si="163"/>
        <v>27.33</v>
      </c>
    </row>
    <row r="870" spans="1:8">
      <c r="A870" s="485"/>
      <c r="B870" s="485" t="s">
        <v>1293</v>
      </c>
      <c r="C870" s="17" t="s">
        <v>31</v>
      </c>
      <c r="D870" s="485">
        <v>1</v>
      </c>
      <c r="E870" s="485">
        <v>1</v>
      </c>
      <c r="F870" s="485"/>
      <c r="G870" s="485"/>
      <c r="H870" s="18">
        <f t="shared" si="163"/>
        <v>1</v>
      </c>
    </row>
    <row r="871" spans="1:8">
      <c r="A871" s="485"/>
      <c r="B871" s="485" t="s">
        <v>1291</v>
      </c>
      <c r="C871" s="17" t="s">
        <v>31</v>
      </c>
      <c r="D871" s="485">
        <v>1</v>
      </c>
      <c r="E871" s="485">
        <v>1</v>
      </c>
      <c r="F871" s="485"/>
      <c r="G871" s="485"/>
      <c r="H871" s="18">
        <f t="shared" si="163"/>
        <v>1</v>
      </c>
    </row>
    <row r="872" spans="1:8">
      <c r="A872" s="485"/>
      <c r="B872" s="485" t="s">
        <v>1317</v>
      </c>
      <c r="C872" s="17" t="s">
        <v>31</v>
      </c>
      <c r="D872" s="485">
        <v>1</v>
      </c>
      <c r="E872" s="485">
        <v>1</v>
      </c>
      <c r="F872" s="485"/>
      <c r="G872" s="485"/>
      <c r="H872" s="18">
        <f t="shared" si="163"/>
        <v>1</v>
      </c>
    </row>
    <row r="873" spans="1:8">
      <c r="A873" s="485"/>
      <c r="B873" s="485" t="s">
        <v>1195</v>
      </c>
      <c r="C873" s="17" t="s">
        <v>31</v>
      </c>
      <c r="D873" s="485">
        <v>1</v>
      </c>
      <c r="E873" s="485">
        <v>1</v>
      </c>
      <c r="F873" s="485"/>
      <c r="G873" s="485"/>
      <c r="H873" s="18">
        <f t="shared" si="163"/>
        <v>1</v>
      </c>
    </row>
    <row r="874" spans="1:8">
      <c r="A874" s="485"/>
      <c r="B874" s="485" t="s">
        <v>191</v>
      </c>
      <c r="C874" s="17" t="s">
        <v>31</v>
      </c>
      <c r="D874" s="485">
        <v>2</v>
      </c>
      <c r="E874" s="485">
        <v>0.75</v>
      </c>
      <c r="F874" s="485"/>
      <c r="G874" s="485"/>
      <c r="H874" s="18">
        <f t="shared" si="163"/>
        <v>1.5</v>
      </c>
    </row>
    <row r="875" spans="1:8">
      <c r="A875" s="485"/>
      <c r="B875" s="485" t="s">
        <v>196</v>
      </c>
      <c r="C875" s="17" t="s">
        <v>31</v>
      </c>
      <c r="D875" s="485">
        <v>1</v>
      </c>
      <c r="E875" s="485">
        <f>1.5+0.47+0.35+0.185+3.46</f>
        <v>5.9649999999999999</v>
      </c>
      <c r="F875" s="485"/>
      <c r="G875" s="485"/>
      <c r="H875" s="18">
        <f t="shared" si="163"/>
        <v>5.9649999999999999</v>
      </c>
    </row>
    <row r="876" spans="1:8">
      <c r="A876" s="485"/>
      <c r="B876" s="485" t="s">
        <v>196</v>
      </c>
      <c r="C876" s="17" t="s">
        <v>31</v>
      </c>
      <c r="D876" s="485">
        <v>1</v>
      </c>
      <c r="E876" s="485">
        <f>0.16+4.24+0.35+1.58</f>
        <v>6.33</v>
      </c>
      <c r="F876" s="485"/>
      <c r="G876" s="485"/>
      <c r="H876" s="487">
        <f t="shared" si="163"/>
        <v>6.33</v>
      </c>
    </row>
    <row r="877" spans="1:8">
      <c r="A877" s="485"/>
      <c r="B877" s="485" t="s">
        <v>1298</v>
      </c>
      <c r="C877" s="17" t="s">
        <v>31</v>
      </c>
      <c r="D877" s="485">
        <v>1</v>
      </c>
      <c r="E877" s="485">
        <v>1</v>
      </c>
      <c r="F877" s="485"/>
      <c r="G877" s="485"/>
      <c r="H877" s="487">
        <f t="shared" si="163"/>
        <v>1</v>
      </c>
    </row>
    <row r="878" spans="1:8">
      <c r="A878" s="485"/>
      <c r="B878" s="485" t="s">
        <v>1292</v>
      </c>
      <c r="C878" s="17" t="s">
        <v>31</v>
      </c>
      <c r="D878" s="485">
        <v>1</v>
      </c>
      <c r="E878" s="485">
        <v>1</v>
      </c>
      <c r="F878" s="485"/>
      <c r="G878" s="485"/>
      <c r="H878" s="487">
        <f t="shared" si="163"/>
        <v>1</v>
      </c>
    </row>
    <row r="879" spans="1:8">
      <c r="A879" s="485"/>
      <c r="B879" s="485" t="s">
        <v>1294</v>
      </c>
      <c r="C879" s="17" t="s">
        <v>31</v>
      </c>
      <c r="D879" s="485">
        <v>1</v>
      </c>
      <c r="E879" s="485">
        <v>1</v>
      </c>
      <c r="F879" s="485"/>
      <c r="G879" s="485"/>
      <c r="H879" s="487">
        <f t="shared" si="163"/>
        <v>1</v>
      </c>
    </row>
    <row r="880" spans="1:8">
      <c r="A880" s="485"/>
      <c r="B880" s="485"/>
      <c r="C880" s="485"/>
      <c r="D880" s="485"/>
      <c r="E880" s="485"/>
      <c r="F880" s="485"/>
      <c r="G880" s="485"/>
      <c r="H880" s="487"/>
    </row>
    <row r="881" spans="1:8">
      <c r="A881" s="485"/>
      <c r="B881" s="485"/>
      <c r="C881" s="485"/>
      <c r="D881" s="485"/>
      <c r="E881" s="485"/>
      <c r="F881" s="485"/>
      <c r="G881" s="485"/>
      <c r="H881" s="487"/>
    </row>
    <row r="882" spans="1:8">
      <c r="A882" s="17"/>
      <c r="B882" s="17"/>
      <c r="C882" s="17"/>
      <c r="D882" s="17"/>
      <c r="E882" s="17"/>
      <c r="F882" s="17"/>
      <c r="G882" s="17"/>
      <c r="H882" s="18"/>
    </row>
    <row r="883" spans="1:8">
      <c r="A883" s="15"/>
      <c r="B883" s="15" t="s">
        <v>21</v>
      </c>
      <c r="C883" s="15"/>
      <c r="D883" s="15"/>
      <c r="E883" s="15"/>
      <c r="F883" s="15"/>
      <c r="G883" s="15"/>
      <c r="H883" s="20">
        <f>SUM(H823:H882)</f>
        <v>352.97199999999992</v>
      </c>
    </row>
    <row r="884" spans="1:8">
      <c r="A884" s="17"/>
      <c r="B884" s="17" t="s">
        <v>22</v>
      </c>
      <c r="C884" s="17"/>
      <c r="D884" s="17"/>
      <c r="E884" s="17"/>
      <c r="F884" s="17"/>
      <c r="G884" s="17"/>
      <c r="H884" s="18"/>
    </row>
    <row r="885" spans="1:8">
      <c r="A885" s="15"/>
      <c r="B885" s="15" t="s">
        <v>23</v>
      </c>
      <c r="C885" s="15"/>
      <c r="D885" s="15"/>
      <c r="E885" s="15"/>
      <c r="F885" s="15"/>
      <c r="G885" s="15"/>
      <c r="H885" s="20">
        <f>ROUND(SUM(H883:H884),0)</f>
        <v>353</v>
      </c>
    </row>
    <row r="886" spans="1:8">
      <c r="A886" s="17"/>
      <c r="B886" s="17"/>
      <c r="C886" s="17"/>
      <c r="D886" s="17"/>
      <c r="E886" s="17"/>
      <c r="F886" s="17"/>
      <c r="G886" s="17"/>
      <c r="H886" s="18"/>
    </row>
    <row r="887" spans="1:8">
      <c r="A887" s="17">
        <v>3</v>
      </c>
      <c r="B887" s="15" t="s">
        <v>128</v>
      </c>
      <c r="C887" s="17" t="s">
        <v>1904</v>
      </c>
      <c r="D887" s="17"/>
      <c r="E887" s="17"/>
      <c r="F887" s="17"/>
      <c r="G887" s="17"/>
      <c r="H887" s="18"/>
    </row>
    <row r="888" spans="1:8">
      <c r="A888" s="17"/>
      <c r="B888" s="17" t="s">
        <v>290</v>
      </c>
      <c r="C888" s="17" t="s">
        <v>1904</v>
      </c>
      <c r="D888" s="17">
        <v>1</v>
      </c>
      <c r="E888" s="17">
        <v>1.5</v>
      </c>
      <c r="F888" s="17"/>
      <c r="G888" s="17"/>
      <c r="H888" s="18">
        <f t="shared" ref="H888:H889" si="164">PRODUCT(D888:G888)</f>
        <v>1.5</v>
      </c>
    </row>
    <row r="889" spans="1:8">
      <c r="A889" s="485"/>
      <c r="B889" s="485"/>
      <c r="C889" s="17" t="s">
        <v>1904</v>
      </c>
      <c r="D889" s="17">
        <v>20</v>
      </c>
      <c r="E889" s="17">
        <v>1.5</v>
      </c>
      <c r="F889" s="17"/>
      <c r="G889" s="17"/>
      <c r="H889" s="18">
        <f t="shared" si="164"/>
        <v>30</v>
      </c>
    </row>
    <row r="890" spans="1:8">
      <c r="A890" s="17"/>
      <c r="B890" s="17"/>
      <c r="C890" s="17"/>
      <c r="D890" s="17"/>
      <c r="E890" s="17"/>
      <c r="F890" s="17"/>
      <c r="G890" s="17"/>
      <c r="H890" s="18"/>
    </row>
    <row r="891" spans="1:8">
      <c r="A891" s="17"/>
      <c r="B891" s="17"/>
      <c r="C891" s="17"/>
      <c r="D891" s="17"/>
      <c r="E891" s="17"/>
      <c r="F891" s="17"/>
      <c r="G891" s="17"/>
      <c r="H891" s="18"/>
    </row>
    <row r="892" spans="1:8">
      <c r="A892" s="15"/>
      <c r="B892" s="15" t="s">
        <v>21</v>
      </c>
      <c r="C892" s="15"/>
      <c r="D892" s="15"/>
      <c r="E892" s="15"/>
      <c r="F892" s="15"/>
      <c r="G892" s="15"/>
      <c r="H892" s="20">
        <f>SUM(H888:H891)</f>
        <v>31.5</v>
      </c>
    </row>
    <row r="893" spans="1:8">
      <c r="A893" s="17"/>
      <c r="B893" s="17" t="s">
        <v>22</v>
      </c>
      <c r="C893" s="17"/>
      <c r="D893" s="17"/>
      <c r="E893" s="17"/>
      <c r="F893" s="17"/>
      <c r="G893" s="17"/>
      <c r="H893" s="18"/>
    </row>
    <row r="894" spans="1:8">
      <c r="A894" s="15"/>
      <c r="B894" s="15" t="s">
        <v>23</v>
      </c>
      <c r="C894" s="15"/>
      <c r="D894" s="15"/>
      <c r="E894" s="15"/>
      <c r="F894" s="15"/>
      <c r="G894" s="15"/>
      <c r="H894" s="20">
        <f>ROUND(SUM(H892:H893),0)</f>
        <v>32</v>
      </c>
    </row>
    <row r="895" spans="1:8">
      <c r="A895" s="17"/>
      <c r="B895" s="17"/>
      <c r="C895" s="17"/>
      <c r="D895" s="17"/>
      <c r="E895" s="17"/>
      <c r="F895" s="17"/>
      <c r="G895" s="17"/>
      <c r="H895" s="18"/>
    </row>
    <row r="896" spans="1:8">
      <c r="A896" s="17">
        <v>3</v>
      </c>
      <c r="B896" s="15" t="s">
        <v>1323</v>
      </c>
      <c r="C896" s="17" t="s">
        <v>10</v>
      </c>
      <c r="D896" s="17"/>
      <c r="E896" s="17"/>
      <c r="F896" s="17"/>
      <c r="G896" s="17"/>
      <c r="H896" s="18"/>
    </row>
    <row r="897" spans="1:8">
      <c r="A897" s="17"/>
      <c r="B897" s="17" t="s">
        <v>1934</v>
      </c>
      <c r="C897" s="17" t="s">
        <v>10</v>
      </c>
      <c r="D897" s="17">
        <v>1</v>
      </c>
      <c r="E897" s="17">
        <v>2.7759999999999998</v>
      </c>
      <c r="F897" s="17">
        <v>0.72499999999999998</v>
      </c>
      <c r="G897" s="17"/>
      <c r="H897" s="18">
        <f t="shared" ref="H897" si="165">PRODUCT(D897:G897)</f>
        <v>2.0125999999999999</v>
      </c>
    </row>
    <row r="898" spans="1:8">
      <c r="A898" s="485"/>
      <c r="B898" s="485"/>
      <c r="C898" s="17" t="s">
        <v>10</v>
      </c>
      <c r="D898" s="17">
        <v>1</v>
      </c>
      <c r="E898" s="17">
        <v>2.0499999999999998</v>
      </c>
      <c r="F898" s="17">
        <v>0.72499999999999998</v>
      </c>
      <c r="G898" s="17"/>
      <c r="H898" s="18">
        <f t="shared" ref="H898" si="166">PRODUCT(D898:G898)</f>
        <v>1.4862499999999998</v>
      </c>
    </row>
    <row r="899" spans="1:8">
      <c r="A899" s="485"/>
      <c r="B899" s="485"/>
      <c r="C899" s="17" t="s">
        <v>10</v>
      </c>
      <c r="D899" s="17">
        <v>0.5</v>
      </c>
      <c r="E899" s="17">
        <v>2.0499999999999998</v>
      </c>
      <c r="F899" s="17">
        <v>2.0499999999999998</v>
      </c>
      <c r="G899" s="17"/>
      <c r="H899" s="18">
        <f t="shared" ref="H899:H900" si="167">PRODUCT(D899:G899)</f>
        <v>2.1012499999999998</v>
      </c>
    </row>
    <row r="900" spans="1:8">
      <c r="A900" s="485"/>
      <c r="B900" s="485"/>
      <c r="C900" s="17" t="s">
        <v>10</v>
      </c>
      <c r="D900" s="485">
        <v>2</v>
      </c>
      <c r="E900" s="485">
        <v>0.72499999999999998</v>
      </c>
      <c r="F900" s="485">
        <v>0.3</v>
      </c>
      <c r="G900" s="485"/>
      <c r="H900" s="18">
        <f t="shared" si="167"/>
        <v>0.435</v>
      </c>
    </row>
    <row r="901" spans="1:8">
      <c r="A901" s="17"/>
      <c r="B901" s="17"/>
      <c r="C901" s="17"/>
      <c r="D901" s="17"/>
      <c r="E901" s="17"/>
      <c r="F901" s="17"/>
      <c r="G901" s="17"/>
      <c r="H901" s="18"/>
    </row>
    <row r="902" spans="1:8">
      <c r="A902" s="17"/>
      <c r="B902" s="17"/>
      <c r="C902" s="17"/>
      <c r="D902" s="17"/>
      <c r="E902" s="17"/>
      <c r="F902" s="17"/>
      <c r="G902" s="17"/>
      <c r="H902" s="18"/>
    </row>
    <row r="903" spans="1:8">
      <c r="A903" s="15"/>
      <c r="B903" s="15" t="s">
        <v>21</v>
      </c>
      <c r="C903" s="15"/>
      <c r="D903" s="15"/>
      <c r="E903" s="15"/>
      <c r="F903" s="15"/>
      <c r="G903" s="15"/>
      <c r="H903" s="20">
        <f>SUM(H897:H902)</f>
        <v>6.035099999999999</v>
      </c>
    </row>
    <row r="904" spans="1:8">
      <c r="A904" s="17"/>
      <c r="B904" s="17" t="s">
        <v>22</v>
      </c>
      <c r="C904" s="17"/>
      <c r="D904" s="17"/>
      <c r="E904" s="17"/>
      <c r="F904" s="17"/>
      <c r="G904" s="17"/>
      <c r="H904" s="18"/>
    </row>
    <row r="905" spans="1:8">
      <c r="A905" s="15"/>
      <c r="B905" s="15" t="s">
        <v>23</v>
      </c>
      <c r="C905" s="15"/>
      <c r="D905" s="15"/>
      <c r="E905" s="15"/>
      <c r="F905" s="15"/>
      <c r="G905" s="15"/>
      <c r="H905" s="20">
        <f>ROUND(SUM(H903:H904),0)</f>
        <v>6</v>
      </c>
    </row>
    <row r="906" spans="1:8">
      <c r="A906" s="17"/>
      <c r="B906" s="17"/>
      <c r="C906" s="17"/>
      <c r="D906" s="17"/>
      <c r="E906" s="17"/>
      <c r="F906" s="17"/>
      <c r="G906" s="17"/>
      <c r="H906" s="18"/>
    </row>
    <row r="907" spans="1:8">
      <c r="A907" s="17">
        <v>3</v>
      </c>
      <c r="B907" s="15" t="s">
        <v>2083</v>
      </c>
      <c r="C907" s="17" t="s">
        <v>10</v>
      </c>
      <c r="D907" s="17"/>
      <c r="E907" s="17"/>
      <c r="F907" s="17"/>
      <c r="G907" s="17"/>
      <c r="H907" s="18"/>
    </row>
    <row r="908" spans="1:8">
      <c r="A908" s="17"/>
      <c r="B908" s="17" t="s">
        <v>181</v>
      </c>
      <c r="C908" s="17" t="s">
        <v>10</v>
      </c>
      <c r="D908" s="17">
        <v>1</v>
      </c>
      <c r="E908" s="17">
        <f>0.6</f>
        <v>0.6</v>
      </c>
      <c r="F908" s="17">
        <v>1.4</v>
      </c>
      <c r="G908" s="17"/>
      <c r="H908" s="18">
        <f t="shared" ref="H908" si="168">PRODUCT(D908:G908)</f>
        <v>0.84</v>
      </c>
    </row>
    <row r="909" spans="1:8">
      <c r="A909" s="17"/>
      <c r="B909" s="17"/>
      <c r="C909" s="17"/>
      <c r="D909" s="17"/>
      <c r="E909" s="17"/>
      <c r="F909" s="17"/>
      <c r="G909" s="17"/>
      <c r="H909" s="18"/>
    </row>
    <row r="910" spans="1:8">
      <c r="A910" s="15"/>
      <c r="B910" s="15" t="s">
        <v>21</v>
      </c>
      <c r="C910" s="15"/>
      <c r="D910" s="15"/>
      <c r="E910" s="15"/>
      <c r="F910" s="15"/>
      <c r="G910" s="15"/>
      <c r="H910" s="20">
        <f>SUM(H908:H909)</f>
        <v>0.84</v>
      </c>
    </row>
    <row r="911" spans="1:8">
      <c r="A911" s="17"/>
      <c r="B911" s="17" t="s">
        <v>22</v>
      </c>
      <c r="C911" s="17"/>
      <c r="D911" s="17"/>
      <c r="E911" s="17"/>
      <c r="F911" s="17"/>
      <c r="G911" s="17"/>
      <c r="H911" s="18"/>
    </row>
    <row r="912" spans="1:8">
      <c r="A912" s="15"/>
      <c r="B912" s="15" t="s">
        <v>23</v>
      </c>
      <c r="C912" s="15"/>
      <c r="D912" s="15"/>
      <c r="E912" s="15"/>
      <c r="F912" s="15"/>
      <c r="G912" s="15"/>
      <c r="H912" s="20">
        <f>ROUND(SUM(H910:H911),0)</f>
        <v>1</v>
      </c>
    </row>
    <row r="913" spans="1:8" s="948" customFormat="1">
      <c r="A913" s="17"/>
      <c r="B913" s="17"/>
      <c r="C913" s="17"/>
      <c r="D913" s="17"/>
      <c r="E913" s="17"/>
      <c r="F913" s="17"/>
      <c r="G913" s="17"/>
      <c r="H913" s="18"/>
    </row>
    <row r="914" spans="1:8" s="948" customFormat="1">
      <c r="A914" s="17">
        <v>3</v>
      </c>
      <c r="B914" s="15" t="s">
        <v>2129</v>
      </c>
      <c r="C914" s="17" t="s">
        <v>10</v>
      </c>
      <c r="D914" s="17"/>
      <c r="E914" s="17"/>
      <c r="F914" s="17"/>
      <c r="G914" s="17"/>
      <c r="H914" s="18"/>
    </row>
    <row r="915" spans="1:8" s="948" customFormat="1">
      <c r="A915" s="17"/>
      <c r="B915" s="17" t="s">
        <v>181</v>
      </c>
      <c r="C915" s="17" t="s">
        <v>10</v>
      </c>
      <c r="D915" s="17">
        <v>2</v>
      </c>
      <c r="E915" s="17">
        <v>1.2</v>
      </c>
      <c r="F915" s="17">
        <v>1</v>
      </c>
      <c r="G915" s="17"/>
      <c r="H915" s="18">
        <f t="shared" ref="H915" si="169">PRODUCT(D915:G915)</f>
        <v>2.4</v>
      </c>
    </row>
    <row r="916" spans="1:8" s="948" customFormat="1">
      <c r="A916" s="485"/>
      <c r="B916" s="485" t="s">
        <v>331</v>
      </c>
      <c r="C916" s="17" t="s">
        <v>10</v>
      </c>
      <c r="D916" s="17">
        <v>1</v>
      </c>
      <c r="E916" s="17">
        <v>3.4</v>
      </c>
      <c r="F916" s="17">
        <v>1.5</v>
      </c>
      <c r="G916" s="17"/>
      <c r="H916" s="18">
        <f t="shared" ref="H916" si="170">PRODUCT(D916:G916)</f>
        <v>5.0999999999999996</v>
      </c>
    </row>
    <row r="917" spans="1:8" s="948" customFormat="1">
      <c r="A917" s="485"/>
      <c r="B917" s="485"/>
      <c r="C917" s="17" t="s">
        <v>10</v>
      </c>
      <c r="D917" s="17">
        <v>1</v>
      </c>
      <c r="E917" s="17">
        <v>2.2000000000000002</v>
      </c>
      <c r="F917" s="17">
        <v>1.5</v>
      </c>
      <c r="G917" s="17"/>
      <c r="H917" s="18">
        <f t="shared" ref="H917:H918" si="171">PRODUCT(D917:G917)</f>
        <v>3.3000000000000003</v>
      </c>
    </row>
    <row r="918" spans="1:8" s="948" customFormat="1">
      <c r="A918" s="485"/>
      <c r="B918" s="485"/>
      <c r="C918" s="17" t="s">
        <v>10</v>
      </c>
      <c r="D918" s="485">
        <v>1</v>
      </c>
      <c r="E918" s="485">
        <v>1.6</v>
      </c>
      <c r="F918" s="485">
        <v>1</v>
      </c>
      <c r="G918" s="485"/>
      <c r="H918" s="18">
        <f t="shared" si="171"/>
        <v>1.6</v>
      </c>
    </row>
    <row r="919" spans="1:8" s="948" customFormat="1">
      <c r="A919" s="17"/>
      <c r="B919" s="17"/>
      <c r="C919" s="17"/>
      <c r="D919" s="17"/>
      <c r="E919" s="17"/>
      <c r="F919" s="17"/>
      <c r="G919" s="17"/>
      <c r="H919" s="18"/>
    </row>
    <row r="920" spans="1:8" s="948" customFormat="1">
      <c r="A920" s="15"/>
      <c r="B920" s="15" t="s">
        <v>21</v>
      </c>
      <c r="C920" s="15"/>
      <c r="D920" s="15"/>
      <c r="E920" s="15"/>
      <c r="F920" s="15"/>
      <c r="G920" s="15"/>
      <c r="H920" s="20">
        <f>SUM(H915:H919)</f>
        <v>12.4</v>
      </c>
    </row>
    <row r="921" spans="1:8" s="948" customFormat="1">
      <c r="A921" s="17"/>
      <c r="B921" s="17" t="s">
        <v>22</v>
      </c>
      <c r="C921" s="17"/>
      <c r="D921" s="17"/>
      <c r="E921" s="17"/>
      <c r="F921" s="17"/>
      <c r="G921" s="17"/>
      <c r="H921" s="18"/>
    </row>
    <row r="922" spans="1:8" s="948" customFormat="1">
      <c r="A922" s="15"/>
      <c r="B922" s="15" t="s">
        <v>23</v>
      </c>
      <c r="C922" s="15"/>
      <c r="D922" s="15"/>
      <c r="E922" s="15"/>
      <c r="F922" s="15"/>
      <c r="G922" s="15"/>
      <c r="H922" s="20">
        <f>ROUND(SUM(H920:H921),0)</f>
        <v>12</v>
      </c>
    </row>
    <row r="923" spans="1:8">
      <c r="A923" s="17"/>
      <c r="B923" s="17"/>
      <c r="C923" s="17"/>
      <c r="D923" s="17"/>
      <c r="E923" s="17"/>
      <c r="F923" s="17"/>
      <c r="G923" s="17"/>
      <c r="H923" s="18"/>
    </row>
    <row r="924" spans="1:8">
      <c r="A924" s="17">
        <v>3</v>
      </c>
      <c r="B924" s="15" t="s">
        <v>1323</v>
      </c>
      <c r="C924" s="17" t="s">
        <v>31</v>
      </c>
      <c r="D924" s="17"/>
      <c r="E924" s="17"/>
      <c r="F924" s="17"/>
      <c r="G924" s="17"/>
      <c r="H924" s="18"/>
    </row>
    <row r="925" spans="1:8">
      <c r="A925" s="17"/>
      <c r="B925" s="17" t="s">
        <v>290</v>
      </c>
      <c r="C925" s="17" t="s">
        <v>31</v>
      </c>
      <c r="D925" s="17">
        <v>1</v>
      </c>
      <c r="E925" s="17">
        <v>1.5</v>
      </c>
      <c r="F925" s="17"/>
      <c r="G925" s="17"/>
      <c r="H925" s="18">
        <f t="shared" ref="H925:H948" si="172">PRODUCT(D925:G925)</f>
        <v>1.5</v>
      </c>
    </row>
    <row r="926" spans="1:8">
      <c r="A926" s="17"/>
      <c r="B926" s="17" t="s">
        <v>1186</v>
      </c>
      <c r="C926" s="17" t="s">
        <v>31</v>
      </c>
      <c r="D926" s="17">
        <v>1</v>
      </c>
      <c r="E926" s="17">
        <v>3.65</v>
      </c>
      <c r="F926" s="17"/>
      <c r="G926" s="17"/>
      <c r="H926" s="18">
        <f t="shared" si="172"/>
        <v>3.65</v>
      </c>
    </row>
    <row r="927" spans="1:8">
      <c r="A927" s="17"/>
      <c r="B927" s="17" t="s">
        <v>1177</v>
      </c>
      <c r="C927" s="17" t="s">
        <v>31</v>
      </c>
      <c r="D927" s="17">
        <v>1</v>
      </c>
      <c r="E927" s="17">
        <v>1</v>
      </c>
      <c r="F927" s="17"/>
      <c r="G927" s="17"/>
      <c r="H927" s="18">
        <f t="shared" si="172"/>
        <v>1</v>
      </c>
    </row>
    <row r="928" spans="1:8">
      <c r="A928" s="17"/>
      <c r="B928" s="17" t="s">
        <v>1178</v>
      </c>
      <c r="C928" s="17" t="s">
        <v>31</v>
      </c>
      <c r="D928" s="17">
        <v>1</v>
      </c>
      <c r="E928" s="17">
        <v>1</v>
      </c>
      <c r="F928" s="17" t="s">
        <v>169</v>
      </c>
      <c r="G928" s="17"/>
      <c r="H928" s="18">
        <f t="shared" si="172"/>
        <v>1</v>
      </c>
    </row>
    <row r="929" spans="1:8">
      <c r="A929" s="17"/>
      <c r="B929" s="17" t="s">
        <v>171</v>
      </c>
      <c r="C929" s="17" t="s">
        <v>31</v>
      </c>
      <c r="D929" s="17">
        <v>1</v>
      </c>
      <c r="E929" s="17">
        <v>1</v>
      </c>
      <c r="F929" s="17"/>
      <c r="G929" s="17"/>
      <c r="H929" s="18">
        <f t="shared" si="172"/>
        <v>1</v>
      </c>
    </row>
    <row r="930" spans="1:8">
      <c r="A930" s="17"/>
      <c r="B930" s="17" t="s">
        <v>156</v>
      </c>
      <c r="C930" s="17" t="s">
        <v>31</v>
      </c>
      <c r="D930" s="17">
        <v>1</v>
      </c>
      <c r="E930" s="17">
        <v>1.5</v>
      </c>
      <c r="F930" s="17"/>
      <c r="G930" s="17"/>
      <c r="H930" s="18">
        <f t="shared" si="172"/>
        <v>1.5</v>
      </c>
    </row>
    <row r="931" spans="1:8">
      <c r="A931" s="17"/>
      <c r="B931" s="17" t="s">
        <v>162</v>
      </c>
      <c r="C931" s="17" t="s">
        <v>31</v>
      </c>
      <c r="D931" s="17">
        <v>1</v>
      </c>
      <c r="E931" s="17">
        <v>1.8</v>
      </c>
      <c r="F931" s="17"/>
      <c r="G931" s="17"/>
      <c r="H931" s="18">
        <f t="shared" si="172"/>
        <v>1.8</v>
      </c>
    </row>
    <row r="932" spans="1:8">
      <c r="A932" s="17"/>
      <c r="B932" s="17" t="s">
        <v>245</v>
      </c>
      <c r="C932" s="17" t="s">
        <v>31</v>
      </c>
      <c r="D932" s="17">
        <v>1</v>
      </c>
      <c r="E932" s="17">
        <v>1.5</v>
      </c>
      <c r="F932" s="17"/>
      <c r="G932" s="17"/>
      <c r="H932" s="18">
        <f t="shared" si="172"/>
        <v>1.5</v>
      </c>
    </row>
    <row r="933" spans="1:8">
      <c r="A933" s="17"/>
      <c r="B933" s="17" t="s">
        <v>1167</v>
      </c>
      <c r="C933" s="17" t="s">
        <v>31</v>
      </c>
      <c r="D933" s="17">
        <v>1</v>
      </c>
      <c r="E933" s="17">
        <v>1.8</v>
      </c>
      <c r="F933" s="17"/>
      <c r="G933" s="17"/>
      <c r="H933" s="18">
        <f t="shared" si="172"/>
        <v>1.8</v>
      </c>
    </row>
    <row r="934" spans="1:8">
      <c r="A934" s="17"/>
      <c r="B934" s="17" t="s">
        <v>123</v>
      </c>
      <c r="C934" s="17" t="s">
        <v>31</v>
      </c>
      <c r="D934" s="17">
        <v>1</v>
      </c>
      <c r="E934" s="17">
        <v>1.1000000000000001</v>
      </c>
      <c r="F934" s="17"/>
      <c r="G934" s="17"/>
      <c r="H934" s="18">
        <f t="shared" si="172"/>
        <v>1.1000000000000001</v>
      </c>
    </row>
    <row r="935" spans="1:8">
      <c r="A935" s="17"/>
      <c r="B935" s="17" t="s">
        <v>181</v>
      </c>
      <c r="C935" s="17" t="s">
        <v>31</v>
      </c>
      <c r="D935" s="17">
        <v>1</v>
      </c>
      <c r="E935" s="17">
        <v>1</v>
      </c>
      <c r="F935" s="17"/>
      <c r="G935" s="17"/>
      <c r="H935" s="18">
        <f t="shared" si="172"/>
        <v>1</v>
      </c>
    </row>
    <row r="936" spans="1:8">
      <c r="A936" s="17"/>
      <c r="B936" s="17" t="s">
        <v>289</v>
      </c>
      <c r="C936" s="17" t="s">
        <v>31</v>
      </c>
      <c r="D936" s="17">
        <v>3</v>
      </c>
      <c r="E936" s="17">
        <v>1.1000000000000001</v>
      </c>
      <c r="F936" s="17"/>
      <c r="G936" s="17"/>
      <c r="H936" s="18">
        <f t="shared" si="172"/>
        <v>3.3000000000000003</v>
      </c>
    </row>
    <row r="937" spans="1:8">
      <c r="A937" s="17"/>
      <c r="B937" s="17" t="s">
        <v>1318</v>
      </c>
      <c r="C937" s="17" t="s">
        <v>31</v>
      </c>
      <c r="D937" s="17">
        <v>1</v>
      </c>
      <c r="E937" s="17">
        <v>0.6</v>
      </c>
      <c r="F937" s="17"/>
      <c r="G937" s="17"/>
      <c r="H937" s="18">
        <f t="shared" si="172"/>
        <v>0.6</v>
      </c>
    </row>
    <row r="938" spans="1:8">
      <c r="A938" s="17"/>
      <c r="B938" s="17" t="s">
        <v>171</v>
      </c>
      <c r="C938" s="17" t="s">
        <v>31</v>
      </c>
      <c r="D938" s="17">
        <v>1</v>
      </c>
      <c r="E938" s="17">
        <v>1</v>
      </c>
      <c r="F938" s="17"/>
      <c r="G938" s="17"/>
      <c r="H938" s="18">
        <f t="shared" si="172"/>
        <v>1</v>
      </c>
    </row>
    <row r="939" spans="1:8">
      <c r="A939" s="17"/>
      <c r="B939" s="17" t="s">
        <v>1319</v>
      </c>
      <c r="C939" s="17" t="s">
        <v>31</v>
      </c>
      <c r="D939" s="17">
        <v>1</v>
      </c>
      <c r="E939" s="17">
        <v>1</v>
      </c>
      <c r="F939" s="17"/>
      <c r="G939" s="17"/>
      <c r="H939" s="18">
        <f t="shared" si="172"/>
        <v>1</v>
      </c>
    </row>
    <row r="940" spans="1:8">
      <c r="A940" s="17"/>
      <c r="B940" s="17" t="s">
        <v>208</v>
      </c>
      <c r="C940" s="17" t="s">
        <v>31</v>
      </c>
      <c r="D940" s="17">
        <v>1</v>
      </c>
      <c r="E940" s="17">
        <v>1.8</v>
      </c>
      <c r="F940" s="17"/>
      <c r="G940" s="17"/>
      <c r="H940" s="18">
        <f t="shared" si="172"/>
        <v>1.8</v>
      </c>
    </row>
    <row r="941" spans="1:8">
      <c r="A941" s="17"/>
      <c r="B941" s="17" t="s">
        <v>245</v>
      </c>
      <c r="C941" s="17" t="s">
        <v>31</v>
      </c>
      <c r="D941" s="17">
        <v>1</v>
      </c>
      <c r="E941" s="17">
        <v>1.5</v>
      </c>
      <c r="F941" s="17"/>
      <c r="G941" s="17"/>
      <c r="H941" s="18">
        <f t="shared" si="172"/>
        <v>1.5</v>
      </c>
    </row>
    <row r="942" spans="1:8">
      <c r="A942" s="17"/>
      <c r="B942" s="17" t="s">
        <v>123</v>
      </c>
      <c r="C942" s="17" t="s">
        <v>31</v>
      </c>
      <c r="D942" s="17">
        <v>1</v>
      </c>
      <c r="E942" s="17">
        <v>1.1000000000000001</v>
      </c>
      <c r="F942" s="17"/>
      <c r="G942" s="17"/>
      <c r="H942" s="18">
        <f t="shared" si="172"/>
        <v>1.1000000000000001</v>
      </c>
    </row>
    <row r="943" spans="1:8">
      <c r="A943" s="17"/>
      <c r="B943" s="17" t="s">
        <v>174</v>
      </c>
      <c r="C943" s="17" t="s">
        <v>31</v>
      </c>
      <c r="D943" s="17">
        <v>3</v>
      </c>
      <c r="E943" s="17">
        <v>1.1000000000000001</v>
      </c>
      <c r="F943" s="17"/>
      <c r="G943" s="17"/>
      <c r="H943" s="18">
        <f t="shared" si="172"/>
        <v>3.3000000000000003</v>
      </c>
    </row>
    <row r="944" spans="1:8">
      <c r="A944" s="17"/>
      <c r="B944" s="17" t="s">
        <v>1318</v>
      </c>
      <c r="C944" s="17" t="s">
        <v>31</v>
      </c>
      <c r="D944" s="17">
        <v>1</v>
      </c>
      <c r="E944" s="17">
        <v>0.6</v>
      </c>
      <c r="F944" s="17"/>
      <c r="G944" s="17"/>
      <c r="H944" s="18">
        <f t="shared" si="172"/>
        <v>0.6</v>
      </c>
    </row>
    <row r="945" spans="1:8">
      <c r="A945" s="17"/>
      <c r="B945" s="17" t="s">
        <v>162</v>
      </c>
      <c r="C945" s="17" t="s">
        <v>31</v>
      </c>
      <c r="D945" s="17">
        <v>1</v>
      </c>
      <c r="E945" s="17">
        <v>1.8</v>
      </c>
      <c r="F945" s="17"/>
      <c r="G945" s="17"/>
      <c r="H945" s="18">
        <f t="shared" si="172"/>
        <v>1.8</v>
      </c>
    </row>
    <row r="946" spans="1:8">
      <c r="A946" s="17"/>
      <c r="B946" s="17" t="s">
        <v>245</v>
      </c>
      <c r="C946" s="17" t="s">
        <v>31</v>
      </c>
      <c r="D946" s="17">
        <v>1</v>
      </c>
      <c r="E946" s="17">
        <v>1.5</v>
      </c>
      <c r="F946" s="17"/>
      <c r="G946" s="17"/>
      <c r="H946" s="18">
        <f t="shared" si="172"/>
        <v>1.5</v>
      </c>
    </row>
    <row r="947" spans="1:8">
      <c r="A947" s="17"/>
      <c r="B947" s="17" t="s">
        <v>1320</v>
      </c>
      <c r="C947" s="17" t="s">
        <v>31</v>
      </c>
      <c r="D947" s="17">
        <v>1</v>
      </c>
      <c r="E947" s="17">
        <v>1.1000000000000001</v>
      </c>
      <c r="F947" s="17"/>
      <c r="G947" s="17"/>
      <c r="H947" s="18">
        <f t="shared" si="172"/>
        <v>1.1000000000000001</v>
      </c>
    </row>
    <row r="948" spans="1:8">
      <c r="A948" s="17"/>
      <c r="B948" s="17"/>
      <c r="C948" s="17" t="s">
        <v>31</v>
      </c>
      <c r="D948" s="17">
        <v>1</v>
      </c>
      <c r="E948" s="17">
        <v>0.8</v>
      </c>
      <c r="F948" s="17"/>
      <c r="G948" s="17"/>
      <c r="H948" s="18">
        <f t="shared" si="172"/>
        <v>0.8</v>
      </c>
    </row>
    <row r="949" spans="1:8">
      <c r="A949" s="17"/>
      <c r="B949" s="17"/>
      <c r="C949" s="17"/>
      <c r="D949" s="17"/>
      <c r="E949" s="17"/>
      <c r="F949" s="17"/>
      <c r="G949" s="17"/>
      <c r="H949" s="18"/>
    </row>
    <row r="950" spans="1:8">
      <c r="A950" s="17"/>
      <c r="B950" s="17"/>
      <c r="C950" s="17"/>
      <c r="D950" s="17"/>
      <c r="E950" s="17"/>
      <c r="F950" s="17"/>
      <c r="G950" s="17"/>
      <c r="H950" s="18"/>
    </row>
    <row r="951" spans="1:8">
      <c r="A951" s="15"/>
      <c r="B951" s="15" t="s">
        <v>21</v>
      </c>
      <c r="C951" s="15"/>
      <c r="D951" s="15"/>
      <c r="E951" s="15"/>
      <c r="F951" s="15"/>
      <c r="G951" s="15"/>
      <c r="H951" s="20">
        <f>SUM(H925:H950)</f>
        <v>36.250000000000007</v>
      </c>
    </row>
    <row r="952" spans="1:8">
      <c r="A952" s="17"/>
      <c r="B952" s="17" t="s">
        <v>22</v>
      </c>
      <c r="C952" s="17"/>
      <c r="D952" s="17"/>
      <c r="E952" s="17"/>
      <c r="F952" s="17"/>
      <c r="G952" s="17"/>
      <c r="H952" s="18"/>
    </row>
    <row r="953" spans="1:8">
      <c r="A953" s="15"/>
      <c r="B953" s="15" t="s">
        <v>23</v>
      </c>
      <c r="C953" s="15"/>
      <c r="D953" s="15"/>
      <c r="E953" s="15"/>
      <c r="F953" s="15"/>
      <c r="G953" s="15"/>
      <c r="H953" s="20">
        <f>ROUND(SUM(H951:H952),0)</f>
        <v>36</v>
      </c>
    </row>
    <row r="954" spans="1:8">
      <c r="A954" s="17"/>
      <c r="B954" s="17"/>
      <c r="C954" s="17"/>
      <c r="D954" s="17"/>
      <c r="E954" s="17"/>
      <c r="F954" s="17"/>
      <c r="G954" s="17"/>
      <c r="H954" s="18"/>
    </row>
    <row r="955" spans="1:8">
      <c r="A955" s="17">
        <v>3</v>
      </c>
      <c r="B955" s="15" t="s">
        <v>41</v>
      </c>
      <c r="C955" s="17"/>
      <c r="D955" s="17"/>
      <c r="E955" s="17"/>
      <c r="F955" s="17"/>
      <c r="G955" s="17"/>
      <c r="H955" s="18"/>
    </row>
    <row r="956" spans="1:8">
      <c r="A956" s="17"/>
      <c r="B956" s="17" t="s">
        <v>1913</v>
      </c>
      <c r="C956" s="17" t="s">
        <v>10</v>
      </c>
      <c r="D956" s="17">
        <v>1</v>
      </c>
      <c r="E956" s="17">
        <v>1.8</v>
      </c>
      <c r="F956" s="17">
        <v>3.7250000000000001</v>
      </c>
      <c r="G956" s="17"/>
      <c r="H956" s="18">
        <f t="shared" ref="H956:H958" si="173">PRODUCT(D956:G956)</f>
        <v>6.7050000000000001</v>
      </c>
    </row>
    <row r="957" spans="1:8">
      <c r="A957" s="17"/>
      <c r="B957" s="17"/>
      <c r="C957" s="17" t="s">
        <v>10</v>
      </c>
      <c r="D957" s="17">
        <v>1</v>
      </c>
      <c r="E957" s="17">
        <v>37.674999999999997</v>
      </c>
      <c r="F957" s="17">
        <v>0.3</v>
      </c>
      <c r="G957" s="17"/>
      <c r="H957" s="18">
        <f t="shared" si="173"/>
        <v>11.302499999999998</v>
      </c>
    </row>
    <row r="958" spans="1:8">
      <c r="A958" s="485"/>
      <c r="B958" s="485"/>
      <c r="C958" s="17" t="s">
        <v>10</v>
      </c>
      <c r="D958" s="485">
        <v>1</v>
      </c>
      <c r="E958" s="17">
        <v>7.34</v>
      </c>
      <c r="F958" s="17">
        <v>0.3</v>
      </c>
      <c r="G958" s="485"/>
      <c r="H958" s="18">
        <f t="shared" si="173"/>
        <v>2.202</v>
      </c>
    </row>
    <row r="959" spans="1:8">
      <c r="A959" s="485"/>
      <c r="B959" s="485" t="s">
        <v>1987</v>
      </c>
      <c r="C959" s="17" t="s">
        <v>10</v>
      </c>
      <c r="D959" s="485">
        <v>1</v>
      </c>
      <c r="E959" s="485">
        <v>6.7</v>
      </c>
      <c r="F959" s="17">
        <v>2.2000000000000002</v>
      </c>
      <c r="G959" s="485"/>
      <c r="H959" s="18">
        <f t="shared" ref="H959:H970" si="174">PRODUCT(D959:G959)</f>
        <v>14.740000000000002</v>
      </c>
    </row>
    <row r="960" spans="1:8">
      <c r="A960" s="485"/>
      <c r="B960" s="485"/>
      <c r="C960" s="17" t="s">
        <v>10</v>
      </c>
      <c r="D960" s="485">
        <v>1</v>
      </c>
      <c r="E960" s="485">
        <v>1.1000000000000001</v>
      </c>
      <c r="F960" s="485">
        <v>2.0499999999999998</v>
      </c>
      <c r="G960" s="485"/>
      <c r="H960" s="487">
        <f t="shared" si="174"/>
        <v>2.2549999999999999</v>
      </c>
    </row>
    <row r="961" spans="1:8">
      <c r="A961" s="485"/>
      <c r="B961" s="485"/>
      <c r="C961" s="17" t="s">
        <v>10</v>
      </c>
      <c r="D961" s="485">
        <v>1</v>
      </c>
      <c r="E961" s="485">
        <v>1.4750000000000001</v>
      </c>
      <c r="F961" s="485">
        <v>1.41</v>
      </c>
      <c r="G961" s="485"/>
      <c r="H961" s="487">
        <f t="shared" si="174"/>
        <v>2.0797500000000002</v>
      </c>
    </row>
    <row r="962" spans="1:8">
      <c r="A962" s="485"/>
      <c r="B962" s="485" t="s">
        <v>192</v>
      </c>
      <c r="C962" s="17" t="s">
        <v>10</v>
      </c>
      <c r="D962" s="485">
        <v>1</v>
      </c>
      <c r="E962" s="485">
        <v>4.99</v>
      </c>
      <c r="F962" s="485">
        <v>2.6</v>
      </c>
      <c r="G962" s="485"/>
      <c r="H962" s="487">
        <f t="shared" si="174"/>
        <v>12.974</v>
      </c>
    </row>
    <row r="963" spans="1:8">
      <c r="A963" s="485"/>
      <c r="B963" s="485"/>
      <c r="C963" s="17" t="s">
        <v>10</v>
      </c>
      <c r="D963" s="485">
        <v>-1</v>
      </c>
      <c r="E963" s="485">
        <v>0.7</v>
      </c>
      <c r="F963" s="485">
        <v>1.19</v>
      </c>
      <c r="G963" s="485"/>
      <c r="H963" s="487">
        <f t="shared" si="174"/>
        <v>-0.83299999999999996</v>
      </c>
    </row>
    <row r="964" spans="1:8">
      <c r="A964" s="485"/>
      <c r="B964" s="485"/>
      <c r="C964" s="17" t="s">
        <v>10</v>
      </c>
      <c r="D964" s="485">
        <v>1</v>
      </c>
      <c r="E964" s="485">
        <v>1.54</v>
      </c>
      <c r="F964" s="485">
        <v>1.4</v>
      </c>
      <c r="G964" s="485"/>
      <c r="H964" s="487">
        <f t="shared" si="174"/>
        <v>2.1559999999999997</v>
      </c>
    </row>
    <row r="965" spans="1:8">
      <c r="A965" s="485"/>
      <c r="B965" s="485" t="s">
        <v>2041</v>
      </c>
      <c r="C965" s="17" t="s">
        <v>10</v>
      </c>
      <c r="D965" s="485">
        <v>1</v>
      </c>
      <c r="E965" s="485">
        <v>11.25</v>
      </c>
      <c r="F965" s="485">
        <v>0.3</v>
      </c>
      <c r="G965" s="485"/>
      <c r="H965" s="487">
        <f t="shared" si="174"/>
        <v>3.375</v>
      </c>
    </row>
    <row r="966" spans="1:8">
      <c r="A966" s="485"/>
      <c r="B966" s="485"/>
      <c r="C966" s="17" t="s">
        <v>10</v>
      </c>
      <c r="D966" s="485">
        <v>1</v>
      </c>
      <c r="E966" s="485">
        <v>1.94</v>
      </c>
      <c r="F966" s="485">
        <v>0.3</v>
      </c>
      <c r="G966" s="485"/>
      <c r="H966" s="487">
        <f t="shared" si="174"/>
        <v>0.58199999999999996</v>
      </c>
    </row>
    <row r="967" spans="1:8">
      <c r="A967" s="485"/>
      <c r="B967" s="485"/>
      <c r="C967" s="17" t="s">
        <v>10</v>
      </c>
      <c r="D967" s="485">
        <v>1</v>
      </c>
      <c r="E967" s="485">
        <v>1.3</v>
      </c>
      <c r="F967" s="485">
        <v>1.5</v>
      </c>
      <c r="G967" s="485"/>
      <c r="H967" s="487">
        <f t="shared" si="174"/>
        <v>1.9500000000000002</v>
      </c>
    </row>
    <row r="968" spans="1:8">
      <c r="A968" s="485"/>
      <c r="B968" s="485" t="s">
        <v>2042</v>
      </c>
      <c r="C968" s="17" t="s">
        <v>10</v>
      </c>
      <c r="D968" s="485">
        <v>2</v>
      </c>
      <c r="E968" s="485">
        <v>10.8</v>
      </c>
      <c r="F968" s="485">
        <v>0.3</v>
      </c>
      <c r="G968" s="485"/>
      <c r="H968" s="487">
        <f t="shared" si="174"/>
        <v>6.48</v>
      </c>
    </row>
    <row r="969" spans="1:8">
      <c r="A969" s="485"/>
      <c r="B969" s="485"/>
      <c r="C969" s="17" t="s">
        <v>10</v>
      </c>
      <c r="D969" s="485">
        <v>1</v>
      </c>
      <c r="E969" s="485">
        <v>7.32</v>
      </c>
      <c r="F969" s="485">
        <v>0.3</v>
      </c>
      <c r="G969" s="485"/>
      <c r="H969" s="487">
        <f t="shared" si="174"/>
        <v>2.1960000000000002</v>
      </c>
    </row>
    <row r="970" spans="1:8">
      <c r="A970" s="485"/>
      <c r="B970" s="485"/>
      <c r="C970" s="17" t="s">
        <v>10</v>
      </c>
      <c r="D970" s="485">
        <v>1</v>
      </c>
      <c r="E970" s="485">
        <v>0.7</v>
      </c>
      <c r="F970" s="485">
        <v>1.5</v>
      </c>
      <c r="G970" s="485"/>
      <c r="H970" s="487">
        <f t="shared" si="174"/>
        <v>1.0499999999999998</v>
      </c>
    </row>
    <row r="971" spans="1:8">
      <c r="A971" s="485"/>
      <c r="B971" s="485" t="s">
        <v>2043</v>
      </c>
      <c r="C971" s="17" t="s">
        <v>10</v>
      </c>
      <c r="D971" s="485">
        <v>1</v>
      </c>
      <c r="E971" s="485">
        <v>8.1</v>
      </c>
      <c r="F971" s="485">
        <v>0.3</v>
      </c>
      <c r="G971" s="485"/>
      <c r="H971" s="487">
        <f t="shared" ref="H971:H972" si="175">PRODUCT(D971:G971)</f>
        <v>2.4299999999999997</v>
      </c>
    </row>
    <row r="972" spans="1:8">
      <c r="A972" s="485"/>
      <c r="B972" s="485"/>
      <c r="C972" s="17" t="s">
        <v>10</v>
      </c>
      <c r="D972" s="485">
        <v>1</v>
      </c>
      <c r="E972" s="485">
        <v>7.1</v>
      </c>
      <c r="F972" s="485">
        <v>0.3</v>
      </c>
      <c r="G972" s="485"/>
      <c r="H972" s="487">
        <f t="shared" si="175"/>
        <v>2.13</v>
      </c>
    </row>
    <row r="973" spans="1:8">
      <c r="A973" s="485"/>
      <c r="B973" s="485" t="s">
        <v>2044</v>
      </c>
      <c r="C973" s="17" t="s">
        <v>10</v>
      </c>
      <c r="D973" s="485">
        <v>1</v>
      </c>
      <c r="E973" s="485">
        <v>12.5</v>
      </c>
      <c r="F973" s="485">
        <v>0.3</v>
      </c>
      <c r="G973" s="485"/>
      <c r="H973" s="487">
        <f t="shared" ref="H973:H976" si="176">PRODUCT(D973:G973)</f>
        <v>3.75</v>
      </c>
    </row>
    <row r="974" spans="1:8">
      <c r="A974" s="485"/>
      <c r="B974" s="485"/>
      <c r="C974" s="17" t="s">
        <v>10</v>
      </c>
      <c r="D974" s="485">
        <v>1</v>
      </c>
      <c r="E974" s="485">
        <v>7.35</v>
      </c>
      <c r="F974" s="485">
        <v>0.3</v>
      </c>
      <c r="G974" s="485"/>
      <c r="H974" s="487">
        <f t="shared" si="176"/>
        <v>2.2049999999999996</v>
      </c>
    </row>
    <row r="975" spans="1:8">
      <c r="A975" s="485"/>
      <c r="B975" s="485"/>
      <c r="C975" s="17" t="s">
        <v>10</v>
      </c>
      <c r="D975" s="485">
        <v>1</v>
      </c>
      <c r="E975" s="485">
        <v>19.899999999999999</v>
      </c>
      <c r="F975" s="485">
        <v>0.3</v>
      </c>
      <c r="G975" s="485"/>
      <c r="H975" s="487">
        <f t="shared" si="176"/>
        <v>5.97</v>
      </c>
    </row>
    <row r="976" spans="1:8">
      <c r="A976" s="485"/>
      <c r="B976" s="485"/>
      <c r="C976" s="17" t="s">
        <v>10</v>
      </c>
      <c r="D976" s="485">
        <v>1</v>
      </c>
      <c r="E976" s="485">
        <v>10.4</v>
      </c>
      <c r="F976" s="485">
        <v>0.3</v>
      </c>
      <c r="G976" s="485"/>
      <c r="H976" s="487">
        <f t="shared" si="176"/>
        <v>3.12</v>
      </c>
    </row>
    <row r="977" spans="1:8">
      <c r="A977" s="485"/>
      <c r="B977" s="485" t="s">
        <v>2045</v>
      </c>
      <c r="C977" s="17" t="s">
        <v>10</v>
      </c>
      <c r="D977" s="485">
        <v>1</v>
      </c>
      <c r="E977" s="485">
        <v>22.35</v>
      </c>
      <c r="F977" s="485">
        <v>0.3</v>
      </c>
      <c r="G977" s="485"/>
      <c r="H977" s="487">
        <f t="shared" ref="H977:H981" si="177">PRODUCT(D977:G977)</f>
        <v>6.7050000000000001</v>
      </c>
    </row>
    <row r="978" spans="1:8">
      <c r="A978" s="485"/>
      <c r="B978" s="485"/>
      <c r="C978" s="17" t="s">
        <v>10</v>
      </c>
      <c r="D978" s="485">
        <v>1</v>
      </c>
      <c r="E978" s="485">
        <v>7.6</v>
      </c>
      <c r="F978" s="485">
        <v>0.3</v>
      </c>
      <c r="G978" s="485"/>
      <c r="H978" s="487">
        <f t="shared" si="177"/>
        <v>2.2799999999999998</v>
      </c>
    </row>
    <row r="979" spans="1:8">
      <c r="A979" s="485"/>
      <c r="B979" s="485"/>
      <c r="C979" s="17" t="s">
        <v>10</v>
      </c>
      <c r="D979" s="485">
        <v>1</v>
      </c>
      <c r="E979" s="485">
        <v>14.32</v>
      </c>
      <c r="F979" s="485">
        <v>0.3</v>
      </c>
      <c r="G979" s="485"/>
      <c r="H979" s="487">
        <f t="shared" si="177"/>
        <v>4.2960000000000003</v>
      </c>
    </row>
    <row r="980" spans="1:8">
      <c r="A980" s="485"/>
      <c r="B980" s="485"/>
      <c r="C980" s="17" t="s">
        <v>10</v>
      </c>
      <c r="D980" s="485">
        <v>1</v>
      </c>
      <c r="E980" s="485">
        <v>17</v>
      </c>
      <c r="F980" s="485">
        <v>0.3</v>
      </c>
      <c r="G980" s="485"/>
      <c r="H980" s="487">
        <f t="shared" si="177"/>
        <v>5.0999999999999996</v>
      </c>
    </row>
    <row r="981" spans="1:8">
      <c r="A981" s="485"/>
      <c r="B981" s="485"/>
      <c r="C981" s="17" t="s">
        <v>10</v>
      </c>
      <c r="D981" s="485">
        <v>1</v>
      </c>
      <c r="E981" s="485">
        <v>5.4</v>
      </c>
      <c r="F981" s="485">
        <v>0.3</v>
      </c>
      <c r="G981" s="485"/>
      <c r="H981" s="487">
        <f t="shared" si="177"/>
        <v>1.62</v>
      </c>
    </row>
    <row r="982" spans="1:8">
      <c r="A982" s="485"/>
      <c r="B982" s="485" t="s">
        <v>1914</v>
      </c>
      <c r="C982" s="17" t="s">
        <v>10</v>
      </c>
      <c r="D982" s="485">
        <v>1</v>
      </c>
      <c r="E982" s="485">
        <v>21.76</v>
      </c>
      <c r="F982" s="485">
        <v>0.3</v>
      </c>
      <c r="G982" s="485"/>
      <c r="H982" s="487">
        <f t="shared" ref="H982:H984" si="178">PRODUCT(D982:G982)</f>
        <v>6.5280000000000005</v>
      </c>
    </row>
    <row r="983" spans="1:8">
      <c r="A983" s="485"/>
      <c r="B983" s="485"/>
      <c r="C983" s="17" t="s">
        <v>10</v>
      </c>
      <c r="D983" s="485">
        <v>1</v>
      </c>
      <c r="E983" s="485">
        <v>5</v>
      </c>
      <c r="F983" s="485">
        <v>1.1499999999999999</v>
      </c>
      <c r="G983" s="485"/>
      <c r="H983" s="487">
        <f t="shared" si="178"/>
        <v>5.75</v>
      </c>
    </row>
    <row r="984" spans="1:8">
      <c r="A984" s="485"/>
      <c r="B984" s="485"/>
      <c r="C984" s="17" t="s">
        <v>10</v>
      </c>
      <c r="D984" s="485">
        <v>1</v>
      </c>
      <c r="E984" s="485">
        <v>16.739999999999998</v>
      </c>
      <c r="F984" s="485">
        <v>1.6</v>
      </c>
      <c r="G984" s="485"/>
      <c r="H984" s="487">
        <f t="shared" si="178"/>
        <v>26.783999999999999</v>
      </c>
    </row>
    <row r="985" spans="1:8">
      <c r="A985" s="485"/>
      <c r="B985" s="485" t="s">
        <v>312</v>
      </c>
      <c r="C985" s="17" t="s">
        <v>10</v>
      </c>
      <c r="D985" s="485">
        <v>1</v>
      </c>
      <c r="E985" s="485">
        <v>7.65</v>
      </c>
      <c r="F985" s="485">
        <v>0.3</v>
      </c>
      <c r="G985" s="485"/>
      <c r="H985" s="487">
        <f t="shared" ref="H985:H993" si="179">PRODUCT(D985:G985)</f>
        <v>2.2949999999999999</v>
      </c>
    </row>
    <row r="986" spans="1:8">
      <c r="A986" s="485"/>
      <c r="B986" s="485"/>
      <c r="C986" s="17" t="s">
        <v>10</v>
      </c>
      <c r="D986" s="485">
        <v>1</v>
      </c>
      <c r="E986" s="485">
        <v>14.96</v>
      </c>
      <c r="F986" s="485">
        <v>0.3</v>
      </c>
      <c r="G986" s="485"/>
      <c r="H986" s="487">
        <f t="shared" si="179"/>
        <v>4.4880000000000004</v>
      </c>
    </row>
    <row r="987" spans="1:8">
      <c r="A987" s="485"/>
      <c r="B987" s="485"/>
      <c r="C987" s="17" t="s">
        <v>10</v>
      </c>
      <c r="D987" s="485">
        <v>1</v>
      </c>
      <c r="E987" s="485">
        <v>3.05</v>
      </c>
      <c r="F987" s="485">
        <v>2.15</v>
      </c>
      <c r="G987" s="485"/>
      <c r="H987" s="487">
        <f t="shared" si="179"/>
        <v>6.5574999999999992</v>
      </c>
    </row>
    <row r="988" spans="1:8">
      <c r="A988" s="485"/>
      <c r="B988" s="485"/>
      <c r="C988" s="17" t="s">
        <v>10</v>
      </c>
      <c r="D988" s="485">
        <v>1</v>
      </c>
      <c r="E988" s="485">
        <v>5.75</v>
      </c>
      <c r="F988" s="485">
        <v>1.45</v>
      </c>
      <c r="G988" s="485"/>
      <c r="H988" s="487">
        <f t="shared" si="179"/>
        <v>8.3375000000000004</v>
      </c>
    </row>
    <row r="989" spans="1:8">
      <c r="A989" s="485"/>
      <c r="B989" s="485"/>
      <c r="C989" s="17" t="s">
        <v>10</v>
      </c>
      <c r="D989" s="485">
        <v>1</v>
      </c>
      <c r="E989" s="485">
        <v>6.1</v>
      </c>
      <c r="F989" s="485">
        <v>1.5</v>
      </c>
      <c r="G989" s="485"/>
      <c r="H989" s="487">
        <f t="shared" si="179"/>
        <v>9.1499999999999986</v>
      </c>
    </row>
    <row r="990" spans="1:8">
      <c r="A990" s="485"/>
      <c r="B990" s="485"/>
      <c r="C990" s="17" t="s">
        <v>10</v>
      </c>
      <c r="D990" s="485">
        <v>1</v>
      </c>
      <c r="E990" s="485">
        <v>1.9</v>
      </c>
      <c r="F990" s="485">
        <v>1.9</v>
      </c>
      <c r="G990" s="485"/>
      <c r="H990" s="487">
        <f t="shared" si="179"/>
        <v>3.61</v>
      </c>
    </row>
    <row r="991" spans="1:8">
      <c r="A991" s="485"/>
      <c r="B991" s="485"/>
      <c r="C991" s="17" t="s">
        <v>10</v>
      </c>
      <c r="D991" s="485">
        <v>1</v>
      </c>
      <c r="E991" s="485">
        <v>46.1</v>
      </c>
      <c r="F991" s="485">
        <v>0.3</v>
      </c>
      <c r="G991" s="485"/>
      <c r="H991" s="487">
        <f t="shared" si="179"/>
        <v>13.83</v>
      </c>
    </row>
    <row r="992" spans="1:8">
      <c r="A992" s="485"/>
      <c r="B992" s="485" t="s">
        <v>1217</v>
      </c>
      <c r="C992" s="17" t="s">
        <v>10</v>
      </c>
      <c r="D992" s="485">
        <v>2</v>
      </c>
      <c r="E992" s="485">
        <v>17.05</v>
      </c>
      <c r="F992" s="485">
        <v>0.3</v>
      </c>
      <c r="G992" s="485"/>
      <c r="H992" s="487">
        <f t="shared" si="179"/>
        <v>10.23</v>
      </c>
    </row>
    <row r="993" spans="1:8">
      <c r="A993" s="485"/>
      <c r="B993" s="485"/>
      <c r="C993" s="17" t="s">
        <v>10</v>
      </c>
      <c r="D993" s="485">
        <v>2</v>
      </c>
      <c r="E993" s="485">
        <v>13.5</v>
      </c>
      <c r="F993" s="485">
        <v>0.3</v>
      </c>
      <c r="G993" s="485"/>
      <c r="H993" s="487">
        <f t="shared" si="179"/>
        <v>8.1</v>
      </c>
    </row>
    <row r="994" spans="1:8">
      <c r="A994" s="485"/>
      <c r="B994" s="485" t="s">
        <v>123</v>
      </c>
      <c r="C994" s="17" t="s">
        <v>10</v>
      </c>
      <c r="D994" s="485">
        <v>1</v>
      </c>
      <c r="E994" s="485">
        <v>4.024</v>
      </c>
      <c r="F994" s="485">
        <v>2.415</v>
      </c>
      <c r="G994" s="485"/>
      <c r="H994" s="487">
        <f t="shared" ref="H994:H995" si="180">PRODUCT(D994:G994)</f>
        <v>9.7179599999999997</v>
      </c>
    </row>
    <row r="995" spans="1:8">
      <c r="A995" s="485"/>
      <c r="B995" s="485"/>
      <c r="C995" s="17" t="s">
        <v>10</v>
      </c>
      <c r="D995" s="485">
        <v>-1</v>
      </c>
      <c r="E995" s="485">
        <v>1</v>
      </c>
      <c r="F995" s="485">
        <v>0.875</v>
      </c>
      <c r="G995" s="485"/>
      <c r="H995" s="487">
        <f t="shared" si="180"/>
        <v>-0.875</v>
      </c>
    </row>
    <row r="996" spans="1:8">
      <c r="A996" s="485"/>
      <c r="B996" s="485" t="s">
        <v>192</v>
      </c>
      <c r="C996" s="17" t="s">
        <v>10</v>
      </c>
      <c r="D996" s="485">
        <v>1</v>
      </c>
      <c r="E996" s="485">
        <v>6.1</v>
      </c>
      <c r="F996" s="485">
        <v>2.5499999999999998</v>
      </c>
      <c r="G996" s="485"/>
      <c r="H996" s="487">
        <f t="shared" ref="H996" si="181">PRODUCT(D996:G996)</f>
        <v>15.554999999999998</v>
      </c>
    </row>
    <row r="997" spans="1:8">
      <c r="A997" s="485"/>
      <c r="B997" s="485" t="s">
        <v>114</v>
      </c>
      <c r="C997" s="17" t="s">
        <v>10</v>
      </c>
      <c r="D997" s="485">
        <v>-1</v>
      </c>
      <c r="E997" s="485">
        <v>2.4</v>
      </c>
      <c r="F997" s="485">
        <v>1.2</v>
      </c>
      <c r="G997" s="485"/>
      <c r="H997" s="487">
        <f t="shared" ref="H997:H999" si="182">PRODUCT(D997:G997)</f>
        <v>-2.88</v>
      </c>
    </row>
    <row r="998" spans="1:8">
      <c r="A998" s="485"/>
      <c r="B998" s="485"/>
      <c r="C998" s="17" t="s">
        <v>10</v>
      </c>
      <c r="D998" s="485">
        <v>1</v>
      </c>
      <c r="E998" s="485">
        <v>1.1000000000000001</v>
      </c>
      <c r="F998" s="485">
        <v>1.5</v>
      </c>
      <c r="G998" s="485"/>
      <c r="H998" s="487">
        <f t="shared" si="182"/>
        <v>1.6500000000000001</v>
      </c>
    </row>
    <row r="999" spans="1:8">
      <c r="A999" s="485"/>
      <c r="B999" s="485"/>
      <c r="C999" s="17" t="s">
        <v>10</v>
      </c>
      <c r="D999" s="485">
        <v>1</v>
      </c>
      <c r="E999" s="485">
        <v>3.4</v>
      </c>
      <c r="F999" s="485">
        <v>1.7</v>
      </c>
      <c r="G999" s="485"/>
      <c r="H999" s="487">
        <f t="shared" si="182"/>
        <v>5.7799999999999994</v>
      </c>
    </row>
    <row r="1000" spans="1:8">
      <c r="A1000" s="485"/>
      <c r="B1000" s="485" t="s">
        <v>1249</v>
      </c>
      <c r="C1000" s="17" t="s">
        <v>10</v>
      </c>
      <c r="D1000" s="485">
        <v>1</v>
      </c>
      <c r="E1000" s="485">
        <v>10.7</v>
      </c>
      <c r="F1000" s="485">
        <v>0.3</v>
      </c>
      <c r="G1000" s="485"/>
      <c r="H1000" s="487">
        <f t="shared" ref="H1000" si="183">PRODUCT(D1000:G1000)</f>
        <v>3.2099999999999995</v>
      </c>
    </row>
    <row r="1001" spans="1:8">
      <c r="A1001" s="485"/>
      <c r="B1001" s="485" t="s">
        <v>2046</v>
      </c>
      <c r="C1001" s="17" t="s">
        <v>10</v>
      </c>
      <c r="D1001" s="485">
        <v>1</v>
      </c>
      <c r="E1001" s="485">
        <v>3.05</v>
      </c>
      <c r="F1001" s="485">
        <v>0.6</v>
      </c>
      <c r="G1001" s="485"/>
      <c r="H1001" s="487">
        <f t="shared" ref="H1001" si="184">PRODUCT(D1001:G1001)</f>
        <v>1.8299999999999998</v>
      </c>
    </row>
    <row r="1002" spans="1:8">
      <c r="A1002" s="485"/>
      <c r="B1002" s="485" t="s">
        <v>1326</v>
      </c>
      <c r="C1002" s="17" t="s">
        <v>10</v>
      </c>
      <c r="D1002" s="485">
        <v>1</v>
      </c>
      <c r="E1002" s="485">
        <v>3.05</v>
      </c>
      <c r="F1002" s="485">
        <v>0.9</v>
      </c>
      <c r="G1002" s="485"/>
      <c r="H1002" s="487">
        <f t="shared" ref="H1002" si="185">PRODUCT(D1002:G1002)</f>
        <v>2.7450000000000001</v>
      </c>
    </row>
    <row r="1003" spans="1:8">
      <c r="A1003" s="485"/>
      <c r="B1003" s="485" t="s">
        <v>1314</v>
      </c>
      <c r="C1003" s="17" t="s">
        <v>10</v>
      </c>
      <c r="D1003" s="485">
        <v>1</v>
      </c>
      <c r="E1003" s="485">
        <v>13.64</v>
      </c>
      <c r="F1003" s="485">
        <v>0.3</v>
      </c>
      <c r="G1003" s="485"/>
      <c r="H1003" s="487">
        <f t="shared" ref="H1003:H1006" si="186">PRODUCT(D1003:G1003)</f>
        <v>4.0919999999999996</v>
      </c>
    </row>
    <row r="1004" spans="1:8">
      <c r="A1004" s="485"/>
      <c r="B1004" s="485"/>
      <c r="C1004" s="17" t="s">
        <v>10</v>
      </c>
      <c r="D1004" s="485">
        <v>1</v>
      </c>
      <c r="E1004" s="485">
        <v>6.2</v>
      </c>
      <c r="F1004" s="485">
        <v>0.3</v>
      </c>
      <c r="G1004" s="485"/>
      <c r="H1004" s="487">
        <f t="shared" si="186"/>
        <v>1.8599999999999999</v>
      </c>
    </row>
    <row r="1005" spans="1:8">
      <c r="A1005" s="485"/>
      <c r="B1005" s="485"/>
      <c r="C1005" s="17" t="s">
        <v>10</v>
      </c>
      <c r="D1005" s="485">
        <v>1</v>
      </c>
      <c r="E1005" s="485">
        <v>8.8000000000000007</v>
      </c>
      <c r="F1005" s="485">
        <v>0.3</v>
      </c>
      <c r="G1005" s="485"/>
      <c r="H1005" s="487">
        <f t="shared" si="186"/>
        <v>2.64</v>
      </c>
    </row>
    <row r="1006" spans="1:8">
      <c r="A1006" s="485"/>
      <c r="B1006" s="485"/>
      <c r="C1006" s="17" t="s">
        <v>10</v>
      </c>
      <c r="D1006" s="485">
        <v>1</v>
      </c>
      <c r="E1006" s="485">
        <v>5.93</v>
      </c>
      <c r="F1006" s="485">
        <v>0.3</v>
      </c>
      <c r="G1006" s="485"/>
      <c r="H1006" s="487">
        <f t="shared" si="186"/>
        <v>1.7789999999999999</v>
      </c>
    </row>
    <row r="1007" spans="1:8">
      <c r="A1007" s="485"/>
      <c r="B1007" s="485" t="s">
        <v>196</v>
      </c>
      <c r="C1007" s="17" t="s">
        <v>10</v>
      </c>
      <c r="D1007" s="485">
        <v>1</v>
      </c>
      <c r="E1007" s="485">
        <v>9.4</v>
      </c>
      <c r="F1007" s="485">
        <v>0.3</v>
      </c>
      <c r="G1007" s="485"/>
      <c r="H1007" s="487">
        <f t="shared" ref="H1007:H1010" si="187">PRODUCT(D1007:G1007)</f>
        <v>2.82</v>
      </c>
    </row>
    <row r="1008" spans="1:8">
      <c r="A1008" s="485"/>
      <c r="B1008" s="485"/>
      <c r="C1008" s="17" t="s">
        <v>10</v>
      </c>
      <c r="D1008" s="485">
        <v>1</v>
      </c>
      <c r="E1008" s="485">
        <v>6</v>
      </c>
      <c r="F1008" s="485">
        <v>0.3</v>
      </c>
      <c r="G1008" s="485"/>
      <c r="H1008" s="487">
        <f t="shared" si="187"/>
        <v>1.7999999999999998</v>
      </c>
    </row>
    <row r="1009" spans="1:8">
      <c r="A1009" s="485"/>
      <c r="B1009" s="485"/>
      <c r="C1009" s="17" t="s">
        <v>10</v>
      </c>
      <c r="D1009" s="485">
        <v>1</v>
      </c>
      <c r="E1009" s="485">
        <v>4.3250000000000002</v>
      </c>
      <c r="F1009" s="485">
        <v>0.3</v>
      </c>
      <c r="G1009" s="485"/>
      <c r="H1009" s="487">
        <f t="shared" si="187"/>
        <v>1.2975000000000001</v>
      </c>
    </row>
    <row r="1010" spans="1:8">
      <c r="A1010" s="485"/>
      <c r="B1010" s="485"/>
      <c r="C1010" s="17" t="s">
        <v>10</v>
      </c>
      <c r="D1010" s="485">
        <v>1</v>
      </c>
      <c r="E1010" s="485">
        <v>1.66</v>
      </c>
      <c r="F1010" s="485">
        <v>0.3</v>
      </c>
      <c r="G1010" s="485"/>
      <c r="H1010" s="487">
        <f t="shared" si="187"/>
        <v>0.49799999999999994</v>
      </c>
    </row>
    <row r="1011" spans="1:8">
      <c r="A1011" s="485"/>
      <c r="B1011" s="485" t="s">
        <v>1339</v>
      </c>
      <c r="C1011" s="17" t="s">
        <v>10</v>
      </c>
      <c r="D1011" s="485">
        <v>1</v>
      </c>
      <c r="E1011" s="485">
        <v>10.271000000000001</v>
      </c>
      <c r="F1011" s="485">
        <v>0.3</v>
      </c>
      <c r="G1011" s="485"/>
      <c r="H1011" s="487">
        <f t="shared" ref="H1011:H1021" si="188">PRODUCT(D1011:G1011)</f>
        <v>3.0813000000000001</v>
      </c>
    </row>
    <row r="1012" spans="1:8">
      <c r="A1012" s="485"/>
      <c r="B1012" s="485"/>
      <c r="C1012" s="17" t="s">
        <v>10</v>
      </c>
      <c r="D1012" s="485">
        <v>1</v>
      </c>
      <c r="E1012" s="485">
        <v>24.3</v>
      </c>
      <c r="F1012" s="485">
        <v>0.3</v>
      </c>
      <c r="G1012" s="485"/>
      <c r="H1012" s="487">
        <f t="shared" si="188"/>
        <v>7.29</v>
      </c>
    </row>
    <row r="1013" spans="1:8">
      <c r="A1013" s="485"/>
      <c r="B1013" s="485"/>
      <c r="C1013" s="17" t="s">
        <v>10</v>
      </c>
      <c r="D1013" s="485">
        <v>1</v>
      </c>
      <c r="E1013" s="485">
        <v>7.53</v>
      </c>
      <c r="F1013" s="485">
        <v>0.3</v>
      </c>
      <c r="G1013" s="485"/>
      <c r="H1013" s="487">
        <f t="shared" si="188"/>
        <v>2.2589999999999999</v>
      </c>
    </row>
    <row r="1014" spans="1:8">
      <c r="A1014" s="485"/>
      <c r="B1014" s="485"/>
      <c r="C1014" s="17" t="s">
        <v>10</v>
      </c>
      <c r="D1014" s="485">
        <v>1</v>
      </c>
      <c r="E1014" s="485">
        <v>16.524000000000001</v>
      </c>
      <c r="F1014" s="485">
        <v>0.3</v>
      </c>
      <c r="G1014" s="485"/>
      <c r="H1014" s="487">
        <f t="shared" si="188"/>
        <v>4.9572000000000003</v>
      </c>
    </row>
    <row r="1015" spans="1:8">
      <c r="A1015" s="485"/>
      <c r="B1015" s="485"/>
      <c r="C1015" s="17" t="s">
        <v>10</v>
      </c>
      <c r="D1015" s="485">
        <v>1</v>
      </c>
      <c r="E1015" s="485">
        <v>3</v>
      </c>
      <c r="F1015" s="485">
        <v>0.3</v>
      </c>
      <c r="G1015" s="485"/>
      <c r="H1015" s="487">
        <f t="shared" si="188"/>
        <v>0.89999999999999991</v>
      </c>
    </row>
    <row r="1016" spans="1:8">
      <c r="A1016" s="485"/>
      <c r="B1016" s="485"/>
      <c r="C1016" s="17" t="s">
        <v>10</v>
      </c>
      <c r="D1016" s="485">
        <v>1</v>
      </c>
      <c r="E1016" s="485">
        <v>1.8</v>
      </c>
      <c r="F1016" s="485">
        <v>1.4</v>
      </c>
      <c r="G1016" s="485"/>
      <c r="H1016" s="487">
        <f t="shared" si="188"/>
        <v>2.52</v>
      </c>
    </row>
    <row r="1017" spans="1:8">
      <c r="A1017" s="485"/>
      <c r="B1017" s="485" t="s">
        <v>1196</v>
      </c>
      <c r="C1017" s="17" t="s">
        <v>10</v>
      </c>
      <c r="D1017" s="485">
        <v>1</v>
      </c>
      <c r="E1017" s="485">
        <v>3.62</v>
      </c>
      <c r="F1017" s="485">
        <v>1.5</v>
      </c>
      <c r="G1017" s="485"/>
      <c r="H1017" s="487">
        <f t="shared" si="188"/>
        <v>5.43</v>
      </c>
    </row>
    <row r="1018" spans="1:8">
      <c r="A1018" s="485"/>
      <c r="B1018" s="485" t="s">
        <v>283</v>
      </c>
      <c r="C1018" s="17" t="s">
        <v>10</v>
      </c>
      <c r="D1018" s="485">
        <v>1</v>
      </c>
      <c r="E1018" s="485">
        <v>3.1</v>
      </c>
      <c r="F1018" s="485">
        <v>2</v>
      </c>
      <c r="G1018" s="485"/>
      <c r="H1018" s="487">
        <f t="shared" si="188"/>
        <v>6.2</v>
      </c>
    </row>
    <row r="1019" spans="1:8">
      <c r="A1019" s="485"/>
      <c r="B1019" s="485"/>
      <c r="C1019" s="17" t="s">
        <v>10</v>
      </c>
      <c r="D1019" s="485">
        <v>0.5</v>
      </c>
      <c r="E1019" s="485">
        <v>2.19</v>
      </c>
      <c r="F1019" s="485">
        <v>1</v>
      </c>
      <c r="G1019" s="485"/>
      <c r="H1019" s="487">
        <f t="shared" si="188"/>
        <v>1.095</v>
      </c>
    </row>
    <row r="1020" spans="1:8">
      <c r="A1020" s="485"/>
      <c r="B1020" s="485" t="s">
        <v>1196</v>
      </c>
      <c r="C1020" s="17" t="s">
        <v>10</v>
      </c>
      <c r="D1020" s="485">
        <v>1</v>
      </c>
      <c r="E1020" s="485">
        <v>6.4</v>
      </c>
      <c r="F1020" s="485">
        <v>0.3</v>
      </c>
      <c r="G1020" s="485"/>
      <c r="H1020" s="487">
        <f t="shared" si="188"/>
        <v>1.92</v>
      </c>
    </row>
    <row r="1021" spans="1:8">
      <c r="A1021" s="485"/>
      <c r="B1021" s="485"/>
      <c r="C1021" s="17" t="s">
        <v>10</v>
      </c>
      <c r="D1021" s="485">
        <v>1</v>
      </c>
      <c r="E1021" s="485">
        <v>12.25</v>
      </c>
      <c r="F1021" s="485">
        <v>0.3</v>
      </c>
      <c r="G1021" s="485"/>
      <c r="H1021" s="487">
        <f t="shared" si="188"/>
        <v>3.6749999999999998</v>
      </c>
    </row>
    <row r="1022" spans="1:8">
      <c r="A1022" s="485"/>
      <c r="B1022" s="485"/>
      <c r="C1022" s="485"/>
      <c r="D1022" s="485"/>
      <c r="E1022" s="485"/>
      <c r="F1022" s="485"/>
      <c r="G1022" s="485"/>
      <c r="H1022" s="487"/>
    </row>
    <row r="1023" spans="1:8">
      <c r="A1023" s="485"/>
      <c r="B1023" s="485" t="s">
        <v>2044</v>
      </c>
      <c r="C1023" s="17" t="s">
        <v>10</v>
      </c>
      <c r="D1023" s="485">
        <v>1</v>
      </c>
      <c r="E1023" s="485">
        <v>3.3450000000000002</v>
      </c>
      <c r="F1023" s="485">
        <v>3.45</v>
      </c>
      <c r="G1023" s="485"/>
      <c r="H1023" s="487">
        <f t="shared" ref="H1023:H1028" si="189">PRODUCT(D1023:G1023)</f>
        <v>11.540250000000002</v>
      </c>
    </row>
    <row r="1024" spans="1:8" s="948" customFormat="1">
      <c r="A1024" s="485"/>
      <c r="B1024" s="485"/>
      <c r="C1024" s="17" t="s">
        <v>10</v>
      </c>
      <c r="D1024" s="485">
        <v>-1</v>
      </c>
      <c r="E1024" s="485">
        <v>3</v>
      </c>
      <c r="F1024" s="485">
        <v>2.7</v>
      </c>
      <c r="G1024" s="485"/>
      <c r="H1024" s="487">
        <f t="shared" si="189"/>
        <v>-8.1000000000000014</v>
      </c>
    </row>
    <row r="1025" spans="1:8">
      <c r="A1025" s="485"/>
      <c r="B1025" s="485" t="s">
        <v>1199</v>
      </c>
      <c r="C1025" s="17" t="s">
        <v>10</v>
      </c>
      <c r="D1025" s="485">
        <v>1</v>
      </c>
      <c r="E1025" s="485">
        <v>3.07</v>
      </c>
      <c r="F1025" s="485">
        <v>3.45</v>
      </c>
      <c r="G1025" s="485"/>
      <c r="H1025" s="487">
        <f t="shared" si="189"/>
        <v>10.5915</v>
      </c>
    </row>
    <row r="1026" spans="1:8" s="948" customFormat="1">
      <c r="A1026" s="485"/>
      <c r="B1026" s="485"/>
      <c r="C1026" s="17" t="s">
        <v>10</v>
      </c>
      <c r="D1026" s="485">
        <v>-1</v>
      </c>
      <c r="E1026" s="485">
        <v>2.7</v>
      </c>
      <c r="F1026" s="485">
        <v>3</v>
      </c>
      <c r="G1026" s="485"/>
      <c r="H1026" s="487">
        <f t="shared" ref="H1026" si="190">PRODUCT(D1026:G1026)</f>
        <v>-8.1000000000000014</v>
      </c>
    </row>
    <row r="1027" spans="1:8">
      <c r="A1027" s="485"/>
      <c r="B1027" s="485" t="s">
        <v>1327</v>
      </c>
      <c r="C1027" s="17" t="s">
        <v>10</v>
      </c>
      <c r="D1027" s="485">
        <v>1</v>
      </c>
      <c r="E1027" s="485">
        <v>3.07</v>
      </c>
      <c r="F1027" s="485">
        <v>3.45</v>
      </c>
      <c r="G1027" s="485"/>
      <c r="H1027" s="487">
        <f t="shared" si="189"/>
        <v>10.5915</v>
      </c>
    </row>
    <row r="1028" spans="1:8" s="948" customFormat="1">
      <c r="A1028" s="485"/>
      <c r="B1028" s="485"/>
      <c r="C1028" s="17" t="s">
        <v>10</v>
      </c>
      <c r="D1028" s="485">
        <v>-1</v>
      </c>
      <c r="E1028" s="485">
        <v>2.7</v>
      </c>
      <c r="F1028" s="485">
        <v>3</v>
      </c>
      <c r="G1028" s="485"/>
      <c r="H1028" s="487">
        <f t="shared" si="189"/>
        <v>-8.1000000000000014</v>
      </c>
    </row>
    <row r="1029" spans="1:8">
      <c r="A1029" s="485"/>
      <c r="B1029" s="485" t="s">
        <v>2047</v>
      </c>
      <c r="C1029" s="17" t="s">
        <v>10</v>
      </c>
      <c r="D1029" s="485">
        <v>1</v>
      </c>
      <c r="E1029" s="485">
        <v>4.9450000000000003</v>
      </c>
      <c r="F1029" s="485">
        <v>3.4009999999999998</v>
      </c>
      <c r="G1029" s="485"/>
      <c r="H1029" s="487">
        <f t="shared" ref="H1029:H1031" si="191">PRODUCT(D1029:G1029)</f>
        <v>16.817945000000002</v>
      </c>
    </row>
    <row r="1030" spans="1:8" s="948" customFormat="1">
      <c r="A1030" s="485"/>
      <c r="B1030" s="485"/>
      <c r="C1030" s="17" t="s">
        <v>10</v>
      </c>
      <c r="D1030" s="485">
        <v>-1</v>
      </c>
      <c r="E1030" s="485">
        <v>4.8</v>
      </c>
      <c r="F1030" s="485">
        <v>3</v>
      </c>
      <c r="G1030" s="485"/>
      <c r="H1030" s="487">
        <f t="shared" si="191"/>
        <v>-14.399999999999999</v>
      </c>
    </row>
    <row r="1031" spans="1:8">
      <c r="A1031" s="485"/>
      <c r="B1031" s="485" t="s">
        <v>1299</v>
      </c>
      <c r="C1031" s="17" t="s">
        <v>10</v>
      </c>
      <c r="D1031" s="485">
        <v>1</v>
      </c>
      <c r="E1031" s="485">
        <v>3.1</v>
      </c>
      <c r="F1031" s="485">
        <v>3.4009999999999998</v>
      </c>
      <c r="G1031" s="485"/>
      <c r="H1031" s="487">
        <f t="shared" si="191"/>
        <v>10.543099999999999</v>
      </c>
    </row>
    <row r="1032" spans="1:8" s="948" customFormat="1">
      <c r="A1032" s="485"/>
      <c r="B1032" s="485"/>
      <c r="C1032" s="17" t="s">
        <v>10</v>
      </c>
      <c r="D1032" s="485">
        <v>-1</v>
      </c>
      <c r="E1032" s="485">
        <v>2.4</v>
      </c>
      <c r="F1032" s="485">
        <v>3</v>
      </c>
      <c r="G1032" s="485"/>
      <c r="H1032" s="487">
        <f t="shared" ref="H1032" si="192">PRODUCT(D1032:G1032)</f>
        <v>-7.1999999999999993</v>
      </c>
    </row>
    <row r="1033" spans="1:8">
      <c r="A1033" s="485"/>
      <c r="B1033" s="485" t="s">
        <v>1300</v>
      </c>
      <c r="C1033" s="17" t="s">
        <v>10</v>
      </c>
      <c r="D1033" s="485">
        <v>1</v>
      </c>
      <c r="E1033" s="485">
        <v>3.1</v>
      </c>
      <c r="F1033" s="485">
        <v>3.4009999999999998</v>
      </c>
      <c r="G1033" s="485"/>
      <c r="H1033" s="487">
        <f t="shared" ref="H1033:H1034" si="193">PRODUCT(D1033:G1033)</f>
        <v>10.543099999999999</v>
      </c>
    </row>
    <row r="1034" spans="1:8" s="948" customFormat="1">
      <c r="A1034" s="485"/>
      <c r="B1034" s="485"/>
      <c r="C1034" s="17" t="s">
        <v>10</v>
      </c>
      <c r="D1034" s="485">
        <v>-1</v>
      </c>
      <c r="E1034" s="485">
        <v>2.4</v>
      </c>
      <c r="F1034" s="485">
        <v>3</v>
      </c>
      <c r="G1034" s="485"/>
      <c r="H1034" s="487">
        <f t="shared" si="193"/>
        <v>-7.1999999999999993</v>
      </c>
    </row>
    <row r="1035" spans="1:8">
      <c r="A1035" s="485"/>
      <c r="B1035" s="485" t="s">
        <v>1301</v>
      </c>
      <c r="C1035" s="17" t="s">
        <v>10</v>
      </c>
      <c r="D1035" s="485">
        <v>1</v>
      </c>
      <c r="E1035" s="485">
        <v>3.1</v>
      </c>
      <c r="F1035" s="485">
        <v>3.4009999999999998</v>
      </c>
      <c r="G1035" s="485"/>
      <c r="H1035" s="487">
        <f t="shared" ref="H1035:H1036" si="194">PRODUCT(D1035:G1035)</f>
        <v>10.543099999999999</v>
      </c>
    </row>
    <row r="1036" spans="1:8" s="948" customFormat="1">
      <c r="A1036" s="485"/>
      <c r="B1036" s="485"/>
      <c r="C1036" s="17" t="s">
        <v>10</v>
      </c>
      <c r="D1036" s="485">
        <v>-1</v>
      </c>
      <c r="E1036" s="485">
        <v>2.4</v>
      </c>
      <c r="F1036" s="485">
        <v>3</v>
      </c>
      <c r="G1036" s="485"/>
      <c r="H1036" s="487">
        <f t="shared" si="194"/>
        <v>-7.1999999999999993</v>
      </c>
    </row>
    <row r="1037" spans="1:8">
      <c r="A1037" s="485"/>
      <c r="B1037" s="485" t="s">
        <v>1201</v>
      </c>
      <c r="C1037" s="17" t="s">
        <v>10</v>
      </c>
      <c r="D1037" s="485">
        <v>1</v>
      </c>
      <c r="E1037" s="485">
        <v>3.1120000000000001</v>
      </c>
      <c r="F1037" s="485">
        <v>3.59</v>
      </c>
      <c r="G1037" s="485"/>
      <c r="H1037" s="487">
        <f t="shared" ref="H1037:H1039" si="195">PRODUCT(D1037:G1037)</f>
        <v>11.172079999999999</v>
      </c>
    </row>
    <row r="1038" spans="1:8" s="948" customFormat="1">
      <c r="A1038" s="485"/>
      <c r="B1038" s="485"/>
      <c r="C1038" s="17" t="s">
        <v>10</v>
      </c>
      <c r="D1038" s="485">
        <v>-1</v>
      </c>
      <c r="E1038" s="485">
        <v>3</v>
      </c>
      <c r="F1038" s="485">
        <v>2.7</v>
      </c>
      <c r="G1038" s="485"/>
      <c r="H1038" s="487">
        <f t="shared" si="195"/>
        <v>-8.1000000000000014</v>
      </c>
    </row>
    <row r="1039" spans="1:8">
      <c r="A1039" s="485"/>
      <c r="B1039" s="485" t="s">
        <v>1202</v>
      </c>
      <c r="C1039" s="17" t="s">
        <v>10</v>
      </c>
      <c r="D1039" s="485">
        <v>1</v>
      </c>
      <c r="E1039" s="485">
        <v>3.1</v>
      </c>
      <c r="F1039" s="485">
        <v>3.6</v>
      </c>
      <c r="G1039" s="485"/>
      <c r="H1039" s="487">
        <f t="shared" si="195"/>
        <v>11.16</v>
      </c>
    </row>
    <row r="1040" spans="1:8" s="948" customFormat="1">
      <c r="A1040" s="485"/>
      <c r="B1040" s="485"/>
      <c r="C1040" s="17" t="s">
        <v>10</v>
      </c>
      <c r="D1040" s="485">
        <v>-1</v>
      </c>
      <c r="E1040" s="485">
        <v>3</v>
      </c>
      <c r="F1040" s="485">
        <v>2.7</v>
      </c>
      <c r="G1040" s="485"/>
      <c r="H1040" s="487">
        <f t="shared" ref="H1040" si="196">PRODUCT(D1040:G1040)</f>
        <v>-8.1000000000000014</v>
      </c>
    </row>
    <row r="1041" spans="1:8">
      <c r="A1041" s="485"/>
      <c r="B1041" s="485" t="s">
        <v>2038</v>
      </c>
      <c r="C1041" s="17" t="s">
        <v>10</v>
      </c>
      <c r="D1041" s="485">
        <v>1</v>
      </c>
      <c r="E1041" s="485">
        <v>4.2</v>
      </c>
      <c r="F1041" s="485">
        <v>3.6</v>
      </c>
      <c r="G1041" s="485"/>
      <c r="H1041" s="487">
        <f t="shared" ref="H1041:H1042" si="197">PRODUCT(D1041:G1041)</f>
        <v>15.120000000000001</v>
      </c>
    </row>
    <row r="1042" spans="1:8" s="948" customFormat="1">
      <c r="A1042" s="485"/>
      <c r="B1042" s="485"/>
      <c r="C1042" s="17" t="s">
        <v>10</v>
      </c>
      <c r="D1042" s="485">
        <v>-1</v>
      </c>
      <c r="E1042" s="485">
        <v>3.6</v>
      </c>
      <c r="F1042" s="485">
        <v>2.7</v>
      </c>
      <c r="G1042" s="485"/>
      <c r="H1042" s="487">
        <f t="shared" si="197"/>
        <v>-9.7200000000000006</v>
      </c>
    </row>
    <row r="1043" spans="1:8">
      <c r="A1043" s="485"/>
      <c r="B1043" s="485" t="s">
        <v>1242</v>
      </c>
      <c r="C1043" s="17" t="s">
        <v>10</v>
      </c>
      <c r="D1043" s="485">
        <v>1</v>
      </c>
      <c r="E1043" s="485">
        <v>6.05</v>
      </c>
      <c r="F1043" s="485">
        <v>3.8</v>
      </c>
      <c r="G1043" s="485"/>
      <c r="H1043" s="487">
        <f t="shared" ref="H1043" si="198">PRODUCT(D1043:G1043)</f>
        <v>22.99</v>
      </c>
    </row>
    <row r="1044" spans="1:8">
      <c r="A1044" s="485"/>
      <c r="B1044" s="485" t="s">
        <v>1304</v>
      </c>
      <c r="C1044" s="17" t="s">
        <v>10</v>
      </c>
      <c r="D1044" s="485">
        <v>1</v>
      </c>
      <c r="E1044" s="485">
        <v>3.15</v>
      </c>
      <c r="F1044" s="485">
        <v>0.75</v>
      </c>
      <c r="G1044" s="485"/>
      <c r="H1044" s="487">
        <f t="shared" ref="H1044" si="199">PRODUCT(D1044:G1044)</f>
        <v>2.3624999999999998</v>
      </c>
    </row>
    <row r="1045" spans="1:8">
      <c r="A1045" s="485"/>
      <c r="B1045" s="485" t="s">
        <v>1326</v>
      </c>
      <c r="C1045" s="17" t="s">
        <v>10</v>
      </c>
      <c r="D1045" s="485">
        <v>1</v>
      </c>
      <c r="E1045" s="485">
        <v>3.15</v>
      </c>
      <c r="F1045" s="485">
        <v>0.9</v>
      </c>
      <c r="G1045" s="485"/>
      <c r="H1045" s="487">
        <f t="shared" ref="H1045" si="200">PRODUCT(D1045:G1045)</f>
        <v>2.835</v>
      </c>
    </row>
    <row r="1046" spans="1:8">
      <c r="A1046" s="485"/>
      <c r="B1046" s="485" t="s">
        <v>1243</v>
      </c>
      <c r="C1046" s="17" t="s">
        <v>10</v>
      </c>
      <c r="D1046" s="485">
        <v>1</v>
      </c>
      <c r="E1046" s="485">
        <v>4.55</v>
      </c>
      <c r="F1046" s="485">
        <v>3.8</v>
      </c>
      <c r="G1046" s="485"/>
      <c r="H1046" s="487">
        <f t="shared" ref="H1046" si="201">PRODUCT(D1046:G1046)</f>
        <v>17.29</v>
      </c>
    </row>
    <row r="1047" spans="1:8">
      <c r="A1047" s="485"/>
      <c r="B1047" s="485" t="s">
        <v>1216</v>
      </c>
      <c r="C1047" s="17" t="s">
        <v>10</v>
      </c>
      <c r="D1047" s="485">
        <v>1</v>
      </c>
      <c r="E1047" s="485">
        <v>4.3499999999999996</v>
      </c>
      <c r="F1047" s="485">
        <v>3.6</v>
      </c>
      <c r="G1047" s="485"/>
      <c r="H1047" s="487">
        <f t="shared" ref="H1047:H1048" si="202">PRODUCT(D1047:G1047)</f>
        <v>15.659999999999998</v>
      </c>
    </row>
    <row r="1048" spans="1:8" s="948" customFormat="1">
      <c r="A1048" s="485"/>
      <c r="B1048" s="485"/>
      <c r="C1048" s="17" t="s">
        <v>10</v>
      </c>
      <c r="D1048" s="485">
        <v>-1</v>
      </c>
      <c r="E1048" s="485">
        <v>3</v>
      </c>
      <c r="F1048" s="485">
        <v>3.9</v>
      </c>
      <c r="G1048" s="485"/>
      <c r="H1048" s="487">
        <f t="shared" si="202"/>
        <v>-11.7</v>
      </c>
    </row>
    <row r="1049" spans="1:8">
      <c r="A1049" s="485"/>
      <c r="B1049" s="485" t="s">
        <v>2048</v>
      </c>
      <c r="C1049" s="17" t="s">
        <v>10</v>
      </c>
      <c r="D1049" s="485">
        <v>1</v>
      </c>
      <c r="E1049" s="485">
        <v>3.57</v>
      </c>
      <c r="F1049" s="485">
        <v>3.6</v>
      </c>
      <c r="G1049" s="485"/>
      <c r="H1049" s="487">
        <f t="shared" ref="H1049:H1050" si="203">PRODUCT(D1049:G1049)</f>
        <v>12.852</v>
      </c>
    </row>
    <row r="1050" spans="1:8" s="948" customFormat="1">
      <c r="A1050" s="485"/>
      <c r="B1050" s="485"/>
      <c r="C1050" s="17" t="s">
        <v>10</v>
      </c>
      <c r="D1050" s="485">
        <v>-1</v>
      </c>
      <c r="E1050" s="485">
        <v>3</v>
      </c>
      <c r="F1050" s="485">
        <v>3</v>
      </c>
      <c r="G1050" s="485"/>
      <c r="H1050" s="487">
        <f t="shared" si="203"/>
        <v>-9</v>
      </c>
    </row>
    <row r="1051" spans="1:8">
      <c r="A1051" s="485"/>
      <c r="B1051" s="485" t="s">
        <v>1213</v>
      </c>
      <c r="C1051" s="17" t="s">
        <v>10</v>
      </c>
      <c r="D1051" s="485">
        <v>1</v>
      </c>
      <c r="E1051" s="485">
        <v>3.1</v>
      </c>
      <c r="F1051" s="485">
        <v>3.45</v>
      </c>
      <c r="G1051" s="485"/>
      <c r="H1051" s="487">
        <f t="shared" ref="H1051:H1053" si="204">PRODUCT(D1051:G1051)</f>
        <v>10.695</v>
      </c>
    </row>
    <row r="1052" spans="1:8" s="948" customFormat="1">
      <c r="A1052" s="485"/>
      <c r="B1052" s="485"/>
      <c r="C1052" s="17" t="s">
        <v>10</v>
      </c>
      <c r="D1052" s="485">
        <v>-1</v>
      </c>
      <c r="E1052" s="485">
        <v>3</v>
      </c>
      <c r="F1052" s="485">
        <v>2.7</v>
      </c>
      <c r="G1052" s="485"/>
      <c r="H1052" s="487">
        <f t="shared" si="204"/>
        <v>-8.1000000000000014</v>
      </c>
    </row>
    <row r="1053" spans="1:8">
      <c r="A1053" s="485"/>
      <c r="B1053" s="485" t="s">
        <v>1214</v>
      </c>
      <c r="C1053" s="17" t="s">
        <v>10</v>
      </c>
      <c r="D1053" s="485">
        <v>1</v>
      </c>
      <c r="E1053" s="485">
        <v>3.1</v>
      </c>
      <c r="F1053" s="485">
        <v>3.45</v>
      </c>
      <c r="G1053" s="485"/>
      <c r="H1053" s="487">
        <f t="shared" si="204"/>
        <v>10.695</v>
      </c>
    </row>
    <row r="1054" spans="1:8" s="948" customFormat="1">
      <c r="A1054" s="485"/>
      <c r="B1054" s="485"/>
      <c r="C1054" s="17" t="s">
        <v>10</v>
      </c>
      <c r="D1054" s="485">
        <v>-1</v>
      </c>
      <c r="E1054" s="485">
        <v>3</v>
      </c>
      <c r="F1054" s="485">
        <v>2.7</v>
      </c>
      <c r="G1054" s="485"/>
      <c r="H1054" s="487">
        <f t="shared" ref="H1054" si="205">PRODUCT(D1054:G1054)</f>
        <v>-8.1000000000000014</v>
      </c>
    </row>
    <row r="1055" spans="1:8">
      <c r="A1055" s="485"/>
      <c r="B1055" s="485" t="s">
        <v>1219</v>
      </c>
      <c r="C1055" s="17" t="s">
        <v>10</v>
      </c>
      <c r="D1055" s="485">
        <v>1</v>
      </c>
      <c r="E1055" s="485">
        <v>4.25</v>
      </c>
      <c r="F1055" s="485">
        <v>2.4500000000000002</v>
      </c>
      <c r="G1055" s="485"/>
      <c r="H1055" s="487">
        <f t="shared" ref="H1055:H1057" si="206">PRODUCT(D1055:G1055)</f>
        <v>10.412500000000001</v>
      </c>
    </row>
    <row r="1056" spans="1:8">
      <c r="A1056" s="485"/>
      <c r="B1056" s="485"/>
      <c r="C1056" s="17" t="s">
        <v>10</v>
      </c>
      <c r="D1056" s="485">
        <v>1</v>
      </c>
      <c r="E1056" s="485">
        <v>1.2</v>
      </c>
      <c r="F1056" s="485">
        <v>0.1</v>
      </c>
      <c r="G1056" s="485"/>
      <c r="H1056" s="487">
        <f t="shared" si="206"/>
        <v>0.12</v>
      </c>
    </row>
    <row r="1057" spans="1:8">
      <c r="A1057" s="485"/>
      <c r="B1057" s="485"/>
      <c r="C1057" s="17" t="s">
        <v>10</v>
      </c>
      <c r="D1057" s="485">
        <v>-1</v>
      </c>
      <c r="E1057" s="485">
        <v>0.97599999999999998</v>
      </c>
      <c r="F1057" s="485">
        <v>1.0760000000000001</v>
      </c>
      <c r="G1057" s="485"/>
      <c r="H1057" s="487">
        <f t="shared" si="206"/>
        <v>-1.050176</v>
      </c>
    </row>
    <row r="1058" spans="1:8">
      <c r="A1058" s="485"/>
      <c r="B1058" s="485" t="s">
        <v>286</v>
      </c>
      <c r="C1058" s="17" t="s">
        <v>10</v>
      </c>
      <c r="D1058" s="485">
        <v>1</v>
      </c>
      <c r="E1058" s="485">
        <v>3.05</v>
      </c>
      <c r="F1058" s="485">
        <v>2.4500000000000002</v>
      </c>
      <c r="G1058" s="485"/>
      <c r="H1058" s="487">
        <f t="shared" ref="H1058:H1059" si="207">PRODUCT(D1058:G1058)</f>
        <v>7.4725000000000001</v>
      </c>
    </row>
    <row r="1059" spans="1:8" s="948" customFormat="1">
      <c r="A1059" s="485"/>
      <c r="B1059" s="485"/>
      <c r="C1059" s="17" t="s">
        <v>10</v>
      </c>
      <c r="D1059" s="485">
        <v>-1</v>
      </c>
      <c r="E1059" s="485">
        <v>2.7</v>
      </c>
      <c r="F1059" s="485">
        <v>2.1</v>
      </c>
      <c r="G1059" s="485"/>
      <c r="H1059" s="487">
        <f t="shared" si="207"/>
        <v>-5.6700000000000008</v>
      </c>
    </row>
    <row r="1060" spans="1:8">
      <c r="A1060" s="485"/>
      <c r="B1060" s="485" t="s">
        <v>1931</v>
      </c>
      <c r="C1060" s="17" t="s">
        <v>10</v>
      </c>
      <c r="D1060" s="485">
        <v>1</v>
      </c>
      <c r="E1060" s="485">
        <v>10.65</v>
      </c>
      <c r="F1060" s="485">
        <v>1.2</v>
      </c>
      <c r="G1060" s="485"/>
      <c r="H1060" s="487">
        <f t="shared" ref="H1060:H1061" si="208">PRODUCT(D1060:G1060)</f>
        <v>12.78</v>
      </c>
    </row>
    <row r="1061" spans="1:8">
      <c r="A1061" s="485"/>
      <c r="B1061" s="485" t="s">
        <v>1326</v>
      </c>
      <c r="C1061" s="17" t="s">
        <v>10</v>
      </c>
      <c r="D1061" s="485">
        <v>1</v>
      </c>
      <c r="E1061" s="485">
        <v>10.65</v>
      </c>
      <c r="F1061" s="485">
        <v>0.9</v>
      </c>
      <c r="G1061" s="485"/>
      <c r="H1061" s="487">
        <f t="shared" si="208"/>
        <v>9.5850000000000009</v>
      </c>
    </row>
    <row r="1062" spans="1:8">
      <c r="A1062" s="485"/>
      <c r="B1062" s="485" t="s">
        <v>1221</v>
      </c>
      <c r="C1062" s="17" t="s">
        <v>10</v>
      </c>
      <c r="D1062" s="485">
        <v>1</v>
      </c>
      <c r="E1062" s="485">
        <v>6.3</v>
      </c>
      <c r="F1062" s="485">
        <v>1.2</v>
      </c>
      <c r="G1062" s="485"/>
      <c r="H1062" s="487">
        <f t="shared" ref="H1062:H1063" si="209">PRODUCT(D1062:G1062)</f>
        <v>7.56</v>
      </c>
    </row>
    <row r="1063" spans="1:8">
      <c r="A1063" s="485"/>
      <c r="B1063" s="485" t="s">
        <v>1326</v>
      </c>
      <c r="C1063" s="17" t="s">
        <v>10</v>
      </c>
      <c r="D1063" s="485">
        <v>1</v>
      </c>
      <c r="E1063" s="485">
        <v>6.3</v>
      </c>
      <c r="F1063" s="485">
        <v>0.9</v>
      </c>
      <c r="G1063" s="485"/>
      <c r="H1063" s="487">
        <f t="shared" si="209"/>
        <v>5.67</v>
      </c>
    </row>
    <row r="1064" spans="1:8">
      <c r="A1064" s="485"/>
      <c r="B1064" s="485" t="s">
        <v>1280</v>
      </c>
      <c r="C1064" s="17" t="s">
        <v>10</v>
      </c>
      <c r="D1064" s="485">
        <v>1</v>
      </c>
      <c r="E1064" s="485">
        <v>3.2</v>
      </c>
      <c r="F1064" s="485">
        <v>2.4500000000000002</v>
      </c>
      <c r="G1064" s="485"/>
      <c r="H1064" s="487">
        <f t="shared" ref="H1064:H1070" si="210">PRODUCT(D1064:G1064)</f>
        <v>7.8400000000000007</v>
      </c>
    </row>
    <row r="1065" spans="1:8" s="948" customFormat="1">
      <c r="A1065" s="485"/>
      <c r="B1065" s="485"/>
      <c r="C1065" s="17" t="s">
        <v>10</v>
      </c>
      <c r="D1065" s="485">
        <v>-1</v>
      </c>
      <c r="E1065" s="485">
        <v>2.7</v>
      </c>
      <c r="F1065" s="485">
        <v>2.1</v>
      </c>
      <c r="G1065" s="485"/>
      <c r="H1065" s="487">
        <f t="shared" si="210"/>
        <v>-5.6700000000000008</v>
      </c>
    </row>
    <row r="1066" spans="1:8">
      <c r="A1066" s="485"/>
      <c r="B1066" s="485" t="s">
        <v>1917</v>
      </c>
      <c r="C1066" s="17" t="s">
        <v>10</v>
      </c>
      <c r="D1066" s="485">
        <v>2</v>
      </c>
      <c r="E1066" s="485">
        <v>8.67</v>
      </c>
      <c r="F1066" s="485">
        <v>0.5</v>
      </c>
      <c r="G1066" s="485"/>
      <c r="H1066" s="487">
        <f t="shared" si="210"/>
        <v>8.67</v>
      </c>
    </row>
    <row r="1067" spans="1:8">
      <c r="A1067" s="485"/>
      <c r="B1067" s="485"/>
      <c r="C1067" s="17" t="s">
        <v>10</v>
      </c>
      <c r="D1067" s="485">
        <v>2</v>
      </c>
      <c r="E1067" s="485">
        <v>3.9</v>
      </c>
      <c r="F1067" s="485">
        <v>0.5</v>
      </c>
      <c r="G1067" s="485"/>
      <c r="H1067" s="487">
        <f t="shared" si="210"/>
        <v>3.9</v>
      </c>
    </row>
    <row r="1068" spans="1:8">
      <c r="A1068" s="485"/>
      <c r="B1068" s="485"/>
      <c r="C1068" s="17" t="s">
        <v>10</v>
      </c>
      <c r="D1068" s="485">
        <v>1</v>
      </c>
      <c r="E1068" s="485">
        <v>1.52</v>
      </c>
      <c r="F1068" s="485">
        <v>0.6</v>
      </c>
      <c r="G1068" s="485"/>
      <c r="H1068" s="487">
        <f t="shared" si="210"/>
        <v>0.91199999999999992</v>
      </c>
    </row>
    <row r="1069" spans="1:8">
      <c r="A1069" s="485"/>
      <c r="B1069" s="485"/>
      <c r="C1069" s="17" t="s">
        <v>10</v>
      </c>
      <c r="D1069" s="485">
        <v>2</v>
      </c>
      <c r="E1069" s="485">
        <v>3.9</v>
      </c>
      <c r="F1069" s="485">
        <v>0.3</v>
      </c>
      <c r="G1069" s="485"/>
      <c r="H1069" s="487">
        <f t="shared" si="210"/>
        <v>2.34</v>
      </c>
    </row>
    <row r="1070" spans="1:8">
      <c r="A1070" s="485"/>
      <c r="B1070" s="485"/>
      <c r="C1070" s="17" t="s">
        <v>10</v>
      </c>
      <c r="D1070" s="485">
        <v>2</v>
      </c>
      <c r="E1070" s="485">
        <v>7.67</v>
      </c>
      <c r="F1070" s="485">
        <v>0.3</v>
      </c>
      <c r="G1070" s="485"/>
      <c r="H1070" s="487">
        <f t="shared" si="210"/>
        <v>4.6019999999999994</v>
      </c>
    </row>
    <row r="1071" spans="1:8">
      <c r="A1071" s="485"/>
      <c r="B1071" s="485" t="s">
        <v>2049</v>
      </c>
      <c r="C1071" s="17" t="s">
        <v>10</v>
      </c>
      <c r="D1071" s="485">
        <v>1</v>
      </c>
      <c r="E1071" s="485">
        <v>3.45</v>
      </c>
      <c r="F1071" s="485">
        <v>4.125</v>
      </c>
      <c r="G1071" s="485"/>
      <c r="H1071" s="487">
        <f t="shared" ref="H1071:H1076" si="211">PRODUCT(D1071:G1071)</f>
        <v>14.231250000000001</v>
      </c>
    </row>
    <row r="1072" spans="1:8" s="948" customFormat="1">
      <c r="A1072" s="485"/>
      <c r="B1072" s="485"/>
      <c r="C1072" s="17" t="s">
        <v>10</v>
      </c>
      <c r="D1072" s="485">
        <v>-1</v>
      </c>
      <c r="E1072" s="485">
        <v>3.6</v>
      </c>
      <c r="F1072" s="485">
        <v>3</v>
      </c>
      <c r="G1072" s="485"/>
      <c r="H1072" s="487">
        <f t="shared" si="211"/>
        <v>-10.8</v>
      </c>
    </row>
    <row r="1073" spans="1:8">
      <c r="A1073" s="485"/>
      <c r="B1073" s="485" t="s">
        <v>1230</v>
      </c>
      <c r="C1073" s="17" t="s">
        <v>10</v>
      </c>
      <c r="D1073" s="485">
        <v>1</v>
      </c>
      <c r="E1073" s="485">
        <v>3.45</v>
      </c>
      <c r="F1073" s="485">
        <v>3.2250000000000001</v>
      </c>
      <c r="G1073" s="485"/>
      <c r="H1073" s="487">
        <f t="shared" si="211"/>
        <v>11.126250000000001</v>
      </c>
    </row>
    <row r="1074" spans="1:8" s="948" customFormat="1">
      <c r="A1074" s="485"/>
      <c r="B1074" s="485"/>
      <c r="C1074" s="17" t="s">
        <v>10</v>
      </c>
      <c r="D1074" s="485">
        <v>-1</v>
      </c>
      <c r="E1074" s="485">
        <v>2.7</v>
      </c>
      <c r="F1074" s="485">
        <v>3</v>
      </c>
      <c r="G1074" s="485"/>
      <c r="H1074" s="487">
        <f t="shared" ref="H1074" si="212">PRODUCT(D1074:G1074)</f>
        <v>-8.1000000000000014</v>
      </c>
    </row>
    <row r="1075" spans="1:8">
      <c r="A1075" s="485"/>
      <c r="B1075" s="485" t="s">
        <v>1229</v>
      </c>
      <c r="C1075" s="17" t="s">
        <v>10</v>
      </c>
      <c r="D1075" s="485">
        <v>1</v>
      </c>
      <c r="E1075" s="485">
        <v>3.1</v>
      </c>
      <c r="F1075" s="485">
        <v>3.45</v>
      </c>
      <c r="G1075" s="485"/>
      <c r="H1075" s="487">
        <f t="shared" si="211"/>
        <v>10.695</v>
      </c>
    </row>
    <row r="1076" spans="1:8" s="948" customFormat="1">
      <c r="A1076" s="485"/>
      <c r="B1076" s="485"/>
      <c r="C1076" s="17" t="s">
        <v>10</v>
      </c>
      <c r="D1076" s="485">
        <v>-1</v>
      </c>
      <c r="E1076" s="485">
        <v>2.7</v>
      </c>
      <c r="F1076" s="485">
        <v>3</v>
      </c>
      <c r="G1076" s="485"/>
      <c r="H1076" s="487">
        <f t="shared" si="211"/>
        <v>-8.1000000000000014</v>
      </c>
    </row>
    <row r="1077" spans="1:8">
      <c r="A1077" s="485"/>
      <c r="B1077" s="485" t="s">
        <v>2050</v>
      </c>
      <c r="C1077" s="17" t="s">
        <v>10</v>
      </c>
      <c r="D1077" s="485">
        <v>1</v>
      </c>
      <c r="E1077" s="485">
        <v>8.4</v>
      </c>
      <c r="F1077" s="485">
        <v>1.3</v>
      </c>
      <c r="G1077" s="485"/>
      <c r="H1077" s="487">
        <f t="shared" ref="H1077:H1078" si="213">PRODUCT(D1077:G1077)</f>
        <v>10.920000000000002</v>
      </c>
    </row>
    <row r="1078" spans="1:8">
      <c r="A1078" s="485"/>
      <c r="B1078" s="485"/>
      <c r="C1078" s="17" t="s">
        <v>10</v>
      </c>
      <c r="D1078" s="485">
        <v>-1</v>
      </c>
      <c r="E1078" s="485">
        <v>0.7</v>
      </c>
      <c r="F1078" s="485">
        <v>0.7</v>
      </c>
      <c r="G1078" s="485"/>
      <c r="H1078" s="487">
        <f t="shared" si="213"/>
        <v>-0.48999999999999994</v>
      </c>
    </row>
    <row r="1079" spans="1:8">
      <c r="A1079" s="485"/>
      <c r="B1079" s="485" t="s">
        <v>2051</v>
      </c>
      <c r="C1079" s="17" t="s">
        <v>10</v>
      </c>
      <c r="D1079" s="485">
        <v>1</v>
      </c>
      <c r="E1079" s="485">
        <v>5.35</v>
      </c>
      <c r="F1079" s="485">
        <v>2.4500000000000002</v>
      </c>
      <c r="G1079" s="485"/>
      <c r="H1079" s="487">
        <f t="shared" ref="H1079:H1080" si="214">PRODUCT(D1079:G1079)</f>
        <v>13.1075</v>
      </c>
    </row>
    <row r="1080" spans="1:8">
      <c r="A1080" s="485"/>
      <c r="B1080" s="485"/>
      <c r="C1080" s="17" t="s">
        <v>10</v>
      </c>
      <c r="D1080" s="485">
        <v>1</v>
      </c>
      <c r="E1080" s="485">
        <v>3.7</v>
      </c>
      <c r="F1080" s="485">
        <v>2.4500000000000002</v>
      </c>
      <c r="G1080" s="485"/>
      <c r="H1080" s="487">
        <f t="shared" si="214"/>
        <v>9.0650000000000013</v>
      </c>
    </row>
    <row r="1081" spans="1:8">
      <c r="A1081" s="485"/>
      <c r="B1081" s="485" t="s">
        <v>2052</v>
      </c>
      <c r="C1081" s="17" t="s">
        <v>10</v>
      </c>
      <c r="D1081" s="485">
        <v>1</v>
      </c>
      <c r="E1081" s="485">
        <v>5.05</v>
      </c>
      <c r="F1081" s="485">
        <v>3.81</v>
      </c>
      <c r="G1081" s="485"/>
      <c r="H1081" s="487">
        <f t="shared" ref="H1081:H1082" si="215">PRODUCT(D1081:G1081)</f>
        <v>19.240500000000001</v>
      </c>
    </row>
    <row r="1082" spans="1:8" s="948" customFormat="1">
      <c r="A1082" s="485"/>
      <c r="B1082" s="485"/>
      <c r="C1082" s="17" t="s">
        <v>10</v>
      </c>
      <c r="D1082" s="485">
        <v>-1</v>
      </c>
      <c r="E1082" s="485">
        <v>4.2</v>
      </c>
      <c r="F1082" s="485">
        <v>3</v>
      </c>
      <c r="G1082" s="485"/>
      <c r="H1082" s="487">
        <f t="shared" si="215"/>
        <v>-12.600000000000001</v>
      </c>
    </row>
    <row r="1083" spans="1:8">
      <c r="A1083" s="485"/>
      <c r="B1083" s="485" t="s">
        <v>1195</v>
      </c>
      <c r="C1083" s="17" t="s">
        <v>10</v>
      </c>
      <c r="D1083" s="485">
        <v>1</v>
      </c>
      <c r="E1083" s="485">
        <v>3.57</v>
      </c>
      <c r="F1083" s="485">
        <v>3.15</v>
      </c>
      <c r="G1083" s="485"/>
      <c r="H1083" s="487">
        <f t="shared" ref="H1083:H1084" si="216">PRODUCT(D1083:G1083)</f>
        <v>11.2455</v>
      </c>
    </row>
    <row r="1084" spans="1:8" s="948" customFormat="1">
      <c r="A1084" s="485"/>
      <c r="B1084" s="485"/>
      <c r="C1084" s="17" t="s">
        <v>10</v>
      </c>
      <c r="D1084" s="485">
        <v>-1</v>
      </c>
      <c r="E1084" s="485">
        <v>3</v>
      </c>
      <c r="F1084" s="485">
        <v>2.7</v>
      </c>
      <c r="G1084" s="485"/>
      <c r="H1084" s="487">
        <f t="shared" si="216"/>
        <v>-8.1000000000000014</v>
      </c>
    </row>
    <row r="1085" spans="1:8">
      <c r="A1085" s="485"/>
      <c r="B1085" s="485" t="s">
        <v>1317</v>
      </c>
      <c r="C1085" s="17" t="s">
        <v>10</v>
      </c>
      <c r="D1085" s="485">
        <v>1</v>
      </c>
      <c r="E1085" s="485">
        <v>3.57</v>
      </c>
      <c r="F1085" s="485">
        <v>3</v>
      </c>
      <c r="G1085" s="485"/>
      <c r="H1085" s="487">
        <f t="shared" ref="H1085:H1086" si="217">PRODUCT(D1085:G1085)</f>
        <v>10.709999999999999</v>
      </c>
    </row>
    <row r="1086" spans="1:8" s="948" customFormat="1">
      <c r="A1086" s="485"/>
      <c r="B1086" s="485"/>
      <c r="C1086" s="17" t="s">
        <v>10</v>
      </c>
      <c r="D1086" s="485">
        <v>-1</v>
      </c>
      <c r="E1086" s="485">
        <v>2.4</v>
      </c>
      <c r="F1086" s="485">
        <v>3</v>
      </c>
      <c r="G1086" s="485"/>
      <c r="H1086" s="487">
        <f t="shared" si="217"/>
        <v>-7.1999999999999993</v>
      </c>
    </row>
    <row r="1087" spans="1:8">
      <c r="A1087" s="485"/>
      <c r="B1087" s="485" t="s">
        <v>1239</v>
      </c>
      <c r="C1087" s="17" t="s">
        <v>10</v>
      </c>
      <c r="D1087" s="485">
        <v>1</v>
      </c>
      <c r="E1087" s="485">
        <v>8.8000000000000007</v>
      </c>
      <c r="F1087" s="485">
        <v>2.5499999999999998</v>
      </c>
      <c r="G1087" s="485"/>
      <c r="H1087" s="487">
        <f t="shared" ref="H1087:H1089" si="218">PRODUCT(D1087:G1087)</f>
        <v>22.44</v>
      </c>
    </row>
    <row r="1088" spans="1:8">
      <c r="A1088" s="485"/>
      <c r="B1088" s="485"/>
      <c r="C1088" s="17" t="s">
        <v>10</v>
      </c>
      <c r="D1088" s="485">
        <v>1</v>
      </c>
      <c r="E1088" s="485">
        <v>4.05</v>
      </c>
      <c r="F1088" s="485">
        <v>2.1</v>
      </c>
      <c r="G1088" s="485"/>
      <c r="H1088" s="487">
        <f t="shared" si="218"/>
        <v>8.5050000000000008</v>
      </c>
    </row>
    <row r="1089" spans="1:8">
      <c r="A1089" s="485"/>
      <c r="B1089" s="485"/>
      <c r="C1089" s="17" t="s">
        <v>10</v>
      </c>
      <c r="D1089" s="485">
        <v>-1</v>
      </c>
      <c r="E1089" s="485">
        <v>1.35</v>
      </c>
      <c r="F1089" s="485">
        <v>0.9</v>
      </c>
      <c r="G1089" s="485"/>
      <c r="H1089" s="487">
        <f t="shared" si="218"/>
        <v>-1.2150000000000001</v>
      </c>
    </row>
    <row r="1090" spans="1:8">
      <c r="A1090" s="485"/>
      <c r="B1090" s="485" t="s">
        <v>1326</v>
      </c>
      <c r="C1090" s="17" t="s">
        <v>10</v>
      </c>
      <c r="D1090" s="485">
        <v>1</v>
      </c>
      <c r="E1090" s="485">
        <v>7.5</v>
      </c>
      <c r="F1090" s="485">
        <v>0.9</v>
      </c>
      <c r="G1090" s="485"/>
      <c r="H1090" s="487">
        <f t="shared" ref="H1090:H1096" si="219">PRODUCT(D1090:G1090)</f>
        <v>6.75</v>
      </c>
    </row>
    <row r="1091" spans="1:8">
      <c r="A1091" s="485"/>
      <c r="B1091" s="485" t="s">
        <v>1326</v>
      </c>
      <c r="C1091" s="17" t="s">
        <v>10</v>
      </c>
      <c r="D1091" s="485">
        <v>1</v>
      </c>
      <c r="E1091" s="485">
        <v>4.05</v>
      </c>
      <c r="F1091" s="485">
        <v>0.9</v>
      </c>
      <c r="G1091" s="485"/>
      <c r="H1091" s="487">
        <f t="shared" si="219"/>
        <v>3.645</v>
      </c>
    </row>
    <row r="1092" spans="1:8">
      <c r="A1092" s="485"/>
      <c r="B1092" s="485" t="s">
        <v>2053</v>
      </c>
      <c r="C1092" s="17" t="s">
        <v>10</v>
      </c>
      <c r="D1092" s="485">
        <v>1</v>
      </c>
      <c r="E1092" s="485">
        <f>(6.25+5.25)/2</f>
        <v>5.75</v>
      </c>
      <c r="F1092" s="485">
        <v>0.98</v>
      </c>
      <c r="G1092" s="485"/>
      <c r="H1092" s="487">
        <f t="shared" si="219"/>
        <v>5.6349999999999998</v>
      </c>
    </row>
    <row r="1093" spans="1:8">
      <c r="A1093" s="485"/>
      <c r="B1093" s="485"/>
      <c r="C1093" s="17" t="s">
        <v>10</v>
      </c>
      <c r="D1093" s="485">
        <v>1</v>
      </c>
      <c r="E1093" s="485">
        <f>(2.565+1.62)/2</f>
        <v>2.0925000000000002</v>
      </c>
      <c r="F1093" s="485">
        <v>1.06</v>
      </c>
      <c r="G1093" s="485"/>
      <c r="H1093" s="487">
        <f t="shared" si="219"/>
        <v>2.2180500000000003</v>
      </c>
    </row>
    <row r="1094" spans="1:8">
      <c r="A1094" s="485"/>
      <c r="B1094" s="485"/>
      <c r="C1094" s="17" t="s">
        <v>10</v>
      </c>
      <c r="D1094" s="485">
        <v>0.5</v>
      </c>
      <c r="E1094" s="485">
        <v>1.5</v>
      </c>
      <c r="F1094" s="485">
        <v>1.2</v>
      </c>
      <c r="G1094" s="485"/>
      <c r="H1094" s="487">
        <f t="shared" si="219"/>
        <v>0.89999999999999991</v>
      </c>
    </row>
    <row r="1095" spans="1:8">
      <c r="A1095" s="485"/>
      <c r="B1095" s="485" t="s">
        <v>1326</v>
      </c>
      <c r="C1095" s="17" t="s">
        <v>10</v>
      </c>
      <c r="D1095" s="485">
        <v>1</v>
      </c>
      <c r="E1095" s="485">
        <v>6.25</v>
      </c>
      <c r="F1095" s="485">
        <v>0.9</v>
      </c>
      <c r="G1095" s="485"/>
      <c r="H1095" s="487">
        <f t="shared" si="219"/>
        <v>5.625</v>
      </c>
    </row>
    <row r="1096" spans="1:8">
      <c r="A1096" s="485"/>
      <c r="B1096" s="485"/>
      <c r="C1096" s="17" t="s">
        <v>10</v>
      </c>
      <c r="D1096" s="485">
        <v>1</v>
      </c>
      <c r="E1096" s="485">
        <v>3.95</v>
      </c>
      <c r="F1096" s="485">
        <v>0.9</v>
      </c>
      <c r="G1096" s="485"/>
      <c r="H1096" s="487">
        <f t="shared" si="219"/>
        <v>3.5550000000000002</v>
      </c>
    </row>
    <row r="1097" spans="1:8">
      <c r="A1097" s="485"/>
      <c r="B1097" s="485" t="s">
        <v>2054</v>
      </c>
      <c r="C1097" s="17" t="s">
        <v>10</v>
      </c>
      <c r="D1097" s="485">
        <v>1</v>
      </c>
      <c r="E1097" s="485">
        <v>1.37</v>
      </c>
      <c r="F1097" s="485">
        <v>1.56</v>
      </c>
      <c r="G1097" s="485"/>
      <c r="H1097" s="487">
        <f t="shared" ref="H1097:H1100" si="220">PRODUCT(D1097:G1097)</f>
        <v>2.1372000000000004</v>
      </c>
    </row>
    <row r="1098" spans="1:8">
      <c r="A1098" s="485"/>
      <c r="B1098" s="485" t="s">
        <v>2054</v>
      </c>
      <c r="C1098" s="17" t="s">
        <v>10</v>
      </c>
      <c r="D1098" s="485">
        <v>1</v>
      </c>
      <c r="E1098" s="485">
        <v>1.8</v>
      </c>
      <c r="F1098" s="485">
        <v>0.5</v>
      </c>
      <c r="G1098" s="485"/>
      <c r="H1098" s="487">
        <f t="shared" si="220"/>
        <v>0.9</v>
      </c>
    </row>
    <row r="1099" spans="1:8">
      <c r="A1099" s="485"/>
      <c r="B1099" s="485" t="s">
        <v>1291</v>
      </c>
      <c r="C1099" s="17" t="s">
        <v>10</v>
      </c>
      <c r="D1099" s="485">
        <v>1</v>
      </c>
      <c r="E1099" s="485">
        <v>1.2</v>
      </c>
      <c r="F1099" s="485">
        <v>1.05</v>
      </c>
      <c r="G1099" s="485"/>
      <c r="H1099" s="487">
        <f t="shared" si="220"/>
        <v>1.26</v>
      </c>
    </row>
    <row r="1100" spans="1:8">
      <c r="A1100" s="485"/>
      <c r="B1100" s="485" t="s">
        <v>2054</v>
      </c>
      <c r="C1100" s="17" t="s">
        <v>10</v>
      </c>
      <c r="D1100" s="485">
        <v>0.5</v>
      </c>
      <c r="E1100" s="485">
        <v>2.64</v>
      </c>
      <c r="F1100" s="485">
        <v>1.32</v>
      </c>
      <c r="G1100" s="485"/>
      <c r="H1100" s="487">
        <f t="shared" si="220"/>
        <v>1.7424000000000002</v>
      </c>
    </row>
    <row r="1101" spans="1:8">
      <c r="A1101" s="485"/>
      <c r="B1101" s="485" t="s">
        <v>1358</v>
      </c>
      <c r="C1101" s="17" t="s">
        <v>10</v>
      </c>
      <c r="D1101" s="485">
        <v>1</v>
      </c>
      <c r="E1101" s="485">
        <v>1.35</v>
      </c>
      <c r="F1101" s="485">
        <v>1</v>
      </c>
      <c r="G1101" s="485"/>
      <c r="H1101" s="487">
        <f t="shared" ref="H1101:H1104" si="221">PRODUCT(D1101:G1101)</f>
        <v>1.35</v>
      </c>
    </row>
    <row r="1102" spans="1:8">
      <c r="A1102" s="485"/>
      <c r="B1102" s="485" t="s">
        <v>1358</v>
      </c>
      <c r="C1102" s="17" t="s">
        <v>10</v>
      </c>
      <c r="D1102" s="485">
        <v>1</v>
      </c>
      <c r="E1102" s="485">
        <v>1.575</v>
      </c>
      <c r="F1102" s="485">
        <v>1.4</v>
      </c>
      <c r="G1102" s="485"/>
      <c r="H1102" s="487">
        <f t="shared" si="221"/>
        <v>2.2049999999999996</v>
      </c>
    </row>
    <row r="1103" spans="1:8">
      <c r="A1103" s="485"/>
      <c r="B1103" s="485" t="s">
        <v>1358</v>
      </c>
      <c r="C1103" s="17" t="s">
        <v>10</v>
      </c>
      <c r="D1103" s="485">
        <v>1</v>
      </c>
      <c r="E1103" s="485">
        <v>1.5</v>
      </c>
      <c r="F1103" s="485">
        <v>1.4</v>
      </c>
      <c r="G1103" s="485"/>
      <c r="H1103" s="487">
        <f t="shared" si="221"/>
        <v>2.0999999999999996</v>
      </c>
    </row>
    <row r="1104" spans="1:8">
      <c r="A1104" s="485"/>
      <c r="B1104" s="485" t="s">
        <v>2054</v>
      </c>
      <c r="C1104" s="17" t="s">
        <v>10</v>
      </c>
      <c r="D1104" s="485">
        <v>1</v>
      </c>
      <c r="E1104" s="485">
        <v>1.6</v>
      </c>
      <c r="F1104" s="485">
        <v>0.6</v>
      </c>
      <c r="G1104" s="485"/>
      <c r="H1104" s="487">
        <f t="shared" si="221"/>
        <v>0.96</v>
      </c>
    </row>
    <row r="1105" spans="1:11">
      <c r="A1105" s="485"/>
      <c r="B1105" s="485" t="s">
        <v>2011</v>
      </c>
      <c r="C1105" s="17" t="s">
        <v>10</v>
      </c>
      <c r="D1105" s="485">
        <v>1</v>
      </c>
      <c r="E1105" s="485">
        <v>1.0720000000000001</v>
      </c>
      <c r="F1105" s="485">
        <v>2.2000000000000002</v>
      </c>
      <c r="G1105" s="485"/>
      <c r="H1105" s="487">
        <f t="shared" ref="H1105" si="222">PRODUCT(D1105:G1105)</f>
        <v>2.3584000000000005</v>
      </c>
    </row>
    <row r="1106" spans="1:11">
      <c r="A1106" s="485"/>
      <c r="B1106" s="485" t="s">
        <v>1358</v>
      </c>
      <c r="C1106" s="17" t="s">
        <v>10</v>
      </c>
      <c r="D1106" s="485">
        <v>1</v>
      </c>
      <c r="E1106" s="485">
        <v>1.46</v>
      </c>
      <c r="F1106" s="485">
        <v>1.3</v>
      </c>
      <c r="G1106" s="485"/>
      <c r="H1106" s="487">
        <f t="shared" ref="H1106" si="223">PRODUCT(D1106:G1106)</f>
        <v>1.8979999999999999</v>
      </c>
    </row>
    <row r="1107" spans="1:11">
      <c r="A1107" s="485"/>
      <c r="B1107" s="485" t="s">
        <v>2055</v>
      </c>
      <c r="C1107" s="17" t="s">
        <v>10</v>
      </c>
      <c r="D1107" s="485">
        <v>1</v>
      </c>
      <c r="E1107" s="485">
        <f>(2.53+1.67)/2</f>
        <v>2.0999999999999996</v>
      </c>
      <c r="F1107" s="485">
        <v>0.9</v>
      </c>
      <c r="G1107" s="485"/>
      <c r="H1107" s="487">
        <f t="shared" ref="H1107" si="224">PRODUCT(D1107:G1107)</f>
        <v>1.8899999999999997</v>
      </c>
    </row>
    <row r="1108" spans="1:11">
      <c r="A1108" s="485"/>
      <c r="B1108" s="485" t="s">
        <v>2084</v>
      </c>
      <c r="C1108" s="17" t="s">
        <v>10</v>
      </c>
      <c r="D1108" s="485">
        <v>2</v>
      </c>
      <c r="E1108" s="485">
        <v>2.5</v>
      </c>
      <c r="F1108" s="485">
        <v>1.95</v>
      </c>
      <c r="G1108" s="485"/>
      <c r="H1108" s="487">
        <f t="shared" ref="H1108:H1109" si="225">PRODUCT(D1108:G1108)</f>
        <v>9.75</v>
      </c>
    </row>
    <row r="1109" spans="1:11" s="948" customFormat="1">
      <c r="A1109" s="485"/>
      <c r="B1109" s="485" t="s">
        <v>1218</v>
      </c>
      <c r="C1109" s="16" t="s">
        <v>10</v>
      </c>
      <c r="D1109" s="485">
        <v>1</v>
      </c>
      <c r="E1109" s="485">
        <v>3.05</v>
      </c>
      <c r="F1109" s="485">
        <v>2.4500000000000002</v>
      </c>
      <c r="G1109" s="485"/>
      <c r="H1109" s="487">
        <f t="shared" si="225"/>
        <v>7.4725000000000001</v>
      </c>
    </row>
    <row r="1110" spans="1:11">
      <c r="A1110" s="485"/>
      <c r="B1110" s="485"/>
      <c r="C1110" s="485"/>
      <c r="D1110" s="485"/>
      <c r="E1110" s="485"/>
      <c r="F1110" s="485"/>
      <c r="G1110" s="485"/>
      <c r="H1110" s="487"/>
    </row>
    <row r="1111" spans="1:11">
      <c r="A1111" s="15"/>
      <c r="B1111" s="15" t="s">
        <v>21</v>
      </c>
      <c r="C1111" s="15"/>
      <c r="D1111" s="15"/>
      <c r="E1111" s="15"/>
      <c r="F1111" s="15"/>
      <c r="G1111" s="15"/>
      <c r="H1111" s="20">
        <f>SUM(H956:H1110)</f>
        <v>616.71565899999962</v>
      </c>
    </row>
    <row r="1112" spans="1:11">
      <c r="A1112" s="17"/>
      <c r="B1112" s="17" t="s">
        <v>22</v>
      </c>
      <c r="C1112" s="17"/>
      <c r="D1112" s="17"/>
      <c r="E1112" s="17"/>
      <c r="F1112" s="17"/>
      <c r="G1112" s="17"/>
      <c r="H1112" s="18"/>
    </row>
    <row r="1113" spans="1:11">
      <c r="A1113" s="15"/>
      <c r="B1113" s="15" t="s">
        <v>23</v>
      </c>
      <c r="C1113" s="15"/>
      <c r="D1113" s="15"/>
      <c r="E1113" s="15"/>
      <c r="F1113" s="15"/>
      <c r="G1113" s="15"/>
      <c r="H1113" s="20">
        <f>ROUND(SUM(H1111:H1112),0)</f>
        <v>617</v>
      </c>
      <c r="I1113" s="510"/>
      <c r="J1113" s="510"/>
      <c r="K1113" s="939"/>
    </row>
    <row r="1114" spans="1:11">
      <c r="A1114" s="17"/>
      <c r="B1114" s="17"/>
      <c r="C1114" s="17"/>
      <c r="D1114" s="17"/>
      <c r="E1114" s="17"/>
      <c r="F1114" s="17"/>
      <c r="G1114" s="17"/>
      <c r="H1114" s="18"/>
    </row>
    <row r="1115" spans="1:11">
      <c r="A1115" s="17">
        <v>1</v>
      </c>
      <c r="B1115" s="15" t="s">
        <v>291</v>
      </c>
      <c r="C1115" s="17"/>
      <c r="D1115" s="17"/>
      <c r="E1115" s="17"/>
      <c r="F1115" s="17"/>
      <c r="G1115" s="17"/>
      <c r="H1115" s="18"/>
    </row>
    <row r="1116" spans="1:11">
      <c r="A1116" s="17"/>
      <c r="B1116" s="17" t="s">
        <v>1913</v>
      </c>
      <c r="C1116" s="17" t="s">
        <v>31</v>
      </c>
      <c r="D1116" s="17">
        <v>1</v>
      </c>
      <c r="E1116" s="17">
        <f>0.8</f>
        <v>0.8</v>
      </c>
      <c r="F1116" s="17"/>
      <c r="G1116" s="17"/>
      <c r="H1116" s="18">
        <f t="shared" ref="H1116:H1133" si="226">PRODUCT(D1116:G1116)</f>
        <v>0.8</v>
      </c>
    </row>
    <row r="1117" spans="1:11">
      <c r="A1117" s="485"/>
      <c r="B1117" s="485"/>
      <c r="C1117" s="17" t="s">
        <v>31</v>
      </c>
      <c r="D1117" s="485">
        <v>2</v>
      </c>
      <c r="E1117" s="485">
        <v>0.314</v>
      </c>
      <c r="F1117" s="485"/>
      <c r="G1117" s="485"/>
      <c r="H1117" s="18">
        <f t="shared" si="226"/>
        <v>0.628</v>
      </c>
    </row>
    <row r="1118" spans="1:11">
      <c r="A1118" s="17"/>
      <c r="B1118" s="17"/>
      <c r="C1118" s="17" t="s">
        <v>31</v>
      </c>
      <c r="D1118" s="17">
        <v>1</v>
      </c>
      <c r="E1118" s="17">
        <v>37.274999999999999</v>
      </c>
      <c r="F1118" s="17"/>
      <c r="G1118" s="17"/>
      <c r="H1118" s="18">
        <f t="shared" si="226"/>
        <v>37.274999999999999</v>
      </c>
    </row>
    <row r="1119" spans="1:11">
      <c r="A1119" s="485"/>
      <c r="B1119" s="485"/>
      <c r="C1119" s="17" t="s">
        <v>31</v>
      </c>
      <c r="D1119" s="485">
        <v>1</v>
      </c>
      <c r="E1119" s="485">
        <v>6.9539999999999997</v>
      </c>
      <c r="F1119" s="17"/>
      <c r="G1119" s="485"/>
      <c r="H1119" s="18">
        <f t="shared" si="226"/>
        <v>6.9539999999999997</v>
      </c>
    </row>
    <row r="1120" spans="1:11">
      <c r="A1120" s="485"/>
      <c r="B1120" s="485" t="s">
        <v>2056</v>
      </c>
      <c r="C1120" s="17" t="s">
        <v>31</v>
      </c>
      <c r="D1120" s="485">
        <v>1</v>
      </c>
      <c r="E1120" s="485">
        <v>0.47</v>
      </c>
      <c r="F1120" s="485"/>
      <c r="G1120" s="485"/>
      <c r="H1120" s="487">
        <f t="shared" si="226"/>
        <v>0.47</v>
      </c>
    </row>
    <row r="1121" spans="1:8">
      <c r="A1121" s="485"/>
      <c r="B1121" s="485"/>
      <c r="C1121" s="17" t="s">
        <v>31</v>
      </c>
      <c r="D1121" s="485">
        <v>1</v>
      </c>
      <c r="E1121" s="485">
        <v>10.9</v>
      </c>
      <c r="F1121" s="485"/>
      <c r="G1121" s="485"/>
      <c r="H1121" s="487">
        <f t="shared" si="226"/>
        <v>10.9</v>
      </c>
    </row>
    <row r="1122" spans="1:8">
      <c r="A1122" s="485"/>
      <c r="B1122" s="485"/>
      <c r="C1122" s="17" t="s">
        <v>31</v>
      </c>
      <c r="D1122" s="485">
        <v>1</v>
      </c>
      <c r="E1122" s="485">
        <v>0.314</v>
      </c>
      <c r="F1122" s="485"/>
      <c r="G1122" s="485"/>
      <c r="H1122" s="487">
        <f t="shared" si="226"/>
        <v>0.314</v>
      </c>
    </row>
    <row r="1123" spans="1:8">
      <c r="A1123" s="485"/>
      <c r="B1123" s="485"/>
      <c r="C1123" s="17" t="s">
        <v>31</v>
      </c>
      <c r="D1123" s="485">
        <v>1</v>
      </c>
      <c r="E1123" s="485">
        <v>1.74</v>
      </c>
      <c r="F1123" s="485"/>
      <c r="G1123" s="485"/>
      <c r="H1123" s="487">
        <f t="shared" si="226"/>
        <v>1.74</v>
      </c>
    </row>
    <row r="1124" spans="1:8">
      <c r="A1124" s="485"/>
      <c r="B1124" s="485"/>
      <c r="C1124" s="17" t="s">
        <v>31</v>
      </c>
      <c r="D1124" s="485">
        <v>2</v>
      </c>
      <c r="E1124" s="485">
        <v>0.314</v>
      </c>
      <c r="F1124" s="485"/>
      <c r="G1124" s="485"/>
      <c r="H1124" s="487">
        <f t="shared" si="226"/>
        <v>0.628</v>
      </c>
    </row>
    <row r="1125" spans="1:8">
      <c r="A1125" s="485"/>
      <c r="B1125" s="485"/>
      <c r="C1125" s="17" t="s">
        <v>31</v>
      </c>
      <c r="D1125" s="485">
        <v>1</v>
      </c>
      <c r="E1125" s="485">
        <v>0.5</v>
      </c>
      <c r="F1125" s="485"/>
      <c r="G1125" s="485"/>
      <c r="H1125" s="487">
        <f t="shared" si="226"/>
        <v>0.5</v>
      </c>
    </row>
    <row r="1126" spans="1:8">
      <c r="A1126" s="485"/>
      <c r="B1126" s="485"/>
      <c r="C1126" s="17" t="s">
        <v>31</v>
      </c>
      <c r="D1126" s="485">
        <v>1</v>
      </c>
      <c r="E1126" s="485">
        <v>10.4</v>
      </c>
      <c r="F1126" s="485"/>
      <c r="G1126" s="485"/>
      <c r="H1126" s="487">
        <f t="shared" si="226"/>
        <v>10.4</v>
      </c>
    </row>
    <row r="1127" spans="1:8">
      <c r="A1127" s="485"/>
      <c r="B1127" s="485"/>
      <c r="C1127" s="17" t="s">
        <v>31</v>
      </c>
      <c r="D1127" s="485">
        <v>1</v>
      </c>
      <c r="E1127" s="485">
        <v>0.314</v>
      </c>
      <c r="F1127" s="485"/>
      <c r="G1127" s="485"/>
      <c r="H1127" s="487">
        <f t="shared" si="226"/>
        <v>0.314</v>
      </c>
    </row>
    <row r="1128" spans="1:8">
      <c r="A1128" s="485"/>
      <c r="B1128" s="485"/>
      <c r="C1128" s="17" t="s">
        <v>31</v>
      </c>
      <c r="D1128" s="485">
        <v>1</v>
      </c>
      <c r="E1128" s="485">
        <v>7.32</v>
      </c>
      <c r="F1128" s="485"/>
      <c r="G1128" s="485"/>
      <c r="H1128" s="487">
        <f t="shared" si="226"/>
        <v>7.32</v>
      </c>
    </row>
    <row r="1129" spans="1:8">
      <c r="A1129" s="485"/>
      <c r="B1129" s="485"/>
      <c r="C1129" s="17" t="s">
        <v>31</v>
      </c>
      <c r="D1129" s="485">
        <v>1</v>
      </c>
      <c r="E1129" s="485">
        <v>0.314</v>
      </c>
      <c r="F1129" s="485"/>
      <c r="G1129" s="485"/>
      <c r="H1129" s="487">
        <f t="shared" si="226"/>
        <v>0.314</v>
      </c>
    </row>
    <row r="1130" spans="1:8">
      <c r="A1130" s="485"/>
      <c r="B1130" s="485"/>
      <c r="C1130" s="17" t="s">
        <v>31</v>
      </c>
      <c r="D1130" s="485">
        <v>1</v>
      </c>
      <c r="E1130" s="485">
        <v>10.4</v>
      </c>
      <c r="F1130" s="485"/>
      <c r="G1130" s="485"/>
      <c r="H1130" s="487">
        <f t="shared" si="226"/>
        <v>10.4</v>
      </c>
    </row>
    <row r="1131" spans="1:8">
      <c r="A1131" s="485"/>
      <c r="B1131" s="485"/>
      <c r="C1131" s="17" t="s">
        <v>31</v>
      </c>
      <c r="D1131" s="485">
        <v>1</v>
      </c>
      <c r="E1131" s="485">
        <v>0.315</v>
      </c>
      <c r="F1131" s="485"/>
      <c r="G1131" s="485"/>
      <c r="H1131" s="487">
        <f t="shared" si="226"/>
        <v>0.315</v>
      </c>
    </row>
    <row r="1132" spans="1:8">
      <c r="A1132" s="485"/>
      <c r="B1132" s="485"/>
      <c r="C1132" s="17" t="s">
        <v>31</v>
      </c>
      <c r="D1132" s="485">
        <v>1</v>
      </c>
      <c r="E1132" s="485">
        <v>0.5</v>
      </c>
      <c r="F1132" s="485"/>
      <c r="G1132" s="485"/>
      <c r="H1132" s="487">
        <f t="shared" si="226"/>
        <v>0.5</v>
      </c>
    </row>
    <row r="1133" spans="1:8">
      <c r="A1133" s="485"/>
      <c r="B1133" s="485"/>
      <c r="C1133" s="17" t="s">
        <v>31</v>
      </c>
      <c r="D1133" s="485">
        <v>1</v>
      </c>
      <c r="E1133" s="485">
        <v>0.314</v>
      </c>
      <c r="F1133" s="485"/>
      <c r="G1133" s="485"/>
      <c r="H1133" s="487">
        <f t="shared" si="226"/>
        <v>0.314</v>
      </c>
    </row>
    <row r="1134" spans="1:8">
      <c r="A1134" s="485"/>
      <c r="B1134" s="485" t="s">
        <v>2057</v>
      </c>
      <c r="C1134" s="17" t="s">
        <v>31</v>
      </c>
      <c r="D1134" s="485">
        <v>1</v>
      </c>
      <c r="E1134" s="485">
        <v>7.8</v>
      </c>
      <c r="F1134" s="485"/>
      <c r="G1134" s="485"/>
      <c r="H1134" s="487">
        <f t="shared" ref="H1134:H1138" si="227">PRODUCT(D1134:G1134)</f>
        <v>7.8</v>
      </c>
    </row>
    <row r="1135" spans="1:8">
      <c r="A1135" s="485"/>
      <c r="B1135" s="485"/>
      <c r="C1135" s="17" t="s">
        <v>31</v>
      </c>
      <c r="D1135" s="485">
        <v>1</v>
      </c>
      <c r="E1135" s="485">
        <v>0.16</v>
      </c>
      <c r="F1135" s="485"/>
      <c r="G1135" s="485"/>
      <c r="H1135" s="487">
        <f t="shared" si="227"/>
        <v>0.16</v>
      </c>
    </row>
    <row r="1136" spans="1:8">
      <c r="A1136" s="485"/>
      <c r="B1136" s="485"/>
      <c r="C1136" s="17" t="s">
        <v>31</v>
      </c>
      <c r="D1136" s="485">
        <v>1</v>
      </c>
      <c r="E1136" s="485">
        <v>6.5250000000000004</v>
      </c>
      <c r="F1136" s="485"/>
      <c r="G1136" s="485"/>
      <c r="H1136" s="487">
        <f t="shared" si="227"/>
        <v>6.5250000000000004</v>
      </c>
    </row>
    <row r="1137" spans="1:8">
      <c r="A1137" s="485"/>
      <c r="B1137" s="485" t="s">
        <v>216</v>
      </c>
      <c r="C1137" s="17" t="s">
        <v>31</v>
      </c>
      <c r="D1137" s="485">
        <v>1</v>
      </c>
      <c r="E1137" s="485">
        <v>0.314</v>
      </c>
      <c r="F1137" s="485"/>
      <c r="G1137" s="485"/>
      <c r="H1137" s="487">
        <f t="shared" si="227"/>
        <v>0.314</v>
      </c>
    </row>
    <row r="1138" spans="1:8">
      <c r="A1138" s="485"/>
      <c r="B1138" s="485" t="s">
        <v>1242</v>
      </c>
      <c r="C1138" s="17" t="s">
        <v>31</v>
      </c>
      <c r="D1138" s="485">
        <v>1</v>
      </c>
      <c r="E1138" s="485">
        <v>26.29</v>
      </c>
      <c r="F1138" s="485"/>
      <c r="G1138" s="485"/>
      <c r="H1138" s="487">
        <f t="shared" si="227"/>
        <v>26.29</v>
      </c>
    </row>
    <row r="1139" spans="1:8">
      <c r="A1139" s="485"/>
      <c r="B1139" s="485" t="s">
        <v>2058</v>
      </c>
      <c r="C1139" s="17" t="s">
        <v>31</v>
      </c>
      <c r="D1139" s="485">
        <v>1</v>
      </c>
      <c r="E1139" s="485">
        <v>12.16</v>
      </c>
      <c r="F1139" s="485"/>
      <c r="G1139" s="485"/>
      <c r="H1139" s="487">
        <f t="shared" ref="H1139:H1146" si="228">PRODUCT(D1139:G1139)</f>
        <v>12.16</v>
      </c>
    </row>
    <row r="1140" spans="1:8">
      <c r="A1140" s="485"/>
      <c r="B1140" s="485"/>
      <c r="C1140" s="17" t="s">
        <v>31</v>
      </c>
      <c r="D1140" s="485">
        <v>1</v>
      </c>
      <c r="E1140" s="485">
        <v>0.314</v>
      </c>
      <c r="F1140" s="485"/>
      <c r="G1140" s="485"/>
      <c r="H1140" s="487">
        <f t="shared" si="228"/>
        <v>0.314</v>
      </c>
    </row>
    <row r="1141" spans="1:8">
      <c r="A1141" s="485"/>
      <c r="B1141" s="485"/>
      <c r="C1141" s="17" t="s">
        <v>31</v>
      </c>
      <c r="D1141" s="485">
        <v>1</v>
      </c>
      <c r="E1141" s="485">
        <v>7.35</v>
      </c>
      <c r="F1141" s="485"/>
      <c r="G1141" s="485"/>
      <c r="H1141" s="487">
        <f t="shared" si="228"/>
        <v>7.35</v>
      </c>
    </row>
    <row r="1142" spans="1:8">
      <c r="A1142" s="485"/>
      <c r="B1142" s="485"/>
      <c r="C1142" s="17" t="s">
        <v>31</v>
      </c>
      <c r="D1142" s="485">
        <v>1</v>
      </c>
      <c r="E1142" s="485">
        <v>0.314</v>
      </c>
      <c r="F1142" s="485"/>
      <c r="G1142" s="485"/>
      <c r="H1142" s="487">
        <f t="shared" si="228"/>
        <v>0.314</v>
      </c>
    </row>
    <row r="1143" spans="1:8">
      <c r="A1143" s="485"/>
      <c r="B1143" s="485"/>
      <c r="C1143" s="17" t="s">
        <v>31</v>
      </c>
      <c r="D1143" s="485">
        <v>1</v>
      </c>
      <c r="E1143" s="485">
        <v>19.510000000000002</v>
      </c>
      <c r="F1143" s="485"/>
      <c r="G1143" s="485"/>
      <c r="H1143" s="487">
        <f t="shared" si="228"/>
        <v>19.510000000000002</v>
      </c>
    </row>
    <row r="1144" spans="1:8">
      <c r="A1144" s="485"/>
      <c r="B1144" s="485"/>
      <c r="C1144" s="17" t="s">
        <v>31</v>
      </c>
      <c r="D1144" s="485">
        <v>1</v>
      </c>
      <c r="E1144" s="485">
        <v>0.47</v>
      </c>
      <c r="F1144" s="485"/>
      <c r="G1144" s="485"/>
      <c r="H1144" s="487">
        <f t="shared" si="228"/>
        <v>0.47</v>
      </c>
    </row>
    <row r="1145" spans="1:8">
      <c r="A1145" s="485"/>
      <c r="B1145" s="485"/>
      <c r="C1145" s="17" t="s">
        <v>31</v>
      </c>
      <c r="D1145" s="485">
        <v>1</v>
      </c>
      <c r="E1145" s="485">
        <v>10.4</v>
      </c>
      <c r="F1145" s="485"/>
      <c r="G1145" s="485"/>
      <c r="H1145" s="487">
        <f t="shared" si="228"/>
        <v>10.4</v>
      </c>
    </row>
    <row r="1146" spans="1:8">
      <c r="A1146" s="485"/>
      <c r="B1146" s="485"/>
      <c r="C1146" s="17" t="s">
        <v>31</v>
      </c>
      <c r="D1146" s="485">
        <v>1</v>
      </c>
      <c r="E1146" s="485">
        <v>0.157</v>
      </c>
      <c r="F1146" s="485"/>
      <c r="G1146" s="485"/>
      <c r="H1146" s="487">
        <f t="shared" si="228"/>
        <v>0.157</v>
      </c>
    </row>
    <row r="1147" spans="1:8">
      <c r="A1147" s="485"/>
      <c r="B1147" s="485" t="s">
        <v>1269</v>
      </c>
      <c r="C1147" s="17" t="s">
        <v>31</v>
      </c>
      <c r="D1147" s="485">
        <v>1</v>
      </c>
      <c r="E1147" s="485">
        <v>0.78600000000000003</v>
      </c>
      <c r="F1147" s="485"/>
      <c r="G1147" s="485"/>
      <c r="H1147" s="487">
        <f t="shared" ref="H1147:H1156" si="229">PRODUCT(D1147:G1147)</f>
        <v>0.78600000000000003</v>
      </c>
    </row>
    <row r="1148" spans="1:8">
      <c r="A1148" s="485"/>
      <c r="B1148" s="485"/>
      <c r="C1148" s="17" t="s">
        <v>31</v>
      </c>
      <c r="D1148" s="485">
        <v>1</v>
      </c>
      <c r="E1148" s="485">
        <v>21.33</v>
      </c>
      <c r="F1148" s="485"/>
      <c r="G1148" s="485"/>
      <c r="H1148" s="487">
        <f t="shared" si="229"/>
        <v>21.33</v>
      </c>
    </row>
    <row r="1149" spans="1:8">
      <c r="A1149" s="485"/>
      <c r="B1149" s="485"/>
      <c r="C1149" s="17" t="s">
        <v>31</v>
      </c>
      <c r="D1149" s="485">
        <v>1</v>
      </c>
      <c r="E1149" s="485">
        <v>0.78500000000000003</v>
      </c>
      <c r="F1149" s="485"/>
      <c r="G1149" s="485"/>
      <c r="H1149" s="487">
        <f t="shared" si="229"/>
        <v>0.78500000000000003</v>
      </c>
    </row>
    <row r="1150" spans="1:8">
      <c r="A1150" s="485"/>
      <c r="B1150" s="485"/>
      <c r="C1150" s="17" t="s">
        <v>31</v>
      </c>
      <c r="D1150" s="485">
        <v>1</v>
      </c>
      <c r="E1150" s="485">
        <v>7.11</v>
      </c>
      <c r="F1150" s="485"/>
      <c r="G1150" s="485"/>
      <c r="H1150" s="487">
        <f t="shared" si="229"/>
        <v>7.11</v>
      </c>
    </row>
    <row r="1151" spans="1:8">
      <c r="A1151" s="485"/>
      <c r="B1151" s="485"/>
      <c r="C1151" s="17" t="s">
        <v>31</v>
      </c>
      <c r="D1151" s="485">
        <v>1</v>
      </c>
      <c r="E1151" s="485">
        <v>0.39300000000000002</v>
      </c>
      <c r="F1151" s="485"/>
      <c r="G1151" s="485"/>
      <c r="H1151" s="487">
        <f t="shared" si="229"/>
        <v>0.39300000000000002</v>
      </c>
    </row>
    <row r="1152" spans="1:8">
      <c r="A1152" s="485"/>
      <c r="B1152" s="485"/>
      <c r="C1152" s="17" t="s">
        <v>31</v>
      </c>
      <c r="D1152" s="485">
        <v>1</v>
      </c>
      <c r="E1152" s="485">
        <v>13.797000000000001</v>
      </c>
      <c r="F1152" s="485"/>
      <c r="G1152" s="485"/>
      <c r="H1152" s="487">
        <f t="shared" si="229"/>
        <v>13.797000000000001</v>
      </c>
    </row>
    <row r="1153" spans="1:8">
      <c r="A1153" s="485"/>
      <c r="B1153" s="485"/>
      <c r="C1153" s="17" t="s">
        <v>31</v>
      </c>
      <c r="D1153" s="485">
        <v>1</v>
      </c>
      <c r="E1153" s="485">
        <v>0.78500000000000003</v>
      </c>
      <c r="F1153" s="485"/>
      <c r="G1153" s="485"/>
      <c r="H1153" s="487">
        <f t="shared" si="229"/>
        <v>0.78500000000000003</v>
      </c>
    </row>
    <row r="1154" spans="1:8">
      <c r="A1154" s="485"/>
      <c r="B1154" s="485"/>
      <c r="C1154" s="17" t="s">
        <v>31</v>
      </c>
      <c r="D1154" s="485">
        <v>1</v>
      </c>
      <c r="E1154" s="485">
        <v>16.36</v>
      </c>
      <c r="F1154" s="485"/>
      <c r="G1154" s="485"/>
      <c r="H1154" s="487">
        <f t="shared" si="229"/>
        <v>16.36</v>
      </c>
    </row>
    <row r="1155" spans="1:8">
      <c r="A1155" s="485"/>
      <c r="B1155" s="485"/>
      <c r="C1155" s="17" t="s">
        <v>31</v>
      </c>
      <c r="D1155" s="485">
        <v>1</v>
      </c>
      <c r="E1155" s="485">
        <v>0.39300000000000002</v>
      </c>
      <c r="F1155" s="485"/>
      <c r="G1155" s="485"/>
      <c r="H1155" s="487">
        <f t="shared" si="229"/>
        <v>0.39300000000000002</v>
      </c>
    </row>
    <row r="1156" spans="1:8">
      <c r="A1156" s="485"/>
      <c r="B1156" s="485"/>
      <c r="C1156" s="17" t="s">
        <v>31</v>
      </c>
      <c r="D1156" s="485">
        <v>1</v>
      </c>
      <c r="E1156" s="485">
        <v>5.3029999999999999</v>
      </c>
      <c r="F1156" s="485"/>
      <c r="G1156" s="485"/>
      <c r="H1156" s="487">
        <f t="shared" si="229"/>
        <v>5.3029999999999999</v>
      </c>
    </row>
    <row r="1157" spans="1:8">
      <c r="A1157" s="485"/>
      <c r="B1157" s="485" t="s">
        <v>2059</v>
      </c>
      <c r="C1157" s="17" t="s">
        <v>31</v>
      </c>
      <c r="D1157" s="485">
        <v>1</v>
      </c>
      <c r="E1157" s="485">
        <v>0.314</v>
      </c>
      <c r="F1157" s="485"/>
      <c r="G1157" s="485"/>
      <c r="H1157" s="487">
        <f t="shared" ref="H1157:H1162" si="230">PRODUCT(D1157:G1157)</f>
        <v>0.314</v>
      </c>
    </row>
    <row r="1158" spans="1:8">
      <c r="A1158" s="485"/>
      <c r="B1158" s="485"/>
      <c r="C1158" s="17" t="s">
        <v>31</v>
      </c>
      <c r="D1158" s="485">
        <v>1</v>
      </c>
      <c r="E1158" s="485">
        <v>7.25</v>
      </c>
      <c r="F1158" s="485"/>
      <c r="G1158" s="485"/>
      <c r="H1158" s="487">
        <f t="shared" si="230"/>
        <v>7.25</v>
      </c>
    </row>
    <row r="1159" spans="1:8">
      <c r="A1159" s="485"/>
      <c r="B1159" s="485"/>
      <c r="C1159" s="17" t="s">
        <v>31</v>
      </c>
      <c r="D1159" s="485">
        <v>1</v>
      </c>
      <c r="E1159" s="485">
        <v>0.314</v>
      </c>
      <c r="F1159" s="485"/>
      <c r="G1159" s="485"/>
      <c r="H1159" s="487">
        <f t="shared" si="230"/>
        <v>0.314</v>
      </c>
    </row>
    <row r="1160" spans="1:8">
      <c r="A1160" s="485"/>
      <c r="B1160" s="485"/>
      <c r="C1160" s="17" t="s">
        <v>31</v>
      </c>
      <c r="D1160" s="485">
        <v>1</v>
      </c>
      <c r="E1160" s="485">
        <v>14.84</v>
      </c>
      <c r="F1160" s="485"/>
      <c r="G1160" s="485"/>
      <c r="H1160" s="487">
        <f t="shared" si="230"/>
        <v>14.84</v>
      </c>
    </row>
    <row r="1161" spans="1:8">
      <c r="A1161" s="485"/>
      <c r="B1161" s="485"/>
      <c r="C1161" s="17" t="s">
        <v>31</v>
      </c>
      <c r="D1161" s="485">
        <v>1</v>
      </c>
      <c r="E1161" s="485">
        <v>0.314</v>
      </c>
      <c r="F1161" s="485"/>
      <c r="G1161" s="485"/>
      <c r="H1161" s="487">
        <f t="shared" si="230"/>
        <v>0.314</v>
      </c>
    </row>
    <row r="1162" spans="1:8">
      <c r="A1162" s="485"/>
      <c r="B1162" s="485"/>
      <c r="C1162" s="17" t="s">
        <v>31</v>
      </c>
      <c r="D1162" s="485">
        <v>1</v>
      </c>
      <c r="E1162" s="485">
        <v>47.6</v>
      </c>
      <c r="F1162" s="485"/>
      <c r="G1162" s="485"/>
      <c r="H1162" s="487">
        <f t="shared" si="230"/>
        <v>47.6</v>
      </c>
    </row>
    <row r="1163" spans="1:8">
      <c r="A1163" s="485"/>
      <c r="B1163" s="485" t="s">
        <v>1217</v>
      </c>
      <c r="C1163" s="17" t="s">
        <v>31</v>
      </c>
      <c r="D1163" s="485">
        <v>2</v>
      </c>
      <c r="E1163" s="485">
        <v>16.7</v>
      </c>
      <c r="F1163" s="485"/>
      <c r="G1163" s="485"/>
      <c r="H1163" s="487">
        <f t="shared" ref="H1163" si="231">PRODUCT(D1163:G1163)</f>
        <v>33.4</v>
      </c>
    </row>
    <row r="1164" spans="1:8">
      <c r="A1164" s="485"/>
      <c r="B1164" s="485"/>
      <c r="C1164" s="17" t="s">
        <v>31</v>
      </c>
      <c r="D1164" s="485">
        <v>4</v>
      </c>
      <c r="E1164" s="485">
        <v>0.314</v>
      </c>
      <c r="F1164" s="485"/>
      <c r="G1164" s="485"/>
      <c r="H1164" s="487">
        <f t="shared" ref="H1164:H1165" si="232">PRODUCT(D1164:G1164)</f>
        <v>1.256</v>
      </c>
    </row>
    <row r="1165" spans="1:8">
      <c r="A1165" s="485"/>
      <c r="B1165" s="485"/>
      <c r="C1165" s="17" t="s">
        <v>31</v>
      </c>
      <c r="D1165" s="485">
        <v>2</v>
      </c>
      <c r="E1165" s="485">
        <v>13.65</v>
      </c>
      <c r="F1165" s="485"/>
      <c r="G1165" s="485"/>
      <c r="H1165" s="487">
        <f t="shared" si="232"/>
        <v>27.3</v>
      </c>
    </row>
    <row r="1166" spans="1:8">
      <c r="A1166" s="485"/>
      <c r="B1166" s="485" t="s">
        <v>186</v>
      </c>
      <c r="C1166" s="17" t="s">
        <v>31</v>
      </c>
      <c r="D1166" s="485">
        <v>1</v>
      </c>
      <c r="E1166" s="485">
        <v>0.314</v>
      </c>
      <c r="F1166" s="485"/>
      <c r="G1166" s="485"/>
      <c r="H1166" s="487">
        <f t="shared" ref="H1166:H1168" si="233">PRODUCT(D1166:G1166)</f>
        <v>0.314</v>
      </c>
    </row>
    <row r="1167" spans="1:8">
      <c r="A1167" s="485"/>
      <c r="B1167" s="485"/>
      <c r="C1167" s="17" t="s">
        <v>31</v>
      </c>
      <c r="D1167" s="485">
        <v>1</v>
      </c>
      <c r="E1167" s="485">
        <v>10.64</v>
      </c>
      <c r="F1167" s="485"/>
      <c r="G1167" s="485"/>
      <c r="H1167" s="487">
        <f t="shared" si="233"/>
        <v>10.64</v>
      </c>
    </row>
    <row r="1168" spans="1:8">
      <c r="A1168" s="485"/>
      <c r="B1168" s="485"/>
      <c r="C1168" s="17" t="s">
        <v>31</v>
      </c>
      <c r="D1168" s="485">
        <v>1</v>
      </c>
      <c r="E1168" s="485">
        <v>0.16</v>
      </c>
      <c r="F1168" s="485"/>
      <c r="G1168" s="485"/>
      <c r="H1168" s="487">
        <f t="shared" si="233"/>
        <v>0.16</v>
      </c>
    </row>
    <row r="1169" spans="1:8">
      <c r="A1169" s="485"/>
      <c r="B1169" s="485" t="s">
        <v>216</v>
      </c>
      <c r="C1169" s="17" t="s">
        <v>31</v>
      </c>
      <c r="D1169" s="485">
        <v>1</v>
      </c>
      <c r="E1169" s="485">
        <v>13.4</v>
      </c>
      <c r="F1169" s="485"/>
      <c r="G1169" s="485"/>
      <c r="H1169" s="487">
        <f t="shared" ref="H1169" si="234">PRODUCT(D1169:G1169)</f>
        <v>13.4</v>
      </c>
    </row>
    <row r="1170" spans="1:8">
      <c r="A1170" s="485"/>
      <c r="B1170" s="485" t="s">
        <v>1229</v>
      </c>
      <c r="C1170" s="17" t="s">
        <v>31</v>
      </c>
      <c r="D1170" s="485">
        <v>1</v>
      </c>
      <c r="E1170" s="485">
        <v>0.314</v>
      </c>
      <c r="F1170" s="485"/>
      <c r="G1170" s="485"/>
      <c r="H1170" s="487">
        <f t="shared" ref="H1170:H1200" si="235">PRODUCT(D1170:G1170)</f>
        <v>0.314</v>
      </c>
    </row>
    <row r="1171" spans="1:8">
      <c r="A1171" s="485"/>
      <c r="B1171" s="485"/>
      <c r="C1171" s="17" t="s">
        <v>31</v>
      </c>
      <c r="D1171" s="485">
        <v>1</v>
      </c>
      <c r="E1171" s="485">
        <v>5.2229999999999999</v>
      </c>
      <c r="F1171" s="485"/>
      <c r="G1171" s="485"/>
      <c r="H1171" s="487">
        <f t="shared" si="235"/>
        <v>5.2229999999999999</v>
      </c>
    </row>
    <row r="1172" spans="1:8">
      <c r="A1172" s="485"/>
      <c r="B1172" s="485"/>
      <c r="C1172" s="17" t="s">
        <v>31</v>
      </c>
      <c r="D1172" s="485">
        <v>1</v>
      </c>
      <c r="E1172" s="485">
        <v>0.47099999999999997</v>
      </c>
      <c r="F1172" s="485"/>
      <c r="G1172" s="485"/>
      <c r="H1172" s="487">
        <f t="shared" si="235"/>
        <v>0.47099999999999997</v>
      </c>
    </row>
    <row r="1173" spans="1:8">
      <c r="A1173" s="485"/>
      <c r="B1173" s="485"/>
      <c r="C1173" s="17" t="s">
        <v>31</v>
      </c>
      <c r="D1173" s="485">
        <v>1</v>
      </c>
      <c r="E1173" s="485">
        <v>7.8</v>
      </c>
      <c r="F1173" s="485"/>
      <c r="G1173" s="485"/>
      <c r="H1173" s="487">
        <f t="shared" si="235"/>
        <v>7.8</v>
      </c>
    </row>
    <row r="1174" spans="1:8">
      <c r="A1174" s="485"/>
      <c r="B1174" s="485"/>
      <c r="C1174" s="17" t="s">
        <v>31</v>
      </c>
      <c r="D1174" s="485">
        <v>1</v>
      </c>
      <c r="E1174" s="485">
        <v>0.157</v>
      </c>
      <c r="F1174" s="485"/>
      <c r="G1174" s="485"/>
      <c r="H1174" s="487">
        <f t="shared" si="235"/>
        <v>0.157</v>
      </c>
    </row>
    <row r="1175" spans="1:8">
      <c r="A1175" s="485"/>
      <c r="B1175" s="485"/>
      <c r="C1175" s="17" t="s">
        <v>31</v>
      </c>
      <c r="D1175" s="485">
        <v>1</v>
      </c>
      <c r="E1175" s="485">
        <v>5.71</v>
      </c>
      <c r="F1175" s="485"/>
      <c r="G1175" s="485"/>
      <c r="H1175" s="487">
        <f t="shared" si="235"/>
        <v>5.71</v>
      </c>
    </row>
    <row r="1176" spans="1:8">
      <c r="A1176" s="485"/>
      <c r="B1176" s="485"/>
      <c r="C1176" s="17" t="s">
        <v>31</v>
      </c>
      <c r="D1176" s="485">
        <v>1</v>
      </c>
      <c r="E1176" s="485">
        <v>0.157</v>
      </c>
      <c r="F1176" s="485"/>
      <c r="G1176" s="485"/>
      <c r="H1176" s="487">
        <f t="shared" si="235"/>
        <v>0.157</v>
      </c>
    </row>
    <row r="1177" spans="1:8">
      <c r="A1177" s="485"/>
      <c r="B1177" s="485"/>
      <c r="C1177" s="17" t="s">
        <v>31</v>
      </c>
      <c r="D1177" s="485">
        <v>1</v>
      </c>
      <c r="E1177" s="485">
        <v>8.84</v>
      </c>
      <c r="F1177" s="485"/>
      <c r="G1177" s="485"/>
      <c r="H1177" s="487">
        <f t="shared" si="235"/>
        <v>8.84</v>
      </c>
    </row>
    <row r="1178" spans="1:8">
      <c r="A1178" s="485"/>
      <c r="B1178" s="485"/>
      <c r="C1178" s="17" t="s">
        <v>31</v>
      </c>
      <c r="D1178" s="485">
        <v>1</v>
      </c>
      <c r="E1178" s="485">
        <v>0.254</v>
      </c>
      <c r="F1178" s="485"/>
      <c r="G1178" s="485"/>
      <c r="H1178" s="487">
        <f t="shared" si="235"/>
        <v>0.254</v>
      </c>
    </row>
    <row r="1179" spans="1:8">
      <c r="A1179" s="485"/>
      <c r="B1179" s="485"/>
      <c r="C1179" s="17" t="s">
        <v>31</v>
      </c>
      <c r="D1179" s="485">
        <v>1</v>
      </c>
      <c r="E1179" s="485">
        <v>5.2430000000000003</v>
      </c>
      <c r="F1179" s="485"/>
      <c r="G1179" s="485"/>
      <c r="H1179" s="487">
        <f t="shared" si="235"/>
        <v>5.2430000000000003</v>
      </c>
    </row>
    <row r="1180" spans="1:8">
      <c r="A1180" s="485"/>
      <c r="B1180" s="485"/>
      <c r="C1180" s="17" t="s">
        <v>31</v>
      </c>
      <c r="D1180" s="485">
        <v>1</v>
      </c>
      <c r="E1180" s="485">
        <v>0.217</v>
      </c>
      <c r="F1180" s="485"/>
      <c r="G1180" s="485"/>
      <c r="H1180" s="487">
        <f t="shared" si="235"/>
        <v>0.217</v>
      </c>
    </row>
    <row r="1181" spans="1:8">
      <c r="A1181" s="485"/>
      <c r="B1181" s="485"/>
      <c r="C1181" s="17" t="s">
        <v>31</v>
      </c>
      <c r="D1181" s="485">
        <v>1</v>
      </c>
      <c r="E1181" s="485">
        <v>3.4350000000000001</v>
      </c>
      <c r="F1181" s="485"/>
      <c r="G1181" s="485"/>
      <c r="H1181" s="487">
        <f t="shared" si="235"/>
        <v>3.4350000000000001</v>
      </c>
    </row>
    <row r="1182" spans="1:8">
      <c r="A1182" s="485"/>
      <c r="B1182" s="485"/>
      <c r="C1182" s="17" t="s">
        <v>31</v>
      </c>
      <c r="D1182" s="485">
        <v>1</v>
      </c>
      <c r="E1182" s="485">
        <v>0.313</v>
      </c>
      <c r="F1182" s="485"/>
      <c r="G1182" s="485"/>
      <c r="H1182" s="487">
        <f t="shared" si="235"/>
        <v>0.313</v>
      </c>
    </row>
    <row r="1183" spans="1:8">
      <c r="A1183" s="485"/>
      <c r="B1183" s="485"/>
      <c r="C1183" s="17" t="s">
        <v>31</v>
      </c>
      <c r="D1183" s="485">
        <v>1</v>
      </c>
      <c r="E1183" s="485">
        <v>0.96</v>
      </c>
      <c r="F1183" s="485"/>
      <c r="G1183" s="485"/>
      <c r="H1183" s="487">
        <f t="shared" si="235"/>
        <v>0.96</v>
      </c>
    </row>
    <row r="1184" spans="1:8">
      <c r="A1184" s="485"/>
      <c r="B1184" s="485"/>
      <c r="C1184" s="17" t="s">
        <v>31</v>
      </c>
      <c r="D1184" s="485">
        <v>1</v>
      </c>
      <c r="E1184" s="485">
        <v>0.314</v>
      </c>
      <c r="F1184" s="485"/>
      <c r="G1184" s="485"/>
      <c r="H1184" s="487">
        <f t="shared" si="235"/>
        <v>0.314</v>
      </c>
    </row>
    <row r="1185" spans="1:8">
      <c r="A1185" s="485"/>
      <c r="B1185" s="485" t="s">
        <v>1195</v>
      </c>
      <c r="C1185" s="17" t="s">
        <v>31</v>
      </c>
      <c r="D1185" s="485">
        <v>1</v>
      </c>
      <c r="E1185" s="485">
        <v>12.31</v>
      </c>
      <c r="F1185" s="485"/>
      <c r="G1185" s="485"/>
      <c r="H1185" s="487">
        <f t="shared" si="235"/>
        <v>12.31</v>
      </c>
    </row>
    <row r="1186" spans="1:8">
      <c r="A1186" s="485"/>
      <c r="B1186" s="485"/>
      <c r="C1186" s="17" t="s">
        <v>31</v>
      </c>
      <c r="D1186" s="485">
        <v>1</v>
      </c>
      <c r="E1186" s="485">
        <v>0.311</v>
      </c>
      <c r="F1186" s="485"/>
      <c r="G1186" s="485"/>
      <c r="H1186" s="487">
        <f t="shared" si="235"/>
        <v>0.311</v>
      </c>
    </row>
    <row r="1187" spans="1:8">
      <c r="A1187" s="485"/>
      <c r="B1187" s="485"/>
      <c r="C1187" s="17" t="s">
        <v>31</v>
      </c>
      <c r="D1187" s="485">
        <v>1</v>
      </c>
      <c r="E1187" s="485">
        <v>6</v>
      </c>
      <c r="F1187" s="485"/>
      <c r="G1187" s="485"/>
      <c r="H1187" s="487">
        <f t="shared" si="235"/>
        <v>6</v>
      </c>
    </row>
    <row r="1188" spans="1:8">
      <c r="A1188" s="485"/>
      <c r="B1188" s="485"/>
      <c r="C1188" s="17" t="s">
        <v>31</v>
      </c>
      <c r="D1188" s="485">
        <v>1</v>
      </c>
      <c r="E1188" s="485">
        <v>0.311</v>
      </c>
      <c r="F1188" s="485"/>
      <c r="G1188" s="485"/>
      <c r="H1188" s="487">
        <f t="shared" si="235"/>
        <v>0.311</v>
      </c>
    </row>
    <row r="1189" spans="1:8">
      <c r="A1189" s="485"/>
      <c r="B1189" s="485"/>
      <c r="C1189" s="17" t="s">
        <v>31</v>
      </c>
      <c r="D1189" s="485">
        <v>1</v>
      </c>
      <c r="E1189" s="485">
        <v>0.82</v>
      </c>
      <c r="F1189" s="485"/>
      <c r="G1189" s="485"/>
      <c r="H1189" s="487">
        <f t="shared" si="235"/>
        <v>0.82</v>
      </c>
    </row>
    <row r="1190" spans="1:8">
      <c r="A1190" s="485"/>
      <c r="B1190" s="485"/>
      <c r="C1190" s="17" t="s">
        <v>31</v>
      </c>
      <c r="D1190" s="485">
        <v>1</v>
      </c>
      <c r="E1190" s="485">
        <v>0.314</v>
      </c>
      <c r="F1190" s="485"/>
      <c r="G1190" s="485"/>
      <c r="H1190" s="487">
        <f t="shared" si="235"/>
        <v>0.314</v>
      </c>
    </row>
    <row r="1191" spans="1:8">
      <c r="A1191" s="485"/>
      <c r="B1191" s="485"/>
      <c r="C1191" s="17" t="s">
        <v>31</v>
      </c>
      <c r="D1191" s="485">
        <v>1</v>
      </c>
      <c r="E1191" s="485">
        <v>2.77</v>
      </c>
      <c r="F1191" s="485"/>
      <c r="G1191" s="485"/>
      <c r="H1191" s="487">
        <f t="shared" si="235"/>
        <v>2.77</v>
      </c>
    </row>
    <row r="1192" spans="1:8">
      <c r="A1192" s="485"/>
      <c r="B1192" s="485"/>
      <c r="C1192" s="17" t="s">
        <v>31</v>
      </c>
      <c r="D1192" s="485">
        <v>1</v>
      </c>
      <c r="E1192" s="485">
        <v>0.157</v>
      </c>
      <c r="F1192" s="485"/>
      <c r="G1192" s="485"/>
      <c r="H1192" s="487">
        <f t="shared" si="235"/>
        <v>0.157</v>
      </c>
    </row>
    <row r="1193" spans="1:8">
      <c r="A1193" s="485"/>
      <c r="B1193" s="485" t="s">
        <v>1339</v>
      </c>
      <c r="C1193" s="17" t="s">
        <v>31</v>
      </c>
      <c r="D1193" s="485">
        <v>1</v>
      </c>
      <c r="E1193" s="485">
        <v>23.65</v>
      </c>
      <c r="F1193" s="485"/>
      <c r="G1193" s="485"/>
      <c r="H1193" s="487">
        <f t="shared" si="235"/>
        <v>23.65</v>
      </c>
    </row>
    <row r="1194" spans="1:8">
      <c r="A1194" s="485"/>
      <c r="B1194" s="485"/>
      <c r="C1194" s="17" t="s">
        <v>31</v>
      </c>
      <c r="D1194" s="485">
        <v>1</v>
      </c>
      <c r="E1194" s="485">
        <v>0.47099999999999997</v>
      </c>
      <c r="F1194" s="485"/>
      <c r="G1194" s="485"/>
      <c r="H1194" s="487">
        <f t="shared" si="235"/>
        <v>0.47099999999999997</v>
      </c>
    </row>
    <row r="1195" spans="1:8">
      <c r="A1195" s="485"/>
      <c r="B1195" s="485"/>
      <c r="C1195" s="17" t="s">
        <v>31</v>
      </c>
      <c r="D1195" s="485">
        <v>1</v>
      </c>
      <c r="E1195" s="485">
        <v>10.050000000000001</v>
      </c>
      <c r="F1195" s="485"/>
      <c r="G1195" s="485"/>
      <c r="H1195" s="487">
        <f t="shared" si="235"/>
        <v>10.050000000000001</v>
      </c>
    </row>
    <row r="1196" spans="1:8">
      <c r="A1196" s="485"/>
      <c r="B1196" s="485"/>
      <c r="C1196" s="17" t="s">
        <v>31</v>
      </c>
      <c r="D1196" s="485">
        <v>1</v>
      </c>
      <c r="E1196" s="485">
        <v>0.157</v>
      </c>
      <c r="F1196" s="485"/>
      <c r="G1196" s="485"/>
      <c r="H1196" s="487">
        <f t="shared" si="235"/>
        <v>0.157</v>
      </c>
    </row>
    <row r="1197" spans="1:8">
      <c r="A1197" s="485"/>
      <c r="B1197" s="485"/>
      <c r="C1197" s="17" t="s">
        <v>31</v>
      </c>
      <c r="D1197" s="485">
        <v>1</v>
      </c>
      <c r="E1197" s="485">
        <v>16.55</v>
      </c>
      <c r="F1197" s="485"/>
      <c r="G1197" s="485"/>
      <c r="H1197" s="487">
        <f t="shared" si="235"/>
        <v>16.55</v>
      </c>
    </row>
    <row r="1198" spans="1:8">
      <c r="A1198" s="485"/>
      <c r="B1198" s="485"/>
      <c r="C1198" s="17" t="s">
        <v>31</v>
      </c>
      <c r="D1198" s="485">
        <v>1</v>
      </c>
      <c r="E1198" s="485">
        <v>0.314</v>
      </c>
      <c r="F1198" s="485"/>
      <c r="G1198" s="485"/>
      <c r="H1198" s="487">
        <f t="shared" si="235"/>
        <v>0.314</v>
      </c>
    </row>
    <row r="1199" spans="1:8">
      <c r="A1199" s="485"/>
      <c r="B1199" s="485"/>
      <c r="C1199" s="17" t="s">
        <v>31</v>
      </c>
      <c r="D1199" s="485">
        <v>1</v>
      </c>
      <c r="E1199" s="485">
        <v>7.13</v>
      </c>
      <c r="F1199" s="485"/>
      <c r="G1199" s="485"/>
      <c r="H1199" s="487">
        <f t="shared" si="235"/>
        <v>7.13</v>
      </c>
    </row>
    <row r="1200" spans="1:8">
      <c r="A1200" s="485"/>
      <c r="B1200" s="485"/>
      <c r="C1200" s="17" t="s">
        <v>31</v>
      </c>
      <c r="D1200" s="485">
        <v>1</v>
      </c>
      <c r="E1200" s="485">
        <v>0.314</v>
      </c>
      <c r="F1200" s="485"/>
      <c r="G1200" s="485"/>
      <c r="H1200" s="487">
        <f t="shared" si="235"/>
        <v>0.314</v>
      </c>
    </row>
    <row r="1201" spans="1:14">
      <c r="A1201" s="17"/>
      <c r="B1201" s="17"/>
      <c r="C1201" s="16"/>
      <c r="D1201" s="17"/>
      <c r="E1201" s="17"/>
      <c r="F1201" s="17"/>
      <c r="G1201" s="17"/>
      <c r="H1201" s="18"/>
    </row>
    <row r="1202" spans="1:14">
      <c r="A1202" s="17"/>
      <c r="B1202" s="17"/>
      <c r="C1202" s="17"/>
      <c r="D1202" s="17"/>
      <c r="E1202" s="17"/>
      <c r="F1202" s="17"/>
      <c r="G1202" s="17"/>
      <c r="H1202" s="18"/>
    </row>
    <row r="1203" spans="1:14">
      <c r="A1203" s="15"/>
      <c r="B1203" s="15" t="s">
        <v>21</v>
      </c>
      <c r="C1203" s="15"/>
      <c r="D1203" s="15"/>
      <c r="E1203" s="15"/>
      <c r="F1203" s="15"/>
      <c r="G1203" s="15"/>
      <c r="H1203" s="20">
        <f>SUM(H1115:H1202)</f>
        <v>527.03099999999972</v>
      </c>
    </row>
    <row r="1204" spans="1:14">
      <c r="A1204" s="17"/>
      <c r="B1204" s="17" t="s">
        <v>22</v>
      </c>
      <c r="C1204" s="17"/>
      <c r="D1204" s="17"/>
      <c r="E1204" s="17"/>
      <c r="F1204" s="17"/>
      <c r="G1204" s="17"/>
      <c r="H1204" s="18"/>
    </row>
    <row r="1205" spans="1:14">
      <c r="A1205" s="15"/>
      <c r="B1205" s="15" t="s">
        <v>23</v>
      </c>
      <c r="C1205" s="15"/>
      <c r="D1205" s="15"/>
      <c r="E1205" s="15"/>
      <c r="F1205" s="15"/>
      <c r="G1205" s="15"/>
      <c r="H1205" s="20">
        <f>ROUND(SUM(H1203:H1204),0)</f>
        <v>527</v>
      </c>
    </row>
    <row r="1206" spans="1:14">
      <c r="A1206" s="17"/>
      <c r="B1206" s="17"/>
      <c r="C1206" s="17"/>
      <c r="D1206" s="17"/>
      <c r="E1206" s="17"/>
      <c r="F1206" s="17"/>
      <c r="G1206" s="17"/>
      <c r="H1206" s="18"/>
    </row>
    <row r="1207" spans="1:14">
      <c r="A1207" s="17">
        <v>4</v>
      </c>
      <c r="B1207" s="15" t="s">
        <v>1961</v>
      </c>
      <c r="C1207" s="17" t="s">
        <v>1904</v>
      </c>
      <c r="D1207" s="17"/>
      <c r="E1207" s="17"/>
      <c r="F1207" s="17"/>
      <c r="G1207" s="17"/>
      <c r="H1207" s="18"/>
    </row>
    <row r="1208" spans="1:14">
      <c r="A1208" s="17"/>
      <c r="B1208" s="17" t="s">
        <v>1242</v>
      </c>
      <c r="C1208" s="17" t="s">
        <v>1904</v>
      </c>
      <c r="D1208" s="17">
        <v>2</v>
      </c>
      <c r="E1208" s="17">
        <v>5.0999999999999996</v>
      </c>
      <c r="F1208" s="17"/>
      <c r="G1208" s="17"/>
      <c r="H1208" s="18">
        <f t="shared" ref="H1208:H1211" si="236">PRODUCT(D1208:G1208)</f>
        <v>10.199999999999999</v>
      </c>
      <c r="J1208">
        <f>1*0.7</f>
        <v>0.7</v>
      </c>
    </row>
    <row r="1209" spans="1:14">
      <c r="A1209" s="17"/>
      <c r="B1209" s="17"/>
      <c r="C1209" s="17" t="s">
        <v>1904</v>
      </c>
      <c r="D1209" s="17">
        <v>2</v>
      </c>
      <c r="E1209" s="17">
        <v>2.5</v>
      </c>
      <c r="F1209" s="17"/>
      <c r="G1209" s="17"/>
      <c r="H1209" s="18">
        <f t="shared" si="236"/>
        <v>5</v>
      </c>
      <c r="J1209">
        <f>2*2</f>
        <v>4</v>
      </c>
      <c r="K1209">
        <f>J1209*420</f>
        <v>1680</v>
      </c>
      <c r="L1209">
        <f>2*30*2</f>
        <v>120</v>
      </c>
      <c r="M1209">
        <f>L1209+K1209</f>
        <v>1800</v>
      </c>
    </row>
    <row r="1210" spans="1:14">
      <c r="A1210" s="17"/>
      <c r="B1210" s="17" t="s">
        <v>1243</v>
      </c>
      <c r="C1210" s="17" t="s">
        <v>1904</v>
      </c>
      <c r="D1210" s="17">
        <v>2</v>
      </c>
      <c r="E1210" s="17">
        <v>3.6</v>
      </c>
      <c r="F1210" s="17"/>
      <c r="G1210" s="17"/>
      <c r="H1210" s="18">
        <f t="shared" si="236"/>
        <v>7.2</v>
      </c>
      <c r="J1210">
        <f>1*0.7*5</f>
        <v>3.5</v>
      </c>
      <c r="K1210">
        <f>J1210*420</f>
        <v>1470</v>
      </c>
      <c r="L1210">
        <f>J1208*10.764*30</f>
        <v>226.04399999999995</v>
      </c>
      <c r="M1210" s="948">
        <f>L1210+K1210</f>
        <v>1696.0439999999999</v>
      </c>
    </row>
    <row r="1211" spans="1:14">
      <c r="A1211" s="485"/>
      <c r="B1211" s="485"/>
      <c r="C1211" s="17" t="s">
        <v>1904</v>
      </c>
      <c r="D1211" s="485">
        <v>2</v>
      </c>
      <c r="E1211" s="17">
        <v>2.5</v>
      </c>
      <c r="F1211" s="485"/>
      <c r="G1211" s="485"/>
      <c r="H1211" s="487">
        <f t="shared" si="236"/>
        <v>5</v>
      </c>
    </row>
    <row r="1212" spans="1:14">
      <c r="A1212" s="17"/>
      <c r="B1212" s="17"/>
      <c r="C1212" s="16"/>
      <c r="D1212" s="17"/>
      <c r="E1212" s="17"/>
      <c r="F1212" s="17"/>
      <c r="G1212" s="17"/>
      <c r="H1212" s="18"/>
      <c r="M1212">
        <f>SUM(M1209:M1211)</f>
        <v>3496.0439999999999</v>
      </c>
      <c r="N1212">
        <f>M1212/0.7</f>
        <v>4994.3485714285716</v>
      </c>
    </row>
    <row r="1213" spans="1:14">
      <c r="A1213" s="17"/>
      <c r="B1213" s="17"/>
      <c r="C1213" s="17"/>
      <c r="D1213" s="17"/>
      <c r="E1213" s="17"/>
      <c r="F1213" s="17"/>
      <c r="G1213" s="17"/>
      <c r="H1213" s="18"/>
    </row>
    <row r="1214" spans="1:14">
      <c r="A1214" s="15"/>
      <c r="B1214" s="15" t="s">
        <v>21</v>
      </c>
      <c r="C1214" s="15"/>
      <c r="D1214" s="15"/>
      <c r="E1214" s="15"/>
      <c r="F1214" s="15"/>
      <c r="G1214" s="15"/>
      <c r="H1214" s="20">
        <f>SUM(H1208:H1213)</f>
        <v>27.4</v>
      </c>
    </row>
    <row r="1215" spans="1:14">
      <c r="A1215" s="17"/>
      <c r="B1215" s="17" t="s">
        <v>22</v>
      </c>
      <c r="C1215" s="17"/>
      <c r="D1215" s="17"/>
      <c r="E1215" s="17"/>
      <c r="F1215" s="17"/>
      <c r="G1215" s="17"/>
      <c r="H1215" s="18"/>
    </row>
    <row r="1216" spans="1:14">
      <c r="A1216" s="15"/>
      <c r="B1216" s="15" t="s">
        <v>23</v>
      </c>
      <c r="C1216" s="15"/>
      <c r="D1216" s="15"/>
      <c r="E1216" s="15"/>
      <c r="F1216" s="15"/>
      <c r="G1216" s="15"/>
      <c r="H1216" s="20">
        <f>ROUND(SUM(H1214:H1215),0)</f>
        <v>27</v>
      </c>
    </row>
    <row r="1217" spans="1:8" s="948" customFormat="1">
      <c r="A1217" s="17"/>
      <c r="B1217" s="17"/>
      <c r="C1217" s="17"/>
      <c r="D1217" s="17"/>
      <c r="E1217" s="17"/>
      <c r="F1217" s="17"/>
      <c r="G1217" s="17"/>
      <c r="H1217" s="18"/>
    </row>
    <row r="1218" spans="1:8" s="948" customFormat="1">
      <c r="A1218" s="17">
        <v>3</v>
      </c>
      <c r="B1218" s="15" t="s">
        <v>2132</v>
      </c>
      <c r="C1218" s="17"/>
      <c r="D1218" s="17"/>
      <c r="E1218" s="17"/>
      <c r="F1218" s="17"/>
      <c r="G1218" s="17"/>
      <c r="H1218" s="18"/>
    </row>
    <row r="1219" spans="1:8" s="948" customFormat="1">
      <c r="A1219" s="485"/>
      <c r="B1219" s="485"/>
      <c r="C1219" s="485"/>
      <c r="D1219" s="485"/>
      <c r="E1219" s="485"/>
      <c r="F1219" s="485"/>
      <c r="G1219" s="485"/>
      <c r="H1219" s="487"/>
    </row>
    <row r="1220" spans="1:8" s="948" customFormat="1">
      <c r="A1220" s="485"/>
      <c r="B1220" s="485"/>
      <c r="C1220" s="485"/>
      <c r="D1220" s="485"/>
      <c r="E1220" s="485"/>
      <c r="F1220" s="485"/>
      <c r="G1220" s="485"/>
      <c r="H1220" s="487"/>
    </row>
    <row r="1221" spans="1:8" s="948" customFormat="1">
      <c r="A1221" s="485"/>
      <c r="B1221" s="485" t="s">
        <v>2044</v>
      </c>
      <c r="C1221" s="17" t="s">
        <v>10</v>
      </c>
      <c r="D1221" s="485"/>
      <c r="E1221" s="485"/>
      <c r="F1221" s="485"/>
      <c r="G1221" s="485"/>
      <c r="H1221" s="487">
        <f t="shared" ref="H1221:H1264" si="237">PRODUCT(D1221:G1221)</f>
        <v>0</v>
      </c>
    </row>
    <row r="1222" spans="1:8" s="948" customFormat="1">
      <c r="A1222" s="485"/>
      <c r="B1222" s="485"/>
      <c r="C1222" s="17" t="s">
        <v>10</v>
      </c>
      <c r="D1222" s="485">
        <v>1</v>
      </c>
      <c r="E1222" s="485">
        <v>3</v>
      </c>
      <c r="F1222" s="485">
        <v>2.7</v>
      </c>
      <c r="G1222" s="485"/>
      <c r="H1222" s="487">
        <f t="shared" si="237"/>
        <v>8.1000000000000014</v>
      </c>
    </row>
    <row r="1223" spans="1:8" s="948" customFormat="1">
      <c r="A1223" s="485"/>
      <c r="B1223" s="485" t="s">
        <v>1199</v>
      </c>
      <c r="C1223" s="17" t="s">
        <v>10</v>
      </c>
      <c r="D1223" s="485"/>
      <c r="E1223" s="485"/>
      <c r="F1223" s="485"/>
      <c r="G1223" s="485"/>
      <c r="H1223" s="487">
        <f t="shared" si="237"/>
        <v>0</v>
      </c>
    </row>
    <row r="1224" spans="1:8" s="948" customFormat="1">
      <c r="A1224" s="485"/>
      <c r="B1224" s="485"/>
      <c r="C1224" s="17" t="s">
        <v>10</v>
      </c>
      <c r="D1224" s="485">
        <v>1</v>
      </c>
      <c r="E1224" s="485">
        <v>2.7</v>
      </c>
      <c r="F1224" s="485">
        <v>3</v>
      </c>
      <c r="G1224" s="485"/>
      <c r="H1224" s="487">
        <f t="shared" si="237"/>
        <v>8.1000000000000014</v>
      </c>
    </row>
    <row r="1225" spans="1:8" s="948" customFormat="1">
      <c r="A1225" s="485"/>
      <c r="B1225" s="485" t="s">
        <v>1327</v>
      </c>
      <c r="C1225" s="17" t="s">
        <v>10</v>
      </c>
      <c r="D1225" s="485"/>
      <c r="E1225" s="485"/>
      <c r="F1225" s="485"/>
      <c r="G1225" s="485"/>
      <c r="H1225" s="487">
        <f t="shared" si="237"/>
        <v>0</v>
      </c>
    </row>
    <row r="1226" spans="1:8" s="948" customFormat="1">
      <c r="A1226" s="485"/>
      <c r="B1226" s="485"/>
      <c r="C1226" s="17" t="s">
        <v>10</v>
      </c>
      <c r="D1226" s="485">
        <v>1</v>
      </c>
      <c r="E1226" s="485">
        <v>2.7</v>
      </c>
      <c r="F1226" s="485">
        <v>3</v>
      </c>
      <c r="G1226" s="485"/>
      <c r="H1226" s="487">
        <f t="shared" si="237"/>
        <v>8.1000000000000014</v>
      </c>
    </row>
    <row r="1227" spans="1:8" s="948" customFormat="1">
      <c r="A1227" s="485"/>
      <c r="B1227" s="485" t="s">
        <v>2047</v>
      </c>
      <c r="C1227" s="17" t="s">
        <v>10</v>
      </c>
      <c r="D1227" s="485"/>
      <c r="E1227" s="485"/>
      <c r="F1227" s="485"/>
      <c r="G1227" s="485"/>
      <c r="H1227" s="487">
        <f t="shared" si="237"/>
        <v>0</v>
      </c>
    </row>
    <row r="1228" spans="1:8" s="948" customFormat="1">
      <c r="A1228" s="485"/>
      <c r="B1228" s="485"/>
      <c r="C1228" s="17" t="s">
        <v>10</v>
      </c>
      <c r="D1228" s="485">
        <v>1</v>
      </c>
      <c r="E1228" s="485">
        <v>4.8</v>
      </c>
      <c r="F1228" s="485">
        <v>3</v>
      </c>
      <c r="G1228" s="485"/>
      <c r="H1228" s="487">
        <f t="shared" si="237"/>
        <v>14.399999999999999</v>
      </c>
    </row>
    <row r="1229" spans="1:8" s="948" customFormat="1">
      <c r="A1229" s="485"/>
      <c r="B1229" s="485" t="s">
        <v>1299</v>
      </c>
      <c r="C1229" s="17" t="s">
        <v>10</v>
      </c>
      <c r="D1229" s="485"/>
      <c r="E1229" s="485"/>
      <c r="F1229" s="485"/>
      <c r="G1229" s="485"/>
      <c r="H1229" s="487">
        <f t="shared" si="237"/>
        <v>0</v>
      </c>
    </row>
    <row r="1230" spans="1:8" s="948" customFormat="1">
      <c r="A1230" s="485"/>
      <c r="B1230" s="485"/>
      <c r="C1230" s="17" t="s">
        <v>10</v>
      </c>
      <c r="D1230" s="485">
        <v>1</v>
      </c>
      <c r="E1230" s="485">
        <v>2.4</v>
      </c>
      <c r="F1230" s="485">
        <v>3</v>
      </c>
      <c r="G1230" s="485"/>
      <c r="H1230" s="487">
        <f t="shared" si="237"/>
        <v>7.1999999999999993</v>
      </c>
    </row>
    <row r="1231" spans="1:8" s="948" customFormat="1">
      <c r="A1231" s="485"/>
      <c r="B1231" s="485" t="s">
        <v>1300</v>
      </c>
      <c r="C1231" s="17" t="s">
        <v>10</v>
      </c>
      <c r="D1231" s="485"/>
      <c r="E1231" s="485"/>
      <c r="F1231" s="485"/>
      <c r="G1231" s="485"/>
      <c r="H1231" s="487">
        <f t="shared" si="237"/>
        <v>0</v>
      </c>
    </row>
    <row r="1232" spans="1:8" s="948" customFormat="1">
      <c r="A1232" s="485"/>
      <c r="B1232" s="485"/>
      <c r="C1232" s="17" t="s">
        <v>10</v>
      </c>
      <c r="D1232" s="485">
        <v>1</v>
      </c>
      <c r="E1232" s="485">
        <v>2.4</v>
      </c>
      <c r="F1232" s="485">
        <v>3</v>
      </c>
      <c r="G1232" s="485"/>
      <c r="H1232" s="487">
        <f t="shared" si="237"/>
        <v>7.1999999999999993</v>
      </c>
    </row>
    <row r="1233" spans="1:8" s="948" customFormat="1">
      <c r="A1233" s="485"/>
      <c r="B1233" s="485" t="s">
        <v>1301</v>
      </c>
      <c r="C1233" s="17" t="s">
        <v>10</v>
      </c>
      <c r="D1233" s="485"/>
      <c r="E1233" s="485"/>
      <c r="F1233" s="485"/>
      <c r="G1233" s="485"/>
      <c r="H1233" s="487">
        <f t="shared" si="237"/>
        <v>0</v>
      </c>
    </row>
    <row r="1234" spans="1:8" s="948" customFormat="1">
      <c r="A1234" s="485"/>
      <c r="B1234" s="485"/>
      <c r="C1234" s="17" t="s">
        <v>10</v>
      </c>
      <c r="D1234" s="485">
        <v>1</v>
      </c>
      <c r="E1234" s="485">
        <v>2.4</v>
      </c>
      <c r="F1234" s="485">
        <v>3</v>
      </c>
      <c r="G1234" s="485"/>
      <c r="H1234" s="487">
        <f t="shared" si="237"/>
        <v>7.1999999999999993</v>
      </c>
    </row>
    <row r="1235" spans="1:8" s="948" customFormat="1">
      <c r="A1235" s="485"/>
      <c r="B1235" s="485" t="s">
        <v>1201</v>
      </c>
      <c r="C1235" s="17" t="s">
        <v>10</v>
      </c>
      <c r="D1235" s="485"/>
      <c r="E1235" s="485"/>
      <c r="F1235" s="485"/>
      <c r="G1235" s="485"/>
      <c r="H1235" s="487">
        <f t="shared" si="237"/>
        <v>0</v>
      </c>
    </row>
    <row r="1236" spans="1:8" s="948" customFormat="1">
      <c r="A1236" s="485"/>
      <c r="B1236" s="485"/>
      <c r="C1236" s="17" t="s">
        <v>10</v>
      </c>
      <c r="D1236" s="485">
        <v>1</v>
      </c>
      <c r="E1236" s="485">
        <v>3</v>
      </c>
      <c r="F1236" s="485">
        <v>2.7</v>
      </c>
      <c r="G1236" s="485"/>
      <c r="H1236" s="487">
        <f t="shared" si="237"/>
        <v>8.1000000000000014</v>
      </c>
    </row>
    <row r="1237" spans="1:8" s="948" customFormat="1">
      <c r="A1237" s="485"/>
      <c r="B1237" s="485" t="s">
        <v>1202</v>
      </c>
      <c r="C1237" s="17" t="s">
        <v>10</v>
      </c>
      <c r="D1237" s="485"/>
      <c r="E1237" s="485"/>
      <c r="F1237" s="485"/>
      <c r="G1237" s="485"/>
      <c r="H1237" s="487">
        <f t="shared" si="237"/>
        <v>0</v>
      </c>
    </row>
    <row r="1238" spans="1:8" s="948" customFormat="1">
      <c r="A1238" s="485"/>
      <c r="B1238" s="485"/>
      <c r="C1238" s="17" t="s">
        <v>10</v>
      </c>
      <c r="D1238" s="485">
        <v>1</v>
      </c>
      <c r="E1238" s="485">
        <v>3</v>
      </c>
      <c r="F1238" s="485">
        <v>2.7</v>
      </c>
      <c r="G1238" s="485"/>
      <c r="H1238" s="487">
        <f t="shared" si="237"/>
        <v>8.1000000000000014</v>
      </c>
    </row>
    <row r="1239" spans="1:8" s="948" customFormat="1">
      <c r="A1239" s="485"/>
      <c r="B1239" s="485" t="s">
        <v>2038</v>
      </c>
      <c r="C1239" s="17" t="s">
        <v>10</v>
      </c>
      <c r="D1239" s="485"/>
      <c r="E1239" s="485"/>
      <c r="F1239" s="485"/>
      <c r="G1239" s="485"/>
      <c r="H1239" s="487">
        <f t="shared" si="237"/>
        <v>0</v>
      </c>
    </row>
    <row r="1240" spans="1:8" s="948" customFormat="1">
      <c r="A1240" s="485"/>
      <c r="B1240" s="485"/>
      <c r="C1240" s="17" t="s">
        <v>10</v>
      </c>
      <c r="D1240" s="485">
        <v>1</v>
      </c>
      <c r="E1240" s="485">
        <v>3.6</v>
      </c>
      <c r="F1240" s="485">
        <v>2.7</v>
      </c>
      <c r="G1240" s="485"/>
      <c r="H1240" s="487">
        <f t="shared" si="237"/>
        <v>9.7200000000000006</v>
      </c>
    </row>
    <row r="1241" spans="1:8" s="948" customFormat="1">
      <c r="A1241" s="485"/>
      <c r="B1241" s="485" t="s">
        <v>1216</v>
      </c>
      <c r="C1241" s="17" t="s">
        <v>10</v>
      </c>
      <c r="D1241" s="485"/>
      <c r="E1241" s="485"/>
      <c r="F1241" s="485"/>
      <c r="G1241" s="485"/>
      <c r="H1241" s="487">
        <f t="shared" si="237"/>
        <v>0</v>
      </c>
    </row>
    <row r="1242" spans="1:8" s="948" customFormat="1">
      <c r="A1242" s="485"/>
      <c r="B1242" s="485"/>
      <c r="C1242" s="17" t="s">
        <v>10</v>
      </c>
      <c r="D1242" s="485">
        <v>1</v>
      </c>
      <c r="E1242" s="485">
        <v>3</v>
      </c>
      <c r="F1242" s="485">
        <v>3.9</v>
      </c>
      <c r="G1242" s="485"/>
      <c r="H1242" s="487">
        <f t="shared" si="237"/>
        <v>11.7</v>
      </c>
    </row>
    <row r="1243" spans="1:8" s="948" customFormat="1">
      <c r="A1243" s="485"/>
      <c r="B1243" s="485" t="s">
        <v>2048</v>
      </c>
      <c r="C1243" s="17" t="s">
        <v>10</v>
      </c>
      <c r="D1243" s="485"/>
      <c r="E1243" s="485"/>
      <c r="F1243" s="485"/>
      <c r="G1243" s="485"/>
      <c r="H1243" s="487">
        <f t="shared" si="237"/>
        <v>0</v>
      </c>
    </row>
    <row r="1244" spans="1:8" s="948" customFormat="1">
      <c r="A1244" s="485"/>
      <c r="B1244" s="485"/>
      <c r="C1244" s="17" t="s">
        <v>10</v>
      </c>
      <c r="D1244" s="485">
        <v>1</v>
      </c>
      <c r="E1244" s="485">
        <v>3</v>
      </c>
      <c r="F1244" s="485">
        <v>3</v>
      </c>
      <c r="G1244" s="485"/>
      <c r="H1244" s="487">
        <f t="shared" si="237"/>
        <v>9</v>
      </c>
    </row>
    <row r="1245" spans="1:8" s="948" customFormat="1">
      <c r="A1245" s="485"/>
      <c r="B1245" s="485" t="s">
        <v>1213</v>
      </c>
      <c r="C1245" s="17" t="s">
        <v>10</v>
      </c>
      <c r="D1245" s="485"/>
      <c r="E1245" s="485"/>
      <c r="F1245" s="485"/>
      <c r="G1245" s="485"/>
      <c r="H1245" s="487">
        <f t="shared" si="237"/>
        <v>0</v>
      </c>
    </row>
    <row r="1246" spans="1:8" s="948" customFormat="1">
      <c r="A1246" s="485"/>
      <c r="B1246" s="485"/>
      <c r="C1246" s="17" t="s">
        <v>10</v>
      </c>
      <c r="D1246" s="485">
        <v>1</v>
      </c>
      <c r="E1246" s="485">
        <v>3</v>
      </c>
      <c r="F1246" s="485">
        <v>2.7</v>
      </c>
      <c r="G1246" s="485"/>
      <c r="H1246" s="487">
        <f t="shared" si="237"/>
        <v>8.1000000000000014</v>
      </c>
    </row>
    <row r="1247" spans="1:8" s="948" customFormat="1">
      <c r="A1247" s="485"/>
      <c r="B1247" s="485" t="s">
        <v>1214</v>
      </c>
      <c r="C1247" s="17" t="s">
        <v>10</v>
      </c>
      <c r="D1247" s="485"/>
      <c r="E1247" s="485"/>
      <c r="F1247" s="485"/>
      <c r="G1247" s="485"/>
      <c r="H1247" s="487">
        <f t="shared" si="237"/>
        <v>0</v>
      </c>
    </row>
    <row r="1248" spans="1:8" s="948" customFormat="1">
      <c r="A1248" s="485"/>
      <c r="B1248" s="485"/>
      <c r="C1248" s="17" t="s">
        <v>10</v>
      </c>
      <c r="D1248" s="485">
        <v>1</v>
      </c>
      <c r="E1248" s="485">
        <v>3</v>
      </c>
      <c r="F1248" s="485">
        <v>2.7</v>
      </c>
      <c r="G1248" s="485"/>
      <c r="H1248" s="487">
        <f t="shared" si="237"/>
        <v>8.1000000000000014</v>
      </c>
    </row>
    <row r="1249" spans="1:8" s="948" customFormat="1">
      <c r="A1249" s="485"/>
      <c r="B1249" s="485" t="s">
        <v>286</v>
      </c>
      <c r="C1249" s="17" t="s">
        <v>10</v>
      </c>
      <c r="D1249" s="485"/>
      <c r="E1249" s="485"/>
      <c r="F1249" s="485"/>
      <c r="G1249" s="485"/>
      <c r="H1249" s="487">
        <f t="shared" si="237"/>
        <v>0</v>
      </c>
    </row>
    <row r="1250" spans="1:8" s="948" customFormat="1">
      <c r="A1250" s="485"/>
      <c r="B1250" s="485"/>
      <c r="C1250" s="17" t="s">
        <v>10</v>
      </c>
      <c r="D1250" s="485">
        <v>1</v>
      </c>
      <c r="E1250" s="485">
        <v>2.7</v>
      </c>
      <c r="F1250" s="485">
        <v>2.1</v>
      </c>
      <c r="G1250" s="485"/>
      <c r="H1250" s="487">
        <f t="shared" si="237"/>
        <v>5.6700000000000008</v>
      </c>
    </row>
    <row r="1251" spans="1:8" s="948" customFormat="1">
      <c r="A1251" s="485"/>
      <c r="B1251" s="485" t="s">
        <v>1280</v>
      </c>
      <c r="C1251" s="17" t="s">
        <v>10</v>
      </c>
      <c r="D1251" s="485"/>
      <c r="E1251" s="485"/>
      <c r="F1251" s="485"/>
      <c r="G1251" s="485"/>
      <c r="H1251" s="487">
        <f t="shared" si="237"/>
        <v>0</v>
      </c>
    </row>
    <row r="1252" spans="1:8" s="948" customFormat="1">
      <c r="A1252" s="485"/>
      <c r="B1252" s="485"/>
      <c r="C1252" s="17" t="s">
        <v>10</v>
      </c>
      <c r="D1252" s="485">
        <v>1</v>
      </c>
      <c r="E1252" s="485">
        <v>2.7</v>
      </c>
      <c r="F1252" s="485">
        <v>2.1</v>
      </c>
      <c r="G1252" s="485"/>
      <c r="H1252" s="487">
        <f t="shared" si="237"/>
        <v>5.6700000000000008</v>
      </c>
    </row>
    <row r="1253" spans="1:8" s="948" customFormat="1">
      <c r="A1253" s="485"/>
      <c r="B1253" s="485" t="s">
        <v>2049</v>
      </c>
      <c r="C1253" s="17" t="s">
        <v>10</v>
      </c>
      <c r="D1253" s="485"/>
      <c r="E1253" s="485"/>
      <c r="F1253" s="485"/>
      <c r="G1253" s="485"/>
      <c r="H1253" s="487">
        <f t="shared" si="237"/>
        <v>0</v>
      </c>
    </row>
    <row r="1254" spans="1:8" s="948" customFormat="1">
      <c r="A1254" s="485"/>
      <c r="B1254" s="485"/>
      <c r="C1254" s="17" t="s">
        <v>10</v>
      </c>
      <c r="D1254" s="485">
        <v>1</v>
      </c>
      <c r="E1254" s="485">
        <v>3.6</v>
      </c>
      <c r="F1254" s="485">
        <v>3</v>
      </c>
      <c r="G1254" s="485"/>
      <c r="H1254" s="487">
        <f t="shared" si="237"/>
        <v>10.8</v>
      </c>
    </row>
    <row r="1255" spans="1:8" s="948" customFormat="1">
      <c r="A1255" s="485"/>
      <c r="B1255" s="485" t="s">
        <v>1230</v>
      </c>
      <c r="C1255" s="17" t="s">
        <v>10</v>
      </c>
      <c r="D1255" s="485"/>
      <c r="E1255" s="485"/>
      <c r="F1255" s="485"/>
      <c r="G1255" s="485"/>
      <c r="H1255" s="487">
        <f t="shared" si="237"/>
        <v>0</v>
      </c>
    </row>
    <row r="1256" spans="1:8" s="948" customFormat="1">
      <c r="A1256" s="485"/>
      <c r="B1256" s="485"/>
      <c r="C1256" s="17" t="s">
        <v>10</v>
      </c>
      <c r="D1256" s="485">
        <v>1</v>
      </c>
      <c r="E1256" s="485">
        <v>2.7</v>
      </c>
      <c r="F1256" s="485">
        <v>3</v>
      </c>
      <c r="G1256" s="485"/>
      <c r="H1256" s="487">
        <f t="shared" si="237"/>
        <v>8.1000000000000014</v>
      </c>
    </row>
    <row r="1257" spans="1:8" s="948" customFormat="1">
      <c r="A1257" s="485"/>
      <c r="B1257" s="485" t="s">
        <v>1229</v>
      </c>
      <c r="C1257" s="17" t="s">
        <v>10</v>
      </c>
      <c r="D1257" s="485"/>
      <c r="E1257" s="485"/>
      <c r="F1257" s="485"/>
      <c r="G1257" s="485"/>
      <c r="H1257" s="487">
        <f t="shared" si="237"/>
        <v>0</v>
      </c>
    </row>
    <row r="1258" spans="1:8" s="948" customFormat="1">
      <c r="A1258" s="485"/>
      <c r="B1258" s="485"/>
      <c r="C1258" s="17" t="s">
        <v>10</v>
      </c>
      <c r="D1258" s="485">
        <v>1</v>
      </c>
      <c r="E1258" s="485">
        <v>2.7</v>
      </c>
      <c r="F1258" s="485">
        <v>3</v>
      </c>
      <c r="G1258" s="485"/>
      <c r="H1258" s="487">
        <f t="shared" si="237"/>
        <v>8.1000000000000014</v>
      </c>
    </row>
    <row r="1259" spans="1:8" s="948" customFormat="1">
      <c r="A1259" s="485"/>
      <c r="B1259" s="485" t="s">
        <v>2052</v>
      </c>
      <c r="C1259" s="17" t="s">
        <v>10</v>
      </c>
      <c r="D1259" s="485"/>
      <c r="E1259" s="485"/>
      <c r="F1259" s="485"/>
      <c r="G1259" s="485"/>
      <c r="H1259" s="487">
        <f t="shared" si="237"/>
        <v>0</v>
      </c>
    </row>
    <row r="1260" spans="1:8" s="948" customFormat="1">
      <c r="A1260" s="485"/>
      <c r="B1260" s="485"/>
      <c r="C1260" s="17" t="s">
        <v>10</v>
      </c>
      <c r="D1260" s="485">
        <v>1</v>
      </c>
      <c r="E1260" s="485">
        <v>4.2</v>
      </c>
      <c r="F1260" s="485">
        <v>3</v>
      </c>
      <c r="G1260" s="485"/>
      <c r="H1260" s="487">
        <f t="shared" si="237"/>
        <v>12.600000000000001</v>
      </c>
    </row>
    <row r="1261" spans="1:8" s="948" customFormat="1">
      <c r="A1261" s="485"/>
      <c r="B1261" s="485" t="s">
        <v>1195</v>
      </c>
      <c r="C1261" s="17" t="s">
        <v>10</v>
      </c>
      <c r="D1261" s="485"/>
      <c r="E1261" s="485"/>
      <c r="F1261" s="485"/>
      <c r="G1261" s="485"/>
      <c r="H1261" s="487">
        <f t="shared" si="237"/>
        <v>0</v>
      </c>
    </row>
    <row r="1262" spans="1:8" s="948" customFormat="1">
      <c r="A1262" s="485"/>
      <c r="B1262" s="485"/>
      <c r="C1262" s="17" t="s">
        <v>10</v>
      </c>
      <c r="D1262" s="485">
        <v>1</v>
      </c>
      <c r="E1262" s="485">
        <v>3</v>
      </c>
      <c r="F1262" s="485">
        <v>2.7</v>
      </c>
      <c r="G1262" s="485"/>
      <c r="H1262" s="487">
        <f t="shared" si="237"/>
        <v>8.1000000000000014</v>
      </c>
    </row>
    <row r="1263" spans="1:8" s="948" customFormat="1">
      <c r="A1263" s="485"/>
      <c r="B1263" s="485" t="s">
        <v>1317</v>
      </c>
      <c r="C1263" s="17" t="s">
        <v>10</v>
      </c>
      <c r="D1263" s="485"/>
      <c r="E1263" s="485"/>
      <c r="F1263" s="485"/>
      <c r="G1263" s="485"/>
      <c r="H1263" s="487">
        <f t="shared" si="237"/>
        <v>0</v>
      </c>
    </row>
    <row r="1264" spans="1:8" s="948" customFormat="1">
      <c r="A1264" s="485"/>
      <c r="B1264" s="485"/>
      <c r="C1264" s="17" t="s">
        <v>10</v>
      </c>
      <c r="D1264" s="485">
        <v>1</v>
      </c>
      <c r="E1264" s="485">
        <v>2.4</v>
      </c>
      <c r="F1264" s="485">
        <v>3</v>
      </c>
      <c r="G1264" s="485"/>
      <c r="H1264" s="487">
        <f t="shared" si="237"/>
        <v>7.1999999999999993</v>
      </c>
    </row>
    <row r="1265" spans="1:11" s="948" customFormat="1">
      <c r="A1265" s="485"/>
      <c r="B1265" s="485"/>
      <c r="C1265" s="485"/>
      <c r="D1265" s="485"/>
      <c r="E1265" s="485"/>
      <c r="F1265" s="485"/>
      <c r="G1265" s="485"/>
      <c r="H1265" s="487"/>
    </row>
    <row r="1266" spans="1:11" s="948" customFormat="1">
      <c r="A1266" s="15"/>
      <c r="B1266" s="15" t="s">
        <v>21</v>
      </c>
      <c r="C1266" s="15"/>
      <c r="D1266" s="15"/>
      <c r="E1266" s="15"/>
      <c r="F1266" s="15"/>
      <c r="G1266" s="15"/>
      <c r="H1266" s="20">
        <f>SUM(H1219:H1265)</f>
        <v>189.35999999999996</v>
      </c>
    </row>
    <row r="1267" spans="1:11" s="948" customFormat="1">
      <c r="A1267" s="17"/>
      <c r="B1267" s="17" t="s">
        <v>22</v>
      </c>
      <c r="C1267" s="17"/>
      <c r="D1267" s="17"/>
      <c r="E1267" s="17"/>
      <c r="F1267" s="17"/>
      <c r="G1267" s="17"/>
      <c r="H1267" s="18"/>
    </row>
    <row r="1268" spans="1:11" s="948" customFormat="1">
      <c r="A1268" s="15"/>
      <c r="B1268" s="15" t="s">
        <v>23</v>
      </c>
      <c r="C1268" s="15"/>
      <c r="D1268" s="15"/>
      <c r="E1268" s="15"/>
      <c r="F1268" s="15"/>
      <c r="G1268" s="15"/>
      <c r="H1268" s="20">
        <f>ROUND(SUM(H1266:H1267),0)</f>
        <v>189</v>
      </c>
      <c r="I1268" s="510"/>
      <c r="J1268" s="510"/>
      <c r="K1268" s="939"/>
    </row>
    <row r="1269" spans="1:11">
      <c r="A1269" s="17"/>
      <c r="B1269" s="17"/>
      <c r="C1269" s="17"/>
      <c r="D1269" s="17"/>
      <c r="E1269" s="17"/>
      <c r="F1269" s="17"/>
      <c r="G1269" s="17"/>
      <c r="H1269" s="18"/>
    </row>
    <row r="1270" spans="1:11">
      <c r="A1270" s="17">
        <v>4</v>
      </c>
      <c r="B1270" s="15" t="s">
        <v>2062</v>
      </c>
      <c r="C1270" s="17" t="s">
        <v>10</v>
      </c>
      <c r="D1270" s="17"/>
      <c r="E1270" s="17"/>
      <c r="F1270" s="17"/>
      <c r="G1270" s="17"/>
      <c r="H1270" s="18"/>
    </row>
    <row r="1271" spans="1:11">
      <c r="A1271" s="17"/>
      <c r="B1271" s="17" t="s">
        <v>2062</v>
      </c>
      <c r="C1271" s="17" t="s">
        <v>10</v>
      </c>
      <c r="D1271" s="17">
        <v>1</v>
      </c>
      <c r="E1271" s="17">
        <v>4.54</v>
      </c>
      <c r="F1271" s="17">
        <v>0.6</v>
      </c>
      <c r="G1271" s="17"/>
      <c r="H1271" s="18">
        <f t="shared" ref="H1271:H1272" si="238">PRODUCT(D1271:G1271)</f>
        <v>2.7239999999999998</v>
      </c>
    </row>
    <row r="1272" spans="1:11">
      <c r="A1272" s="17"/>
      <c r="B1272" s="17" t="s">
        <v>1326</v>
      </c>
      <c r="C1272" s="17" t="s">
        <v>10</v>
      </c>
      <c r="D1272" s="17">
        <v>1</v>
      </c>
      <c r="E1272" s="17">
        <v>4.54</v>
      </c>
      <c r="F1272" s="17">
        <v>0.3</v>
      </c>
      <c r="G1272" s="17"/>
      <c r="H1272" s="18">
        <f t="shared" si="238"/>
        <v>1.3619999999999999</v>
      </c>
    </row>
    <row r="1273" spans="1:11">
      <c r="A1273" s="17"/>
      <c r="B1273" s="17"/>
      <c r="C1273" s="16"/>
      <c r="D1273" s="17"/>
      <c r="E1273" s="17"/>
      <c r="F1273" s="17"/>
      <c r="G1273" s="17"/>
      <c r="H1273" s="18"/>
    </row>
    <row r="1274" spans="1:11">
      <c r="A1274" s="17"/>
      <c r="B1274" s="17"/>
      <c r="C1274" s="17"/>
      <c r="D1274" s="17"/>
      <c r="E1274" s="17"/>
      <c r="F1274" s="17"/>
      <c r="G1274" s="17"/>
      <c r="H1274" s="18"/>
    </row>
    <row r="1275" spans="1:11">
      <c r="A1275" s="15"/>
      <c r="B1275" s="15" t="s">
        <v>21</v>
      </c>
      <c r="C1275" s="15"/>
      <c r="D1275" s="15"/>
      <c r="E1275" s="15"/>
      <c r="F1275" s="15"/>
      <c r="G1275" s="15"/>
      <c r="H1275" s="20">
        <f>SUM(H1271:H1274)</f>
        <v>4.0859999999999994</v>
      </c>
    </row>
    <row r="1276" spans="1:11">
      <c r="A1276" s="17"/>
      <c r="B1276" s="17" t="s">
        <v>22</v>
      </c>
      <c r="C1276" s="17"/>
      <c r="D1276" s="17"/>
      <c r="E1276" s="17"/>
      <c r="F1276" s="17"/>
      <c r="G1276" s="17"/>
      <c r="H1276" s="18"/>
    </row>
    <row r="1277" spans="1:11">
      <c r="A1277" s="15"/>
      <c r="B1277" s="15" t="s">
        <v>23</v>
      </c>
      <c r="C1277" s="15"/>
      <c r="D1277" s="15"/>
      <c r="E1277" s="15"/>
      <c r="F1277" s="15"/>
      <c r="G1277" s="15"/>
      <c r="H1277" s="20">
        <f>ROUND(SUM(H1275:H1276),0)</f>
        <v>4</v>
      </c>
    </row>
    <row r="1278" spans="1:11">
      <c r="A1278" s="17"/>
      <c r="B1278" s="17"/>
      <c r="C1278" s="17"/>
      <c r="D1278" s="17"/>
      <c r="E1278" s="17"/>
      <c r="F1278" s="17"/>
      <c r="G1278" s="17"/>
      <c r="H1278" s="18"/>
    </row>
    <row r="1279" spans="1:11">
      <c r="A1279" s="17">
        <v>4</v>
      </c>
      <c r="B1279" s="15" t="s">
        <v>279</v>
      </c>
      <c r="C1279" s="17" t="s">
        <v>10</v>
      </c>
      <c r="D1279" s="17"/>
      <c r="E1279" s="17"/>
      <c r="F1279" s="17"/>
      <c r="G1279" s="17"/>
      <c r="H1279" s="18"/>
    </row>
    <row r="1280" spans="1:11">
      <c r="A1280" s="17"/>
      <c r="B1280" s="17" t="s">
        <v>1935</v>
      </c>
      <c r="C1280" s="16" t="s">
        <v>10</v>
      </c>
      <c r="D1280" s="17">
        <v>0</v>
      </c>
      <c r="E1280" s="17">
        <v>1.79</v>
      </c>
      <c r="F1280" s="17">
        <v>1.375</v>
      </c>
      <c r="G1280" s="17"/>
      <c r="H1280" s="18">
        <f t="shared" ref="H1280:H1286" si="239">PRODUCT(D1280:G1280)</f>
        <v>0</v>
      </c>
    </row>
    <row r="1281" spans="1:8">
      <c r="A1281" s="17"/>
      <c r="B1281" s="17" t="s">
        <v>171</v>
      </c>
      <c r="C1281" s="16" t="s">
        <v>10</v>
      </c>
      <c r="D1281" s="17">
        <v>1</v>
      </c>
      <c r="E1281" s="17">
        <v>3.15</v>
      </c>
      <c r="F1281" s="17">
        <v>2.08</v>
      </c>
      <c r="G1281" s="17"/>
      <c r="H1281" s="18">
        <f t="shared" si="239"/>
        <v>6.5519999999999996</v>
      </c>
    </row>
    <row r="1282" spans="1:8">
      <c r="A1282" s="17"/>
      <c r="B1282" s="17" t="s">
        <v>161</v>
      </c>
      <c r="C1282" s="16" t="s">
        <v>10</v>
      </c>
      <c r="D1282" s="17">
        <v>0</v>
      </c>
      <c r="E1282" s="17">
        <v>8.2100000000000009</v>
      </c>
      <c r="F1282" s="17">
        <v>3</v>
      </c>
      <c r="G1282" s="17"/>
      <c r="H1282" s="18">
        <f t="shared" si="239"/>
        <v>0</v>
      </c>
    </row>
    <row r="1283" spans="1:8">
      <c r="A1283" s="17"/>
      <c r="B1283" s="17" t="s">
        <v>280</v>
      </c>
      <c r="C1283" s="16" t="s">
        <v>10</v>
      </c>
      <c r="D1283" s="17">
        <v>0</v>
      </c>
      <c r="E1283" s="17">
        <v>6.2</v>
      </c>
      <c r="F1283" s="17">
        <v>2</v>
      </c>
      <c r="G1283" s="17"/>
      <c r="H1283" s="18">
        <f t="shared" si="239"/>
        <v>0</v>
      </c>
    </row>
    <row r="1284" spans="1:8">
      <c r="A1284" s="17"/>
      <c r="B1284" s="17" t="s">
        <v>1329</v>
      </c>
      <c r="C1284" s="16" t="s">
        <v>10</v>
      </c>
      <c r="D1284" s="17">
        <v>1</v>
      </c>
      <c r="E1284" s="17">
        <v>9.9</v>
      </c>
      <c r="F1284" s="17">
        <v>4.45</v>
      </c>
      <c r="G1284" s="17"/>
      <c r="H1284" s="18">
        <f t="shared" si="239"/>
        <v>44.055000000000007</v>
      </c>
    </row>
    <row r="1285" spans="1:8">
      <c r="A1285" s="485"/>
      <c r="B1285" s="485"/>
      <c r="C1285" s="16" t="s">
        <v>10</v>
      </c>
      <c r="D1285" s="485">
        <v>-1</v>
      </c>
      <c r="E1285" s="485">
        <v>2.4</v>
      </c>
      <c r="F1285" s="485">
        <v>1.8149999999999999</v>
      </c>
      <c r="G1285" s="485"/>
      <c r="H1285" s="487">
        <f t="shared" si="239"/>
        <v>-4.3559999999999999</v>
      </c>
    </row>
    <row r="1286" spans="1:8">
      <c r="A1286" s="485"/>
      <c r="B1286" s="485"/>
      <c r="C1286" s="16" t="s">
        <v>10</v>
      </c>
      <c r="D1286" s="485">
        <v>-1</v>
      </c>
      <c r="E1286" s="485">
        <v>1.3</v>
      </c>
      <c r="F1286" s="485">
        <v>1.5249999999999999</v>
      </c>
      <c r="G1286" s="485"/>
      <c r="H1286" s="487">
        <f t="shared" si="239"/>
        <v>-1.9824999999999999</v>
      </c>
    </row>
    <row r="1287" spans="1:8">
      <c r="A1287" s="485"/>
      <c r="B1287" s="485" t="s">
        <v>171</v>
      </c>
      <c r="C1287" s="16" t="s">
        <v>10</v>
      </c>
      <c r="D1287" s="485">
        <v>1</v>
      </c>
      <c r="E1287" s="485">
        <v>4</v>
      </c>
      <c r="F1287" s="485">
        <v>2.5</v>
      </c>
      <c r="G1287" s="485"/>
      <c r="H1287" s="487">
        <f t="shared" ref="H1287" si="240">PRODUCT(D1287:G1287)</f>
        <v>10</v>
      </c>
    </row>
    <row r="1288" spans="1:8">
      <c r="A1288" s="485"/>
      <c r="B1288" s="485" t="s">
        <v>1218</v>
      </c>
      <c r="C1288" s="16" t="s">
        <v>10</v>
      </c>
      <c r="D1288" s="485">
        <v>0</v>
      </c>
      <c r="E1288" s="485">
        <v>3.05</v>
      </c>
      <c r="F1288" s="485">
        <v>2.4500000000000002</v>
      </c>
      <c r="G1288" s="485"/>
      <c r="H1288" s="487">
        <f t="shared" ref="H1288" si="241">PRODUCT(D1288:G1288)</f>
        <v>0</v>
      </c>
    </row>
    <row r="1289" spans="1:8" s="948" customFormat="1">
      <c r="A1289" s="485"/>
      <c r="B1289" s="485" t="s">
        <v>171</v>
      </c>
      <c r="C1289" s="16" t="s">
        <v>10</v>
      </c>
      <c r="D1289" s="485">
        <v>1</v>
      </c>
      <c r="E1289" s="485">
        <v>2.4500000000000002</v>
      </c>
      <c r="F1289" s="485">
        <v>2.2000000000000002</v>
      </c>
      <c r="G1289" s="485"/>
      <c r="H1289" s="487">
        <f t="shared" ref="H1289:H1290" si="242">PRODUCT(D1289:G1289)</f>
        <v>5.3900000000000006</v>
      </c>
    </row>
    <row r="1290" spans="1:8" s="948" customFormat="1">
      <c r="A1290" s="485"/>
      <c r="B1290" s="485" t="s">
        <v>1012</v>
      </c>
      <c r="C1290" s="16" t="s">
        <v>10</v>
      </c>
      <c r="D1290" s="485">
        <v>1</v>
      </c>
      <c r="E1290" s="485">
        <v>1.7</v>
      </c>
      <c r="F1290" s="485">
        <v>2.4500000000000002</v>
      </c>
      <c r="G1290" s="485"/>
      <c r="H1290" s="487">
        <f t="shared" si="242"/>
        <v>4.165</v>
      </c>
    </row>
    <row r="1291" spans="1:8">
      <c r="A1291" s="485"/>
      <c r="B1291" s="485"/>
      <c r="C1291" s="509"/>
      <c r="D1291" s="485"/>
      <c r="E1291" s="485"/>
      <c r="F1291" s="485"/>
      <c r="G1291" s="485"/>
      <c r="H1291" s="487"/>
    </row>
    <row r="1292" spans="1:8">
      <c r="A1292" s="17"/>
      <c r="B1292" s="17"/>
      <c r="C1292" s="17"/>
      <c r="D1292" s="17"/>
      <c r="E1292" s="17"/>
      <c r="F1292" s="17"/>
      <c r="G1292" s="17"/>
      <c r="H1292" s="18"/>
    </row>
    <row r="1293" spans="1:8">
      <c r="A1293" s="15"/>
      <c r="B1293" s="15" t="s">
        <v>21</v>
      </c>
      <c r="C1293" s="15"/>
      <c r="D1293" s="15"/>
      <c r="E1293" s="15"/>
      <c r="F1293" s="15"/>
      <c r="G1293" s="15"/>
      <c r="H1293" s="20">
        <f>SUM(H1280:H1292)</f>
        <v>63.823500000000003</v>
      </c>
    </row>
    <row r="1294" spans="1:8">
      <c r="A1294" s="17"/>
      <c r="B1294" s="17" t="s">
        <v>22</v>
      </c>
      <c r="C1294" s="17"/>
      <c r="D1294" s="17"/>
      <c r="E1294" s="17"/>
      <c r="F1294" s="17"/>
      <c r="G1294" s="17"/>
      <c r="H1294" s="18"/>
    </row>
    <row r="1295" spans="1:8">
      <c r="A1295" s="15"/>
      <c r="B1295" s="15" t="s">
        <v>23</v>
      </c>
      <c r="C1295" s="15"/>
      <c r="D1295" s="15"/>
      <c r="E1295" s="15"/>
      <c r="F1295" s="15"/>
      <c r="G1295" s="15"/>
      <c r="H1295" s="20">
        <f>ROUND(SUM(H1293:H1294),0)</f>
        <v>64</v>
      </c>
    </row>
    <row r="1296" spans="1:8" s="948" customFormat="1">
      <c r="A1296" s="17"/>
      <c r="B1296" s="17"/>
      <c r="C1296" s="17"/>
      <c r="D1296" s="17"/>
      <c r="E1296" s="17"/>
      <c r="F1296" s="17"/>
      <c r="G1296" s="17"/>
      <c r="H1296" s="18"/>
    </row>
    <row r="1297" spans="1:8" s="948" customFormat="1">
      <c r="A1297" s="17">
        <v>3</v>
      </c>
      <c r="B1297" s="15" t="s">
        <v>2135</v>
      </c>
      <c r="C1297" s="17"/>
      <c r="D1297" s="17"/>
      <c r="E1297" s="17"/>
      <c r="F1297" s="17"/>
      <c r="G1297" s="17"/>
      <c r="H1297" s="18"/>
    </row>
    <row r="1298" spans="1:8" s="948" customFormat="1">
      <c r="A1298" s="485"/>
      <c r="B1298" s="485"/>
      <c r="C1298" s="485"/>
      <c r="D1298" s="485"/>
      <c r="E1298" s="485"/>
      <c r="F1298" s="485"/>
      <c r="G1298" s="485"/>
      <c r="H1298" s="487"/>
    </row>
    <row r="1299" spans="1:8" s="948" customFormat="1">
      <c r="A1299" s="485"/>
      <c r="B1299" s="485" t="s">
        <v>2044</v>
      </c>
      <c r="C1299" s="17" t="s">
        <v>10</v>
      </c>
      <c r="D1299" s="485"/>
      <c r="E1299" s="485"/>
      <c r="F1299" s="485"/>
      <c r="G1299" s="485"/>
      <c r="H1299" s="487">
        <f t="shared" ref="H1299" si="243">PRODUCT(D1299:G1299)</f>
        <v>0</v>
      </c>
    </row>
    <row r="1300" spans="1:8" s="948" customFormat="1">
      <c r="A1300" s="485"/>
      <c r="B1300" s="485"/>
      <c r="C1300" s="17" t="s">
        <v>10</v>
      </c>
      <c r="D1300" s="485">
        <v>1</v>
      </c>
      <c r="E1300" s="485">
        <v>3</v>
      </c>
      <c r="F1300" s="485">
        <v>2.7</v>
      </c>
      <c r="G1300" s="485"/>
      <c r="H1300" s="487">
        <f>(E1300+F1300)*2*D1300</f>
        <v>11.4</v>
      </c>
    </row>
    <row r="1301" spans="1:8" s="948" customFormat="1">
      <c r="A1301" s="485"/>
      <c r="B1301" s="485" t="s">
        <v>1199</v>
      </c>
      <c r="C1301" s="17" t="s">
        <v>10</v>
      </c>
      <c r="D1301" s="485"/>
      <c r="E1301" s="485"/>
      <c r="F1301" s="485"/>
      <c r="G1301" s="485"/>
      <c r="H1301" s="487">
        <f t="shared" ref="H1301:H1342" si="244">(E1301+F1301)*2*D1301</f>
        <v>0</v>
      </c>
    </row>
    <row r="1302" spans="1:8" s="948" customFormat="1">
      <c r="A1302" s="485"/>
      <c r="B1302" s="485"/>
      <c r="C1302" s="17" t="s">
        <v>10</v>
      </c>
      <c r="D1302" s="485">
        <v>1</v>
      </c>
      <c r="E1302" s="485">
        <v>2.7</v>
      </c>
      <c r="F1302" s="485">
        <v>3</v>
      </c>
      <c r="G1302" s="485"/>
      <c r="H1302" s="487">
        <f t="shared" si="244"/>
        <v>11.4</v>
      </c>
    </row>
    <row r="1303" spans="1:8" s="948" customFormat="1">
      <c r="A1303" s="485"/>
      <c r="B1303" s="485" t="s">
        <v>1327</v>
      </c>
      <c r="C1303" s="17" t="s">
        <v>10</v>
      </c>
      <c r="D1303" s="485"/>
      <c r="E1303" s="485"/>
      <c r="F1303" s="485"/>
      <c r="G1303" s="485"/>
      <c r="H1303" s="487">
        <f t="shared" si="244"/>
        <v>0</v>
      </c>
    </row>
    <row r="1304" spans="1:8" s="948" customFormat="1">
      <c r="A1304" s="485"/>
      <c r="B1304" s="485"/>
      <c r="C1304" s="17" t="s">
        <v>10</v>
      </c>
      <c r="D1304" s="485">
        <v>1</v>
      </c>
      <c r="E1304" s="485">
        <v>2.7</v>
      </c>
      <c r="F1304" s="485">
        <v>3</v>
      </c>
      <c r="G1304" s="485"/>
      <c r="H1304" s="487">
        <f t="shared" si="244"/>
        <v>11.4</v>
      </c>
    </row>
    <row r="1305" spans="1:8" s="948" customFormat="1">
      <c r="A1305" s="485"/>
      <c r="B1305" s="485" t="s">
        <v>2047</v>
      </c>
      <c r="C1305" s="17" t="s">
        <v>10</v>
      </c>
      <c r="D1305" s="485"/>
      <c r="E1305" s="485"/>
      <c r="F1305" s="485"/>
      <c r="G1305" s="485"/>
      <c r="H1305" s="487">
        <f t="shared" si="244"/>
        <v>0</v>
      </c>
    </row>
    <row r="1306" spans="1:8" s="948" customFormat="1">
      <c r="A1306" s="485"/>
      <c r="B1306" s="485"/>
      <c r="C1306" s="17" t="s">
        <v>10</v>
      </c>
      <c r="D1306" s="485">
        <v>1</v>
      </c>
      <c r="E1306" s="485">
        <v>4.8</v>
      </c>
      <c r="F1306" s="485">
        <v>3</v>
      </c>
      <c r="G1306" s="485"/>
      <c r="H1306" s="487">
        <f t="shared" si="244"/>
        <v>15.6</v>
      </c>
    </row>
    <row r="1307" spans="1:8" s="948" customFormat="1">
      <c r="A1307" s="485"/>
      <c r="B1307" s="485" t="s">
        <v>1299</v>
      </c>
      <c r="C1307" s="17" t="s">
        <v>10</v>
      </c>
      <c r="D1307" s="485"/>
      <c r="E1307" s="485"/>
      <c r="F1307" s="485"/>
      <c r="G1307" s="485"/>
      <c r="H1307" s="487">
        <f t="shared" si="244"/>
        <v>0</v>
      </c>
    </row>
    <row r="1308" spans="1:8" s="948" customFormat="1">
      <c r="A1308" s="485"/>
      <c r="B1308" s="485"/>
      <c r="C1308" s="17" t="s">
        <v>10</v>
      </c>
      <c r="D1308" s="485">
        <v>1</v>
      </c>
      <c r="E1308" s="485">
        <v>2.4</v>
      </c>
      <c r="F1308" s="485">
        <v>3</v>
      </c>
      <c r="G1308" s="485"/>
      <c r="H1308" s="487">
        <f t="shared" si="244"/>
        <v>10.8</v>
      </c>
    </row>
    <row r="1309" spans="1:8" s="948" customFormat="1">
      <c r="A1309" s="485"/>
      <c r="B1309" s="485" t="s">
        <v>1300</v>
      </c>
      <c r="C1309" s="17" t="s">
        <v>10</v>
      </c>
      <c r="D1309" s="485"/>
      <c r="E1309" s="485"/>
      <c r="F1309" s="485"/>
      <c r="G1309" s="485"/>
      <c r="H1309" s="487">
        <f t="shared" si="244"/>
        <v>0</v>
      </c>
    </row>
    <row r="1310" spans="1:8" s="948" customFormat="1">
      <c r="A1310" s="485"/>
      <c r="B1310" s="485"/>
      <c r="C1310" s="17" t="s">
        <v>10</v>
      </c>
      <c r="D1310" s="485">
        <v>1</v>
      </c>
      <c r="E1310" s="485">
        <v>2.4</v>
      </c>
      <c r="F1310" s="485">
        <v>3</v>
      </c>
      <c r="G1310" s="485"/>
      <c r="H1310" s="487">
        <f t="shared" si="244"/>
        <v>10.8</v>
      </c>
    </row>
    <row r="1311" spans="1:8" s="948" customFormat="1">
      <c r="A1311" s="485"/>
      <c r="B1311" s="485" t="s">
        <v>1301</v>
      </c>
      <c r="C1311" s="17" t="s">
        <v>10</v>
      </c>
      <c r="D1311" s="485"/>
      <c r="E1311" s="485"/>
      <c r="F1311" s="485"/>
      <c r="G1311" s="485"/>
      <c r="H1311" s="487">
        <f t="shared" si="244"/>
        <v>0</v>
      </c>
    </row>
    <row r="1312" spans="1:8" s="948" customFormat="1">
      <c r="A1312" s="485"/>
      <c r="B1312" s="485"/>
      <c r="C1312" s="17" t="s">
        <v>10</v>
      </c>
      <c r="D1312" s="485">
        <v>1</v>
      </c>
      <c r="E1312" s="485">
        <v>2.4</v>
      </c>
      <c r="F1312" s="485">
        <v>3</v>
      </c>
      <c r="G1312" s="485"/>
      <c r="H1312" s="487">
        <f t="shared" si="244"/>
        <v>10.8</v>
      </c>
    </row>
    <row r="1313" spans="1:8" s="948" customFormat="1">
      <c r="A1313" s="485"/>
      <c r="B1313" s="485" t="s">
        <v>1201</v>
      </c>
      <c r="C1313" s="17" t="s">
        <v>10</v>
      </c>
      <c r="D1313" s="485"/>
      <c r="E1313" s="485"/>
      <c r="F1313" s="485"/>
      <c r="G1313" s="485"/>
      <c r="H1313" s="487">
        <f t="shared" si="244"/>
        <v>0</v>
      </c>
    </row>
    <row r="1314" spans="1:8" s="948" customFormat="1">
      <c r="A1314" s="485"/>
      <c r="B1314" s="485"/>
      <c r="C1314" s="17" t="s">
        <v>10</v>
      </c>
      <c r="D1314" s="485">
        <v>1</v>
      </c>
      <c r="E1314" s="485">
        <v>3</v>
      </c>
      <c r="F1314" s="485">
        <v>2.7</v>
      </c>
      <c r="G1314" s="485"/>
      <c r="H1314" s="487">
        <f t="shared" si="244"/>
        <v>11.4</v>
      </c>
    </row>
    <row r="1315" spans="1:8" s="948" customFormat="1">
      <c r="A1315" s="485"/>
      <c r="B1315" s="485" t="s">
        <v>1202</v>
      </c>
      <c r="C1315" s="17" t="s">
        <v>10</v>
      </c>
      <c r="D1315" s="485"/>
      <c r="E1315" s="485"/>
      <c r="F1315" s="485"/>
      <c r="G1315" s="485"/>
      <c r="H1315" s="487">
        <f t="shared" si="244"/>
        <v>0</v>
      </c>
    </row>
    <row r="1316" spans="1:8" s="948" customFormat="1">
      <c r="A1316" s="485"/>
      <c r="B1316" s="485"/>
      <c r="C1316" s="17" t="s">
        <v>10</v>
      </c>
      <c r="D1316" s="485">
        <v>1</v>
      </c>
      <c r="E1316" s="485">
        <v>3</v>
      </c>
      <c r="F1316" s="485">
        <v>2.7</v>
      </c>
      <c r="G1316" s="485"/>
      <c r="H1316" s="487">
        <f t="shared" si="244"/>
        <v>11.4</v>
      </c>
    </row>
    <row r="1317" spans="1:8" s="948" customFormat="1">
      <c r="A1317" s="485"/>
      <c r="B1317" s="485" t="s">
        <v>2038</v>
      </c>
      <c r="C1317" s="17" t="s">
        <v>10</v>
      </c>
      <c r="D1317" s="485"/>
      <c r="E1317" s="485"/>
      <c r="F1317" s="485"/>
      <c r="G1317" s="485"/>
      <c r="H1317" s="487">
        <f t="shared" si="244"/>
        <v>0</v>
      </c>
    </row>
    <row r="1318" spans="1:8" s="948" customFormat="1">
      <c r="A1318" s="485"/>
      <c r="B1318" s="485"/>
      <c r="C1318" s="17" t="s">
        <v>10</v>
      </c>
      <c r="D1318" s="485">
        <v>1</v>
      </c>
      <c r="E1318" s="485">
        <v>3.6</v>
      </c>
      <c r="F1318" s="485">
        <v>2.7</v>
      </c>
      <c r="G1318" s="485"/>
      <c r="H1318" s="487">
        <f t="shared" si="244"/>
        <v>12.600000000000001</v>
      </c>
    </row>
    <row r="1319" spans="1:8" s="948" customFormat="1">
      <c r="A1319" s="485"/>
      <c r="B1319" s="485" t="s">
        <v>1216</v>
      </c>
      <c r="C1319" s="17" t="s">
        <v>10</v>
      </c>
      <c r="D1319" s="485"/>
      <c r="E1319" s="485"/>
      <c r="F1319" s="485"/>
      <c r="G1319" s="485"/>
      <c r="H1319" s="487">
        <f t="shared" si="244"/>
        <v>0</v>
      </c>
    </row>
    <row r="1320" spans="1:8" s="948" customFormat="1">
      <c r="A1320" s="485"/>
      <c r="B1320" s="485"/>
      <c r="C1320" s="17" t="s">
        <v>10</v>
      </c>
      <c r="D1320" s="485">
        <v>1</v>
      </c>
      <c r="E1320" s="485">
        <v>3</v>
      </c>
      <c r="F1320" s="485">
        <v>3.9</v>
      </c>
      <c r="G1320" s="485"/>
      <c r="H1320" s="487">
        <f t="shared" si="244"/>
        <v>13.8</v>
      </c>
    </row>
    <row r="1321" spans="1:8" s="948" customFormat="1">
      <c r="A1321" s="485"/>
      <c r="B1321" s="485" t="s">
        <v>2048</v>
      </c>
      <c r="C1321" s="17" t="s">
        <v>10</v>
      </c>
      <c r="D1321" s="485"/>
      <c r="E1321" s="485"/>
      <c r="F1321" s="485"/>
      <c r="G1321" s="485"/>
      <c r="H1321" s="487">
        <f t="shared" si="244"/>
        <v>0</v>
      </c>
    </row>
    <row r="1322" spans="1:8" s="948" customFormat="1">
      <c r="A1322" s="485"/>
      <c r="B1322" s="485"/>
      <c r="C1322" s="17" t="s">
        <v>10</v>
      </c>
      <c r="D1322" s="485">
        <v>1</v>
      </c>
      <c r="E1322" s="485">
        <v>3</v>
      </c>
      <c r="F1322" s="485">
        <v>3</v>
      </c>
      <c r="G1322" s="485"/>
      <c r="H1322" s="487">
        <f t="shared" si="244"/>
        <v>12</v>
      </c>
    </row>
    <row r="1323" spans="1:8" s="948" customFormat="1">
      <c r="A1323" s="485"/>
      <c r="B1323" s="485" t="s">
        <v>1213</v>
      </c>
      <c r="C1323" s="17" t="s">
        <v>10</v>
      </c>
      <c r="D1323" s="485"/>
      <c r="E1323" s="485"/>
      <c r="F1323" s="485"/>
      <c r="G1323" s="485"/>
      <c r="H1323" s="487">
        <f t="shared" si="244"/>
        <v>0</v>
      </c>
    </row>
    <row r="1324" spans="1:8" s="948" customFormat="1">
      <c r="A1324" s="485"/>
      <c r="B1324" s="485"/>
      <c r="C1324" s="17" t="s">
        <v>10</v>
      </c>
      <c r="D1324" s="485">
        <v>1</v>
      </c>
      <c r="E1324" s="485">
        <v>3</v>
      </c>
      <c r="F1324" s="485">
        <v>2.7</v>
      </c>
      <c r="G1324" s="485"/>
      <c r="H1324" s="487">
        <f t="shared" si="244"/>
        <v>11.4</v>
      </c>
    </row>
    <row r="1325" spans="1:8" s="948" customFormat="1">
      <c r="A1325" s="485"/>
      <c r="B1325" s="485" t="s">
        <v>1214</v>
      </c>
      <c r="C1325" s="17" t="s">
        <v>10</v>
      </c>
      <c r="D1325" s="485"/>
      <c r="E1325" s="485"/>
      <c r="F1325" s="485"/>
      <c r="G1325" s="485"/>
      <c r="H1325" s="487">
        <f t="shared" si="244"/>
        <v>0</v>
      </c>
    </row>
    <row r="1326" spans="1:8" s="948" customFormat="1">
      <c r="A1326" s="485"/>
      <c r="B1326" s="485"/>
      <c r="C1326" s="17" t="s">
        <v>10</v>
      </c>
      <c r="D1326" s="485">
        <v>1</v>
      </c>
      <c r="E1326" s="485">
        <v>3</v>
      </c>
      <c r="F1326" s="485">
        <v>2.7</v>
      </c>
      <c r="G1326" s="485"/>
      <c r="H1326" s="487">
        <f t="shared" si="244"/>
        <v>11.4</v>
      </c>
    </row>
    <row r="1327" spans="1:8" s="948" customFormat="1">
      <c r="A1327" s="485"/>
      <c r="B1327" s="485" t="s">
        <v>286</v>
      </c>
      <c r="C1327" s="17" t="s">
        <v>10</v>
      </c>
      <c r="D1327" s="485"/>
      <c r="E1327" s="485"/>
      <c r="F1327" s="485"/>
      <c r="G1327" s="485"/>
      <c r="H1327" s="487">
        <f t="shared" si="244"/>
        <v>0</v>
      </c>
    </row>
    <row r="1328" spans="1:8" s="948" customFormat="1">
      <c r="A1328" s="485"/>
      <c r="B1328" s="485"/>
      <c r="C1328" s="17" t="s">
        <v>10</v>
      </c>
      <c r="D1328" s="485">
        <v>1</v>
      </c>
      <c r="E1328" s="485">
        <v>2.7</v>
      </c>
      <c r="F1328" s="485">
        <v>2.1</v>
      </c>
      <c r="G1328" s="485"/>
      <c r="H1328" s="487">
        <f t="shared" si="244"/>
        <v>9.6000000000000014</v>
      </c>
    </row>
    <row r="1329" spans="1:8" s="948" customFormat="1">
      <c r="A1329" s="485"/>
      <c r="B1329" s="485" t="s">
        <v>1280</v>
      </c>
      <c r="C1329" s="17" t="s">
        <v>10</v>
      </c>
      <c r="D1329" s="485"/>
      <c r="E1329" s="485"/>
      <c r="F1329" s="485"/>
      <c r="G1329" s="485"/>
      <c r="H1329" s="487">
        <f t="shared" si="244"/>
        <v>0</v>
      </c>
    </row>
    <row r="1330" spans="1:8" s="948" customFormat="1">
      <c r="A1330" s="485"/>
      <c r="B1330" s="485"/>
      <c r="C1330" s="17" t="s">
        <v>10</v>
      </c>
      <c r="D1330" s="485">
        <v>1</v>
      </c>
      <c r="E1330" s="485">
        <v>2.7</v>
      </c>
      <c r="F1330" s="485">
        <v>2.1</v>
      </c>
      <c r="G1330" s="485"/>
      <c r="H1330" s="487">
        <f t="shared" si="244"/>
        <v>9.6000000000000014</v>
      </c>
    </row>
    <row r="1331" spans="1:8" s="948" customFormat="1">
      <c r="A1331" s="485"/>
      <c r="B1331" s="485" t="s">
        <v>2049</v>
      </c>
      <c r="C1331" s="17" t="s">
        <v>10</v>
      </c>
      <c r="D1331" s="485"/>
      <c r="E1331" s="485"/>
      <c r="F1331" s="485"/>
      <c r="G1331" s="485"/>
      <c r="H1331" s="487">
        <f t="shared" si="244"/>
        <v>0</v>
      </c>
    </row>
    <row r="1332" spans="1:8" s="948" customFormat="1">
      <c r="A1332" s="485"/>
      <c r="B1332" s="485"/>
      <c r="C1332" s="17" t="s">
        <v>10</v>
      </c>
      <c r="D1332" s="485">
        <v>1</v>
      </c>
      <c r="E1332" s="485">
        <v>3.6</v>
      </c>
      <c r="F1332" s="485">
        <v>3</v>
      </c>
      <c r="G1332" s="485"/>
      <c r="H1332" s="487">
        <f t="shared" si="244"/>
        <v>13.2</v>
      </c>
    </row>
    <row r="1333" spans="1:8" s="948" customFormat="1">
      <c r="A1333" s="485"/>
      <c r="B1333" s="485" t="s">
        <v>1230</v>
      </c>
      <c r="C1333" s="17" t="s">
        <v>10</v>
      </c>
      <c r="D1333" s="485"/>
      <c r="E1333" s="485"/>
      <c r="F1333" s="485"/>
      <c r="G1333" s="485"/>
      <c r="H1333" s="487">
        <f t="shared" si="244"/>
        <v>0</v>
      </c>
    </row>
    <row r="1334" spans="1:8" s="948" customFormat="1">
      <c r="A1334" s="485"/>
      <c r="B1334" s="485"/>
      <c r="C1334" s="17" t="s">
        <v>10</v>
      </c>
      <c r="D1334" s="485">
        <v>1</v>
      </c>
      <c r="E1334" s="485">
        <v>2.7</v>
      </c>
      <c r="F1334" s="485">
        <v>3</v>
      </c>
      <c r="G1334" s="485"/>
      <c r="H1334" s="487">
        <f t="shared" si="244"/>
        <v>11.4</v>
      </c>
    </row>
    <row r="1335" spans="1:8" s="948" customFormat="1">
      <c r="A1335" s="485"/>
      <c r="B1335" s="485" t="s">
        <v>1229</v>
      </c>
      <c r="C1335" s="17" t="s">
        <v>10</v>
      </c>
      <c r="D1335" s="485"/>
      <c r="E1335" s="485"/>
      <c r="F1335" s="485"/>
      <c r="G1335" s="485"/>
      <c r="H1335" s="487">
        <f t="shared" si="244"/>
        <v>0</v>
      </c>
    </row>
    <row r="1336" spans="1:8" s="948" customFormat="1">
      <c r="A1336" s="485"/>
      <c r="B1336" s="485"/>
      <c r="C1336" s="17" t="s">
        <v>10</v>
      </c>
      <c r="D1336" s="485">
        <v>1</v>
      </c>
      <c r="E1336" s="485">
        <v>2.7</v>
      </c>
      <c r="F1336" s="485">
        <v>3</v>
      </c>
      <c r="G1336" s="485"/>
      <c r="H1336" s="487">
        <f t="shared" si="244"/>
        <v>11.4</v>
      </c>
    </row>
    <row r="1337" spans="1:8" s="948" customFormat="1">
      <c r="A1337" s="485"/>
      <c r="B1337" s="485" t="s">
        <v>2052</v>
      </c>
      <c r="C1337" s="17" t="s">
        <v>10</v>
      </c>
      <c r="D1337" s="485"/>
      <c r="E1337" s="485"/>
      <c r="F1337" s="485"/>
      <c r="G1337" s="485"/>
      <c r="H1337" s="487">
        <f t="shared" si="244"/>
        <v>0</v>
      </c>
    </row>
    <row r="1338" spans="1:8" s="948" customFormat="1">
      <c r="A1338" s="485"/>
      <c r="B1338" s="485"/>
      <c r="C1338" s="17" t="s">
        <v>10</v>
      </c>
      <c r="D1338" s="485">
        <v>1</v>
      </c>
      <c r="E1338" s="485">
        <v>4.2</v>
      </c>
      <c r="F1338" s="485">
        <v>3</v>
      </c>
      <c r="G1338" s="485"/>
      <c r="H1338" s="487">
        <f t="shared" si="244"/>
        <v>14.4</v>
      </c>
    </row>
    <row r="1339" spans="1:8" s="948" customFormat="1">
      <c r="A1339" s="485"/>
      <c r="B1339" s="485" t="s">
        <v>1195</v>
      </c>
      <c r="C1339" s="17" t="s">
        <v>10</v>
      </c>
      <c r="D1339" s="485"/>
      <c r="E1339" s="485"/>
      <c r="F1339" s="485"/>
      <c r="G1339" s="485"/>
      <c r="H1339" s="487">
        <f t="shared" si="244"/>
        <v>0</v>
      </c>
    </row>
    <row r="1340" spans="1:8" s="948" customFormat="1">
      <c r="A1340" s="485"/>
      <c r="B1340" s="485"/>
      <c r="C1340" s="17" t="s">
        <v>10</v>
      </c>
      <c r="D1340" s="485">
        <v>1</v>
      </c>
      <c r="E1340" s="485">
        <v>3</v>
      </c>
      <c r="F1340" s="485">
        <v>2.7</v>
      </c>
      <c r="G1340" s="485"/>
      <c r="H1340" s="487">
        <f t="shared" si="244"/>
        <v>11.4</v>
      </c>
    </row>
    <row r="1341" spans="1:8" s="948" customFormat="1">
      <c r="A1341" s="485"/>
      <c r="B1341" s="485" t="s">
        <v>1317</v>
      </c>
      <c r="C1341" s="17" t="s">
        <v>10</v>
      </c>
      <c r="D1341" s="485"/>
      <c r="E1341" s="485"/>
      <c r="F1341" s="485"/>
      <c r="G1341" s="485"/>
      <c r="H1341" s="487">
        <f t="shared" si="244"/>
        <v>0</v>
      </c>
    </row>
    <row r="1342" spans="1:8" s="948" customFormat="1">
      <c r="A1342" s="485"/>
      <c r="B1342" s="485"/>
      <c r="C1342" s="17" t="s">
        <v>10</v>
      </c>
      <c r="D1342" s="485">
        <v>1</v>
      </c>
      <c r="E1342" s="485">
        <v>2.4</v>
      </c>
      <c r="F1342" s="485">
        <v>3</v>
      </c>
      <c r="G1342" s="485"/>
      <c r="H1342" s="487">
        <f t="shared" si="244"/>
        <v>10.8</v>
      </c>
    </row>
    <row r="1343" spans="1:8" s="948" customFormat="1">
      <c r="A1343" s="485"/>
      <c r="B1343" s="485"/>
      <c r="C1343" s="485"/>
      <c r="D1343" s="485"/>
      <c r="E1343" s="485"/>
      <c r="F1343" s="485"/>
      <c r="G1343" s="485"/>
      <c r="H1343" s="487"/>
    </row>
    <row r="1344" spans="1:8" s="948" customFormat="1">
      <c r="A1344" s="15"/>
      <c r="B1344" s="15" t="s">
        <v>21</v>
      </c>
      <c r="C1344" s="15"/>
      <c r="D1344" s="15"/>
      <c r="E1344" s="15"/>
      <c r="F1344" s="15"/>
      <c r="G1344" s="15"/>
      <c r="H1344" s="20">
        <f>SUM(H1298:H1343)</f>
        <v>258.00000000000006</v>
      </c>
    </row>
    <row r="1345" spans="1:11" s="948" customFormat="1">
      <c r="A1345" s="17"/>
      <c r="B1345" s="17" t="s">
        <v>22</v>
      </c>
      <c r="C1345" s="17"/>
      <c r="D1345" s="17"/>
      <c r="E1345" s="17"/>
      <c r="F1345" s="17"/>
      <c r="G1345" s="17"/>
      <c r="H1345" s="18"/>
    </row>
    <row r="1346" spans="1:11" s="948" customFormat="1">
      <c r="A1346" s="15"/>
      <c r="B1346" s="15" t="s">
        <v>23</v>
      </c>
      <c r="C1346" s="15"/>
      <c r="D1346" s="15"/>
      <c r="E1346" s="15"/>
      <c r="F1346" s="15"/>
      <c r="G1346" s="15"/>
      <c r="H1346" s="20">
        <f>ROUND(SUM(H1344:H1345),0)</f>
        <v>258</v>
      </c>
      <c r="I1346" s="510"/>
      <c r="J1346" s="510"/>
      <c r="K1346" s="939"/>
    </row>
    <row r="1347" spans="1:11" s="948" customFormat="1">
      <c r="A1347" s="17"/>
      <c r="B1347" s="17"/>
      <c r="C1347" s="17"/>
      <c r="D1347" s="17"/>
      <c r="E1347" s="17"/>
      <c r="F1347" s="17"/>
      <c r="G1347" s="17"/>
      <c r="H1347" s="18"/>
    </row>
    <row r="1348" spans="1:11" s="948" customFormat="1">
      <c r="A1348" s="17">
        <v>4</v>
      </c>
      <c r="B1348" s="15" t="s">
        <v>2062</v>
      </c>
      <c r="C1348" s="17" t="s">
        <v>10</v>
      </c>
      <c r="D1348" s="17"/>
      <c r="E1348" s="17"/>
      <c r="F1348" s="17"/>
      <c r="G1348" s="17"/>
      <c r="H1348" s="18"/>
    </row>
    <row r="1349" spans="1:11" s="948" customFormat="1">
      <c r="A1349" s="17"/>
      <c r="B1349" s="17" t="s">
        <v>2062</v>
      </c>
      <c r="C1349" s="17" t="s">
        <v>10</v>
      </c>
      <c r="D1349" s="17">
        <v>1</v>
      </c>
      <c r="E1349" s="17">
        <v>4.54</v>
      </c>
      <c r="F1349" s="17">
        <v>0.6</v>
      </c>
      <c r="G1349" s="17"/>
      <c r="H1349" s="18">
        <f t="shared" ref="H1349:H1350" si="245">PRODUCT(D1349:G1349)</f>
        <v>2.7239999999999998</v>
      </c>
    </row>
    <row r="1350" spans="1:11" s="948" customFormat="1">
      <c r="A1350" s="17"/>
      <c r="B1350" s="17" t="s">
        <v>1326</v>
      </c>
      <c r="C1350" s="17" t="s">
        <v>10</v>
      </c>
      <c r="D1350" s="17">
        <v>1</v>
      </c>
      <c r="E1350" s="17">
        <v>4.54</v>
      </c>
      <c r="F1350" s="17">
        <v>0.3</v>
      </c>
      <c r="G1350" s="17"/>
      <c r="H1350" s="18">
        <f t="shared" si="245"/>
        <v>1.3619999999999999</v>
      </c>
    </row>
    <row r="1351" spans="1:11" s="948" customFormat="1">
      <c r="A1351" s="17"/>
      <c r="B1351" s="17"/>
      <c r="C1351" s="16"/>
      <c r="D1351" s="17"/>
      <c r="E1351" s="17"/>
      <c r="F1351" s="17"/>
      <c r="G1351" s="17"/>
      <c r="H1351" s="18"/>
    </row>
    <row r="1352" spans="1:11" s="948" customFormat="1">
      <c r="A1352" s="17"/>
      <c r="B1352" s="17"/>
      <c r="C1352" s="17"/>
      <c r="D1352" s="17"/>
      <c r="E1352" s="17"/>
      <c r="F1352" s="17"/>
      <c r="G1352" s="17"/>
      <c r="H1352" s="18"/>
    </row>
    <row r="1353" spans="1:11" s="948" customFormat="1">
      <c r="A1353" s="15"/>
      <c r="B1353" s="15" t="s">
        <v>21</v>
      </c>
      <c r="C1353" s="15"/>
      <c r="D1353" s="15"/>
      <c r="E1353" s="15"/>
      <c r="F1353" s="15"/>
      <c r="G1353" s="15"/>
      <c r="H1353" s="20">
        <f>SUM(H1349:H1352)</f>
        <v>4.0859999999999994</v>
      </c>
    </row>
    <row r="1354" spans="1:11" s="948" customFormat="1">
      <c r="A1354" s="17"/>
      <c r="B1354" s="17" t="s">
        <v>22</v>
      </c>
      <c r="C1354" s="17"/>
      <c r="D1354" s="17"/>
      <c r="E1354" s="17"/>
      <c r="F1354" s="17"/>
      <c r="G1354" s="17"/>
      <c r="H1354" s="18"/>
    </row>
    <row r="1355" spans="1:11" s="948" customFormat="1">
      <c r="A1355" s="15"/>
      <c r="B1355" s="15" t="s">
        <v>23</v>
      </c>
      <c r="C1355" s="15"/>
      <c r="D1355" s="15"/>
      <c r="E1355" s="15"/>
      <c r="F1355" s="15"/>
      <c r="G1355" s="15"/>
      <c r="H1355" s="20">
        <f>ROUND(SUM(H1353:H1354),0)</f>
        <v>4</v>
      </c>
    </row>
    <row r="1356" spans="1:11" s="948" customFormat="1">
      <c r="A1356" s="17"/>
      <c r="B1356" s="17"/>
      <c r="C1356" s="17"/>
      <c r="D1356" s="17"/>
      <c r="E1356" s="17"/>
      <c r="F1356" s="17"/>
      <c r="G1356" s="17"/>
      <c r="H1356" s="18"/>
    </row>
    <row r="1357" spans="1:11" s="948" customFormat="1">
      <c r="A1357" s="17">
        <v>4</v>
      </c>
      <c r="B1357" s="15" t="s">
        <v>279</v>
      </c>
      <c r="C1357" s="17" t="s">
        <v>10</v>
      </c>
      <c r="D1357" s="17"/>
      <c r="E1357" s="17"/>
      <c r="F1357" s="17"/>
      <c r="G1357" s="17"/>
      <c r="H1357" s="18"/>
    </row>
    <row r="1358" spans="1:11" s="948" customFormat="1">
      <c r="A1358" s="17"/>
      <c r="B1358" s="17" t="s">
        <v>1935</v>
      </c>
      <c r="C1358" s="16" t="s">
        <v>10</v>
      </c>
      <c r="D1358" s="17">
        <v>1</v>
      </c>
      <c r="E1358" s="17">
        <v>1.79</v>
      </c>
      <c r="F1358" s="17">
        <v>1.375</v>
      </c>
      <c r="G1358" s="17"/>
      <c r="H1358" s="18">
        <f t="shared" ref="H1358:H1366" si="246">PRODUCT(D1358:G1358)</f>
        <v>2.4612500000000002</v>
      </c>
    </row>
    <row r="1359" spans="1:11" s="948" customFormat="1">
      <c r="A1359" s="17"/>
      <c r="B1359" s="17" t="s">
        <v>171</v>
      </c>
      <c r="C1359" s="16" t="s">
        <v>10</v>
      </c>
      <c r="D1359" s="17">
        <v>1</v>
      </c>
      <c r="E1359" s="17">
        <v>3.15</v>
      </c>
      <c r="F1359" s="17">
        <v>2.08</v>
      </c>
      <c r="G1359" s="17"/>
      <c r="H1359" s="18">
        <f t="shared" si="246"/>
        <v>6.5519999999999996</v>
      </c>
    </row>
    <row r="1360" spans="1:11" s="948" customFormat="1">
      <c r="A1360" s="17"/>
      <c r="B1360" s="17" t="s">
        <v>161</v>
      </c>
      <c r="C1360" s="16" t="s">
        <v>10</v>
      </c>
      <c r="D1360" s="17">
        <v>1</v>
      </c>
      <c r="E1360" s="17">
        <v>8.2100000000000009</v>
      </c>
      <c r="F1360" s="17">
        <v>3</v>
      </c>
      <c r="G1360" s="17"/>
      <c r="H1360" s="18">
        <f t="shared" si="246"/>
        <v>24.630000000000003</v>
      </c>
    </row>
    <row r="1361" spans="1:8" s="948" customFormat="1">
      <c r="A1361" s="17"/>
      <c r="B1361" s="17" t="s">
        <v>280</v>
      </c>
      <c r="C1361" s="16" t="s">
        <v>10</v>
      </c>
      <c r="D1361" s="17">
        <v>1</v>
      </c>
      <c r="E1361" s="17">
        <v>6.2</v>
      </c>
      <c r="F1361" s="17">
        <v>2</v>
      </c>
      <c r="G1361" s="17"/>
      <c r="H1361" s="18">
        <f t="shared" si="246"/>
        <v>12.4</v>
      </c>
    </row>
    <row r="1362" spans="1:8" s="948" customFormat="1">
      <c r="A1362" s="17"/>
      <c r="B1362" s="17" t="s">
        <v>1329</v>
      </c>
      <c r="C1362" s="16" t="s">
        <v>10</v>
      </c>
      <c r="D1362" s="17">
        <v>1</v>
      </c>
      <c r="E1362" s="17">
        <v>9.9</v>
      </c>
      <c r="F1362" s="17">
        <v>4.45</v>
      </c>
      <c r="G1362" s="17"/>
      <c r="H1362" s="18">
        <f t="shared" si="246"/>
        <v>44.055000000000007</v>
      </c>
    </row>
    <row r="1363" spans="1:8" s="948" customFormat="1">
      <c r="A1363" s="485"/>
      <c r="B1363" s="485"/>
      <c r="C1363" s="16" t="s">
        <v>10</v>
      </c>
      <c r="D1363" s="485">
        <v>-1</v>
      </c>
      <c r="E1363" s="485">
        <v>2.4</v>
      </c>
      <c r="F1363" s="485">
        <v>1.8149999999999999</v>
      </c>
      <c r="G1363" s="485"/>
      <c r="H1363" s="487">
        <f t="shared" si="246"/>
        <v>-4.3559999999999999</v>
      </c>
    </row>
    <row r="1364" spans="1:8" s="948" customFormat="1">
      <c r="A1364" s="485"/>
      <c r="B1364" s="485"/>
      <c r="C1364" s="16" t="s">
        <v>10</v>
      </c>
      <c r="D1364" s="485">
        <v>-1</v>
      </c>
      <c r="E1364" s="485">
        <v>1.3</v>
      </c>
      <c r="F1364" s="485">
        <v>1.5249999999999999</v>
      </c>
      <c r="G1364" s="485"/>
      <c r="H1364" s="487">
        <f t="shared" si="246"/>
        <v>-1.9824999999999999</v>
      </c>
    </row>
    <row r="1365" spans="1:8" s="948" customFormat="1">
      <c r="A1365" s="485"/>
      <c r="B1365" s="485" t="s">
        <v>171</v>
      </c>
      <c r="C1365" s="16" t="s">
        <v>10</v>
      </c>
      <c r="D1365" s="485">
        <v>1</v>
      </c>
      <c r="E1365" s="485">
        <v>4</v>
      </c>
      <c r="F1365" s="485">
        <v>2.5</v>
      </c>
      <c r="G1365" s="485"/>
      <c r="H1365" s="487">
        <f t="shared" si="246"/>
        <v>10</v>
      </c>
    </row>
    <row r="1366" spans="1:8" s="948" customFormat="1">
      <c r="A1366" s="485"/>
      <c r="B1366" s="485" t="s">
        <v>1218</v>
      </c>
      <c r="C1366" s="16" t="s">
        <v>10</v>
      </c>
      <c r="D1366" s="485">
        <v>1</v>
      </c>
      <c r="E1366" s="485">
        <v>3.05</v>
      </c>
      <c r="F1366" s="485">
        <v>2.4500000000000002</v>
      </c>
      <c r="G1366" s="485"/>
      <c r="H1366" s="487">
        <f t="shared" si="246"/>
        <v>7.4725000000000001</v>
      </c>
    </row>
    <row r="1367" spans="1:8" s="948" customFormat="1">
      <c r="A1367" s="485"/>
      <c r="B1367" s="485"/>
      <c r="C1367" s="509"/>
      <c r="D1367" s="485"/>
      <c r="E1367" s="485"/>
      <c r="F1367" s="485"/>
      <c r="G1367" s="485"/>
      <c r="H1367" s="487"/>
    </row>
    <row r="1368" spans="1:8" s="948" customFormat="1">
      <c r="A1368" s="17"/>
      <c r="B1368" s="17"/>
      <c r="C1368" s="17"/>
      <c r="D1368" s="17"/>
      <c r="E1368" s="17"/>
      <c r="F1368" s="17"/>
      <c r="G1368" s="17"/>
      <c r="H1368" s="18"/>
    </row>
    <row r="1369" spans="1:8" s="948" customFormat="1">
      <c r="A1369" s="15"/>
      <c r="B1369" s="15" t="s">
        <v>21</v>
      </c>
      <c r="C1369" s="15"/>
      <c r="D1369" s="15"/>
      <c r="E1369" s="15"/>
      <c r="F1369" s="15"/>
      <c r="G1369" s="15"/>
      <c r="H1369" s="20">
        <f>SUM(H1358:H1368)</f>
        <v>101.23225000000001</v>
      </c>
    </row>
    <row r="1370" spans="1:8" s="948" customFormat="1">
      <c r="A1370" s="17"/>
      <c r="B1370" s="17" t="s">
        <v>22</v>
      </c>
      <c r="C1370" s="17"/>
      <c r="D1370" s="17"/>
      <c r="E1370" s="17"/>
      <c r="F1370" s="17"/>
      <c r="G1370" s="17"/>
      <c r="H1370" s="18"/>
    </row>
    <row r="1371" spans="1:8" s="948" customFormat="1">
      <c r="A1371" s="15"/>
      <c r="B1371" s="15" t="s">
        <v>23</v>
      </c>
      <c r="C1371" s="15"/>
      <c r="D1371" s="15"/>
      <c r="E1371" s="15"/>
      <c r="F1371" s="15"/>
      <c r="G1371" s="15"/>
      <c r="H1371" s="20">
        <f>ROUND(SUM(H1369:H1370),0)</f>
        <v>101</v>
      </c>
    </row>
    <row r="1372" spans="1:8">
      <c r="A1372" s="17"/>
      <c r="B1372" s="17"/>
      <c r="C1372" s="17"/>
      <c r="D1372" s="17"/>
      <c r="E1372" s="17"/>
      <c r="F1372" s="17"/>
      <c r="G1372" s="17"/>
      <c r="H1372" s="18"/>
    </row>
    <row r="1373" spans="1:8">
      <c r="A1373" s="17">
        <v>4</v>
      </c>
      <c r="B1373" s="15" t="s">
        <v>1392</v>
      </c>
      <c r="C1373" s="17" t="s">
        <v>10</v>
      </c>
      <c r="D1373" s="17"/>
      <c r="E1373" s="17"/>
      <c r="F1373" s="17"/>
      <c r="G1373" s="17"/>
      <c r="H1373" s="18"/>
    </row>
    <row r="1374" spans="1:8">
      <c r="A1374" s="17"/>
      <c r="B1374" s="17" t="s">
        <v>1989</v>
      </c>
      <c r="C1374" s="16" t="s">
        <v>10</v>
      </c>
      <c r="D1374" s="17">
        <v>2</v>
      </c>
      <c r="E1374" s="17">
        <v>6.56</v>
      </c>
      <c r="F1374" s="17">
        <v>3.15</v>
      </c>
      <c r="G1374" s="17"/>
      <c r="H1374" s="18">
        <f t="shared" ref="H1374:H1375" si="247">PRODUCT(D1374:G1374)</f>
        <v>41.327999999999996</v>
      </c>
    </row>
    <row r="1375" spans="1:8">
      <c r="A1375" s="485"/>
      <c r="B1375" s="17" t="s">
        <v>1990</v>
      </c>
      <c r="C1375" s="16" t="s">
        <v>10</v>
      </c>
      <c r="D1375" s="485">
        <v>1</v>
      </c>
      <c r="E1375" s="485">
        <v>6.3</v>
      </c>
      <c r="F1375" s="485">
        <v>3.9</v>
      </c>
      <c r="G1375" s="485"/>
      <c r="H1375" s="18">
        <f t="shared" si="247"/>
        <v>24.57</v>
      </c>
    </row>
    <row r="1376" spans="1:8">
      <c r="A1376" s="485"/>
      <c r="B1376" s="485" t="s">
        <v>1217</v>
      </c>
      <c r="C1376" s="16" t="s">
        <v>10</v>
      </c>
      <c r="D1376" s="485">
        <v>1</v>
      </c>
      <c r="E1376" s="485">
        <v>10.3</v>
      </c>
      <c r="F1376" s="485">
        <v>6.35</v>
      </c>
      <c r="G1376" s="485"/>
      <c r="H1376" s="18">
        <f t="shared" ref="H1376" si="248">PRODUCT(D1376:G1376)</f>
        <v>65.405000000000001</v>
      </c>
    </row>
    <row r="1377" spans="1:8">
      <c r="A1377" s="17"/>
      <c r="B1377" s="17"/>
      <c r="C1377" s="17"/>
      <c r="D1377" s="17"/>
      <c r="E1377" s="17"/>
      <c r="F1377" s="17"/>
      <c r="G1377" s="17"/>
      <c r="H1377" s="18"/>
    </row>
    <row r="1378" spans="1:8">
      <c r="A1378" s="15"/>
      <c r="B1378" s="15" t="s">
        <v>21</v>
      </c>
      <c r="C1378" s="15"/>
      <c r="D1378" s="15"/>
      <c r="E1378" s="15"/>
      <c r="F1378" s="15"/>
      <c r="G1378" s="15"/>
      <c r="H1378" s="20">
        <f>SUM(H1374:H1377)</f>
        <v>131.303</v>
      </c>
    </row>
    <row r="1379" spans="1:8">
      <c r="A1379" s="17"/>
      <c r="B1379" s="17" t="s">
        <v>22</v>
      </c>
      <c r="C1379" s="17"/>
      <c r="D1379" s="17"/>
      <c r="E1379" s="17"/>
      <c r="F1379" s="17"/>
      <c r="G1379" s="17"/>
      <c r="H1379" s="18"/>
    </row>
    <row r="1380" spans="1:8">
      <c r="A1380" s="15"/>
      <c r="B1380" s="15" t="s">
        <v>23</v>
      </c>
      <c r="C1380" s="15"/>
      <c r="D1380" s="15"/>
      <c r="E1380" s="15"/>
      <c r="F1380" s="15"/>
      <c r="G1380" s="15"/>
      <c r="H1380" s="20">
        <f>ROUND(SUM(H1378:H1379),0)</f>
        <v>131</v>
      </c>
    </row>
    <row r="1381" spans="1:8">
      <c r="A1381" s="17"/>
      <c r="B1381" s="17"/>
      <c r="C1381" s="17"/>
      <c r="D1381" s="17"/>
      <c r="E1381" s="17"/>
      <c r="F1381" s="17"/>
      <c r="G1381" s="17"/>
      <c r="H1381" s="18"/>
    </row>
    <row r="1382" spans="1:8">
      <c r="A1382" s="17">
        <v>4</v>
      </c>
      <c r="B1382" s="15" t="s">
        <v>2065</v>
      </c>
      <c r="C1382" s="17" t="s">
        <v>10</v>
      </c>
      <c r="D1382" s="17"/>
      <c r="E1382" s="17"/>
      <c r="F1382" s="17"/>
      <c r="G1382" s="17"/>
      <c r="H1382" s="18"/>
    </row>
    <row r="1383" spans="1:8">
      <c r="A1383" s="17"/>
      <c r="B1383" s="17" t="s">
        <v>186</v>
      </c>
      <c r="C1383" s="16" t="s">
        <v>10</v>
      </c>
      <c r="D1383" s="17">
        <v>1</v>
      </c>
      <c r="E1383" s="17">
        <v>5.2</v>
      </c>
      <c r="F1383" s="17">
        <v>5.25</v>
      </c>
      <c r="G1383" s="17"/>
      <c r="H1383" s="18">
        <f t="shared" ref="H1383:H1384" si="249">PRODUCT(D1383:G1383)</f>
        <v>27.3</v>
      </c>
    </row>
    <row r="1384" spans="1:8">
      <c r="A1384" s="17"/>
      <c r="B1384" s="17"/>
      <c r="C1384" s="16" t="s">
        <v>10</v>
      </c>
      <c r="D1384" s="17">
        <v>0.5</v>
      </c>
      <c r="E1384" s="17">
        <v>5.25</v>
      </c>
      <c r="F1384" s="17">
        <v>5.32</v>
      </c>
      <c r="G1384" s="17"/>
      <c r="H1384" s="18">
        <f t="shared" si="249"/>
        <v>13.965</v>
      </c>
    </row>
    <row r="1385" spans="1:8">
      <c r="A1385" s="485"/>
      <c r="B1385" s="485"/>
      <c r="C1385" s="509"/>
      <c r="D1385" s="485"/>
      <c r="E1385" s="485"/>
      <c r="F1385" s="485"/>
      <c r="G1385" s="485"/>
      <c r="H1385" s="487"/>
    </row>
    <row r="1386" spans="1:8">
      <c r="A1386" s="17"/>
      <c r="B1386" s="17"/>
      <c r="C1386" s="17"/>
      <c r="D1386" s="17"/>
      <c r="E1386" s="17"/>
      <c r="F1386" s="17"/>
      <c r="G1386" s="17"/>
      <c r="H1386" s="18"/>
    </row>
    <row r="1387" spans="1:8">
      <c r="A1387" s="15"/>
      <c r="B1387" s="15" t="s">
        <v>21</v>
      </c>
      <c r="C1387" s="15"/>
      <c r="D1387" s="15"/>
      <c r="E1387" s="15"/>
      <c r="F1387" s="15"/>
      <c r="G1387" s="15"/>
      <c r="H1387" s="20">
        <f>SUM(H1383:H1386)</f>
        <v>41.265000000000001</v>
      </c>
    </row>
    <row r="1388" spans="1:8">
      <c r="A1388" s="17"/>
      <c r="B1388" s="17" t="s">
        <v>22</v>
      </c>
      <c r="C1388" s="17"/>
      <c r="D1388" s="17"/>
      <c r="E1388" s="17"/>
      <c r="F1388" s="17"/>
      <c r="G1388" s="17"/>
      <c r="H1388" s="18"/>
    </row>
    <row r="1389" spans="1:8">
      <c r="A1389" s="15"/>
      <c r="B1389" s="15" t="s">
        <v>23</v>
      </c>
      <c r="C1389" s="15"/>
      <c r="D1389" s="15"/>
      <c r="E1389" s="15"/>
      <c r="F1389" s="15"/>
      <c r="G1389" s="15"/>
      <c r="H1389" s="20">
        <f>ROUND(SUM(H1387:H1388),0)</f>
        <v>41</v>
      </c>
    </row>
    <row r="1390" spans="1:8">
      <c r="A1390" s="17"/>
      <c r="B1390" s="17"/>
      <c r="C1390" s="17"/>
      <c r="D1390" s="17"/>
      <c r="E1390" s="17"/>
      <c r="F1390" s="17"/>
      <c r="G1390" s="17"/>
      <c r="H1390" s="18"/>
    </row>
    <row r="1391" spans="1:8">
      <c r="A1391" s="17">
        <v>4</v>
      </c>
      <c r="B1391" s="15" t="s">
        <v>2065</v>
      </c>
      <c r="C1391" s="17" t="s">
        <v>10</v>
      </c>
      <c r="D1391" s="17"/>
      <c r="E1391" s="17"/>
      <c r="F1391" s="17"/>
      <c r="G1391" s="17"/>
      <c r="H1391" s="18"/>
    </row>
    <row r="1392" spans="1:8">
      <c r="A1392" s="17"/>
      <c r="B1392" s="17" t="s">
        <v>1339</v>
      </c>
      <c r="C1392" s="16" t="s">
        <v>10</v>
      </c>
      <c r="D1392" s="17">
        <v>1</v>
      </c>
      <c r="E1392" s="17">
        <v>3.94</v>
      </c>
      <c r="F1392" s="17">
        <v>7.65</v>
      </c>
      <c r="G1392" s="17"/>
      <c r="H1392" s="18">
        <f t="shared" ref="H1392:H1393" si="250">PRODUCT(D1392:G1392)</f>
        <v>30.141000000000002</v>
      </c>
    </row>
    <row r="1393" spans="1:8">
      <c r="A1393" s="17"/>
      <c r="B1393" s="17" t="s">
        <v>1339</v>
      </c>
      <c r="C1393" s="16" t="s">
        <v>10</v>
      </c>
      <c r="D1393" s="17">
        <v>0.5</v>
      </c>
      <c r="E1393" s="17">
        <v>5.08</v>
      </c>
      <c r="F1393" s="17">
        <v>5.09</v>
      </c>
      <c r="G1393" s="17"/>
      <c r="H1393" s="18">
        <f t="shared" si="250"/>
        <v>12.928599999999999</v>
      </c>
    </row>
    <row r="1394" spans="1:8">
      <c r="A1394" s="485"/>
      <c r="B1394" s="485"/>
      <c r="C1394" s="509"/>
      <c r="D1394" s="485"/>
      <c r="E1394" s="485"/>
      <c r="F1394" s="485"/>
      <c r="G1394" s="485"/>
      <c r="H1394" s="487"/>
    </row>
    <row r="1395" spans="1:8">
      <c r="A1395" s="17"/>
      <c r="B1395" s="17"/>
      <c r="C1395" s="17"/>
      <c r="D1395" s="17"/>
      <c r="E1395" s="17"/>
      <c r="F1395" s="17"/>
      <c r="G1395" s="17"/>
      <c r="H1395" s="18"/>
    </row>
    <row r="1396" spans="1:8">
      <c r="A1396" s="15"/>
      <c r="B1396" s="15" t="s">
        <v>21</v>
      </c>
      <c r="C1396" s="15"/>
      <c r="D1396" s="15"/>
      <c r="E1396" s="15"/>
      <c r="F1396" s="15"/>
      <c r="G1396" s="15"/>
      <c r="H1396" s="20">
        <f>SUM(H1392:H1395)</f>
        <v>43.069600000000001</v>
      </c>
    </row>
    <row r="1397" spans="1:8">
      <c r="A1397" s="17"/>
      <c r="B1397" s="17" t="s">
        <v>22</v>
      </c>
      <c r="C1397" s="17"/>
      <c r="D1397" s="17"/>
      <c r="E1397" s="17"/>
      <c r="F1397" s="17"/>
      <c r="G1397" s="17"/>
      <c r="H1397" s="18"/>
    </row>
    <row r="1398" spans="1:8">
      <c r="A1398" s="15"/>
      <c r="B1398" s="15" t="s">
        <v>23</v>
      </c>
      <c r="C1398" s="15"/>
      <c r="D1398" s="15"/>
      <c r="E1398" s="15"/>
      <c r="F1398" s="15"/>
      <c r="G1398" s="15"/>
      <c r="H1398" s="20">
        <f>ROUND(SUM(H1396:H1397),0)</f>
        <v>43</v>
      </c>
    </row>
    <row r="1399" spans="1:8">
      <c r="A1399" s="17"/>
      <c r="B1399" s="17"/>
      <c r="C1399" s="17"/>
      <c r="D1399" s="17"/>
      <c r="E1399" s="17"/>
      <c r="F1399" s="17"/>
      <c r="G1399" s="17"/>
      <c r="H1399" s="18"/>
    </row>
    <row r="1400" spans="1:8">
      <c r="A1400" s="17">
        <v>4</v>
      </c>
      <c r="B1400" s="15" t="s">
        <v>281</v>
      </c>
      <c r="C1400" s="17" t="s">
        <v>10</v>
      </c>
      <c r="D1400" s="17"/>
      <c r="E1400" s="17"/>
      <c r="F1400" s="17"/>
      <c r="G1400" s="17"/>
      <c r="H1400" s="18"/>
    </row>
    <row r="1401" spans="1:8">
      <c r="A1401" s="17"/>
      <c r="B1401" s="17" t="s">
        <v>156</v>
      </c>
      <c r="C1401" s="16" t="s">
        <v>10</v>
      </c>
      <c r="D1401" s="17">
        <v>1</v>
      </c>
      <c r="E1401" s="17">
        <v>3.1</v>
      </c>
      <c r="F1401" s="17">
        <v>2.4</v>
      </c>
      <c r="G1401" s="17"/>
      <c r="H1401" s="18">
        <f t="shared" ref="H1401:H1407" si="251">PRODUCT(D1401:G1401)</f>
        <v>7.4399999999999995</v>
      </c>
    </row>
    <row r="1402" spans="1:8">
      <c r="A1402" s="17"/>
      <c r="B1402" s="17"/>
      <c r="C1402" s="16" t="s">
        <v>10</v>
      </c>
      <c r="D1402" s="17">
        <v>1</v>
      </c>
      <c r="E1402" s="17">
        <v>12.1</v>
      </c>
      <c r="F1402" s="17">
        <v>2.4</v>
      </c>
      <c r="G1402" s="17"/>
      <c r="H1402" s="18">
        <f t="shared" si="251"/>
        <v>29.04</v>
      </c>
    </row>
    <row r="1403" spans="1:8">
      <c r="A1403" s="17"/>
      <c r="B1403" s="17"/>
      <c r="C1403" s="16" t="s">
        <v>10</v>
      </c>
      <c r="D1403" s="17">
        <v>1</v>
      </c>
      <c r="E1403" s="17">
        <v>5.25</v>
      </c>
      <c r="F1403" s="17">
        <v>7.8</v>
      </c>
      <c r="G1403" s="17"/>
      <c r="H1403" s="18">
        <f t="shared" si="251"/>
        <v>40.949999999999996</v>
      </c>
    </row>
    <row r="1404" spans="1:8">
      <c r="A1404" s="485"/>
      <c r="B1404" s="485"/>
      <c r="C1404" s="16" t="s">
        <v>10</v>
      </c>
      <c r="D1404" s="485">
        <v>1</v>
      </c>
      <c r="E1404" s="485">
        <v>7.15</v>
      </c>
      <c r="F1404" s="485">
        <v>0.55000000000000004</v>
      </c>
      <c r="G1404" s="485"/>
      <c r="H1404" s="18">
        <f t="shared" si="251"/>
        <v>3.9325000000000006</v>
      </c>
    </row>
    <row r="1405" spans="1:8">
      <c r="A1405" s="485"/>
      <c r="B1405" s="485"/>
      <c r="C1405" s="16" t="s">
        <v>10</v>
      </c>
      <c r="D1405" s="485">
        <v>0.5</v>
      </c>
      <c r="E1405" s="485">
        <v>7.15</v>
      </c>
      <c r="F1405" s="485">
        <v>7.1</v>
      </c>
      <c r="G1405" s="485"/>
      <c r="H1405" s="487">
        <f t="shared" si="251"/>
        <v>25.3825</v>
      </c>
    </row>
    <row r="1406" spans="1:8">
      <c r="A1406" s="485"/>
      <c r="B1406" s="485"/>
      <c r="C1406" s="16" t="s">
        <v>10</v>
      </c>
      <c r="D1406" s="485">
        <v>1</v>
      </c>
      <c r="E1406" s="485">
        <v>3.4</v>
      </c>
      <c r="F1406" s="485">
        <v>2.2000000000000002</v>
      </c>
      <c r="G1406" s="485"/>
      <c r="H1406" s="487">
        <f t="shared" si="251"/>
        <v>7.48</v>
      </c>
    </row>
    <row r="1407" spans="1:8">
      <c r="A1407" s="485"/>
      <c r="B1407" s="485" t="s">
        <v>1332</v>
      </c>
      <c r="C1407" s="16" t="s">
        <v>10</v>
      </c>
      <c r="D1407" s="485">
        <v>3</v>
      </c>
      <c r="E1407" s="485">
        <v>2.6</v>
      </c>
      <c r="F1407" s="485">
        <v>2</v>
      </c>
      <c r="G1407" s="485"/>
      <c r="H1407" s="487">
        <f t="shared" si="251"/>
        <v>15.600000000000001</v>
      </c>
    </row>
    <row r="1408" spans="1:8">
      <c r="A1408" s="485"/>
      <c r="B1408" s="485"/>
      <c r="C1408" s="509"/>
      <c r="D1408" s="485"/>
      <c r="E1408" s="485"/>
      <c r="F1408" s="485"/>
      <c r="G1408" s="485"/>
      <c r="H1408" s="487"/>
    </row>
    <row r="1409" spans="1:8">
      <c r="A1409" s="485"/>
      <c r="B1409" s="485"/>
      <c r="C1409" s="509"/>
      <c r="D1409" s="485"/>
      <c r="E1409" s="485"/>
      <c r="F1409" s="485"/>
      <c r="G1409" s="485"/>
      <c r="H1409" s="487"/>
    </row>
    <row r="1410" spans="1:8">
      <c r="A1410" s="485"/>
      <c r="B1410" s="485"/>
      <c r="C1410" s="509"/>
      <c r="D1410" s="485"/>
      <c r="E1410" s="485"/>
      <c r="F1410" s="485"/>
      <c r="G1410" s="485"/>
      <c r="H1410" s="487"/>
    </row>
    <row r="1411" spans="1:8">
      <c r="A1411" s="17"/>
      <c r="B1411" s="17"/>
      <c r="C1411" s="17"/>
      <c r="D1411" s="17"/>
      <c r="E1411" s="17"/>
      <c r="F1411" s="17"/>
      <c r="G1411" s="17"/>
      <c r="H1411" s="18"/>
    </row>
    <row r="1412" spans="1:8">
      <c r="A1412" s="15"/>
      <c r="B1412" s="15" t="s">
        <v>21</v>
      </c>
      <c r="C1412" s="15"/>
      <c r="D1412" s="15"/>
      <c r="E1412" s="15"/>
      <c r="F1412" s="15"/>
      <c r="G1412" s="15"/>
      <c r="H1412" s="20">
        <f>SUM(H1401:H1411)</f>
        <v>129.82500000000002</v>
      </c>
    </row>
    <row r="1413" spans="1:8">
      <c r="A1413" s="17"/>
      <c r="B1413" s="17" t="s">
        <v>22</v>
      </c>
      <c r="C1413" s="17"/>
      <c r="D1413" s="17"/>
      <c r="E1413" s="17"/>
      <c r="F1413" s="17"/>
      <c r="G1413" s="17"/>
      <c r="H1413" s="18"/>
    </row>
    <row r="1414" spans="1:8">
      <c r="A1414" s="15"/>
      <c r="B1414" s="15" t="s">
        <v>23</v>
      </c>
      <c r="C1414" s="15"/>
      <c r="D1414" s="15"/>
      <c r="E1414" s="15"/>
      <c r="F1414" s="15"/>
      <c r="G1414" s="15"/>
      <c r="H1414" s="20">
        <f>ROUND(SUM(H1412:H1413),0)</f>
        <v>130</v>
      </c>
    </row>
    <row r="1415" spans="1:8">
      <c r="A1415" s="17"/>
      <c r="B1415" s="17"/>
      <c r="C1415" s="17"/>
      <c r="D1415" s="17"/>
      <c r="E1415" s="17"/>
      <c r="F1415" s="17"/>
      <c r="G1415" s="17"/>
      <c r="H1415" s="18"/>
    </row>
    <row r="1416" spans="1:8">
      <c r="A1416" s="17">
        <v>4</v>
      </c>
      <c r="B1416" s="15" t="s">
        <v>1333</v>
      </c>
      <c r="C1416" s="17" t="s">
        <v>10</v>
      </c>
      <c r="D1416" s="17"/>
      <c r="E1416" s="17"/>
      <c r="F1416" s="17"/>
      <c r="G1416" s="17"/>
      <c r="H1416" s="18"/>
    </row>
    <row r="1417" spans="1:8">
      <c r="A1417" s="17"/>
      <c r="B1417" s="17" t="s">
        <v>1334</v>
      </c>
      <c r="C1417" s="16" t="s">
        <v>10</v>
      </c>
      <c r="D1417" s="17">
        <v>2</v>
      </c>
      <c r="E1417" s="17">
        <v>9.6999999999999993</v>
      </c>
      <c r="F1417" s="17">
        <v>1.2</v>
      </c>
      <c r="G1417" s="17"/>
      <c r="H1417" s="18">
        <f t="shared" ref="H1417:H1419" si="252">PRODUCT(D1417:G1417)</f>
        <v>23.279999999999998</v>
      </c>
    </row>
    <row r="1418" spans="1:8">
      <c r="A1418" s="17"/>
      <c r="B1418" s="17" t="s">
        <v>204</v>
      </c>
      <c r="C1418" s="16" t="s">
        <v>10</v>
      </c>
      <c r="D1418" s="17">
        <v>1</v>
      </c>
      <c r="E1418" s="17">
        <v>8.8000000000000007</v>
      </c>
      <c r="F1418" s="17">
        <f>2.45</f>
        <v>2.4500000000000002</v>
      </c>
      <c r="G1418" s="17"/>
      <c r="H1418" s="18">
        <f t="shared" si="252"/>
        <v>21.560000000000002</v>
      </c>
    </row>
    <row r="1419" spans="1:8">
      <c r="A1419" s="17"/>
      <c r="B1419" s="17" t="s">
        <v>203</v>
      </c>
      <c r="C1419" s="16" t="s">
        <v>10</v>
      </c>
      <c r="D1419" s="17">
        <v>1</v>
      </c>
      <c r="E1419" s="17">
        <v>6.4</v>
      </c>
      <c r="F1419" s="17">
        <v>1.2</v>
      </c>
      <c r="G1419" s="17"/>
      <c r="H1419" s="18">
        <f t="shared" si="252"/>
        <v>7.68</v>
      </c>
    </row>
    <row r="1420" spans="1:8">
      <c r="A1420" s="17"/>
      <c r="B1420" s="17"/>
      <c r="C1420" s="17"/>
      <c r="D1420" s="17"/>
      <c r="E1420" s="17"/>
      <c r="F1420" s="17"/>
      <c r="G1420" s="17"/>
      <c r="H1420" s="18"/>
    </row>
    <row r="1421" spans="1:8">
      <c r="A1421" s="15"/>
      <c r="B1421" s="15" t="s">
        <v>21</v>
      </c>
      <c r="C1421" s="15"/>
      <c r="D1421" s="15"/>
      <c r="E1421" s="15"/>
      <c r="F1421" s="15"/>
      <c r="G1421" s="15"/>
      <c r="H1421" s="20">
        <f>SUM(H1417:H1420)</f>
        <v>52.52</v>
      </c>
    </row>
    <row r="1422" spans="1:8">
      <c r="A1422" s="17"/>
      <c r="B1422" s="17" t="s">
        <v>22</v>
      </c>
      <c r="C1422" s="17"/>
      <c r="D1422" s="17"/>
      <c r="E1422" s="17"/>
      <c r="F1422" s="17"/>
      <c r="G1422" s="17"/>
      <c r="H1422" s="18"/>
    </row>
    <row r="1423" spans="1:8">
      <c r="A1423" s="15"/>
      <c r="B1423" s="15" t="s">
        <v>23</v>
      </c>
      <c r="C1423" s="15"/>
      <c r="D1423" s="15"/>
      <c r="E1423" s="15"/>
      <c r="F1423" s="15"/>
      <c r="G1423" s="15"/>
      <c r="H1423" s="20">
        <f>ROUND(SUM(H1421:H1422),0)</f>
        <v>53</v>
      </c>
    </row>
    <row r="1424" spans="1:8">
      <c r="A1424" s="17"/>
      <c r="B1424" s="17"/>
      <c r="C1424" s="17"/>
      <c r="D1424" s="17"/>
      <c r="E1424" s="17"/>
      <c r="F1424" s="17"/>
      <c r="G1424" s="17"/>
      <c r="H1424" s="18"/>
    </row>
    <row r="1425" spans="1:10">
      <c r="A1425" s="17">
        <v>4</v>
      </c>
      <c r="B1425" s="15" t="s">
        <v>2000</v>
      </c>
      <c r="C1425" s="17" t="s">
        <v>31</v>
      </c>
      <c r="D1425" s="17"/>
      <c r="E1425" s="17"/>
      <c r="F1425" s="17"/>
      <c r="G1425" s="17"/>
      <c r="H1425" s="18"/>
    </row>
    <row r="1426" spans="1:10">
      <c r="A1426" s="17"/>
      <c r="B1426" s="17" t="s">
        <v>156</v>
      </c>
      <c r="C1426" s="17" t="s">
        <v>31</v>
      </c>
      <c r="D1426" s="17">
        <v>1</v>
      </c>
      <c r="E1426" s="17">
        <f>7.78+1.41+5.2+0.16+4.02+4.75</f>
        <v>23.32</v>
      </c>
      <c r="F1426" s="17"/>
      <c r="G1426" s="17"/>
      <c r="H1426" s="18">
        <f t="shared" ref="H1426" si="253">PRODUCT(D1426:G1426)</f>
        <v>23.32</v>
      </c>
    </row>
    <row r="1427" spans="1:10">
      <c r="A1427" s="485"/>
      <c r="B1427" s="17" t="s">
        <v>156</v>
      </c>
      <c r="C1427" s="17" t="s">
        <v>31</v>
      </c>
      <c r="D1427" s="17">
        <v>1</v>
      </c>
      <c r="E1427" s="17">
        <f>2.665+0.942+1.885+0.63+1.886+0.942</f>
        <v>8.9499999999999993</v>
      </c>
      <c r="F1427" s="17"/>
      <c r="G1427" s="17"/>
      <c r="H1427" s="18">
        <f t="shared" ref="H1427" si="254">PRODUCT(D1427:G1427)</f>
        <v>8.9499999999999993</v>
      </c>
    </row>
    <row r="1428" spans="1:10">
      <c r="A1428" s="17"/>
      <c r="B1428" s="17"/>
      <c r="C1428" s="17"/>
      <c r="D1428" s="17"/>
      <c r="E1428" s="17"/>
      <c r="F1428" s="17"/>
      <c r="G1428" s="17"/>
      <c r="H1428" s="18"/>
    </row>
    <row r="1429" spans="1:10">
      <c r="A1429" s="15"/>
      <c r="B1429" s="15" t="s">
        <v>21</v>
      </c>
      <c r="C1429" s="15"/>
      <c r="D1429" s="15"/>
      <c r="E1429" s="15"/>
      <c r="F1429" s="15"/>
      <c r="G1429" s="15"/>
      <c r="H1429" s="20">
        <f>SUM(H1426:H1428)</f>
        <v>32.269999999999996</v>
      </c>
    </row>
    <row r="1430" spans="1:10">
      <c r="A1430" s="17"/>
      <c r="B1430" s="17" t="s">
        <v>22</v>
      </c>
      <c r="C1430" s="17"/>
      <c r="D1430" s="17"/>
      <c r="E1430" s="17"/>
      <c r="F1430" s="17"/>
      <c r="G1430" s="17"/>
      <c r="H1430" s="18"/>
    </row>
    <row r="1431" spans="1:10">
      <c r="A1431" s="15"/>
      <c r="B1431" s="15" t="s">
        <v>23</v>
      </c>
      <c r="C1431" s="15"/>
      <c r="D1431" s="15"/>
      <c r="E1431" s="15"/>
      <c r="F1431" s="15"/>
      <c r="G1431" s="15"/>
      <c r="H1431" s="20">
        <f>ROUND(SUM(H1429:H1430),0)</f>
        <v>32</v>
      </c>
    </row>
    <row r="1432" spans="1:10">
      <c r="A1432" s="17"/>
      <c r="B1432" s="17"/>
      <c r="C1432" s="17"/>
      <c r="D1432" s="17"/>
      <c r="E1432" s="17"/>
      <c r="F1432" s="17"/>
      <c r="G1432" s="17"/>
      <c r="H1432" s="18"/>
    </row>
    <row r="1433" spans="1:10">
      <c r="A1433" s="17">
        <v>4</v>
      </c>
      <c r="B1433" s="15" t="s">
        <v>1335</v>
      </c>
      <c r="C1433" s="17" t="s">
        <v>10</v>
      </c>
      <c r="D1433" s="17"/>
      <c r="E1433" s="17"/>
      <c r="F1433" s="17"/>
      <c r="G1433" s="17"/>
      <c r="H1433" s="18"/>
    </row>
    <row r="1434" spans="1:10">
      <c r="A1434" s="17"/>
      <c r="B1434" s="17"/>
      <c r="C1434" s="17"/>
      <c r="D1434" s="17"/>
      <c r="E1434" s="17"/>
      <c r="F1434" s="17"/>
      <c r="G1434" s="17"/>
      <c r="H1434" s="18"/>
    </row>
    <row r="1435" spans="1:10">
      <c r="A1435" s="17"/>
      <c r="B1435" s="17" t="s">
        <v>2067</v>
      </c>
      <c r="C1435" s="17" t="s">
        <v>10</v>
      </c>
      <c r="D1435" s="17">
        <v>0.5</v>
      </c>
      <c r="E1435" s="17">
        <v>20</v>
      </c>
      <c r="F1435" s="17">
        <v>10</v>
      </c>
      <c r="G1435" s="17"/>
      <c r="H1435" s="18">
        <f t="shared" ref="H1435:H1437" si="255">PRODUCT(D1435:G1435)</f>
        <v>100</v>
      </c>
    </row>
    <row r="1436" spans="1:10">
      <c r="A1436" s="17"/>
      <c r="B1436" s="17" t="s">
        <v>196</v>
      </c>
      <c r="C1436" s="17" t="s">
        <v>10</v>
      </c>
      <c r="D1436" s="17">
        <v>1</v>
      </c>
      <c r="E1436" s="17">
        <v>4.7</v>
      </c>
      <c r="F1436" s="17">
        <f>(3.72+6)/2</f>
        <v>4.8600000000000003</v>
      </c>
      <c r="G1436" s="17"/>
      <c r="H1436" s="18">
        <f t="shared" si="255"/>
        <v>22.842000000000002</v>
      </c>
    </row>
    <row r="1437" spans="1:10">
      <c r="A1437" s="17"/>
      <c r="B1437" s="17"/>
      <c r="C1437" s="17" t="s">
        <v>10</v>
      </c>
      <c r="D1437" s="17">
        <v>0.5</v>
      </c>
      <c r="E1437" s="17">
        <v>5.4</v>
      </c>
      <c r="F1437" s="17">
        <v>6</v>
      </c>
      <c r="G1437" s="17"/>
      <c r="H1437" s="18">
        <f t="shared" si="255"/>
        <v>16.200000000000003</v>
      </c>
    </row>
    <row r="1438" spans="1:10">
      <c r="A1438" s="17"/>
      <c r="B1438" s="17"/>
      <c r="C1438" s="17"/>
      <c r="D1438" s="17"/>
      <c r="E1438" s="17"/>
      <c r="F1438" s="17"/>
      <c r="G1438" s="17"/>
      <c r="H1438" s="18"/>
    </row>
    <row r="1439" spans="1:10">
      <c r="A1439" s="15"/>
      <c r="B1439" s="15" t="s">
        <v>21</v>
      </c>
      <c r="C1439" s="15"/>
      <c r="D1439" s="15"/>
      <c r="E1439" s="15"/>
      <c r="F1439" s="15"/>
      <c r="G1439" s="15"/>
      <c r="H1439" s="20">
        <f>SUM(H1434:H1438)</f>
        <v>139.042</v>
      </c>
      <c r="J1439" s="510"/>
    </row>
    <row r="1440" spans="1:10">
      <c r="A1440" s="17"/>
      <c r="B1440" s="17" t="s">
        <v>22</v>
      </c>
      <c r="C1440" s="17"/>
      <c r="D1440" s="17"/>
      <c r="E1440" s="17"/>
      <c r="F1440" s="17"/>
      <c r="G1440" s="17"/>
      <c r="H1440" s="18"/>
    </row>
    <row r="1441" spans="1:10">
      <c r="A1441" s="15"/>
      <c r="B1441" s="15" t="s">
        <v>23</v>
      </c>
      <c r="C1441" s="15"/>
      <c r="D1441" s="15"/>
      <c r="E1441" s="15"/>
      <c r="F1441" s="15"/>
      <c r="G1441" s="15"/>
      <c r="H1441" s="20">
        <f>ROUND(SUM(H1439:H1440),0)</f>
        <v>139</v>
      </c>
    </row>
    <row r="1442" spans="1:10">
      <c r="A1442" s="17"/>
      <c r="B1442" s="17"/>
      <c r="C1442" s="17"/>
      <c r="D1442" s="17"/>
      <c r="E1442" s="17"/>
      <c r="F1442" s="17"/>
      <c r="G1442" s="17"/>
      <c r="H1442" s="18"/>
    </row>
    <row r="1443" spans="1:10">
      <c r="A1443" s="17">
        <v>4</v>
      </c>
      <c r="B1443" s="15" t="s">
        <v>295</v>
      </c>
      <c r="C1443" s="17" t="s">
        <v>10</v>
      </c>
      <c r="D1443" s="17"/>
      <c r="E1443" s="17"/>
      <c r="F1443" s="17"/>
      <c r="G1443" s="17"/>
      <c r="H1443" s="18"/>
    </row>
    <row r="1444" spans="1:10">
      <c r="A1444" s="17"/>
      <c r="B1444" s="17"/>
      <c r="C1444" s="17"/>
      <c r="D1444" s="17"/>
      <c r="E1444" s="17"/>
      <c r="F1444" s="17"/>
      <c r="G1444" s="17"/>
      <c r="H1444" s="18"/>
    </row>
    <row r="1445" spans="1:10">
      <c r="A1445" s="17"/>
      <c r="B1445" s="17" t="s">
        <v>2070</v>
      </c>
      <c r="C1445" s="17" t="s">
        <v>10</v>
      </c>
      <c r="D1445" s="17">
        <v>0.5</v>
      </c>
      <c r="E1445" s="17">
        <v>11.2</v>
      </c>
      <c r="F1445" s="17">
        <v>5.5</v>
      </c>
      <c r="G1445" s="17"/>
      <c r="H1445" s="18">
        <f t="shared" ref="H1445:H1447" si="256">PRODUCT(D1445:G1445)</f>
        <v>30.799999999999997</v>
      </c>
    </row>
    <row r="1446" spans="1:10">
      <c r="A1446" s="17"/>
      <c r="B1446" s="17" t="s">
        <v>2070</v>
      </c>
      <c r="C1446" s="17" t="s">
        <v>10</v>
      </c>
      <c r="D1446" s="17">
        <v>0.5</v>
      </c>
      <c r="E1446" s="17">
        <v>7.65</v>
      </c>
      <c r="F1446" s="17">
        <v>3.84</v>
      </c>
      <c r="G1446" s="17"/>
      <c r="H1446" s="18">
        <f t="shared" si="256"/>
        <v>14.688000000000001</v>
      </c>
    </row>
    <row r="1447" spans="1:10">
      <c r="A1447" s="17"/>
      <c r="B1447" s="17" t="s">
        <v>297</v>
      </c>
      <c r="C1447" s="16" t="s">
        <v>10</v>
      </c>
      <c r="D1447" s="17">
        <v>1</v>
      </c>
      <c r="E1447" s="17">
        <v>4</v>
      </c>
      <c r="F1447" s="17">
        <v>2.5</v>
      </c>
      <c r="G1447" s="17"/>
      <c r="H1447" s="18">
        <f t="shared" si="256"/>
        <v>10</v>
      </c>
    </row>
    <row r="1448" spans="1:10">
      <c r="A1448" s="485"/>
      <c r="B1448" s="485" t="s">
        <v>1286</v>
      </c>
      <c r="C1448" s="16" t="s">
        <v>10</v>
      </c>
      <c r="D1448" s="17">
        <v>1</v>
      </c>
      <c r="E1448" s="17">
        <v>6.0250000000000004</v>
      </c>
      <c r="F1448" s="17">
        <v>1.97</v>
      </c>
      <c r="G1448" s="17"/>
      <c r="H1448" s="18">
        <f t="shared" ref="H1448:H1450" si="257">PRODUCT(D1448:G1448)</f>
        <v>11.869250000000001</v>
      </c>
    </row>
    <row r="1449" spans="1:10">
      <c r="A1449" s="485"/>
      <c r="B1449" s="485"/>
      <c r="C1449" s="16" t="s">
        <v>10</v>
      </c>
      <c r="D1449" s="485">
        <v>1</v>
      </c>
      <c r="E1449" s="485">
        <v>1.2</v>
      </c>
      <c r="F1449" s="485">
        <f>(6.025+4.75)/2</f>
        <v>5.3875000000000002</v>
      </c>
      <c r="G1449" s="485"/>
      <c r="H1449" s="18">
        <f t="shared" si="257"/>
        <v>6.4649999999999999</v>
      </c>
    </row>
    <row r="1450" spans="1:10" s="948" customFormat="1">
      <c r="A1450" s="485"/>
      <c r="B1450" s="485"/>
      <c r="C1450" s="16" t="s">
        <v>10</v>
      </c>
      <c r="D1450" s="485">
        <v>0.5</v>
      </c>
      <c r="E1450" s="485">
        <v>4.75</v>
      </c>
      <c r="F1450" s="485">
        <v>2.37</v>
      </c>
      <c r="G1450" s="485"/>
      <c r="H1450" s="18">
        <f t="shared" si="257"/>
        <v>5.6287500000000001</v>
      </c>
    </row>
    <row r="1451" spans="1:10">
      <c r="A1451" s="17"/>
      <c r="B1451" s="17"/>
      <c r="C1451" s="17"/>
      <c r="D1451" s="17"/>
      <c r="E1451" s="17"/>
      <c r="F1451" s="17"/>
      <c r="G1451" s="17"/>
      <c r="H1451" s="18"/>
    </row>
    <row r="1452" spans="1:10">
      <c r="A1452" s="15"/>
      <c r="B1452" s="15" t="s">
        <v>21</v>
      </c>
      <c r="C1452" s="15"/>
      <c r="D1452" s="15"/>
      <c r="E1452" s="15"/>
      <c r="F1452" s="15"/>
      <c r="G1452" s="15"/>
      <c r="H1452" s="20">
        <f>SUM(H1444:H1451)</f>
        <v>79.450999999999993</v>
      </c>
      <c r="J1452" s="510"/>
    </row>
    <row r="1453" spans="1:10">
      <c r="A1453" s="17"/>
      <c r="B1453" s="17" t="s">
        <v>22</v>
      </c>
      <c r="C1453" s="17"/>
      <c r="D1453" s="17"/>
      <c r="E1453" s="17"/>
      <c r="F1453" s="17"/>
      <c r="G1453" s="17"/>
      <c r="H1453" s="18"/>
    </row>
    <row r="1454" spans="1:10">
      <c r="A1454" s="15"/>
      <c r="B1454" s="15" t="s">
        <v>23</v>
      </c>
      <c r="C1454" s="15"/>
      <c r="D1454" s="15"/>
      <c r="E1454" s="15"/>
      <c r="F1454" s="15"/>
      <c r="G1454" s="15"/>
      <c r="H1454" s="20">
        <f>ROUND(SUM(H1452:H1453),0)</f>
        <v>79</v>
      </c>
    </row>
    <row r="1455" spans="1:10">
      <c r="A1455" s="17"/>
      <c r="B1455" s="17"/>
      <c r="C1455" s="17"/>
      <c r="D1455" s="17"/>
      <c r="E1455" s="17"/>
      <c r="F1455" s="17"/>
      <c r="G1455" s="17"/>
      <c r="H1455" s="18"/>
    </row>
    <row r="1456" spans="1:10">
      <c r="A1456" s="17">
        <v>4</v>
      </c>
      <c r="B1456" s="15" t="s">
        <v>2073</v>
      </c>
      <c r="C1456" s="17" t="s">
        <v>10</v>
      </c>
      <c r="D1456" s="17"/>
      <c r="E1456" s="17"/>
      <c r="F1456" s="17"/>
      <c r="G1456" s="17"/>
      <c r="H1456" s="18"/>
    </row>
    <row r="1457" spans="1:10">
      <c r="A1457" s="17"/>
      <c r="B1457" s="17"/>
      <c r="C1457" s="17"/>
      <c r="D1457" s="17"/>
      <c r="E1457" s="17"/>
      <c r="F1457" s="17"/>
      <c r="G1457" s="17"/>
      <c r="H1457" s="18"/>
    </row>
    <row r="1458" spans="1:10">
      <c r="A1458" s="17"/>
      <c r="B1458" s="17" t="s">
        <v>2073</v>
      </c>
      <c r="C1458" s="17" t="s">
        <v>10</v>
      </c>
      <c r="D1458" s="17">
        <v>0.5</v>
      </c>
      <c r="E1458" s="17">
        <v>3.1</v>
      </c>
      <c r="F1458" s="17">
        <v>1.53</v>
      </c>
      <c r="G1458" s="17"/>
      <c r="H1458" s="18">
        <f t="shared" ref="H1458:H1463" si="258">PRODUCT(D1458:G1458)</f>
        <v>2.3715000000000002</v>
      </c>
    </row>
    <row r="1459" spans="1:10">
      <c r="A1459" s="17"/>
      <c r="B1459" s="17" t="s">
        <v>202</v>
      </c>
      <c r="C1459" s="17" t="s">
        <v>10</v>
      </c>
      <c r="D1459" s="17">
        <v>0.5</v>
      </c>
      <c r="E1459" s="17">
        <v>1.1499999999999999</v>
      </c>
      <c r="F1459" s="17">
        <v>0.6</v>
      </c>
      <c r="G1459" s="17"/>
      <c r="H1459" s="18">
        <f t="shared" si="258"/>
        <v>0.34499999999999997</v>
      </c>
    </row>
    <row r="1460" spans="1:10">
      <c r="A1460" s="17"/>
      <c r="B1460" s="17" t="s">
        <v>1252</v>
      </c>
      <c r="C1460" s="17" t="s">
        <v>10</v>
      </c>
      <c r="D1460" s="17">
        <f>2*0.5</f>
        <v>1</v>
      </c>
      <c r="E1460" s="17">
        <v>1.5</v>
      </c>
      <c r="F1460" s="17">
        <v>0.85</v>
      </c>
      <c r="G1460" s="17"/>
      <c r="H1460" s="18">
        <f t="shared" si="258"/>
        <v>1.2749999999999999</v>
      </c>
    </row>
    <row r="1461" spans="1:10">
      <c r="A1461" s="17"/>
      <c r="B1461" s="17" t="s">
        <v>196</v>
      </c>
      <c r="C1461" s="16" t="s">
        <v>10</v>
      </c>
      <c r="D1461" s="17">
        <v>0.5</v>
      </c>
      <c r="E1461" s="17">
        <v>3.1</v>
      </c>
      <c r="F1461" s="17">
        <v>1.53</v>
      </c>
      <c r="G1461" s="17"/>
      <c r="H1461" s="18">
        <f t="shared" si="258"/>
        <v>2.3715000000000002</v>
      </c>
    </row>
    <row r="1462" spans="1:10">
      <c r="A1462" s="17"/>
      <c r="B1462" s="17" t="s">
        <v>2014</v>
      </c>
      <c r="C1462" s="16" t="s">
        <v>10</v>
      </c>
      <c r="D1462" s="17">
        <v>0.5</v>
      </c>
      <c r="E1462" s="17">
        <v>2.0499999999999998</v>
      </c>
      <c r="F1462" s="17">
        <v>1.05</v>
      </c>
      <c r="G1462" s="17"/>
      <c r="H1462" s="18">
        <f t="shared" si="258"/>
        <v>1.0762499999999999</v>
      </c>
    </row>
    <row r="1463" spans="1:10">
      <c r="A1463" s="485"/>
      <c r="B1463" s="485" t="s">
        <v>196</v>
      </c>
      <c r="C1463" s="16" t="s">
        <v>10</v>
      </c>
      <c r="D1463" s="17">
        <v>0.5</v>
      </c>
      <c r="E1463" s="17">
        <v>1.2</v>
      </c>
      <c r="F1463" s="17">
        <v>0.6</v>
      </c>
      <c r="G1463" s="17"/>
      <c r="H1463" s="18">
        <f t="shared" si="258"/>
        <v>0.36</v>
      </c>
    </row>
    <row r="1464" spans="1:10">
      <c r="A1464" s="485"/>
      <c r="B1464" s="485"/>
      <c r="C1464" s="509"/>
      <c r="D1464" s="485"/>
      <c r="E1464" s="485"/>
      <c r="F1464" s="485"/>
      <c r="G1464" s="485"/>
      <c r="H1464" s="487"/>
    </row>
    <row r="1465" spans="1:10">
      <c r="A1465" s="485"/>
      <c r="B1465" s="485"/>
      <c r="C1465" s="485"/>
      <c r="D1465" s="485"/>
      <c r="E1465" s="485"/>
      <c r="F1465" s="485"/>
      <c r="G1465" s="485"/>
      <c r="H1465" s="487"/>
    </row>
    <row r="1466" spans="1:10">
      <c r="A1466" s="17"/>
      <c r="B1466" s="17"/>
      <c r="C1466" s="17"/>
      <c r="D1466" s="17"/>
      <c r="E1466" s="17"/>
      <c r="F1466" s="17"/>
      <c r="G1466" s="17"/>
      <c r="H1466" s="18"/>
    </row>
    <row r="1467" spans="1:10">
      <c r="A1467" s="15"/>
      <c r="B1467" s="15" t="s">
        <v>21</v>
      </c>
      <c r="C1467" s="15"/>
      <c r="D1467" s="15"/>
      <c r="E1467" s="15"/>
      <c r="F1467" s="15"/>
      <c r="G1467" s="15"/>
      <c r="H1467" s="20">
        <f>SUM(H1457:H1466)</f>
        <v>7.7992499999999998</v>
      </c>
      <c r="J1467" s="510"/>
    </row>
    <row r="1468" spans="1:10">
      <c r="A1468" s="17"/>
      <c r="B1468" s="17" t="s">
        <v>22</v>
      </c>
      <c r="C1468" s="17"/>
      <c r="D1468" s="17"/>
      <c r="E1468" s="17"/>
      <c r="F1468" s="17"/>
      <c r="G1468" s="17"/>
      <c r="H1468" s="18"/>
    </row>
    <row r="1469" spans="1:10">
      <c r="A1469" s="15"/>
      <c r="B1469" s="15" t="s">
        <v>23</v>
      </c>
      <c r="C1469" s="15"/>
      <c r="D1469" s="15"/>
      <c r="E1469" s="15"/>
      <c r="F1469" s="15"/>
      <c r="G1469" s="15"/>
      <c r="H1469" s="20">
        <f>ROUND(SUM(H1467:H1468),0)</f>
        <v>8</v>
      </c>
    </row>
    <row r="1470" spans="1:10">
      <c r="A1470" s="17"/>
      <c r="B1470" s="17"/>
      <c r="C1470" s="17"/>
      <c r="D1470" s="17"/>
      <c r="E1470" s="17"/>
      <c r="F1470" s="17"/>
      <c r="G1470" s="17"/>
      <c r="H1470" s="18"/>
    </row>
    <row r="1471" spans="1:10">
      <c r="A1471" s="17">
        <v>4</v>
      </c>
      <c r="B1471" s="15" t="s">
        <v>1337</v>
      </c>
      <c r="C1471" s="17" t="s">
        <v>10</v>
      </c>
      <c r="D1471" s="17"/>
      <c r="E1471" s="17"/>
      <c r="F1471" s="17"/>
      <c r="G1471" s="17"/>
      <c r="H1471" s="18"/>
    </row>
    <row r="1472" spans="1:10">
      <c r="A1472" s="17"/>
      <c r="B1472" s="485" t="s">
        <v>1178</v>
      </c>
      <c r="C1472" s="17" t="s">
        <v>10</v>
      </c>
      <c r="D1472" s="17">
        <v>0</v>
      </c>
      <c r="E1472" s="17">
        <v>3.95</v>
      </c>
      <c r="F1472" s="17">
        <f>(5.7+5.3)/2</f>
        <v>5.5</v>
      </c>
      <c r="G1472" s="17"/>
      <c r="H1472" s="18">
        <f t="shared" ref="H1472:H1476" si="259">PRODUCT(D1472:G1472)</f>
        <v>0</v>
      </c>
    </row>
    <row r="1473" spans="1:8">
      <c r="A1473" s="485"/>
      <c r="B1473" s="485"/>
      <c r="C1473" s="17" t="s">
        <v>10</v>
      </c>
      <c r="D1473" s="485">
        <v>0</v>
      </c>
      <c r="E1473" s="485">
        <v>0.83</v>
      </c>
      <c r="F1473" s="485">
        <v>0.83</v>
      </c>
      <c r="G1473" s="485"/>
      <c r="H1473" s="18">
        <f t="shared" si="259"/>
        <v>0</v>
      </c>
    </row>
    <row r="1474" spans="1:8">
      <c r="A1474" s="485"/>
      <c r="B1474" s="485" t="s">
        <v>1177</v>
      </c>
      <c r="C1474" s="17" t="s">
        <v>10</v>
      </c>
      <c r="D1474" s="485">
        <v>0</v>
      </c>
      <c r="E1474" s="485">
        <v>4</v>
      </c>
      <c r="F1474" s="485">
        <v>4.3</v>
      </c>
      <c r="G1474" s="485"/>
      <c r="H1474" s="487">
        <f t="shared" si="259"/>
        <v>0</v>
      </c>
    </row>
    <row r="1475" spans="1:8">
      <c r="A1475" s="485"/>
      <c r="B1475" s="485" t="s">
        <v>1991</v>
      </c>
      <c r="C1475" s="17" t="s">
        <v>10</v>
      </c>
      <c r="D1475" s="485">
        <v>1</v>
      </c>
      <c r="E1475" s="485">
        <v>4.55</v>
      </c>
      <c r="F1475" s="485">
        <v>2.25</v>
      </c>
      <c r="G1475" s="485"/>
      <c r="H1475" s="487">
        <f t="shared" si="259"/>
        <v>10.237499999999999</v>
      </c>
    </row>
    <row r="1476" spans="1:8">
      <c r="A1476" s="485"/>
      <c r="B1476" s="485"/>
      <c r="C1476" s="17" t="s">
        <v>10</v>
      </c>
      <c r="D1476" s="485">
        <v>-1</v>
      </c>
      <c r="E1476" s="485">
        <v>1</v>
      </c>
      <c r="F1476" s="485">
        <v>2.4</v>
      </c>
      <c r="G1476" s="485"/>
      <c r="H1476" s="487">
        <f t="shared" si="259"/>
        <v>-2.4</v>
      </c>
    </row>
    <row r="1477" spans="1:8">
      <c r="A1477" s="485"/>
      <c r="B1477" s="485" t="s">
        <v>307</v>
      </c>
      <c r="C1477" s="17" t="s">
        <v>10</v>
      </c>
      <c r="D1477" s="485">
        <v>1</v>
      </c>
      <c r="E1477" s="485">
        <f>6.63</f>
        <v>6.63</v>
      </c>
      <c r="F1477" s="485">
        <f>(1.75+1.22)/2</f>
        <v>1.4849999999999999</v>
      </c>
      <c r="G1477" s="485"/>
      <c r="H1477" s="487">
        <f t="shared" ref="H1477" si="260">PRODUCT(D1477:G1477)</f>
        <v>9.8455499999999994</v>
      </c>
    </row>
    <row r="1478" spans="1:8">
      <c r="A1478" s="485"/>
      <c r="B1478" s="485"/>
      <c r="C1478" s="485"/>
      <c r="D1478" s="485"/>
      <c r="E1478" s="485"/>
      <c r="F1478" s="485"/>
      <c r="G1478" s="485"/>
      <c r="H1478" s="487"/>
    </row>
    <row r="1479" spans="1:8">
      <c r="A1479" s="17"/>
      <c r="B1479" s="17"/>
      <c r="C1479" s="17"/>
      <c r="D1479" s="17"/>
      <c r="E1479" s="17"/>
      <c r="F1479" s="17"/>
      <c r="G1479" s="17"/>
      <c r="H1479" s="18"/>
    </row>
    <row r="1480" spans="1:8">
      <c r="A1480" s="15"/>
      <c r="B1480" s="15" t="s">
        <v>21</v>
      </c>
      <c r="C1480" s="15"/>
      <c r="D1480" s="15"/>
      <c r="E1480" s="15"/>
      <c r="F1480" s="15"/>
      <c r="G1480" s="15"/>
      <c r="H1480" s="20">
        <f>SUM(H1471:H1479)</f>
        <v>17.683049999999998</v>
      </c>
    </row>
    <row r="1481" spans="1:8">
      <c r="A1481" s="17"/>
      <c r="B1481" s="17" t="s">
        <v>22</v>
      </c>
      <c r="C1481" s="17"/>
      <c r="D1481" s="17"/>
      <c r="E1481" s="17"/>
      <c r="F1481" s="17"/>
      <c r="G1481" s="17"/>
      <c r="H1481" s="18"/>
    </row>
    <row r="1482" spans="1:8">
      <c r="A1482" s="15"/>
      <c r="B1482" s="15" t="s">
        <v>23</v>
      </c>
      <c r="C1482" s="15"/>
      <c r="D1482" s="15"/>
      <c r="E1482" s="15"/>
      <c r="F1482" s="15"/>
      <c r="G1482" s="15"/>
      <c r="H1482" s="20">
        <f>ROUND(SUM(H1480:H1481),0)</f>
        <v>18</v>
      </c>
    </row>
    <row r="1483" spans="1:8">
      <c r="A1483" s="17"/>
      <c r="B1483" s="17"/>
      <c r="C1483" s="17"/>
      <c r="D1483" s="17"/>
      <c r="E1483" s="17"/>
      <c r="F1483" s="17"/>
      <c r="G1483" s="17"/>
      <c r="H1483" s="18"/>
    </row>
    <row r="1484" spans="1:8">
      <c r="A1484" s="17">
        <v>4</v>
      </c>
      <c r="B1484" s="15" t="s">
        <v>292</v>
      </c>
      <c r="C1484" s="17" t="s">
        <v>10</v>
      </c>
      <c r="D1484" s="17"/>
      <c r="E1484" s="17"/>
      <c r="F1484" s="17"/>
      <c r="G1484" s="17"/>
      <c r="H1484" s="18"/>
    </row>
    <row r="1485" spans="1:8">
      <c r="A1485" s="17"/>
      <c r="B1485" s="17" t="s">
        <v>201</v>
      </c>
      <c r="C1485" s="16" t="s">
        <v>10</v>
      </c>
      <c r="D1485" s="17">
        <v>1</v>
      </c>
      <c r="E1485" s="17">
        <v>2.4500000000000002</v>
      </c>
      <c r="F1485" s="17">
        <v>1.4</v>
      </c>
      <c r="G1485" s="17"/>
      <c r="H1485" s="18">
        <f>PRODUCT(D1485:G1485)</f>
        <v>3.43</v>
      </c>
    </row>
    <row r="1486" spans="1:8">
      <c r="A1486" s="17"/>
      <c r="B1486" s="17" t="s">
        <v>201</v>
      </c>
      <c r="C1486" s="16" t="s">
        <v>10</v>
      </c>
      <c r="D1486" s="17">
        <v>1</v>
      </c>
      <c r="E1486" s="17">
        <v>1.5</v>
      </c>
      <c r="F1486" s="17">
        <v>1.3</v>
      </c>
      <c r="G1486" s="17"/>
      <c r="H1486" s="18">
        <f>PRODUCT(D1486:G1486)</f>
        <v>1.9500000000000002</v>
      </c>
    </row>
    <row r="1487" spans="1:8">
      <c r="A1487" s="17"/>
      <c r="B1487" s="17" t="s">
        <v>1291</v>
      </c>
      <c r="C1487" s="16" t="s">
        <v>10</v>
      </c>
      <c r="D1487" s="17">
        <v>1</v>
      </c>
      <c r="E1487" s="17">
        <v>1.31</v>
      </c>
      <c r="F1487" s="17">
        <v>1.26</v>
      </c>
      <c r="G1487" s="17"/>
      <c r="H1487" s="18">
        <f>PRODUCT(D1487:G1487)</f>
        <v>1.6506000000000001</v>
      </c>
    </row>
    <row r="1488" spans="1:8">
      <c r="A1488" s="17"/>
      <c r="B1488" s="17" t="s">
        <v>201</v>
      </c>
      <c r="C1488" s="16" t="s">
        <v>10</v>
      </c>
      <c r="D1488" s="17">
        <v>1</v>
      </c>
      <c r="E1488" s="17">
        <v>2.2000000000000002</v>
      </c>
      <c r="F1488" s="17">
        <v>1.4</v>
      </c>
      <c r="G1488" s="17"/>
      <c r="H1488" s="18">
        <f>PRODUCT(D1488:G1488)</f>
        <v>3.08</v>
      </c>
    </row>
    <row r="1489" spans="1:8">
      <c r="A1489" s="17"/>
      <c r="B1489" s="17" t="s">
        <v>1291</v>
      </c>
      <c r="C1489" s="16" t="s">
        <v>10</v>
      </c>
      <c r="D1489" s="17">
        <v>1</v>
      </c>
      <c r="E1489" s="17">
        <v>1.05</v>
      </c>
      <c r="F1489" s="17">
        <v>1.2</v>
      </c>
      <c r="G1489" s="17"/>
      <c r="H1489" s="18">
        <f>PRODUCT(D1489:G1489)</f>
        <v>1.26</v>
      </c>
    </row>
    <row r="1490" spans="1:8">
      <c r="A1490" s="485"/>
      <c r="B1490" s="485"/>
      <c r="C1490" s="509"/>
      <c r="D1490" s="485"/>
      <c r="E1490" s="485"/>
      <c r="F1490" s="485"/>
      <c r="G1490" s="485"/>
      <c r="H1490" s="487"/>
    </row>
    <row r="1491" spans="1:8">
      <c r="A1491" s="17"/>
      <c r="B1491" s="17"/>
      <c r="C1491" s="17"/>
      <c r="D1491" s="17"/>
      <c r="E1491" s="17"/>
      <c r="F1491" s="17"/>
      <c r="G1491" s="17"/>
      <c r="H1491" s="18"/>
    </row>
    <row r="1492" spans="1:8">
      <c r="A1492" s="15"/>
      <c r="B1492" s="15" t="s">
        <v>21</v>
      </c>
      <c r="C1492" s="15"/>
      <c r="D1492" s="15"/>
      <c r="E1492" s="15"/>
      <c r="F1492" s="15"/>
      <c r="G1492" s="15"/>
      <c r="H1492" s="20">
        <f>SUM(H1485:H1491)</f>
        <v>11.370600000000001</v>
      </c>
    </row>
    <row r="1493" spans="1:8">
      <c r="A1493" s="17"/>
      <c r="B1493" s="17" t="s">
        <v>22</v>
      </c>
      <c r="C1493" s="17"/>
      <c r="D1493" s="17"/>
      <c r="E1493" s="17"/>
      <c r="F1493" s="17"/>
      <c r="G1493" s="17"/>
      <c r="H1493" s="18"/>
    </row>
    <row r="1494" spans="1:8">
      <c r="A1494" s="15"/>
      <c r="B1494" s="15" t="s">
        <v>23</v>
      </c>
      <c r="C1494" s="15"/>
      <c r="D1494" s="15"/>
      <c r="E1494" s="15"/>
      <c r="F1494" s="15"/>
      <c r="G1494" s="15"/>
      <c r="H1494" s="20">
        <f>ROUND(SUM(H1492:H1493),0)</f>
        <v>11</v>
      </c>
    </row>
    <row r="1495" spans="1:8">
      <c r="A1495" s="17"/>
      <c r="B1495" s="17"/>
      <c r="C1495" s="17"/>
      <c r="D1495" s="17"/>
      <c r="E1495" s="17"/>
      <c r="F1495" s="17"/>
      <c r="G1495" s="17"/>
      <c r="H1495" s="18"/>
    </row>
    <row r="1496" spans="1:8">
      <c r="A1496" s="17">
        <v>4</v>
      </c>
      <c r="B1496" s="15" t="s">
        <v>293</v>
      </c>
      <c r="C1496" s="17" t="s">
        <v>10</v>
      </c>
      <c r="D1496" s="17"/>
      <c r="E1496" s="17"/>
      <c r="F1496" s="17"/>
      <c r="G1496" s="17"/>
      <c r="H1496" s="18"/>
    </row>
    <row r="1497" spans="1:8">
      <c r="A1497" s="17"/>
      <c r="B1497" s="17" t="s">
        <v>307</v>
      </c>
      <c r="C1497" s="16" t="s">
        <v>10</v>
      </c>
      <c r="D1497" s="17">
        <v>1</v>
      </c>
      <c r="E1497" s="17">
        <v>6.625</v>
      </c>
      <c r="F1497" s="17">
        <v>1.08</v>
      </c>
      <c r="G1497" s="17"/>
      <c r="H1497" s="18">
        <f t="shared" ref="H1497:H1522" si="261">PRODUCT(D1497:G1497)</f>
        <v>7.1550000000000002</v>
      </c>
    </row>
    <row r="1498" spans="1:8">
      <c r="A1498" s="485"/>
      <c r="B1498" s="485" t="s">
        <v>1326</v>
      </c>
      <c r="C1498" s="16" t="s">
        <v>10</v>
      </c>
      <c r="D1498" s="485">
        <v>2</v>
      </c>
      <c r="E1498" s="17">
        <v>6.625</v>
      </c>
      <c r="F1498" s="485"/>
      <c r="G1498" s="485">
        <v>0.3</v>
      </c>
      <c r="H1498" s="18">
        <f t="shared" si="261"/>
        <v>3.9749999999999996</v>
      </c>
    </row>
    <row r="1499" spans="1:8">
      <c r="A1499" s="485"/>
      <c r="B1499" s="485"/>
      <c r="C1499" s="16" t="s">
        <v>10</v>
      </c>
      <c r="D1499" s="485">
        <v>1</v>
      </c>
      <c r="E1499" s="485">
        <f>(1.212+1.14)/2</f>
        <v>1.1759999999999999</v>
      </c>
      <c r="F1499" s="17">
        <v>1.08</v>
      </c>
      <c r="G1499" s="485"/>
      <c r="H1499" s="18">
        <f t="shared" si="261"/>
        <v>1.2700800000000001</v>
      </c>
    </row>
    <row r="1500" spans="1:8">
      <c r="A1500" s="485"/>
      <c r="B1500" s="485" t="s">
        <v>1326</v>
      </c>
      <c r="C1500" s="16" t="s">
        <v>10</v>
      </c>
      <c r="D1500" s="485">
        <v>1</v>
      </c>
      <c r="E1500" s="485">
        <f>(1.212+1.14)/2</f>
        <v>1.1759999999999999</v>
      </c>
      <c r="F1500" s="17"/>
      <c r="G1500" s="485">
        <v>0.3</v>
      </c>
      <c r="H1500" s="18">
        <f t="shared" si="261"/>
        <v>0.35279999999999995</v>
      </c>
    </row>
    <row r="1501" spans="1:8">
      <c r="A1501" s="485"/>
      <c r="B1501" s="485"/>
      <c r="C1501" s="16" t="s">
        <v>10</v>
      </c>
      <c r="D1501" s="485">
        <v>1</v>
      </c>
      <c r="E1501" s="485">
        <v>2.48</v>
      </c>
      <c r="F1501" s="485">
        <v>0.6</v>
      </c>
      <c r="G1501" s="485"/>
      <c r="H1501" s="18">
        <f t="shared" si="261"/>
        <v>1.488</v>
      </c>
    </row>
    <row r="1502" spans="1:8">
      <c r="A1502" s="485"/>
      <c r="B1502" s="485" t="s">
        <v>1326</v>
      </c>
      <c r="C1502" s="16" t="s">
        <v>10</v>
      </c>
      <c r="D1502" s="485">
        <v>1</v>
      </c>
      <c r="E1502" s="485">
        <v>2.48</v>
      </c>
      <c r="F1502" s="485"/>
      <c r="G1502" s="485">
        <v>0.3</v>
      </c>
      <c r="H1502" s="18">
        <f t="shared" si="261"/>
        <v>0.74399999999999999</v>
      </c>
    </row>
    <row r="1503" spans="1:8">
      <c r="A1503" s="485"/>
      <c r="B1503" s="485" t="s">
        <v>1177</v>
      </c>
      <c r="C1503" s="16" t="s">
        <v>10</v>
      </c>
      <c r="D1503" s="485">
        <v>1</v>
      </c>
      <c r="E1503" s="485">
        <v>1.1499999999999999</v>
      </c>
      <c r="F1503" s="485">
        <v>1.05</v>
      </c>
      <c r="G1503" s="485"/>
      <c r="H1503" s="18">
        <f t="shared" si="261"/>
        <v>1.2075</v>
      </c>
    </row>
    <row r="1504" spans="1:8">
      <c r="A1504" s="485"/>
      <c r="B1504" s="485"/>
      <c r="C1504" s="16" t="s">
        <v>10</v>
      </c>
      <c r="D1504" s="485">
        <v>1</v>
      </c>
      <c r="E1504" s="485">
        <v>1.1499999999999999</v>
      </c>
      <c r="F1504" s="485"/>
      <c r="G1504" s="485">
        <v>0.3</v>
      </c>
      <c r="H1504" s="18">
        <f t="shared" si="261"/>
        <v>0.34499999999999997</v>
      </c>
    </row>
    <row r="1505" spans="1:8">
      <c r="A1505" s="485"/>
      <c r="B1505" s="485"/>
      <c r="C1505" s="16" t="s">
        <v>10</v>
      </c>
      <c r="D1505" s="485">
        <v>1</v>
      </c>
      <c r="E1505" s="485">
        <v>2.9</v>
      </c>
      <c r="F1505" s="485">
        <v>0.6</v>
      </c>
      <c r="G1505" s="485"/>
      <c r="H1505" s="487">
        <f t="shared" si="261"/>
        <v>1.74</v>
      </c>
    </row>
    <row r="1506" spans="1:8">
      <c r="A1506" s="485"/>
      <c r="B1506" s="485"/>
      <c r="C1506" s="16" t="s">
        <v>10</v>
      </c>
      <c r="D1506" s="485">
        <v>1</v>
      </c>
      <c r="E1506" s="485">
        <v>2.9</v>
      </c>
      <c r="F1506" s="485"/>
      <c r="G1506" s="485">
        <v>0.3</v>
      </c>
      <c r="H1506" s="487">
        <f t="shared" si="261"/>
        <v>0.87</v>
      </c>
    </row>
    <row r="1507" spans="1:8">
      <c r="A1507" s="485"/>
      <c r="B1507" s="485"/>
      <c r="C1507" s="16" t="s">
        <v>10</v>
      </c>
      <c r="D1507" s="485">
        <v>1</v>
      </c>
      <c r="E1507" s="485">
        <v>3.61</v>
      </c>
      <c r="F1507" s="485">
        <v>0.65</v>
      </c>
      <c r="G1507" s="485"/>
      <c r="H1507" s="487">
        <f t="shared" si="261"/>
        <v>2.3464999999999998</v>
      </c>
    </row>
    <row r="1508" spans="1:8">
      <c r="A1508" s="485"/>
      <c r="B1508" s="485"/>
      <c r="C1508" s="16" t="s">
        <v>10</v>
      </c>
      <c r="D1508" s="485">
        <v>1</v>
      </c>
      <c r="E1508" s="485">
        <v>3.61</v>
      </c>
      <c r="F1508" s="485"/>
      <c r="G1508" s="485">
        <v>0.3</v>
      </c>
      <c r="H1508" s="487">
        <f t="shared" si="261"/>
        <v>1.083</v>
      </c>
    </row>
    <row r="1509" spans="1:8">
      <c r="A1509" s="485"/>
      <c r="B1509" s="485" t="s">
        <v>1242</v>
      </c>
      <c r="C1509" s="16" t="s">
        <v>10</v>
      </c>
      <c r="D1509" s="485">
        <v>1</v>
      </c>
      <c r="E1509" s="485">
        <v>3.8</v>
      </c>
      <c r="F1509" s="485">
        <v>0.46500000000000002</v>
      </c>
      <c r="G1509" s="485"/>
      <c r="H1509" s="487">
        <f t="shared" si="261"/>
        <v>1.7669999999999999</v>
      </c>
    </row>
    <row r="1510" spans="1:8">
      <c r="A1510" s="485"/>
      <c r="B1510" s="485"/>
      <c r="C1510" s="16" t="s">
        <v>10</v>
      </c>
      <c r="D1510" s="485">
        <v>1</v>
      </c>
      <c r="E1510" s="485">
        <v>3.8</v>
      </c>
      <c r="F1510" s="485"/>
      <c r="G1510" s="485">
        <v>0.3</v>
      </c>
      <c r="H1510" s="487">
        <f t="shared" si="261"/>
        <v>1.1399999999999999</v>
      </c>
    </row>
    <row r="1511" spans="1:8">
      <c r="A1511" s="485"/>
      <c r="B1511" s="485" t="s">
        <v>1243</v>
      </c>
      <c r="C1511" s="16" t="s">
        <v>10</v>
      </c>
      <c r="D1511" s="485">
        <v>1</v>
      </c>
      <c r="E1511" s="485">
        <v>3.8</v>
      </c>
      <c r="F1511" s="485">
        <v>0.46500000000000002</v>
      </c>
      <c r="G1511" s="485"/>
      <c r="H1511" s="487">
        <f t="shared" si="261"/>
        <v>1.7669999999999999</v>
      </c>
    </row>
    <row r="1512" spans="1:8">
      <c r="A1512" s="485"/>
      <c r="B1512" s="485"/>
      <c r="C1512" s="16" t="s">
        <v>10</v>
      </c>
      <c r="D1512" s="485">
        <v>1</v>
      </c>
      <c r="E1512" s="485">
        <v>3.8</v>
      </c>
      <c r="F1512" s="485"/>
      <c r="G1512" s="485">
        <v>0.3</v>
      </c>
      <c r="H1512" s="487">
        <f t="shared" si="261"/>
        <v>1.1399999999999999</v>
      </c>
    </row>
    <row r="1513" spans="1:8">
      <c r="A1513" s="485"/>
      <c r="B1513" s="485" t="s">
        <v>1917</v>
      </c>
      <c r="C1513" s="16" t="s">
        <v>10</v>
      </c>
      <c r="D1513" s="485">
        <v>1</v>
      </c>
      <c r="E1513" s="485">
        <v>2.08</v>
      </c>
      <c r="F1513" s="485">
        <v>0.6</v>
      </c>
      <c r="G1513" s="485"/>
      <c r="H1513" s="487">
        <f t="shared" si="261"/>
        <v>1.248</v>
      </c>
    </row>
    <row r="1514" spans="1:8">
      <c r="A1514" s="485"/>
      <c r="B1514" s="485"/>
      <c r="C1514" s="16" t="s">
        <v>10</v>
      </c>
      <c r="D1514" s="485">
        <v>1</v>
      </c>
      <c r="E1514" s="485">
        <v>2.08</v>
      </c>
      <c r="F1514" s="485"/>
      <c r="G1514" s="485">
        <v>0.3</v>
      </c>
      <c r="H1514" s="487">
        <f t="shared" si="261"/>
        <v>0.624</v>
      </c>
    </row>
    <row r="1515" spans="1:8">
      <c r="A1515" s="485"/>
      <c r="B1515" s="485"/>
      <c r="C1515" s="16" t="s">
        <v>10</v>
      </c>
      <c r="D1515" s="485">
        <v>1</v>
      </c>
      <c r="E1515" s="485">
        <v>7.05</v>
      </c>
      <c r="F1515" s="485">
        <v>0.6</v>
      </c>
      <c r="G1515" s="485"/>
      <c r="H1515" s="487">
        <f t="shared" si="261"/>
        <v>4.2299999999999995</v>
      </c>
    </row>
    <row r="1516" spans="1:8">
      <c r="A1516" s="485"/>
      <c r="B1516" s="485"/>
      <c r="C1516" s="16" t="s">
        <v>10</v>
      </c>
      <c r="D1516" s="485">
        <v>1</v>
      </c>
      <c r="E1516" s="485">
        <v>7.05</v>
      </c>
      <c r="F1516" s="485"/>
      <c r="G1516" s="485">
        <v>0.3</v>
      </c>
      <c r="H1516" s="487">
        <f t="shared" si="261"/>
        <v>2.1149999999999998</v>
      </c>
    </row>
    <row r="1517" spans="1:8">
      <c r="A1517" s="485"/>
      <c r="B1517" s="485" t="s">
        <v>2074</v>
      </c>
      <c r="C1517" s="16" t="s">
        <v>10</v>
      </c>
      <c r="D1517" s="485">
        <v>1</v>
      </c>
      <c r="E1517" s="485">
        <v>5.0999999999999996</v>
      </c>
      <c r="F1517" s="485">
        <v>0.6</v>
      </c>
      <c r="G1517" s="485"/>
      <c r="H1517" s="487">
        <f t="shared" si="261"/>
        <v>3.0599999999999996</v>
      </c>
    </row>
    <row r="1518" spans="1:8">
      <c r="A1518" s="485"/>
      <c r="B1518" s="485"/>
      <c r="C1518" s="16" t="s">
        <v>10</v>
      </c>
      <c r="D1518" s="485">
        <v>1</v>
      </c>
      <c r="E1518" s="485">
        <v>5.0999999999999996</v>
      </c>
      <c r="F1518" s="485"/>
      <c r="G1518" s="485">
        <v>0.3</v>
      </c>
      <c r="H1518" s="487">
        <f t="shared" si="261"/>
        <v>1.5299999999999998</v>
      </c>
    </row>
    <row r="1519" spans="1:8">
      <c r="A1519" s="485"/>
      <c r="B1519" s="485" t="s">
        <v>1339</v>
      </c>
      <c r="C1519" s="16" t="s">
        <v>10</v>
      </c>
      <c r="D1519" s="485">
        <v>1</v>
      </c>
      <c r="E1519" s="485">
        <v>5.67</v>
      </c>
      <c r="F1519" s="485">
        <v>0.6</v>
      </c>
      <c r="G1519" s="485"/>
      <c r="H1519" s="487">
        <f t="shared" si="261"/>
        <v>3.4019999999999997</v>
      </c>
    </row>
    <row r="1520" spans="1:8">
      <c r="A1520" s="485"/>
      <c r="B1520" s="485"/>
      <c r="C1520" s="16" t="s">
        <v>10</v>
      </c>
      <c r="D1520" s="485">
        <v>1</v>
      </c>
      <c r="E1520" s="485">
        <v>5.67</v>
      </c>
      <c r="F1520" s="485"/>
      <c r="G1520" s="485">
        <v>0.3</v>
      </c>
      <c r="H1520" s="487">
        <f t="shared" si="261"/>
        <v>1.7009999999999998</v>
      </c>
    </row>
    <row r="1521" spans="1:8">
      <c r="A1521" s="485"/>
      <c r="B1521" s="485" t="s">
        <v>1217</v>
      </c>
      <c r="C1521" s="16" t="s">
        <v>10</v>
      </c>
      <c r="D1521" s="485">
        <v>1</v>
      </c>
      <c r="E1521" s="485">
        <v>1</v>
      </c>
      <c r="F1521" s="485">
        <v>0.6</v>
      </c>
      <c r="G1521" s="485"/>
      <c r="H1521" s="487">
        <f t="shared" si="261"/>
        <v>0.6</v>
      </c>
    </row>
    <row r="1522" spans="1:8">
      <c r="A1522" s="485"/>
      <c r="B1522" s="485"/>
      <c r="C1522" s="16" t="s">
        <v>10</v>
      </c>
      <c r="D1522" s="485">
        <v>1</v>
      </c>
      <c r="E1522" s="485">
        <v>1</v>
      </c>
      <c r="F1522" s="485"/>
      <c r="G1522" s="485">
        <v>0.3</v>
      </c>
      <c r="H1522" s="487">
        <f t="shared" si="261"/>
        <v>0.3</v>
      </c>
    </row>
    <row r="1523" spans="1:8">
      <c r="A1523" s="485"/>
      <c r="B1523" s="485" t="s">
        <v>201</v>
      </c>
      <c r="C1523" s="16" t="s">
        <v>10</v>
      </c>
      <c r="D1523" s="485">
        <v>1</v>
      </c>
      <c r="E1523" s="485">
        <v>1.2</v>
      </c>
      <c r="F1523" s="485">
        <v>4.4000000000000004</v>
      </c>
      <c r="G1523" s="485"/>
      <c r="H1523" s="487">
        <f t="shared" ref="H1523" si="262">PRODUCT(D1523:G1523)</f>
        <v>5.28</v>
      </c>
    </row>
    <row r="1524" spans="1:8" s="948" customFormat="1">
      <c r="A1524" s="485"/>
      <c r="B1524" s="485"/>
      <c r="C1524" s="16" t="s">
        <v>10</v>
      </c>
      <c r="D1524" s="485">
        <v>1</v>
      </c>
      <c r="E1524" s="485">
        <v>6</v>
      </c>
      <c r="F1524" s="485">
        <v>1.1499999999999999</v>
      </c>
      <c r="G1524" s="485"/>
      <c r="H1524" s="487">
        <f t="shared" ref="H1524" si="263">PRODUCT(D1524:G1524)</f>
        <v>6.8999999999999995</v>
      </c>
    </row>
    <row r="1525" spans="1:8" s="948" customFormat="1">
      <c r="A1525" s="485"/>
      <c r="B1525" s="485" t="s">
        <v>2074</v>
      </c>
      <c r="C1525" s="16" t="s">
        <v>10</v>
      </c>
      <c r="D1525" s="485">
        <v>1</v>
      </c>
      <c r="E1525" s="485">
        <v>7.64</v>
      </c>
      <c r="F1525" s="485">
        <v>0.6</v>
      </c>
      <c r="G1525" s="485"/>
      <c r="H1525" s="487">
        <f t="shared" ref="H1525:H1527" si="264">PRODUCT(D1525:G1525)</f>
        <v>4.5839999999999996</v>
      </c>
    </row>
    <row r="1526" spans="1:8" s="948" customFormat="1">
      <c r="A1526" s="485"/>
      <c r="B1526" s="485"/>
      <c r="C1526" s="16" t="s">
        <v>10</v>
      </c>
      <c r="D1526" s="485">
        <v>1</v>
      </c>
      <c r="E1526" s="485">
        <v>2.25</v>
      </c>
      <c r="F1526" s="485">
        <v>0.6</v>
      </c>
      <c r="G1526" s="485"/>
      <c r="H1526" s="487">
        <f t="shared" si="264"/>
        <v>1.3499999999999999</v>
      </c>
    </row>
    <row r="1527" spans="1:8" s="948" customFormat="1">
      <c r="A1527" s="485"/>
      <c r="B1527" s="485"/>
      <c r="C1527" s="16" t="s">
        <v>10</v>
      </c>
      <c r="D1527" s="485">
        <v>1</v>
      </c>
      <c r="E1527" s="485">
        <v>6.03</v>
      </c>
      <c r="F1527" s="485">
        <v>0.6</v>
      </c>
      <c r="G1527" s="485"/>
      <c r="H1527" s="487">
        <f t="shared" si="264"/>
        <v>3.6179999999999999</v>
      </c>
    </row>
    <row r="1528" spans="1:8" s="948" customFormat="1">
      <c r="A1528" s="485"/>
      <c r="B1528" s="485"/>
      <c r="C1528" s="16" t="s">
        <v>10</v>
      </c>
      <c r="D1528" s="485">
        <v>1</v>
      </c>
      <c r="E1528" s="485">
        <v>3.7</v>
      </c>
      <c r="F1528" s="485">
        <v>0.6</v>
      </c>
      <c r="G1528" s="485"/>
      <c r="H1528" s="487">
        <f t="shared" ref="H1528" si="265">PRODUCT(D1528:G1528)</f>
        <v>2.2200000000000002</v>
      </c>
    </row>
    <row r="1529" spans="1:8">
      <c r="A1529" s="17"/>
      <c r="B1529" s="17"/>
      <c r="C1529" s="16" t="s">
        <v>10</v>
      </c>
      <c r="D1529" s="485">
        <v>1</v>
      </c>
      <c r="E1529" s="485">
        <v>3.5</v>
      </c>
      <c r="F1529" s="485">
        <v>0.6</v>
      </c>
      <c r="G1529" s="485"/>
      <c r="H1529" s="487">
        <f t="shared" ref="H1529" si="266">PRODUCT(D1529:G1529)</f>
        <v>2.1</v>
      </c>
    </row>
    <row r="1530" spans="1:8" s="948" customFormat="1">
      <c r="A1530" s="485"/>
      <c r="B1530" s="485"/>
      <c r="C1530" s="16" t="s">
        <v>10</v>
      </c>
      <c r="D1530" s="485">
        <v>1</v>
      </c>
      <c r="E1530" s="485">
        <v>21.3</v>
      </c>
      <c r="F1530" s="485"/>
      <c r="G1530" s="485">
        <v>0.3</v>
      </c>
      <c r="H1530" s="487">
        <f t="shared" ref="H1530" si="267">PRODUCT(D1530:G1530)</f>
        <v>6.39</v>
      </c>
    </row>
    <row r="1531" spans="1:8">
      <c r="A1531" s="17"/>
      <c r="B1531" s="17"/>
      <c r="C1531" s="17"/>
      <c r="D1531" s="17"/>
      <c r="E1531" s="17"/>
      <c r="F1531" s="17"/>
      <c r="G1531" s="17"/>
      <c r="H1531" s="18"/>
    </row>
    <row r="1532" spans="1:8">
      <c r="A1532" s="15"/>
      <c r="B1532" s="15" t="s">
        <v>21</v>
      </c>
      <c r="C1532" s="15"/>
      <c r="D1532" s="15"/>
      <c r="E1532" s="15"/>
      <c r="F1532" s="15"/>
      <c r="G1532" s="15"/>
      <c r="H1532" s="20">
        <f>SUM(H1497:H1531)</f>
        <v>79.642879999999977</v>
      </c>
    </row>
    <row r="1533" spans="1:8">
      <c r="A1533" s="17"/>
      <c r="B1533" s="17" t="s">
        <v>22</v>
      </c>
      <c r="C1533" s="17"/>
      <c r="D1533" s="17"/>
      <c r="E1533" s="17"/>
      <c r="F1533" s="17"/>
      <c r="G1533" s="17"/>
      <c r="H1533" s="18"/>
    </row>
    <row r="1534" spans="1:8">
      <c r="A1534" s="15"/>
      <c r="B1534" s="15" t="s">
        <v>23</v>
      </c>
      <c r="C1534" s="15"/>
      <c r="D1534" s="15"/>
      <c r="E1534" s="15"/>
      <c r="F1534" s="15"/>
      <c r="G1534" s="15"/>
      <c r="H1534" s="20">
        <f>ROUND(SUM(H1532:H1533),0)</f>
        <v>80</v>
      </c>
    </row>
    <row r="1535" spans="1:8">
      <c r="A1535" s="17"/>
      <c r="B1535" s="17"/>
      <c r="C1535" s="17"/>
      <c r="D1535" s="17"/>
      <c r="E1535" s="17"/>
      <c r="F1535" s="17"/>
      <c r="G1535" s="17"/>
      <c r="H1535" s="18"/>
    </row>
    <row r="1536" spans="1:8">
      <c r="A1536" s="17">
        <v>4</v>
      </c>
      <c r="B1536" s="15" t="s">
        <v>96</v>
      </c>
      <c r="C1536" s="17" t="s">
        <v>10</v>
      </c>
      <c r="D1536" s="17"/>
      <c r="E1536" s="17"/>
      <c r="F1536" s="17"/>
      <c r="G1536" s="17"/>
      <c r="H1536" s="18"/>
    </row>
    <row r="1537" spans="1:8">
      <c r="A1537" s="17"/>
      <c r="B1537" s="17" t="s">
        <v>1936</v>
      </c>
      <c r="C1537" s="16" t="s">
        <v>10</v>
      </c>
      <c r="D1537" s="17">
        <v>3</v>
      </c>
      <c r="E1537" s="17">
        <v>1.31</v>
      </c>
      <c r="F1537" s="17">
        <v>1.9670000000000001</v>
      </c>
      <c r="G1537" s="17"/>
      <c r="H1537" s="18">
        <f t="shared" ref="H1537:H1540" si="268">PRODUCT(D1537:G1537)</f>
        <v>7.7303100000000002</v>
      </c>
    </row>
    <row r="1538" spans="1:8">
      <c r="A1538" s="485"/>
      <c r="B1538" s="17" t="s">
        <v>1937</v>
      </c>
      <c r="C1538" s="16" t="s">
        <v>10</v>
      </c>
      <c r="D1538" s="17">
        <v>3</v>
      </c>
      <c r="E1538" s="17">
        <v>1.32</v>
      </c>
      <c r="F1538" s="17">
        <v>1.9670000000000001</v>
      </c>
      <c r="G1538" s="17"/>
      <c r="H1538" s="18">
        <f t="shared" si="268"/>
        <v>7.78932</v>
      </c>
    </row>
    <row r="1539" spans="1:8">
      <c r="A1539" s="485"/>
      <c r="B1539" s="17" t="s">
        <v>1938</v>
      </c>
      <c r="C1539" s="16" t="s">
        <v>10</v>
      </c>
      <c r="D1539" s="17">
        <v>2</v>
      </c>
      <c r="E1539" s="17">
        <v>1.2</v>
      </c>
      <c r="F1539" s="17">
        <v>2</v>
      </c>
      <c r="G1539" s="17"/>
      <c r="H1539" s="18">
        <f t="shared" si="268"/>
        <v>4.8</v>
      </c>
    </row>
    <row r="1540" spans="1:8">
      <c r="A1540" s="485"/>
      <c r="B1540" s="485" t="s">
        <v>1918</v>
      </c>
      <c r="C1540" s="16" t="s">
        <v>10</v>
      </c>
      <c r="D1540" s="17">
        <v>1</v>
      </c>
      <c r="E1540" s="17">
        <v>4.45</v>
      </c>
      <c r="F1540" s="17">
        <v>3.8</v>
      </c>
      <c r="G1540" s="17"/>
      <c r="H1540" s="18">
        <f t="shared" si="268"/>
        <v>16.91</v>
      </c>
    </row>
    <row r="1541" spans="1:8">
      <c r="A1541" s="485"/>
      <c r="B1541" s="485" t="s">
        <v>1917</v>
      </c>
      <c r="C1541" s="16" t="s">
        <v>10</v>
      </c>
      <c r="D1541" s="17">
        <v>1</v>
      </c>
      <c r="E1541" s="17">
        <v>7.67</v>
      </c>
      <c r="F1541" s="17">
        <v>3.9</v>
      </c>
      <c r="G1541" s="17"/>
      <c r="H1541" s="18">
        <f t="shared" ref="H1541" si="269">PRODUCT(D1541:G1541)</f>
        <v>29.913</v>
      </c>
    </row>
    <row r="1542" spans="1:8">
      <c r="A1542" s="17"/>
      <c r="B1542" s="17"/>
      <c r="C1542" s="16"/>
      <c r="D1542" s="17"/>
      <c r="E1542" s="17"/>
      <c r="F1542" s="17"/>
      <c r="G1542" s="17"/>
      <c r="H1542" s="18"/>
    </row>
    <row r="1543" spans="1:8">
      <c r="A1543" s="17"/>
      <c r="B1543" s="17"/>
      <c r="C1543" s="17"/>
      <c r="D1543" s="17"/>
      <c r="E1543" s="17"/>
      <c r="F1543" s="17"/>
      <c r="G1543" s="17"/>
      <c r="H1543" s="18"/>
    </row>
    <row r="1544" spans="1:8">
      <c r="A1544" s="15"/>
      <c r="B1544" s="15" t="s">
        <v>21</v>
      </c>
      <c r="C1544" s="15"/>
      <c r="D1544" s="15"/>
      <c r="E1544" s="15"/>
      <c r="F1544" s="15"/>
      <c r="G1544" s="15"/>
      <c r="H1544" s="20">
        <f>SUM(H1537:H1543)</f>
        <v>67.142629999999997</v>
      </c>
    </row>
    <row r="1545" spans="1:8">
      <c r="A1545" s="17"/>
      <c r="B1545" s="17" t="s">
        <v>22</v>
      </c>
      <c r="C1545" s="17"/>
      <c r="D1545" s="17"/>
      <c r="E1545" s="17"/>
      <c r="F1545" s="17"/>
      <c r="G1545" s="17"/>
      <c r="H1545" s="18"/>
    </row>
    <row r="1546" spans="1:8">
      <c r="A1546" s="15"/>
      <c r="B1546" s="15" t="s">
        <v>23</v>
      </c>
      <c r="C1546" s="15"/>
      <c r="D1546" s="15"/>
      <c r="E1546" s="15"/>
      <c r="F1546" s="15"/>
      <c r="G1546" s="15"/>
      <c r="H1546" s="20">
        <f>ROUND(SUM(H1544:H1545),0)</f>
        <v>67</v>
      </c>
    </row>
    <row r="1547" spans="1:8">
      <c r="A1547" s="17"/>
      <c r="B1547" s="17"/>
      <c r="C1547" s="17"/>
      <c r="D1547" s="17"/>
      <c r="E1547" s="17"/>
      <c r="F1547" s="17"/>
      <c r="G1547" s="17"/>
      <c r="H1547" s="18"/>
    </row>
    <row r="1548" spans="1:8">
      <c r="A1548" s="17">
        <v>4</v>
      </c>
      <c r="B1548" s="15" t="s">
        <v>1919</v>
      </c>
      <c r="C1548" s="17" t="s">
        <v>10</v>
      </c>
      <c r="D1548" s="17"/>
      <c r="E1548" s="17"/>
      <c r="F1548" s="17"/>
      <c r="G1548" s="17"/>
      <c r="H1548" s="18"/>
    </row>
    <row r="1549" spans="1:8">
      <c r="A1549" s="485"/>
      <c r="B1549" s="17" t="s">
        <v>1217</v>
      </c>
      <c r="C1549" s="16" t="s">
        <v>10</v>
      </c>
      <c r="D1549" s="17">
        <v>2</v>
      </c>
      <c r="E1549" s="17">
        <v>5.2</v>
      </c>
      <c r="F1549" s="17">
        <v>4.1500000000000004</v>
      </c>
      <c r="G1549" s="17"/>
      <c r="H1549" s="18">
        <f>PRODUCT(D1549:G1549)</f>
        <v>43.160000000000004</v>
      </c>
    </row>
    <row r="1550" spans="1:8">
      <c r="A1550" s="17"/>
      <c r="B1550" s="17"/>
      <c r="C1550" s="16"/>
      <c r="D1550" s="17"/>
      <c r="E1550" s="17"/>
      <c r="F1550" s="17"/>
      <c r="G1550" s="17"/>
      <c r="H1550" s="18"/>
    </row>
    <row r="1551" spans="1:8">
      <c r="A1551" s="17"/>
      <c r="B1551" s="17"/>
      <c r="C1551" s="17"/>
      <c r="D1551" s="17"/>
      <c r="E1551" s="17"/>
      <c r="F1551" s="17"/>
      <c r="G1551" s="17"/>
      <c r="H1551" s="18"/>
    </row>
    <row r="1552" spans="1:8">
      <c r="A1552" s="15"/>
      <c r="B1552" s="15" t="s">
        <v>21</v>
      </c>
      <c r="C1552" s="15"/>
      <c r="D1552" s="15"/>
      <c r="E1552" s="15"/>
      <c r="F1552" s="15"/>
      <c r="G1552" s="15"/>
      <c r="H1552" s="20">
        <f>SUM(H1549:H1551)</f>
        <v>43.160000000000004</v>
      </c>
    </row>
    <row r="1553" spans="1:8">
      <c r="A1553" s="17"/>
      <c r="B1553" s="17" t="s">
        <v>22</v>
      </c>
      <c r="C1553" s="17"/>
      <c r="D1553" s="17"/>
      <c r="E1553" s="17"/>
      <c r="F1553" s="17"/>
      <c r="G1553" s="17"/>
      <c r="H1553" s="18"/>
    </row>
    <row r="1554" spans="1:8">
      <c r="A1554" s="15"/>
      <c r="B1554" s="15" t="s">
        <v>23</v>
      </c>
      <c r="C1554" s="15"/>
      <c r="D1554" s="15"/>
      <c r="E1554" s="15"/>
      <c r="F1554" s="15"/>
      <c r="G1554" s="15"/>
      <c r="H1554" s="20">
        <f>ROUND(SUM(H1552:H1553),0)</f>
        <v>43</v>
      </c>
    </row>
    <row r="1555" spans="1:8">
      <c r="A1555" s="17"/>
      <c r="B1555" s="17"/>
      <c r="C1555" s="17"/>
      <c r="D1555" s="17"/>
      <c r="E1555" s="17"/>
      <c r="F1555" s="17"/>
      <c r="G1555" s="17"/>
      <c r="H1555" s="18"/>
    </row>
    <row r="1556" spans="1:8">
      <c r="A1556" s="17">
        <v>4</v>
      </c>
      <c r="B1556" s="15" t="s">
        <v>2077</v>
      </c>
      <c r="C1556" s="17" t="s">
        <v>31</v>
      </c>
      <c r="D1556" s="17"/>
      <c r="E1556" s="17"/>
      <c r="F1556" s="17"/>
      <c r="G1556" s="17"/>
      <c r="H1556" s="18"/>
    </row>
    <row r="1557" spans="1:8">
      <c r="A1557" s="485"/>
      <c r="B1557" s="17" t="s">
        <v>2078</v>
      </c>
      <c r="C1557" s="17" t="s">
        <v>31</v>
      </c>
      <c r="D1557" s="17">
        <v>1</v>
      </c>
      <c r="E1557" s="17">
        <v>12</v>
      </c>
      <c r="F1557" s="17"/>
      <c r="G1557" s="17"/>
      <c r="H1557" s="18">
        <f t="shared" ref="H1557:H1582" si="270">PRODUCT(D1557:G1557)</f>
        <v>12</v>
      </c>
    </row>
    <row r="1558" spans="1:8">
      <c r="A1558" s="485"/>
      <c r="B1558" s="485"/>
      <c r="C1558" s="17" t="s">
        <v>31</v>
      </c>
      <c r="D1558" s="485">
        <v>1</v>
      </c>
      <c r="E1558" s="485">
        <v>4.55</v>
      </c>
      <c r="F1558" s="485"/>
      <c r="G1558" s="485"/>
      <c r="H1558" s="18">
        <f t="shared" si="270"/>
        <v>4.55</v>
      </c>
    </row>
    <row r="1559" spans="1:8">
      <c r="A1559" s="485"/>
      <c r="B1559" s="485"/>
      <c r="C1559" s="17" t="s">
        <v>31</v>
      </c>
      <c r="D1559" s="485">
        <v>1</v>
      </c>
      <c r="E1559" s="485">
        <v>7.28</v>
      </c>
      <c r="F1559" s="485"/>
      <c r="G1559" s="485"/>
      <c r="H1559" s="18">
        <f t="shared" si="270"/>
        <v>7.28</v>
      </c>
    </row>
    <row r="1560" spans="1:8">
      <c r="A1560" s="17"/>
      <c r="B1560" s="17"/>
      <c r="C1560" s="17" t="s">
        <v>31</v>
      </c>
      <c r="D1560" s="17">
        <v>1</v>
      </c>
      <c r="E1560" s="17">
        <v>9.8000000000000007</v>
      </c>
      <c r="F1560" s="17"/>
      <c r="G1560" s="17"/>
      <c r="H1560" s="18">
        <f t="shared" si="270"/>
        <v>9.8000000000000007</v>
      </c>
    </row>
    <row r="1561" spans="1:8">
      <c r="A1561" s="485"/>
      <c r="B1561" s="485"/>
      <c r="C1561" s="17" t="s">
        <v>31</v>
      </c>
      <c r="D1561" s="485">
        <v>1</v>
      </c>
      <c r="E1561" s="485">
        <v>1.83</v>
      </c>
      <c r="F1561" s="485"/>
      <c r="G1561" s="485"/>
      <c r="H1561" s="487">
        <f t="shared" si="270"/>
        <v>1.83</v>
      </c>
    </row>
    <row r="1562" spans="1:8">
      <c r="A1562" s="485"/>
      <c r="B1562" s="485"/>
      <c r="C1562" s="17" t="s">
        <v>31</v>
      </c>
      <c r="D1562" s="485">
        <v>1</v>
      </c>
      <c r="E1562" s="485">
        <v>6.4850000000000003</v>
      </c>
      <c r="F1562" s="485"/>
      <c r="G1562" s="485"/>
      <c r="H1562" s="487">
        <f t="shared" si="270"/>
        <v>6.4850000000000003</v>
      </c>
    </row>
    <row r="1563" spans="1:8">
      <c r="A1563" s="485"/>
      <c r="B1563" s="485" t="s">
        <v>1193</v>
      </c>
      <c r="C1563" s="17" t="s">
        <v>31</v>
      </c>
      <c r="D1563" s="485">
        <v>1</v>
      </c>
      <c r="E1563" s="485">
        <v>1.556</v>
      </c>
      <c r="F1563" s="485"/>
      <c r="G1563" s="485"/>
      <c r="H1563" s="487">
        <f t="shared" si="270"/>
        <v>1.556</v>
      </c>
    </row>
    <row r="1564" spans="1:8">
      <c r="A1564" s="485"/>
      <c r="B1564" s="485" t="s">
        <v>1193</v>
      </c>
      <c r="C1564" s="17" t="s">
        <v>31</v>
      </c>
      <c r="D1564" s="485">
        <v>1</v>
      </c>
      <c r="E1564" s="485">
        <v>1.4</v>
      </c>
      <c r="F1564" s="485"/>
      <c r="G1564" s="485"/>
      <c r="H1564" s="487">
        <f t="shared" si="270"/>
        <v>1.4</v>
      </c>
    </row>
    <row r="1565" spans="1:8">
      <c r="A1565" s="485"/>
      <c r="B1565" s="485"/>
      <c r="C1565" s="17" t="s">
        <v>31</v>
      </c>
      <c r="D1565" s="485">
        <v>1</v>
      </c>
      <c r="E1565" s="485">
        <v>1.74</v>
      </c>
      <c r="F1565" s="485"/>
      <c r="G1565" s="485"/>
      <c r="H1565" s="487">
        <f t="shared" si="270"/>
        <v>1.74</v>
      </c>
    </row>
    <row r="1566" spans="1:8">
      <c r="A1566" s="485"/>
      <c r="B1566" s="485" t="s">
        <v>1242</v>
      </c>
      <c r="C1566" s="17" t="s">
        <v>31</v>
      </c>
      <c r="D1566" s="485">
        <v>1</v>
      </c>
      <c r="E1566" s="485">
        <v>18.05</v>
      </c>
      <c r="F1566" s="485"/>
      <c r="G1566" s="485"/>
      <c r="H1566" s="487">
        <f t="shared" si="270"/>
        <v>18.05</v>
      </c>
    </row>
    <row r="1567" spans="1:8">
      <c r="A1567" s="485"/>
      <c r="B1567" s="485"/>
      <c r="C1567" s="17" t="s">
        <v>31</v>
      </c>
      <c r="D1567" s="485">
        <v>2</v>
      </c>
      <c r="E1567" s="485">
        <v>9.8249999999999993</v>
      </c>
      <c r="F1567" s="485"/>
      <c r="G1567" s="485"/>
      <c r="H1567" s="487">
        <f t="shared" si="270"/>
        <v>19.649999999999999</v>
      </c>
    </row>
    <row r="1568" spans="1:8">
      <c r="A1568" s="485"/>
      <c r="B1568" s="485" t="s">
        <v>1193</v>
      </c>
      <c r="C1568" s="17" t="s">
        <v>31</v>
      </c>
      <c r="D1568" s="485">
        <v>1</v>
      </c>
      <c r="E1568" s="485">
        <v>1.86</v>
      </c>
      <c r="F1568" s="485"/>
      <c r="G1568" s="485"/>
      <c r="H1568" s="487">
        <f t="shared" si="270"/>
        <v>1.86</v>
      </c>
    </row>
    <row r="1569" spans="1:8">
      <c r="A1569" s="485"/>
      <c r="B1569" s="485"/>
      <c r="C1569" s="17" t="s">
        <v>31</v>
      </c>
      <c r="D1569" s="485">
        <v>1</v>
      </c>
      <c r="E1569" s="485">
        <v>1.86</v>
      </c>
      <c r="F1569" s="485"/>
      <c r="G1569" s="485"/>
      <c r="H1569" s="487">
        <f t="shared" si="270"/>
        <v>1.86</v>
      </c>
    </row>
    <row r="1570" spans="1:8">
      <c r="A1570" s="485"/>
      <c r="B1570" s="485" t="s">
        <v>205</v>
      </c>
      <c r="C1570" s="17" t="s">
        <v>31</v>
      </c>
      <c r="D1570" s="485">
        <v>1</v>
      </c>
      <c r="E1570" s="485">
        <v>10.8</v>
      </c>
      <c r="F1570" s="485"/>
      <c r="G1570" s="485"/>
      <c r="H1570" s="487">
        <f t="shared" si="270"/>
        <v>10.8</v>
      </c>
    </row>
    <row r="1571" spans="1:8">
      <c r="A1571" s="485"/>
      <c r="B1571" s="485"/>
      <c r="C1571" s="17" t="s">
        <v>31</v>
      </c>
      <c r="D1571" s="485">
        <v>1</v>
      </c>
      <c r="E1571" s="485">
        <v>11.65</v>
      </c>
      <c r="F1571" s="485"/>
      <c r="G1571" s="485"/>
      <c r="H1571" s="487">
        <f t="shared" si="270"/>
        <v>11.65</v>
      </c>
    </row>
    <row r="1572" spans="1:8">
      <c r="A1572" s="485"/>
      <c r="B1572" s="485"/>
      <c r="C1572" s="17" t="s">
        <v>31</v>
      </c>
      <c r="D1572" s="485">
        <v>1</v>
      </c>
      <c r="E1572" s="485">
        <v>1.5249999999999999</v>
      </c>
      <c r="F1572" s="485"/>
      <c r="G1572" s="485"/>
      <c r="H1572" s="487">
        <f t="shared" si="270"/>
        <v>1.5249999999999999</v>
      </c>
    </row>
    <row r="1573" spans="1:8">
      <c r="A1573" s="485"/>
      <c r="B1573" s="485" t="s">
        <v>1917</v>
      </c>
      <c r="C1573" s="17" t="s">
        <v>31</v>
      </c>
      <c r="D1573" s="485">
        <v>1</v>
      </c>
      <c r="E1573" s="485">
        <v>2.08</v>
      </c>
      <c r="F1573" s="485"/>
      <c r="G1573" s="485"/>
      <c r="H1573" s="487">
        <f t="shared" si="270"/>
        <v>2.08</v>
      </c>
    </row>
    <row r="1574" spans="1:8">
      <c r="A1574" s="485"/>
      <c r="B1574" s="485"/>
      <c r="C1574" s="17" t="s">
        <v>31</v>
      </c>
      <c r="D1574" s="485">
        <v>1</v>
      </c>
      <c r="E1574" s="485">
        <v>5.5</v>
      </c>
      <c r="F1574" s="485"/>
      <c r="G1574" s="485"/>
      <c r="H1574" s="487">
        <f t="shared" si="270"/>
        <v>5.5</v>
      </c>
    </row>
    <row r="1575" spans="1:8">
      <c r="A1575" s="485"/>
      <c r="B1575" s="485" t="s">
        <v>1340</v>
      </c>
      <c r="C1575" s="17" t="s">
        <v>31</v>
      </c>
      <c r="D1575" s="485">
        <v>1</v>
      </c>
      <c r="E1575" s="485">
        <v>5.0999999999999996</v>
      </c>
      <c r="F1575" s="485"/>
      <c r="G1575" s="485"/>
      <c r="H1575" s="487">
        <f t="shared" si="270"/>
        <v>5.0999999999999996</v>
      </c>
    </row>
    <row r="1576" spans="1:8">
      <c r="A1576" s="485"/>
      <c r="B1576" s="485" t="s">
        <v>1313</v>
      </c>
      <c r="C1576" s="17" t="s">
        <v>31</v>
      </c>
      <c r="D1576" s="485">
        <v>1</v>
      </c>
      <c r="E1576" s="485">
        <v>2.4500000000000002</v>
      </c>
      <c r="F1576" s="485"/>
      <c r="G1576" s="485"/>
      <c r="H1576" s="487">
        <f t="shared" si="270"/>
        <v>2.4500000000000002</v>
      </c>
    </row>
    <row r="1577" spans="1:8">
      <c r="A1577" s="485"/>
      <c r="B1577" s="485" t="s">
        <v>2055</v>
      </c>
      <c r="C1577" s="17" t="s">
        <v>31</v>
      </c>
      <c r="D1577" s="485">
        <v>1</v>
      </c>
      <c r="E1577" s="485">
        <v>7.7</v>
      </c>
      <c r="F1577" s="485"/>
      <c r="G1577" s="485"/>
      <c r="H1577" s="487">
        <f t="shared" si="270"/>
        <v>7.7</v>
      </c>
    </row>
    <row r="1578" spans="1:8">
      <c r="A1578" s="485"/>
      <c r="B1578" s="485" t="s">
        <v>201</v>
      </c>
      <c r="C1578" s="17" t="s">
        <v>31</v>
      </c>
      <c r="D1578" s="485">
        <v>1</v>
      </c>
      <c r="E1578" s="485">
        <v>7.7</v>
      </c>
      <c r="F1578" s="485"/>
      <c r="G1578" s="485"/>
      <c r="H1578" s="487">
        <f t="shared" si="270"/>
        <v>7.7</v>
      </c>
    </row>
    <row r="1579" spans="1:8">
      <c r="A1579" s="485"/>
      <c r="B1579" s="485" t="s">
        <v>1193</v>
      </c>
      <c r="C1579" s="17" t="s">
        <v>31</v>
      </c>
      <c r="D1579" s="485">
        <v>1</v>
      </c>
      <c r="E1579" s="485">
        <v>1.63</v>
      </c>
      <c r="F1579" s="485"/>
      <c r="G1579" s="485"/>
      <c r="H1579" s="487">
        <f t="shared" si="270"/>
        <v>1.63</v>
      </c>
    </row>
    <row r="1580" spans="1:8">
      <c r="A1580" s="485"/>
      <c r="B1580" s="485" t="s">
        <v>204</v>
      </c>
      <c r="C1580" s="17" t="s">
        <v>31</v>
      </c>
      <c r="D1580" s="485">
        <v>1</v>
      </c>
      <c r="E1580" s="485">
        <v>22.05</v>
      </c>
      <c r="F1580" s="485"/>
      <c r="G1580" s="485"/>
      <c r="H1580" s="487">
        <f t="shared" si="270"/>
        <v>22.05</v>
      </c>
    </row>
    <row r="1581" spans="1:8">
      <c r="A1581" s="485"/>
      <c r="B1581" s="485"/>
      <c r="C1581" s="17" t="s">
        <v>31</v>
      </c>
      <c r="D1581" s="485">
        <v>1</v>
      </c>
      <c r="E1581" s="485">
        <v>2.85</v>
      </c>
      <c r="F1581" s="485"/>
      <c r="G1581" s="485"/>
      <c r="H1581" s="487">
        <f t="shared" si="270"/>
        <v>2.85</v>
      </c>
    </row>
    <row r="1582" spans="1:8">
      <c r="A1582" s="485"/>
      <c r="B1582" s="485" t="s">
        <v>191</v>
      </c>
      <c r="C1582" s="17" t="s">
        <v>31</v>
      </c>
      <c r="D1582" s="485">
        <v>8</v>
      </c>
      <c r="E1582" s="485">
        <v>1.2</v>
      </c>
      <c r="F1582" s="485"/>
      <c r="G1582" s="485"/>
      <c r="H1582" s="487">
        <f t="shared" si="270"/>
        <v>9.6</v>
      </c>
    </row>
    <row r="1583" spans="1:8">
      <c r="A1583" s="485"/>
      <c r="B1583" s="485"/>
      <c r="C1583" s="485"/>
      <c r="D1583" s="485"/>
      <c r="E1583" s="485"/>
      <c r="F1583" s="485"/>
      <c r="G1583" s="485"/>
      <c r="H1583" s="487"/>
    </row>
    <row r="1584" spans="1:8">
      <c r="A1584" s="17"/>
      <c r="B1584" s="17"/>
      <c r="C1584" s="17"/>
      <c r="D1584" s="17"/>
      <c r="E1584" s="17"/>
      <c r="F1584" s="17"/>
      <c r="G1584" s="17"/>
      <c r="H1584" s="18"/>
    </row>
    <row r="1585" spans="1:8">
      <c r="A1585" s="15"/>
      <c r="B1585" s="15" t="s">
        <v>21</v>
      </c>
      <c r="C1585" s="15"/>
      <c r="D1585" s="15"/>
      <c r="E1585" s="15"/>
      <c r="F1585" s="15"/>
      <c r="G1585" s="15"/>
      <c r="H1585" s="20">
        <f>SUM(H1557:H1584)</f>
        <v>178.696</v>
      </c>
    </row>
    <row r="1586" spans="1:8">
      <c r="A1586" s="17"/>
      <c r="B1586" s="17" t="s">
        <v>22</v>
      </c>
      <c r="C1586" s="17"/>
      <c r="D1586" s="17"/>
      <c r="E1586" s="17"/>
      <c r="F1586" s="17"/>
      <c r="G1586" s="17"/>
      <c r="H1586" s="18"/>
    </row>
    <row r="1587" spans="1:8">
      <c r="A1587" s="15"/>
      <c r="B1587" s="15" t="s">
        <v>23</v>
      </c>
      <c r="C1587" s="15"/>
      <c r="D1587" s="15"/>
      <c r="E1587" s="15"/>
      <c r="F1587" s="15"/>
      <c r="G1587" s="15"/>
      <c r="H1587" s="20">
        <f>ROUND(SUM(H1585:H1586),0)</f>
        <v>179</v>
      </c>
    </row>
    <row r="1588" spans="1:8">
      <c r="A1588" s="17"/>
      <c r="B1588" s="17"/>
      <c r="C1588" s="17"/>
      <c r="D1588" s="17"/>
      <c r="E1588" s="17"/>
      <c r="F1588" s="17"/>
      <c r="G1588" s="17"/>
      <c r="H1588" s="18"/>
    </row>
    <row r="1589" spans="1:8">
      <c r="A1589" s="17">
        <v>4</v>
      </c>
      <c r="B1589" s="15" t="s">
        <v>1919</v>
      </c>
      <c r="C1589" s="17" t="s">
        <v>10</v>
      </c>
      <c r="D1589" s="17"/>
      <c r="E1589" s="17"/>
      <c r="F1589" s="17"/>
      <c r="G1589" s="17"/>
      <c r="H1589" s="18"/>
    </row>
    <row r="1590" spans="1:8">
      <c r="A1590" s="17"/>
      <c r="B1590" s="17" t="s">
        <v>201</v>
      </c>
      <c r="C1590" s="16" t="s">
        <v>10</v>
      </c>
      <c r="D1590" s="17">
        <v>1</v>
      </c>
      <c r="E1590" s="17">
        <v>4.5999999999999996</v>
      </c>
      <c r="F1590" s="17">
        <v>1.54</v>
      </c>
      <c r="G1590" s="17"/>
      <c r="H1590" s="18">
        <f>PRODUCT(D1590:G1590)</f>
        <v>7.0839999999999996</v>
      </c>
    </row>
    <row r="1591" spans="1:8">
      <c r="A1591" s="485"/>
      <c r="B1591" s="17" t="s">
        <v>1217</v>
      </c>
      <c r="C1591" s="16" t="s">
        <v>10</v>
      </c>
      <c r="D1591" s="17">
        <v>2</v>
      </c>
      <c r="E1591" s="17">
        <v>6</v>
      </c>
      <c r="F1591" s="17">
        <v>3.9</v>
      </c>
      <c r="G1591" s="17"/>
      <c r="H1591" s="18">
        <f>PRODUCT(D1591:G1591)</f>
        <v>46.8</v>
      </c>
    </row>
    <row r="1592" spans="1:8">
      <c r="A1592" s="485"/>
      <c r="B1592" s="17" t="s">
        <v>1920</v>
      </c>
      <c r="C1592" s="16" t="s">
        <v>10</v>
      </c>
      <c r="D1592" s="17">
        <v>1</v>
      </c>
      <c r="E1592" s="17">
        <v>4.22</v>
      </c>
      <c r="F1592" s="17">
        <v>2.4500000000000002</v>
      </c>
      <c r="G1592" s="17"/>
      <c r="H1592" s="18">
        <f>PRODUCT(D1592:G1592)</f>
        <v>10.339</v>
      </c>
    </row>
    <row r="1593" spans="1:8">
      <c r="A1593" s="485"/>
      <c r="B1593" s="485"/>
      <c r="C1593" s="509"/>
      <c r="D1593" s="485"/>
      <c r="E1593" s="485"/>
      <c r="F1593" s="485"/>
      <c r="G1593" s="485"/>
      <c r="H1593" s="487"/>
    </row>
    <row r="1594" spans="1:8">
      <c r="A1594" s="485"/>
      <c r="B1594" s="485"/>
      <c r="C1594" s="509"/>
      <c r="D1594" s="485"/>
      <c r="E1594" s="485"/>
      <c r="F1594" s="485"/>
      <c r="G1594" s="485"/>
      <c r="H1594" s="487"/>
    </row>
    <row r="1595" spans="1:8">
      <c r="A1595" s="485"/>
      <c r="B1595" s="485"/>
      <c r="C1595" s="509"/>
      <c r="D1595" s="485"/>
      <c r="E1595" s="485"/>
      <c r="F1595" s="485"/>
      <c r="G1595" s="485"/>
      <c r="H1595" s="487"/>
    </row>
    <row r="1596" spans="1:8">
      <c r="A1596" s="17"/>
      <c r="B1596" s="17"/>
      <c r="C1596" s="16"/>
      <c r="D1596" s="17"/>
      <c r="E1596" s="17"/>
      <c r="F1596" s="17"/>
      <c r="G1596" s="17"/>
      <c r="H1596" s="18"/>
    </row>
    <row r="1597" spans="1:8">
      <c r="A1597" s="17"/>
      <c r="B1597" s="17"/>
      <c r="C1597" s="17"/>
      <c r="D1597" s="17"/>
      <c r="E1597" s="17"/>
      <c r="F1597" s="17"/>
      <c r="G1597" s="17"/>
      <c r="H1597" s="18"/>
    </row>
    <row r="1598" spans="1:8">
      <c r="A1598" s="15"/>
      <c r="B1598" s="15" t="s">
        <v>21</v>
      </c>
      <c r="C1598" s="15"/>
      <c r="D1598" s="15"/>
      <c r="E1598" s="15"/>
      <c r="F1598" s="15"/>
      <c r="G1598" s="15"/>
      <c r="H1598" s="20">
        <f>SUM(H1590:H1597)</f>
        <v>64.222999999999999</v>
      </c>
    </row>
    <row r="1599" spans="1:8">
      <c r="A1599" s="17"/>
      <c r="B1599" s="17" t="s">
        <v>22</v>
      </c>
      <c r="C1599" s="17"/>
      <c r="D1599" s="17"/>
      <c r="E1599" s="17"/>
      <c r="F1599" s="17"/>
      <c r="G1599" s="17"/>
      <c r="H1599" s="18"/>
    </row>
    <row r="1600" spans="1:8">
      <c r="A1600" s="15"/>
      <c r="B1600" s="15" t="s">
        <v>23</v>
      </c>
      <c r="C1600" s="15"/>
      <c r="D1600" s="15"/>
      <c r="E1600" s="15"/>
      <c r="F1600" s="15"/>
      <c r="G1600" s="15"/>
      <c r="H1600" s="20">
        <f>ROUND(SUM(H1598:H1599),0)</f>
        <v>64</v>
      </c>
    </row>
    <row r="1601" spans="1:8">
      <c r="A1601" s="17"/>
      <c r="B1601" s="17"/>
      <c r="C1601" s="17"/>
      <c r="D1601" s="17"/>
      <c r="E1601" s="17"/>
      <c r="F1601" s="17"/>
      <c r="G1601" s="17"/>
      <c r="H1601" s="18"/>
    </row>
    <row r="1602" spans="1:8">
      <c r="A1602" s="17">
        <v>4</v>
      </c>
      <c r="B1602" s="15" t="s">
        <v>1921</v>
      </c>
      <c r="C1602" s="17" t="s">
        <v>10</v>
      </c>
      <c r="D1602" s="17"/>
      <c r="E1602" s="17"/>
      <c r="F1602" s="17"/>
      <c r="G1602" s="17"/>
      <c r="H1602" s="18"/>
    </row>
    <row r="1603" spans="1:8">
      <c r="A1603" s="17"/>
      <c r="B1603" s="17" t="s">
        <v>1934</v>
      </c>
      <c r="C1603" s="16" t="s">
        <v>10</v>
      </c>
      <c r="D1603" s="17">
        <v>0.5</v>
      </c>
      <c r="E1603" s="17">
        <v>5.2</v>
      </c>
      <c r="F1603" s="17">
        <v>2.2999999999999998</v>
      </c>
      <c r="G1603" s="17"/>
      <c r="H1603" s="18">
        <f>PRODUCT(D1603:G1603)</f>
        <v>5.9799999999999995</v>
      </c>
    </row>
    <row r="1604" spans="1:8">
      <c r="A1604" s="485"/>
      <c r="B1604" s="485"/>
      <c r="C1604" s="509"/>
      <c r="D1604" s="485"/>
      <c r="E1604" s="485"/>
      <c r="F1604" s="485"/>
      <c r="G1604" s="485"/>
      <c r="H1604" s="487"/>
    </row>
    <row r="1605" spans="1:8">
      <c r="A1605" s="17"/>
      <c r="B1605" s="17"/>
      <c r="C1605" s="16"/>
      <c r="D1605" s="17"/>
      <c r="E1605" s="17"/>
      <c r="F1605" s="17"/>
      <c r="G1605" s="17"/>
      <c r="H1605" s="18"/>
    </row>
    <row r="1606" spans="1:8">
      <c r="A1606" s="17"/>
      <c r="B1606" s="17"/>
      <c r="C1606" s="17"/>
      <c r="D1606" s="17"/>
      <c r="E1606" s="17"/>
      <c r="F1606" s="17"/>
      <c r="G1606" s="17"/>
      <c r="H1606" s="18"/>
    </row>
    <row r="1607" spans="1:8">
      <c r="A1607" s="15"/>
      <c r="B1607" s="15" t="s">
        <v>21</v>
      </c>
      <c r="C1607" s="15"/>
      <c r="D1607" s="15"/>
      <c r="E1607" s="15"/>
      <c r="F1607" s="15"/>
      <c r="G1607" s="15"/>
      <c r="H1607" s="20">
        <f>SUM(H1603:H1606)</f>
        <v>5.9799999999999995</v>
      </c>
    </row>
    <row r="1608" spans="1:8">
      <c r="A1608" s="17"/>
      <c r="B1608" s="17" t="s">
        <v>22</v>
      </c>
      <c r="C1608" s="17"/>
      <c r="D1608" s="17"/>
      <c r="E1608" s="17"/>
      <c r="F1608" s="17"/>
      <c r="G1608" s="17"/>
      <c r="H1608" s="18"/>
    </row>
    <row r="1609" spans="1:8">
      <c r="A1609" s="15"/>
      <c r="B1609" s="15" t="s">
        <v>23</v>
      </c>
      <c r="C1609" s="15"/>
      <c r="D1609" s="15"/>
      <c r="E1609" s="15"/>
      <c r="F1609" s="15"/>
      <c r="G1609" s="15"/>
      <c r="H1609" s="20">
        <f>ROUND(SUM(H1607:H1608),0)</f>
        <v>6</v>
      </c>
    </row>
    <row r="1611" spans="1:8">
      <c r="A1611" s="17">
        <v>4</v>
      </c>
      <c r="B1611" s="15" t="s">
        <v>45</v>
      </c>
      <c r="C1611" s="17" t="s">
        <v>10</v>
      </c>
      <c r="D1611" s="17"/>
      <c r="E1611" s="17"/>
      <c r="F1611" s="17"/>
      <c r="G1611" s="17"/>
      <c r="H1611" s="18"/>
    </row>
    <row r="1612" spans="1:8">
      <c r="A1612" s="485"/>
      <c r="B1612" s="486" t="s">
        <v>156</v>
      </c>
      <c r="C1612" s="17" t="s">
        <v>10</v>
      </c>
      <c r="D1612" s="485">
        <v>1</v>
      </c>
      <c r="E1612" s="485">
        <v>1.8</v>
      </c>
      <c r="F1612" s="485"/>
      <c r="G1612" s="485">
        <v>3.5</v>
      </c>
      <c r="H1612" s="18">
        <f t="shared" ref="H1612:H1678" si="271">PRODUCT(D1612:G1612)</f>
        <v>6.3</v>
      </c>
    </row>
    <row r="1613" spans="1:8">
      <c r="A1613" s="485"/>
      <c r="B1613" s="486"/>
      <c r="C1613" s="17" t="s">
        <v>10</v>
      </c>
      <c r="D1613" s="485">
        <v>-1</v>
      </c>
      <c r="E1613" s="485">
        <v>1.5</v>
      </c>
      <c r="F1613" s="485"/>
      <c r="G1613" s="485">
        <v>2.4</v>
      </c>
      <c r="H1613" s="18">
        <f t="shared" si="271"/>
        <v>-3.5999999999999996</v>
      </c>
    </row>
    <row r="1614" spans="1:8">
      <c r="A1614" s="485"/>
      <c r="B1614" s="486"/>
      <c r="C1614" s="17" t="s">
        <v>10</v>
      </c>
      <c r="D1614" s="485">
        <v>1</v>
      </c>
      <c r="E1614" s="485">
        <v>0.875</v>
      </c>
      <c r="F1614" s="485"/>
      <c r="G1614" s="485">
        <v>3.5</v>
      </c>
      <c r="H1614" s="18">
        <f t="shared" si="271"/>
        <v>3.0625</v>
      </c>
    </row>
    <row r="1615" spans="1:8">
      <c r="A1615" s="485"/>
      <c r="B1615" s="486"/>
      <c r="C1615" s="17" t="s">
        <v>10</v>
      </c>
      <c r="D1615" s="485">
        <v>1</v>
      </c>
      <c r="E1615" s="485">
        <v>4</v>
      </c>
      <c r="F1615" s="485"/>
      <c r="G1615" s="485">
        <v>3.5</v>
      </c>
      <c r="H1615" s="18">
        <f t="shared" si="271"/>
        <v>14</v>
      </c>
    </row>
    <row r="1616" spans="1:8">
      <c r="A1616" s="485"/>
      <c r="B1616" s="486" t="s">
        <v>1343</v>
      </c>
      <c r="C1616" s="17" t="s">
        <v>10</v>
      </c>
      <c r="D1616" s="485">
        <v>1</v>
      </c>
      <c r="E1616" s="485">
        <v>0.75</v>
      </c>
      <c r="F1616" s="485"/>
      <c r="G1616" s="485">
        <v>3.5</v>
      </c>
      <c r="H1616" s="18">
        <f t="shared" si="271"/>
        <v>2.625</v>
      </c>
    </row>
    <row r="1617" spans="1:8">
      <c r="A1617" s="485"/>
      <c r="B1617" s="486" t="s">
        <v>1343</v>
      </c>
      <c r="C1617" s="17" t="s">
        <v>10</v>
      </c>
      <c r="D1617" s="485">
        <v>1</v>
      </c>
      <c r="E1617" s="485">
        <v>0.78</v>
      </c>
      <c r="F1617" s="485"/>
      <c r="G1617" s="485">
        <v>3.5</v>
      </c>
      <c r="H1617" s="18">
        <f t="shared" si="271"/>
        <v>2.73</v>
      </c>
    </row>
    <row r="1618" spans="1:8">
      <c r="A1618" s="485"/>
      <c r="B1618" s="486" t="s">
        <v>1343</v>
      </c>
      <c r="C1618" s="17" t="s">
        <v>10</v>
      </c>
      <c r="D1618" s="485">
        <v>1</v>
      </c>
      <c r="E1618" s="485">
        <v>2.1</v>
      </c>
      <c r="F1618" s="485"/>
      <c r="G1618" s="485">
        <v>3.5</v>
      </c>
      <c r="H1618" s="18">
        <f t="shared" si="271"/>
        <v>7.3500000000000005</v>
      </c>
    </row>
    <row r="1619" spans="1:8">
      <c r="A1619" s="485"/>
      <c r="B1619" s="486"/>
      <c r="C1619" s="17" t="s">
        <v>10</v>
      </c>
      <c r="D1619" s="485">
        <v>1</v>
      </c>
      <c r="E1619" s="485">
        <v>0.6</v>
      </c>
      <c r="F1619" s="485"/>
      <c r="G1619" s="485">
        <v>3.5</v>
      </c>
      <c r="H1619" s="18">
        <f t="shared" si="271"/>
        <v>2.1</v>
      </c>
    </row>
    <row r="1620" spans="1:8">
      <c r="A1620" s="485"/>
      <c r="B1620" s="486"/>
      <c r="C1620" s="17" t="s">
        <v>10</v>
      </c>
      <c r="D1620" s="485">
        <v>1</v>
      </c>
      <c r="E1620" s="485">
        <v>8.6199999999999992</v>
      </c>
      <c r="F1620" s="485"/>
      <c r="G1620" s="485">
        <v>3.5</v>
      </c>
      <c r="H1620" s="487">
        <f t="shared" si="271"/>
        <v>30.169999999999998</v>
      </c>
    </row>
    <row r="1621" spans="1:8">
      <c r="A1621" s="485"/>
      <c r="B1621" s="486"/>
      <c r="C1621" s="17" t="s">
        <v>10</v>
      </c>
      <c r="D1621" s="485">
        <v>1</v>
      </c>
      <c r="E1621" s="485">
        <v>2.75</v>
      </c>
      <c r="F1621" s="485"/>
      <c r="G1621" s="485">
        <v>3.5</v>
      </c>
      <c r="H1621" s="487">
        <f t="shared" si="271"/>
        <v>9.625</v>
      </c>
    </row>
    <row r="1622" spans="1:8">
      <c r="A1622" s="485"/>
      <c r="B1622" s="486"/>
      <c r="C1622" s="17" t="s">
        <v>10</v>
      </c>
      <c r="D1622" s="485">
        <v>1</v>
      </c>
      <c r="E1622" s="485">
        <v>1.7549999999999999</v>
      </c>
      <c r="F1622" s="485"/>
      <c r="G1622" s="485">
        <v>3.5</v>
      </c>
      <c r="H1622" s="487">
        <f t="shared" si="271"/>
        <v>6.1425000000000001</v>
      </c>
    </row>
    <row r="1623" spans="1:8">
      <c r="A1623" s="485"/>
      <c r="B1623" s="486"/>
      <c r="C1623" s="17" t="s">
        <v>10</v>
      </c>
      <c r="D1623" s="485">
        <v>1</v>
      </c>
      <c r="E1623" s="485">
        <v>5.0999999999999996</v>
      </c>
      <c r="F1623" s="485"/>
      <c r="G1623" s="485">
        <v>3.5</v>
      </c>
      <c r="H1623" s="487">
        <f t="shared" si="271"/>
        <v>17.849999999999998</v>
      </c>
    </row>
    <row r="1624" spans="1:8">
      <c r="A1624" s="485"/>
      <c r="B1624" s="486"/>
      <c r="C1624" s="17" t="s">
        <v>10</v>
      </c>
      <c r="D1624" s="485">
        <v>1</v>
      </c>
      <c r="E1624" s="485">
        <v>1.63</v>
      </c>
      <c r="F1624" s="485"/>
      <c r="G1624" s="485">
        <v>3.5</v>
      </c>
      <c r="H1624" s="487">
        <f t="shared" si="271"/>
        <v>5.7050000000000001</v>
      </c>
    </row>
    <row r="1625" spans="1:8">
      <c r="A1625" s="485"/>
      <c r="B1625" s="486" t="s">
        <v>1252</v>
      </c>
      <c r="C1625" s="17" t="s">
        <v>10</v>
      </c>
      <c r="D1625" s="485">
        <v>1</v>
      </c>
      <c r="E1625" s="485">
        <v>5.3</v>
      </c>
      <c r="F1625" s="485"/>
      <c r="G1625" s="485">
        <v>3.5</v>
      </c>
      <c r="H1625" s="487">
        <f t="shared" si="271"/>
        <v>18.55</v>
      </c>
    </row>
    <row r="1626" spans="1:8">
      <c r="A1626" s="485"/>
      <c r="B1626" s="486"/>
      <c r="C1626" s="17" t="s">
        <v>10</v>
      </c>
      <c r="D1626" s="485">
        <v>1</v>
      </c>
      <c r="E1626" s="485">
        <v>1.1299999999999999</v>
      </c>
      <c r="F1626" s="485"/>
      <c r="G1626" s="485">
        <v>3.5</v>
      </c>
      <c r="H1626" s="487">
        <f t="shared" si="271"/>
        <v>3.9549999999999996</v>
      </c>
    </row>
    <row r="1627" spans="1:8">
      <c r="A1627" s="485"/>
      <c r="B1627" s="486"/>
      <c r="C1627" s="17" t="s">
        <v>10</v>
      </c>
      <c r="D1627" s="485">
        <v>1</v>
      </c>
      <c r="E1627" s="485">
        <v>5.91</v>
      </c>
      <c r="F1627" s="485"/>
      <c r="G1627" s="485">
        <v>3.5</v>
      </c>
      <c r="H1627" s="487">
        <f t="shared" si="271"/>
        <v>20.685000000000002</v>
      </c>
    </row>
    <row r="1628" spans="1:8">
      <c r="A1628" s="485"/>
      <c r="B1628" s="486" t="s">
        <v>1343</v>
      </c>
      <c r="C1628" s="17" t="s">
        <v>10</v>
      </c>
      <c r="D1628" s="485">
        <v>1</v>
      </c>
      <c r="E1628" s="485">
        <v>2.2229999999999999</v>
      </c>
      <c r="F1628" s="485"/>
      <c r="G1628" s="485">
        <v>3.5</v>
      </c>
      <c r="H1628" s="487">
        <f t="shared" si="271"/>
        <v>7.7805</v>
      </c>
    </row>
    <row r="1629" spans="1:8">
      <c r="A1629" s="485"/>
      <c r="B1629" s="486"/>
      <c r="C1629" s="17" t="s">
        <v>10</v>
      </c>
      <c r="D1629" s="485">
        <v>1</v>
      </c>
      <c r="E1629" s="485">
        <v>0.84</v>
      </c>
      <c r="F1629" s="485"/>
      <c r="G1629" s="485">
        <v>3.5</v>
      </c>
      <c r="H1629" s="487">
        <f t="shared" si="271"/>
        <v>2.94</v>
      </c>
    </row>
    <row r="1630" spans="1:8">
      <c r="A1630" s="485"/>
      <c r="B1630" s="486"/>
      <c r="C1630" s="17" t="s">
        <v>10</v>
      </c>
      <c r="D1630" s="485">
        <v>1</v>
      </c>
      <c r="E1630" s="485">
        <v>1.65</v>
      </c>
      <c r="F1630" s="485"/>
      <c r="G1630" s="485">
        <v>3.5</v>
      </c>
      <c r="H1630" s="487">
        <f t="shared" si="271"/>
        <v>5.7749999999999995</v>
      </c>
    </row>
    <row r="1631" spans="1:8">
      <c r="A1631" s="485"/>
      <c r="B1631" s="486"/>
      <c r="C1631" s="17" t="s">
        <v>10</v>
      </c>
      <c r="D1631" s="485">
        <v>1</v>
      </c>
      <c r="E1631" s="485">
        <v>3.78</v>
      </c>
      <c r="F1631" s="485"/>
      <c r="G1631" s="485">
        <v>3.5</v>
      </c>
      <c r="H1631" s="487">
        <f t="shared" si="271"/>
        <v>13.229999999999999</v>
      </c>
    </row>
    <row r="1632" spans="1:8">
      <c r="A1632" s="485"/>
      <c r="B1632" s="486" t="s">
        <v>1215</v>
      </c>
      <c r="C1632" s="17" t="s">
        <v>10</v>
      </c>
      <c r="D1632" s="485">
        <v>1</v>
      </c>
      <c r="E1632" s="485">
        <v>3.45</v>
      </c>
      <c r="F1632" s="485"/>
      <c r="G1632" s="485">
        <v>3.5</v>
      </c>
      <c r="H1632" s="487">
        <f t="shared" si="271"/>
        <v>12.075000000000001</v>
      </c>
    </row>
    <row r="1633" spans="1:8">
      <c r="A1633" s="485"/>
      <c r="B1633" s="486"/>
      <c r="C1633" s="17" t="s">
        <v>10</v>
      </c>
      <c r="D1633" s="485">
        <v>1</v>
      </c>
      <c r="E1633" s="485">
        <v>15.64</v>
      </c>
      <c r="F1633" s="485"/>
      <c r="G1633" s="485">
        <v>3.5</v>
      </c>
      <c r="H1633" s="487">
        <f t="shared" si="271"/>
        <v>54.74</v>
      </c>
    </row>
    <row r="1634" spans="1:8">
      <c r="A1634" s="485"/>
      <c r="B1634" s="486"/>
      <c r="C1634" s="17" t="s">
        <v>10</v>
      </c>
      <c r="D1634" s="485">
        <v>1</v>
      </c>
      <c r="E1634" s="485">
        <v>0.2</v>
      </c>
      <c r="F1634" s="485"/>
      <c r="G1634" s="485">
        <v>3.5</v>
      </c>
      <c r="H1634" s="487">
        <f t="shared" si="271"/>
        <v>0.70000000000000007</v>
      </c>
    </row>
    <row r="1635" spans="1:8">
      <c r="A1635" s="485"/>
      <c r="B1635" s="486"/>
      <c r="C1635" s="17" t="s">
        <v>10</v>
      </c>
      <c r="D1635" s="485">
        <v>1</v>
      </c>
      <c r="E1635" s="485">
        <v>2.9</v>
      </c>
      <c r="F1635" s="485"/>
      <c r="G1635" s="485">
        <f>3.5-2.4</f>
        <v>1.1000000000000001</v>
      </c>
      <c r="H1635" s="487">
        <f t="shared" si="271"/>
        <v>3.19</v>
      </c>
    </row>
    <row r="1636" spans="1:8">
      <c r="A1636" s="485"/>
      <c r="B1636" s="486"/>
      <c r="C1636" s="17" t="s">
        <v>10</v>
      </c>
      <c r="D1636" s="485">
        <v>1</v>
      </c>
      <c r="E1636" s="485">
        <v>0.15</v>
      </c>
      <c r="F1636" s="485"/>
      <c r="G1636" s="485">
        <v>3.5</v>
      </c>
      <c r="H1636" s="487">
        <f t="shared" si="271"/>
        <v>0.52500000000000002</v>
      </c>
    </row>
    <row r="1637" spans="1:8">
      <c r="A1637" s="485"/>
      <c r="B1637" s="486"/>
      <c r="C1637" s="17" t="s">
        <v>10</v>
      </c>
      <c r="D1637" s="485">
        <v>2</v>
      </c>
      <c r="E1637" s="485">
        <v>3.55</v>
      </c>
      <c r="F1637" s="485"/>
      <c r="G1637" s="485">
        <v>3.5</v>
      </c>
      <c r="H1637" s="487">
        <f t="shared" si="271"/>
        <v>24.849999999999998</v>
      </c>
    </row>
    <row r="1638" spans="1:8">
      <c r="A1638" s="485"/>
      <c r="B1638" s="486" t="s">
        <v>2004</v>
      </c>
      <c r="C1638" s="17" t="s">
        <v>10</v>
      </c>
      <c r="D1638" s="485">
        <v>1</v>
      </c>
      <c r="E1638" s="485">
        <v>1.556</v>
      </c>
      <c r="F1638" s="485"/>
      <c r="G1638" s="485">
        <v>3.5</v>
      </c>
      <c r="H1638" s="487">
        <f t="shared" si="271"/>
        <v>5.4459999999999997</v>
      </c>
    </row>
    <row r="1639" spans="1:8">
      <c r="A1639" s="485"/>
      <c r="B1639" s="486" t="s">
        <v>1199</v>
      </c>
      <c r="C1639" s="17" t="s">
        <v>10</v>
      </c>
      <c r="D1639" s="485">
        <v>4</v>
      </c>
      <c r="E1639" s="485">
        <v>3.55</v>
      </c>
      <c r="F1639" s="485"/>
      <c r="G1639" s="485">
        <v>3.5</v>
      </c>
      <c r="H1639" s="487">
        <f t="shared" si="271"/>
        <v>49.699999999999996</v>
      </c>
    </row>
    <row r="1640" spans="1:8">
      <c r="A1640" s="485"/>
      <c r="B1640" s="486"/>
      <c r="C1640" s="17" t="s">
        <v>10</v>
      </c>
      <c r="D1640" s="485">
        <v>2</v>
      </c>
      <c r="E1640" s="485">
        <v>0.15</v>
      </c>
      <c r="F1640" s="485"/>
      <c r="G1640" s="485">
        <v>3.5</v>
      </c>
      <c r="H1640" s="487">
        <f t="shared" si="271"/>
        <v>1.05</v>
      </c>
    </row>
    <row r="1641" spans="1:8">
      <c r="A1641" s="485"/>
      <c r="B1641" s="486"/>
      <c r="C1641" s="17" t="s">
        <v>10</v>
      </c>
      <c r="D1641" s="485">
        <v>1</v>
      </c>
      <c r="E1641" s="485">
        <v>2.77</v>
      </c>
      <c r="F1641" s="485"/>
      <c r="G1641" s="485">
        <v>1.1000000000000001</v>
      </c>
      <c r="H1641" s="487">
        <f t="shared" si="271"/>
        <v>3.0470000000000002</v>
      </c>
    </row>
    <row r="1642" spans="1:8">
      <c r="A1642" s="485"/>
      <c r="B1642" s="486" t="s">
        <v>1327</v>
      </c>
      <c r="C1642" s="17" t="s">
        <v>10</v>
      </c>
      <c r="D1642" s="485">
        <v>1</v>
      </c>
      <c r="E1642" s="485">
        <v>0.15</v>
      </c>
      <c r="F1642" s="485"/>
      <c r="G1642" s="485">
        <v>3.5</v>
      </c>
      <c r="H1642" s="487">
        <f t="shared" si="271"/>
        <v>0.52500000000000002</v>
      </c>
    </row>
    <row r="1643" spans="1:8">
      <c r="A1643" s="485"/>
      <c r="B1643" s="486"/>
      <c r="C1643" s="17" t="s">
        <v>10</v>
      </c>
      <c r="D1643" s="485">
        <v>1</v>
      </c>
      <c r="E1643" s="485">
        <v>0.2</v>
      </c>
      <c r="F1643" s="485"/>
      <c r="G1643" s="485">
        <v>3.5</v>
      </c>
      <c r="H1643" s="487">
        <f t="shared" ref="H1643" si="272">PRODUCT(D1643:G1643)</f>
        <v>0.70000000000000007</v>
      </c>
    </row>
    <row r="1644" spans="1:8">
      <c r="A1644" s="485"/>
      <c r="B1644" s="486"/>
      <c r="C1644" s="17" t="s">
        <v>10</v>
      </c>
      <c r="D1644" s="485">
        <v>1</v>
      </c>
      <c r="E1644" s="485">
        <v>3.45</v>
      </c>
      <c r="F1644" s="485"/>
      <c r="G1644" s="485">
        <v>3.5</v>
      </c>
      <c r="H1644" s="487">
        <f t="shared" si="271"/>
        <v>12.075000000000001</v>
      </c>
    </row>
    <row r="1645" spans="1:8">
      <c r="A1645" s="485"/>
      <c r="B1645" s="486"/>
      <c r="C1645" s="17" t="s">
        <v>10</v>
      </c>
      <c r="D1645" s="485">
        <v>1</v>
      </c>
      <c r="E1645" s="485">
        <v>2.62</v>
      </c>
      <c r="F1645" s="485"/>
      <c r="G1645" s="485">
        <v>1.1000000000000001</v>
      </c>
      <c r="H1645" s="487">
        <f t="shared" si="271"/>
        <v>2.8820000000000006</v>
      </c>
    </row>
    <row r="1646" spans="1:8">
      <c r="A1646" s="485"/>
      <c r="B1646" s="486" t="s">
        <v>1207</v>
      </c>
      <c r="C1646" s="17" t="s">
        <v>10</v>
      </c>
      <c r="D1646" s="485">
        <v>1</v>
      </c>
      <c r="E1646" s="485">
        <v>3.4</v>
      </c>
      <c r="F1646" s="485"/>
      <c r="G1646" s="485">
        <v>3.5</v>
      </c>
      <c r="H1646" s="487">
        <f t="shared" si="271"/>
        <v>11.9</v>
      </c>
    </row>
    <row r="1647" spans="1:8">
      <c r="A1647" s="485"/>
      <c r="B1647" s="486"/>
      <c r="C1647" s="17" t="s">
        <v>10</v>
      </c>
      <c r="D1647" s="485">
        <v>1</v>
      </c>
      <c r="E1647" s="485">
        <v>0.15</v>
      </c>
      <c r="F1647" s="485"/>
      <c r="G1647" s="485">
        <v>3.5</v>
      </c>
      <c r="H1647" s="487">
        <f t="shared" si="271"/>
        <v>0.52500000000000002</v>
      </c>
    </row>
    <row r="1648" spans="1:8">
      <c r="A1648" s="485"/>
      <c r="B1648" s="486"/>
      <c r="C1648" s="17" t="s">
        <v>10</v>
      </c>
      <c r="D1648" s="485">
        <v>1</v>
      </c>
      <c r="E1648" s="485">
        <v>0.2</v>
      </c>
      <c r="F1648" s="485"/>
      <c r="G1648" s="485">
        <v>3.5</v>
      </c>
      <c r="H1648" s="487">
        <f t="shared" ref="H1648" si="273">PRODUCT(D1648:G1648)</f>
        <v>0.70000000000000007</v>
      </c>
    </row>
    <row r="1649" spans="1:8">
      <c r="A1649" s="485"/>
      <c r="B1649" s="486"/>
      <c r="C1649" s="17" t="s">
        <v>10</v>
      </c>
      <c r="D1649" s="485">
        <v>1</v>
      </c>
      <c r="E1649" s="485">
        <v>4.8</v>
      </c>
      <c r="F1649" s="485"/>
      <c r="G1649" s="485">
        <v>1.1000000000000001</v>
      </c>
      <c r="H1649" s="487">
        <f t="shared" si="271"/>
        <v>5.28</v>
      </c>
    </row>
    <row r="1650" spans="1:8">
      <c r="A1650" s="485"/>
      <c r="B1650" s="486"/>
      <c r="C1650" s="17" t="s">
        <v>10</v>
      </c>
      <c r="D1650" s="485">
        <v>2</v>
      </c>
      <c r="E1650" s="485">
        <v>3.5</v>
      </c>
      <c r="F1650" s="485"/>
      <c r="G1650" s="485">
        <v>3.5</v>
      </c>
      <c r="H1650" s="487">
        <f t="shared" si="271"/>
        <v>24.5</v>
      </c>
    </row>
    <row r="1651" spans="1:8">
      <c r="A1651" s="485"/>
      <c r="B1651" s="486" t="s">
        <v>1299</v>
      </c>
      <c r="C1651" s="17" t="s">
        <v>10</v>
      </c>
      <c r="D1651" s="485">
        <v>2</v>
      </c>
      <c r="E1651" s="485">
        <v>0.15</v>
      </c>
      <c r="F1651" s="485"/>
      <c r="G1651" s="485">
        <v>3.5</v>
      </c>
      <c r="H1651" s="487">
        <f t="shared" si="271"/>
        <v>1.05</v>
      </c>
    </row>
    <row r="1652" spans="1:8">
      <c r="A1652" s="485"/>
      <c r="B1652" s="486"/>
      <c r="C1652" s="17" t="s">
        <v>10</v>
      </c>
      <c r="D1652" s="485">
        <v>1</v>
      </c>
      <c r="E1652" s="485">
        <v>2.8</v>
      </c>
      <c r="F1652" s="485"/>
      <c r="G1652" s="485">
        <v>1.1000000000000001</v>
      </c>
      <c r="H1652" s="487">
        <f t="shared" si="271"/>
        <v>3.08</v>
      </c>
    </row>
    <row r="1653" spans="1:8">
      <c r="A1653" s="485"/>
      <c r="B1653" s="486"/>
      <c r="C1653" s="17" t="s">
        <v>10</v>
      </c>
      <c r="D1653" s="485">
        <v>2</v>
      </c>
      <c r="E1653" s="485">
        <v>3.55</v>
      </c>
      <c r="F1653" s="485"/>
      <c r="G1653" s="485">
        <v>3.5</v>
      </c>
      <c r="H1653" s="487">
        <f t="shared" si="271"/>
        <v>24.849999999999998</v>
      </c>
    </row>
    <row r="1654" spans="1:8">
      <c r="A1654" s="485"/>
      <c r="B1654" s="486" t="s">
        <v>1300</v>
      </c>
      <c r="C1654" s="17" t="s">
        <v>10</v>
      </c>
      <c r="D1654" s="485">
        <v>2</v>
      </c>
      <c r="E1654" s="485">
        <v>0.15</v>
      </c>
      <c r="F1654" s="485"/>
      <c r="G1654" s="485">
        <v>3.5</v>
      </c>
      <c r="H1654" s="487">
        <f t="shared" si="271"/>
        <v>1.05</v>
      </c>
    </row>
    <row r="1655" spans="1:8">
      <c r="A1655" s="485"/>
      <c r="B1655" s="486"/>
      <c r="C1655" s="17" t="s">
        <v>10</v>
      </c>
      <c r="D1655" s="485">
        <v>1</v>
      </c>
      <c r="E1655" s="485">
        <v>2.8</v>
      </c>
      <c r="F1655" s="485"/>
      <c r="G1655" s="485">
        <v>1.1000000000000001</v>
      </c>
      <c r="H1655" s="487">
        <f t="shared" si="271"/>
        <v>3.08</v>
      </c>
    </row>
    <row r="1656" spans="1:8">
      <c r="A1656" s="485"/>
      <c r="B1656" s="486"/>
      <c r="C1656" s="17" t="s">
        <v>10</v>
      </c>
      <c r="D1656" s="485">
        <v>2</v>
      </c>
      <c r="E1656" s="485">
        <v>3.55</v>
      </c>
      <c r="F1656" s="485"/>
      <c r="G1656" s="485">
        <v>3.5</v>
      </c>
      <c r="H1656" s="487">
        <f t="shared" si="271"/>
        <v>24.849999999999998</v>
      </c>
    </row>
    <row r="1657" spans="1:8">
      <c r="A1657" s="485"/>
      <c r="B1657" s="486" t="s">
        <v>1301</v>
      </c>
      <c r="C1657" s="17" t="s">
        <v>10</v>
      </c>
      <c r="D1657" s="485">
        <v>2</v>
      </c>
      <c r="E1657" s="485">
        <v>0.15</v>
      </c>
      <c r="F1657" s="485"/>
      <c r="G1657" s="485">
        <v>3.5</v>
      </c>
      <c r="H1657" s="487">
        <f t="shared" si="271"/>
        <v>1.05</v>
      </c>
    </row>
    <row r="1658" spans="1:8">
      <c r="A1658" s="485"/>
      <c r="B1658" s="486"/>
      <c r="C1658" s="17" t="s">
        <v>10</v>
      </c>
      <c r="D1658" s="485">
        <v>1</v>
      </c>
      <c r="E1658" s="485">
        <v>2.8</v>
      </c>
      <c r="F1658" s="485"/>
      <c r="G1658" s="485">
        <v>1.1000000000000001</v>
      </c>
      <c r="H1658" s="487">
        <f t="shared" si="271"/>
        <v>3.08</v>
      </c>
    </row>
    <row r="1659" spans="1:8">
      <c r="A1659" s="485"/>
      <c r="B1659" s="486"/>
      <c r="C1659" s="17" t="s">
        <v>10</v>
      </c>
      <c r="D1659" s="485">
        <v>2</v>
      </c>
      <c r="E1659" s="485">
        <v>3.55</v>
      </c>
      <c r="F1659" s="485"/>
      <c r="G1659" s="485">
        <v>3.5</v>
      </c>
      <c r="H1659" s="487">
        <f t="shared" si="271"/>
        <v>24.849999999999998</v>
      </c>
    </row>
    <row r="1660" spans="1:8">
      <c r="A1660" s="485"/>
      <c r="B1660" s="486" t="s">
        <v>1269</v>
      </c>
      <c r="C1660" s="17" t="s">
        <v>10</v>
      </c>
      <c r="D1660" s="485">
        <v>1</v>
      </c>
      <c r="E1660" s="485">
        <v>6.33</v>
      </c>
      <c r="F1660" s="485"/>
      <c r="G1660" s="485">
        <v>3.5</v>
      </c>
      <c r="H1660" s="487">
        <f t="shared" si="271"/>
        <v>22.155000000000001</v>
      </c>
    </row>
    <row r="1661" spans="1:8">
      <c r="A1661" s="485"/>
      <c r="B1661" s="486"/>
      <c r="C1661" s="17" t="s">
        <v>10</v>
      </c>
      <c r="D1661" s="485">
        <v>1</v>
      </c>
      <c r="E1661" s="485">
        <v>3.75</v>
      </c>
      <c r="F1661" s="485"/>
      <c r="G1661" s="485">
        <v>3.5</v>
      </c>
      <c r="H1661" s="487">
        <f t="shared" si="271"/>
        <v>13.125</v>
      </c>
    </row>
    <row r="1662" spans="1:8">
      <c r="A1662" s="485"/>
      <c r="B1662" s="486"/>
      <c r="C1662" s="17" t="s">
        <v>10</v>
      </c>
      <c r="D1662" s="485">
        <v>-3</v>
      </c>
      <c r="E1662" s="485">
        <v>0.75</v>
      </c>
      <c r="F1662" s="485"/>
      <c r="G1662" s="485">
        <v>2.4</v>
      </c>
      <c r="H1662" s="487">
        <f t="shared" si="271"/>
        <v>-5.3999999999999995</v>
      </c>
    </row>
    <row r="1663" spans="1:8">
      <c r="A1663" s="485"/>
      <c r="B1663" s="486"/>
      <c r="C1663" s="17" t="s">
        <v>10</v>
      </c>
      <c r="D1663" s="485">
        <v>1</v>
      </c>
      <c r="E1663" s="485">
        <v>1.88</v>
      </c>
      <c r="F1663" s="485"/>
      <c r="G1663" s="485">
        <v>3.5</v>
      </c>
      <c r="H1663" s="487">
        <f t="shared" si="271"/>
        <v>6.58</v>
      </c>
    </row>
    <row r="1664" spans="1:8">
      <c r="A1664" s="485"/>
      <c r="B1664" s="486"/>
      <c r="C1664" s="17" t="s">
        <v>10</v>
      </c>
      <c r="D1664" s="485">
        <v>2</v>
      </c>
      <c r="E1664" s="485">
        <v>1.98</v>
      </c>
      <c r="F1664" s="485"/>
      <c r="G1664" s="485">
        <v>3.5</v>
      </c>
      <c r="H1664" s="487">
        <f t="shared" si="271"/>
        <v>13.86</v>
      </c>
    </row>
    <row r="1665" spans="1:8">
      <c r="A1665" s="485"/>
      <c r="B1665" s="486" t="s">
        <v>1343</v>
      </c>
      <c r="C1665" s="17" t="s">
        <v>10</v>
      </c>
      <c r="D1665" s="485">
        <v>1</v>
      </c>
      <c r="E1665" s="485">
        <v>2.2000000000000002</v>
      </c>
      <c r="F1665" s="485"/>
      <c r="G1665" s="485">
        <v>3.5</v>
      </c>
      <c r="H1665" s="487">
        <f t="shared" si="271"/>
        <v>7.7000000000000011</v>
      </c>
    </row>
    <row r="1666" spans="1:8">
      <c r="A1666" s="485"/>
      <c r="B1666" s="486"/>
      <c r="C1666" s="17" t="s">
        <v>10</v>
      </c>
      <c r="D1666" s="485">
        <v>1</v>
      </c>
      <c r="E1666" s="485">
        <v>1.6850000000000001</v>
      </c>
      <c r="F1666" s="485"/>
      <c r="G1666" s="485">
        <v>3.5</v>
      </c>
      <c r="H1666" s="487">
        <f t="shared" si="271"/>
        <v>5.8975</v>
      </c>
    </row>
    <row r="1667" spans="1:8">
      <c r="A1667" s="485"/>
      <c r="B1667" s="486"/>
      <c r="C1667" s="17" t="s">
        <v>10</v>
      </c>
      <c r="D1667" s="485">
        <v>1</v>
      </c>
      <c r="E1667" s="485">
        <v>1.9</v>
      </c>
      <c r="F1667" s="485"/>
      <c r="G1667" s="485">
        <v>3.5</v>
      </c>
      <c r="H1667" s="487">
        <f t="shared" si="271"/>
        <v>6.6499999999999995</v>
      </c>
    </row>
    <row r="1668" spans="1:8">
      <c r="A1668" s="485"/>
      <c r="B1668" s="486"/>
      <c r="C1668" s="17" t="s">
        <v>10</v>
      </c>
      <c r="D1668" s="485">
        <v>1</v>
      </c>
      <c r="E1668" s="485">
        <v>1.4850000000000001</v>
      </c>
      <c r="F1668" s="485"/>
      <c r="G1668" s="485">
        <v>3.5</v>
      </c>
      <c r="H1668" s="487">
        <f t="shared" si="271"/>
        <v>5.1975000000000007</v>
      </c>
    </row>
    <row r="1669" spans="1:8">
      <c r="A1669" s="485"/>
      <c r="B1669" s="486" t="s">
        <v>312</v>
      </c>
      <c r="C1669" s="17" t="s">
        <v>10</v>
      </c>
      <c r="D1669" s="485">
        <v>0</v>
      </c>
      <c r="E1669" s="485">
        <v>7.66</v>
      </c>
      <c r="F1669" s="485"/>
      <c r="G1669" s="485">
        <v>1.05</v>
      </c>
      <c r="H1669" s="487">
        <f t="shared" si="271"/>
        <v>0</v>
      </c>
    </row>
    <row r="1670" spans="1:8">
      <c r="A1670" s="485"/>
      <c r="B1670" s="486" t="s">
        <v>2004</v>
      </c>
      <c r="C1670" s="17" t="s">
        <v>10</v>
      </c>
      <c r="D1670" s="485">
        <v>1</v>
      </c>
      <c r="E1670" s="485">
        <v>1.31</v>
      </c>
      <c r="F1670" s="485"/>
      <c r="G1670" s="485">
        <v>3.5</v>
      </c>
      <c r="H1670" s="487">
        <f t="shared" si="271"/>
        <v>4.585</v>
      </c>
    </row>
    <row r="1671" spans="1:8">
      <c r="A1671" s="485"/>
      <c r="B1671" s="486" t="s">
        <v>1201</v>
      </c>
      <c r="C1671" s="17" t="s">
        <v>10</v>
      </c>
      <c r="D1671" s="485">
        <v>1</v>
      </c>
      <c r="E1671" s="485">
        <v>1.9</v>
      </c>
      <c r="F1671" s="485"/>
      <c r="G1671" s="485">
        <v>3.5</v>
      </c>
      <c r="H1671" s="487">
        <f t="shared" si="271"/>
        <v>6.6499999999999995</v>
      </c>
    </row>
    <row r="1672" spans="1:8">
      <c r="A1672" s="485"/>
      <c r="B1672" s="486"/>
      <c r="C1672" s="17" t="s">
        <v>10</v>
      </c>
      <c r="D1672" s="485">
        <v>1</v>
      </c>
      <c r="E1672" s="485">
        <v>3.7</v>
      </c>
      <c r="F1672" s="485"/>
      <c r="G1672" s="485">
        <v>3.5</v>
      </c>
      <c r="H1672" s="487">
        <f t="shared" si="271"/>
        <v>12.950000000000001</v>
      </c>
    </row>
    <row r="1673" spans="1:8">
      <c r="A1673" s="485"/>
      <c r="B1673" s="486"/>
      <c r="C1673" s="17" t="s">
        <v>10</v>
      </c>
      <c r="D1673" s="485">
        <v>2</v>
      </c>
      <c r="E1673" s="485">
        <v>0.15</v>
      </c>
      <c r="F1673" s="485"/>
      <c r="G1673" s="485">
        <v>3.5</v>
      </c>
      <c r="H1673" s="487">
        <f t="shared" si="271"/>
        <v>1.05</v>
      </c>
    </row>
    <row r="1674" spans="1:8">
      <c r="A1674" s="485"/>
      <c r="B1674" s="486"/>
      <c r="C1674" s="17" t="s">
        <v>10</v>
      </c>
      <c r="D1674" s="485">
        <v>1</v>
      </c>
      <c r="E1674" s="485">
        <v>2.81</v>
      </c>
      <c r="F1674" s="485"/>
      <c r="G1674" s="485">
        <v>1.1000000000000001</v>
      </c>
      <c r="H1674" s="487">
        <f t="shared" si="271"/>
        <v>3.0910000000000002</v>
      </c>
    </row>
    <row r="1675" spans="1:8">
      <c r="A1675" s="485"/>
      <c r="B1675" s="486" t="s">
        <v>1202</v>
      </c>
      <c r="C1675" s="17" t="s">
        <v>10</v>
      </c>
      <c r="D1675" s="485">
        <v>2</v>
      </c>
      <c r="E1675" s="485">
        <v>3.7</v>
      </c>
      <c r="F1675" s="485"/>
      <c r="G1675" s="485">
        <v>3.5</v>
      </c>
      <c r="H1675" s="487">
        <f t="shared" si="271"/>
        <v>25.900000000000002</v>
      </c>
    </row>
    <row r="1676" spans="1:8">
      <c r="A1676" s="485"/>
      <c r="B1676" s="486"/>
      <c r="C1676" s="17" t="s">
        <v>10</v>
      </c>
      <c r="D1676" s="485">
        <v>2</v>
      </c>
      <c r="E1676" s="485">
        <v>0.15</v>
      </c>
      <c r="F1676" s="485"/>
      <c r="G1676" s="485">
        <v>3.5</v>
      </c>
      <c r="H1676" s="487">
        <f t="shared" si="271"/>
        <v>1.05</v>
      </c>
    </row>
    <row r="1677" spans="1:8">
      <c r="A1677" s="485"/>
      <c r="B1677" s="486"/>
      <c r="C1677" s="17" t="s">
        <v>10</v>
      </c>
      <c r="D1677" s="485">
        <v>1</v>
      </c>
      <c r="E1677" s="485">
        <v>2.8</v>
      </c>
      <c r="F1677" s="485"/>
      <c r="G1677" s="485">
        <v>1.1000000000000001</v>
      </c>
      <c r="H1677" s="487">
        <f t="shared" si="271"/>
        <v>3.08</v>
      </c>
    </row>
    <row r="1678" spans="1:8">
      <c r="A1678" s="485"/>
      <c r="B1678" s="486"/>
      <c r="C1678" s="17" t="s">
        <v>10</v>
      </c>
      <c r="D1678" s="485">
        <v>1</v>
      </c>
      <c r="E1678" s="485">
        <v>1.25</v>
      </c>
      <c r="F1678" s="485"/>
      <c r="G1678" s="485">
        <v>3.5</v>
      </c>
      <c r="H1678" s="487">
        <f t="shared" si="271"/>
        <v>4.375</v>
      </c>
    </row>
    <row r="1679" spans="1:8">
      <c r="A1679" s="485"/>
      <c r="B1679" s="486" t="s">
        <v>1343</v>
      </c>
      <c r="C1679" s="17" t="s">
        <v>10</v>
      </c>
      <c r="D1679" s="485">
        <v>1</v>
      </c>
      <c r="E1679" s="485">
        <v>2.35</v>
      </c>
      <c r="F1679" s="485"/>
      <c r="G1679" s="485">
        <v>3.5</v>
      </c>
      <c r="H1679" s="487">
        <f t="shared" ref="H1679:H1747" si="274">PRODUCT(D1679:G1679)</f>
        <v>8.2249999999999996</v>
      </c>
    </row>
    <row r="1680" spans="1:8">
      <c r="A1680" s="485"/>
      <c r="B1680" s="486"/>
      <c r="C1680" s="17" t="s">
        <v>10</v>
      </c>
      <c r="D1680" s="485">
        <v>1</v>
      </c>
      <c r="E1680" s="485">
        <v>1.47</v>
      </c>
      <c r="F1680" s="485"/>
      <c r="G1680" s="485">
        <v>3.5</v>
      </c>
      <c r="H1680" s="487">
        <f t="shared" si="274"/>
        <v>5.1449999999999996</v>
      </c>
    </row>
    <row r="1681" spans="1:8">
      <c r="A1681" s="485"/>
      <c r="B1681" s="486"/>
      <c r="C1681" s="17" t="s">
        <v>10</v>
      </c>
      <c r="D1681" s="485">
        <v>1</v>
      </c>
      <c r="E1681" s="485">
        <v>1.56</v>
      </c>
      <c r="F1681" s="485"/>
      <c r="G1681" s="485">
        <v>3.5</v>
      </c>
      <c r="H1681" s="487">
        <f t="shared" si="274"/>
        <v>5.46</v>
      </c>
    </row>
    <row r="1682" spans="1:8">
      <c r="A1682" s="485"/>
      <c r="B1682" s="486" t="s">
        <v>1262</v>
      </c>
      <c r="C1682" s="17" t="s">
        <v>10</v>
      </c>
      <c r="D1682" s="485">
        <v>2</v>
      </c>
      <c r="E1682" s="485">
        <v>3.7</v>
      </c>
      <c r="F1682" s="485"/>
      <c r="G1682" s="485">
        <v>3.5</v>
      </c>
      <c r="H1682" s="487">
        <f t="shared" si="274"/>
        <v>25.900000000000002</v>
      </c>
    </row>
    <row r="1683" spans="1:8">
      <c r="A1683" s="485"/>
      <c r="B1683" s="486"/>
      <c r="C1683" s="17" t="s">
        <v>10</v>
      </c>
      <c r="D1683" s="485">
        <v>2</v>
      </c>
      <c r="E1683" s="485">
        <v>0.15</v>
      </c>
      <c r="F1683" s="485"/>
      <c r="G1683" s="485">
        <v>3.5</v>
      </c>
      <c r="H1683" s="487">
        <f t="shared" si="274"/>
        <v>1.05</v>
      </c>
    </row>
    <row r="1684" spans="1:8">
      <c r="A1684" s="485"/>
      <c r="B1684" s="486"/>
      <c r="C1684" s="17" t="s">
        <v>10</v>
      </c>
      <c r="D1684" s="485">
        <v>1</v>
      </c>
      <c r="E1684" s="485">
        <v>3.9</v>
      </c>
      <c r="F1684" s="485"/>
      <c r="G1684" s="485">
        <v>1.1000000000000001</v>
      </c>
      <c r="H1684" s="487">
        <f t="shared" si="274"/>
        <v>4.29</v>
      </c>
    </row>
    <row r="1685" spans="1:8">
      <c r="A1685" s="485"/>
      <c r="B1685" s="486" t="s">
        <v>1343</v>
      </c>
      <c r="C1685" s="17" t="s">
        <v>10</v>
      </c>
      <c r="D1685" s="485">
        <v>1</v>
      </c>
      <c r="E1685" s="485">
        <v>2.8</v>
      </c>
      <c r="F1685" s="485"/>
      <c r="G1685" s="485">
        <v>2.7</v>
      </c>
      <c r="H1685" s="487">
        <f t="shared" si="274"/>
        <v>7.56</v>
      </c>
    </row>
    <row r="1686" spans="1:8">
      <c r="A1686" s="485"/>
      <c r="B1686" s="486" t="s">
        <v>1242</v>
      </c>
      <c r="C1686" s="17" t="s">
        <v>10</v>
      </c>
      <c r="D1686" s="485">
        <v>2</v>
      </c>
      <c r="E1686" s="485">
        <v>0.15</v>
      </c>
      <c r="F1686" s="485"/>
      <c r="G1686" s="485">
        <v>3.5</v>
      </c>
      <c r="H1686" s="487">
        <f t="shared" si="274"/>
        <v>1.05</v>
      </c>
    </row>
    <row r="1687" spans="1:8">
      <c r="A1687" s="485"/>
      <c r="B1687" s="486"/>
      <c r="C1687" s="17" t="s">
        <v>10</v>
      </c>
      <c r="D1687" s="485">
        <v>1</v>
      </c>
      <c r="E1687" s="485">
        <v>6.2</v>
      </c>
      <c r="F1687" s="485"/>
      <c r="G1687" s="485">
        <v>1.1000000000000001</v>
      </c>
      <c r="H1687" s="487">
        <f t="shared" si="274"/>
        <v>6.8200000000000012</v>
      </c>
    </row>
    <row r="1688" spans="1:8">
      <c r="A1688" s="485"/>
      <c r="B1688" s="486"/>
      <c r="C1688" s="17" t="s">
        <v>10</v>
      </c>
      <c r="D1688" s="485">
        <v>2</v>
      </c>
      <c r="E1688" s="485">
        <v>3.9</v>
      </c>
      <c r="F1688" s="485"/>
      <c r="G1688" s="485">
        <v>3.5</v>
      </c>
      <c r="H1688" s="487">
        <f t="shared" si="274"/>
        <v>27.3</v>
      </c>
    </row>
    <row r="1689" spans="1:8">
      <c r="A1689" s="485"/>
      <c r="B1689" s="486" t="s">
        <v>1343</v>
      </c>
      <c r="C1689" s="17" t="s">
        <v>10</v>
      </c>
      <c r="D1689" s="485">
        <v>1</v>
      </c>
      <c r="E1689" s="485">
        <v>3.8</v>
      </c>
      <c r="F1689" s="485"/>
      <c r="G1689" s="485">
        <v>2.7</v>
      </c>
      <c r="H1689" s="487">
        <f t="shared" si="274"/>
        <v>10.26</v>
      </c>
    </row>
    <row r="1690" spans="1:8">
      <c r="A1690" s="485"/>
      <c r="B1690" s="486"/>
      <c r="C1690" s="17" t="s">
        <v>10</v>
      </c>
      <c r="D1690" s="485">
        <v>1</v>
      </c>
      <c r="E1690" s="485">
        <v>2.0499999999999998</v>
      </c>
      <c r="F1690" s="485"/>
      <c r="G1690" s="485">
        <v>2.7</v>
      </c>
      <c r="H1690" s="487">
        <f t="shared" si="274"/>
        <v>5.5350000000000001</v>
      </c>
    </row>
    <row r="1691" spans="1:8">
      <c r="A1691" s="485"/>
      <c r="B1691" s="486"/>
      <c r="C1691" s="17" t="s">
        <v>10</v>
      </c>
      <c r="D1691" s="485">
        <v>1</v>
      </c>
      <c r="E1691" s="485">
        <v>4.45</v>
      </c>
      <c r="F1691" s="485"/>
      <c r="G1691" s="485">
        <v>1.1000000000000001</v>
      </c>
      <c r="H1691" s="487">
        <f t="shared" si="274"/>
        <v>4.8950000000000005</v>
      </c>
    </row>
    <row r="1692" spans="1:8">
      <c r="A1692" s="485"/>
      <c r="B1692" s="486" t="s">
        <v>1241</v>
      </c>
      <c r="C1692" s="17" t="s">
        <v>10</v>
      </c>
      <c r="D1692" s="485">
        <v>1</v>
      </c>
      <c r="E1692" s="485">
        <v>1.4</v>
      </c>
      <c r="F1692" s="485"/>
      <c r="G1692" s="485">
        <v>3.5</v>
      </c>
      <c r="H1692" s="487">
        <f t="shared" ref="H1692" si="275">PRODUCT(D1692:G1692)</f>
        <v>4.8999999999999995</v>
      </c>
    </row>
    <row r="1693" spans="1:8">
      <c r="A1693" s="485"/>
      <c r="B1693" s="486" t="s">
        <v>1243</v>
      </c>
      <c r="C1693" s="17" t="s">
        <v>10</v>
      </c>
      <c r="D1693" s="485">
        <v>2</v>
      </c>
      <c r="E1693" s="485">
        <v>0.15</v>
      </c>
      <c r="F1693" s="485"/>
      <c r="G1693" s="485">
        <v>3.5</v>
      </c>
      <c r="H1693" s="487">
        <f t="shared" si="274"/>
        <v>1.05</v>
      </c>
    </row>
    <row r="1694" spans="1:8">
      <c r="A1694" s="485"/>
      <c r="B1694" s="486"/>
      <c r="C1694" s="17" t="s">
        <v>10</v>
      </c>
      <c r="D1694" s="485">
        <v>2</v>
      </c>
      <c r="E1694" s="485">
        <v>3.9</v>
      </c>
      <c r="F1694" s="485"/>
      <c r="G1694" s="485">
        <v>3.5</v>
      </c>
      <c r="H1694" s="487">
        <f t="shared" si="274"/>
        <v>27.3</v>
      </c>
    </row>
    <row r="1695" spans="1:8">
      <c r="A1695" s="485"/>
      <c r="B1695" s="486"/>
      <c r="C1695" s="17" t="s">
        <v>10</v>
      </c>
      <c r="D1695" s="485">
        <v>1</v>
      </c>
      <c r="E1695" s="485">
        <v>4.7</v>
      </c>
      <c r="F1695" s="485"/>
      <c r="G1695" s="485">
        <v>1.1000000000000001</v>
      </c>
      <c r="H1695" s="487">
        <f t="shared" si="274"/>
        <v>5.1700000000000008</v>
      </c>
    </row>
    <row r="1696" spans="1:8">
      <c r="A1696" s="485"/>
      <c r="B1696" s="486" t="s">
        <v>1343</v>
      </c>
      <c r="C1696" s="17" t="s">
        <v>10</v>
      </c>
      <c r="D1696" s="485">
        <v>1</v>
      </c>
      <c r="E1696" s="485">
        <v>3.8</v>
      </c>
      <c r="F1696" s="485"/>
      <c r="G1696" s="485">
        <v>2.7</v>
      </c>
      <c r="H1696" s="487">
        <f t="shared" si="274"/>
        <v>10.26</v>
      </c>
    </row>
    <row r="1697" spans="1:8">
      <c r="A1697" s="485"/>
      <c r="B1697" s="486"/>
      <c r="C1697" s="17" t="s">
        <v>10</v>
      </c>
      <c r="D1697" s="485">
        <v>1</v>
      </c>
      <c r="E1697" s="485">
        <v>0.65</v>
      </c>
      <c r="F1697" s="485"/>
      <c r="G1697" s="485">
        <v>2.7</v>
      </c>
      <c r="H1697" s="487">
        <f t="shared" si="274"/>
        <v>1.7550000000000001</v>
      </c>
    </row>
    <row r="1698" spans="1:8">
      <c r="A1698" s="485"/>
      <c r="B1698" s="486"/>
      <c r="C1698" s="17" t="s">
        <v>10</v>
      </c>
      <c r="D1698" s="485">
        <v>1</v>
      </c>
      <c r="E1698" s="485">
        <v>4.3650000000000002</v>
      </c>
      <c r="F1698" s="485"/>
      <c r="G1698" s="485">
        <v>1.1000000000000001</v>
      </c>
      <c r="H1698" s="487">
        <f t="shared" si="274"/>
        <v>4.8015000000000008</v>
      </c>
    </row>
    <row r="1699" spans="1:8">
      <c r="A1699" s="485"/>
      <c r="B1699" s="486" t="s">
        <v>1404</v>
      </c>
      <c r="C1699" s="17" t="s">
        <v>10</v>
      </c>
      <c r="D1699" s="485">
        <v>2</v>
      </c>
      <c r="E1699" s="485">
        <v>4.45</v>
      </c>
      <c r="F1699" s="485"/>
      <c r="G1699" s="485">
        <v>3.5</v>
      </c>
      <c r="H1699" s="487">
        <f t="shared" si="274"/>
        <v>31.150000000000002</v>
      </c>
    </row>
    <row r="1700" spans="1:8">
      <c r="A1700" s="485"/>
      <c r="B1700" s="486"/>
      <c r="C1700" s="17" t="s">
        <v>10</v>
      </c>
      <c r="D1700" s="485">
        <v>-2</v>
      </c>
      <c r="E1700" s="485">
        <v>1</v>
      </c>
      <c r="F1700" s="485"/>
      <c r="G1700" s="485">
        <v>2.4</v>
      </c>
      <c r="H1700" s="487">
        <f t="shared" si="274"/>
        <v>-4.8</v>
      </c>
    </row>
    <row r="1701" spans="1:8">
      <c r="A1701" s="485"/>
      <c r="B1701" s="486" t="s">
        <v>2005</v>
      </c>
      <c r="C1701" s="17" t="s">
        <v>10</v>
      </c>
      <c r="D1701" s="485">
        <v>1</v>
      </c>
      <c r="E1701" s="485">
        <v>3.8</v>
      </c>
      <c r="F1701" s="485"/>
      <c r="G1701" s="485">
        <v>2.7</v>
      </c>
      <c r="H1701" s="487">
        <f t="shared" si="274"/>
        <v>10.26</v>
      </c>
    </row>
    <row r="1702" spans="1:8">
      <c r="A1702" s="485"/>
      <c r="B1702" s="486" t="s">
        <v>2005</v>
      </c>
      <c r="C1702" s="17" t="s">
        <v>10</v>
      </c>
      <c r="D1702" s="485">
        <v>1</v>
      </c>
      <c r="E1702" s="485">
        <v>4.45</v>
      </c>
      <c r="F1702" s="485"/>
      <c r="G1702" s="485">
        <v>2.7</v>
      </c>
      <c r="H1702" s="487">
        <f t="shared" si="274"/>
        <v>12.015000000000001</v>
      </c>
    </row>
    <row r="1703" spans="1:8">
      <c r="A1703" s="485"/>
      <c r="B1703" s="486" t="s">
        <v>172</v>
      </c>
      <c r="C1703" s="17" t="s">
        <v>10</v>
      </c>
      <c r="D1703" s="485">
        <v>0</v>
      </c>
      <c r="E1703" s="485">
        <v>6.75</v>
      </c>
      <c r="F1703" s="485"/>
      <c r="G1703" s="485">
        <v>1.05</v>
      </c>
      <c r="H1703" s="487">
        <f t="shared" si="274"/>
        <v>0</v>
      </c>
    </row>
    <row r="1704" spans="1:8">
      <c r="A1704" s="485"/>
      <c r="B1704" s="486" t="s">
        <v>2006</v>
      </c>
      <c r="C1704" s="17" t="s">
        <v>10</v>
      </c>
      <c r="D1704" s="485">
        <v>1</v>
      </c>
      <c r="E1704" s="485">
        <v>3.5</v>
      </c>
      <c r="F1704" s="485"/>
      <c r="G1704" s="485">
        <v>3.5</v>
      </c>
      <c r="H1704" s="487">
        <f t="shared" si="274"/>
        <v>12.25</v>
      </c>
    </row>
    <row r="1705" spans="1:8">
      <c r="A1705" s="485"/>
      <c r="B1705" s="486"/>
      <c r="C1705" s="17" t="s">
        <v>10</v>
      </c>
      <c r="D1705" s="485">
        <v>1</v>
      </c>
      <c r="E1705" s="485">
        <v>0.15</v>
      </c>
      <c r="F1705" s="485"/>
      <c r="G1705" s="485">
        <v>3.5</v>
      </c>
      <c r="H1705" s="487">
        <f t="shared" si="274"/>
        <v>0.52500000000000002</v>
      </c>
    </row>
    <row r="1706" spans="1:8">
      <c r="A1706" s="485"/>
      <c r="B1706" s="486"/>
      <c r="C1706" s="17" t="s">
        <v>10</v>
      </c>
      <c r="D1706" s="485">
        <v>1</v>
      </c>
      <c r="E1706" s="485">
        <v>0.2</v>
      </c>
      <c r="F1706" s="485"/>
      <c r="G1706" s="485">
        <v>3.5</v>
      </c>
      <c r="H1706" s="487">
        <f t="shared" ref="H1706" si="276">PRODUCT(D1706:G1706)</f>
        <v>0.70000000000000007</v>
      </c>
    </row>
    <row r="1707" spans="1:8">
      <c r="A1707" s="485"/>
      <c r="B1707" s="486"/>
      <c r="C1707" s="17" t="s">
        <v>10</v>
      </c>
      <c r="D1707" s="485">
        <v>1</v>
      </c>
      <c r="E1707" s="485">
        <v>3.9</v>
      </c>
      <c r="F1707" s="485"/>
      <c r="G1707" s="485">
        <v>1.1000000000000001</v>
      </c>
      <c r="H1707" s="487">
        <f t="shared" si="274"/>
        <v>4.29</v>
      </c>
    </row>
    <row r="1708" spans="1:8">
      <c r="A1708" s="485"/>
      <c r="B1708" s="486"/>
      <c r="C1708" s="17" t="s">
        <v>10</v>
      </c>
      <c r="D1708" s="485">
        <v>2</v>
      </c>
      <c r="E1708" s="485">
        <v>3.7</v>
      </c>
      <c r="F1708" s="485"/>
      <c r="G1708" s="485">
        <v>3.5</v>
      </c>
      <c r="H1708" s="487">
        <f t="shared" si="274"/>
        <v>25.900000000000002</v>
      </c>
    </row>
    <row r="1709" spans="1:8">
      <c r="A1709" s="485"/>
      <c r="B1709" s="486" t="s">
        <v>1343</v>
      </c>
      <c r="C1709" s="17" t="s">
        <v>10</v>
      </c>
      <c r="D1709" s="485">
        <v>1</v>
      </c>
      <c r="E1709" s="485">
        <v>4.3499999999999996</v>
      </c>
      <c r="F1709" s="485"/>
      <c r="G1709" s="485">
        <v>2.7</v>
      </c>
      <c r="H1709" s="487">
        <f t="shared" si="274"/>
        <v>11.744999999999999</v>
      </c>
    </row>
    <row r="1710" spans="1:8">
      <c r="A1710" s="485"/>
      <c r="B1710" s="486" t="s">
        <v>1310</v>
      </c>
      <c r="C1710" s="17" t="s">
        <v>10</v>
      </c>
      <c r="D1710" s="485">
        <v>2</v>
      </c>
      <c r="E1710" s="485">
        <v>0.15</v>
      </c>
      <c r="F1710" s="485"/>
      <c r="G1710" s="485">
        <v>3.5</v>
      </c>
      <c r="H1710" s="487">
        <f t="shared" si="274"/>
        <v>1.05</v>
      </c>
    </row>
    <row r="1711" spans="1:8">
      <c r="A1711" s="485"/>
      <c r="B1711" s="486"/>
      <c r="C1711" s="17" t="s">
        <v>10</v>
      </c>
      <c r="D1711" s="485">
        <v>1</v>
      </c>
      <c r="E1711" s="485">
        <v>3.26</v>
      </c>
      <c r="F1711" s="485"/>
      <c r="G1711" s="485">
        <v>1.1000000000000001</v>
      </c>
      <c r="H1711" s="487">
        <f t="shared" si="274"/>
        <v>3.5859999999999999</v>
      </c>
    </row>
    <row r="1712" spans="1:8">
      <c r="A1712" s="485"/>
      <c r="B1712" s="486"/>
      <c r="C1712" s="17" t="s">
        <v>10</v>
      </c>
      <c r="D1712" s="485">
        <v>2</v>
      </c>
      <c r="E1712" s="485">
        <v>3.7</v>
      </c>
      <c r="F1712" s="485"/>
      <c r="G1712" s="485">
        <v>3.5</v>
      </c>
      <c r="H1712" s="487">
        <f t="shared" si="274"/>
        <v>25.900000000000002</v>
      </c>
    </row>
    <row r="1713" spans="1:8">
      <c r="A1713" s="485"/>
      <c r="B1713" s="486"/>
      <c r="C1713" s="17" t="s">
        <v>10</v>
      </c>
      <c r="D1713" s="485">
        <v>1</v>
      </c>
      <c r="E1713" s="485">
        <v>3.56</v>
      </c>
      <c r="F1713" s="485"/>
      <c r="G1713" s="485">
        <v>2.7</v>
      </c>
      <c r="H1713" s="487">
        <f t="shared" si="274"/>
        <v>9.6120000000000001</v>
      </c>
    </row>
    <row r="1714" spans="1:8">
      <c r="A1714" s="485"/>
      <c r="B1714" s="486" t="s">
        <v>2007</v>
      </c>
      <c r="C1714" s="17" t="s">
        <v>10</v>
      </c>
      <c r="D1714" s="485">
        <v>1</v>
      </c>
      <c r="E1714" s="485">
        <v>6.67</v>
      </c>
      <c r="F1714" s="485"/>
      <c r="G1714" s="485">
        <v>3.5</v>
      </c>
      <c r="H1714" s="487">
        <f t="shared" si="274"/>
        <v>23.344999999999999</v>
      </c>
    </row>
    <row r="1715" spans="1:8">
      <c r="A1715" s="485"/>
      <c r="B1715" s="486"/>
      <c r="C1715" s="17" t="s">
        <v>10</v>
      </c>
      <c r="D1715" s="485">
        <v>1</v>
      </c>
      <c r="E1715" s="485">
        <v>0.15</v>
      </c>
      <c r="F1715" s="485"/>
      <c r="G1715" s="485">
        <v>3.5</v>
      </c>
      <c r="H1715" s="487">
        <f t="shared" si="274"/>
        <v>0.52500000000000002</v>
      </c>
    </row>
    <row r="1716" spans="1:8">
      <c r="A1716" s="485"/>
      <c r="B1716" s="486"/>
      <c r="C1716" s="17" t="s">
        <v>10</v>
      </c>
      <c r="D1716" s="485">
        <v>1</v>
      </c>
      <c r="E1716" s="485">
        <v>3</v>
      </c>
      <c r="F1716" s="485"/>
      <c r="G1716" s="485">
        <v>1.1000000000000001</v>
      </c>
      <c r="H1716" s="487">
        <f t="shared" si="274"/>
        <v>3.3000000000000003</v>
      </c>
    </row>
    <row r="1717" spans="1:8">
      <c r="A1717" s="485"/>
      <c r="B1717" s="486"/>
      <c r="C1717" s="17" t="s">
        <v>10</v>
      </c>
      <c r="D1717" s="485">
        <v>1</v>
      </c>
      <c r="E1717" s="485">
        <v>4.47</v>
      </c>
      <c r="F1717" s="485"/>
      <c r="G1717" s="485">
        <v>3.5</v>
      </c>
      <c r="H1717" s="487">
        <f t="shared" si="274"/>
        <v>15.645</v>
      </c>
    </row>
    <row r="1718" spans="1:8">
      <c r="A1718" s="485"/>
      <c r="B1718" s="486" t="s">
        <v>2008</v>
      </c>
      <c r="C1718" s="17" t="s">
        <v>10</v>
      </c>
      <c r="D1718" s="485">
        <v>1</v>
      </c>
      <c r="E1718" s="485">
        <v>3</v>
      </c>
      <c r="F1718" s="485"/>
      <c r="G1718" s="485">
        <v>1.1000000000000001</v>
      </c>
      <c r="H1718" s="487">
        <f t="shared" si="274"/>
        <v>3.3000000000000003</v>
      </c>
    </row>
    <row r="1719" spans="1:8">
      <c r="A1719" s="485"/>
      <c r="B1719" s="486"/>
      <c r="C1719" s="17" t="s">
        <v>10</v>
      </c>
      <c r="D1719" s="485">
        <v>1</v>
      </c>
      <c r="E1719" s="485">
        <v>6.67</v>
      </c>
      <c r="F1719" s="485"/>
      <c r="G1719" s="485">
        <v>3.5</v>
      </c>
      <c r="H1719" s="487">
        <f t="shared" si="274"/>
        <v>23.344999999999999</v>
      </c>
    </row>
    <row r="1720" spans="1:8">
      <c r="A1720" s="485"/>
      <c r="B1720" s="486"/>
      <c r="C1720" s="17" t="s">
        <v>10</v>
      </c>
      <c r="D1720" s="485">
        <v>1</v>
      </c>
      <c r="E1720" s="485">
        <v>0.15</v>
      </c>
      <c r="F1720" s="485"/>
      <c r="G1720" s="485">
        <v>3.5</v>
      </c>
      <c r="H1720" s="487">
        <f t="shared" si="274"/>
        <v>0.52500000000000002</v>
      </c>
    </row>
    <row r="1721" spans="1:8">
      <c r="A1721" s="485"/>
      <c r="B1721" s="486" t="s">
        <v>201</v>
      </c>
      <c r="C1721" s="17" t="s">
        <v>10</v>
      </c>
      <c r="D1721" s="485">
        <v>1</v>
      </c>
      <c r="E1721" s="485">
        <v>1.4419999999999999</v>
      </c>
      <c r="F1721" s="485"/>
      <c r="G1721" s="485">
        <v>3.5</v>
      </c>
      <c r="H1721" s="487">
        <f t="shared" si="274"/>
        <v>5.0469999999999997</v>
      </c>
    </row>
    <row r="1722" spans="1:8">
      <c r="A1722" s="485"/>
      <c r="B1722" s="486" t="s">
        <v>1343</v>
      </c>
      <c r="C1722" s="17" t="s">
        <v>10</v>
      </c>
      <c r="D1722" s="485">
        <v>2</v>
      </c>
      <c r="E1722" s="485">
        <v>1.47</v>
      </c>
      <c r="F1722" s="485"/>
      <c r="G1722" s="485">
        <v>3.5</v>
      </c>
      <c r="H1722" s="487">
        <f t="shared" si="274"/>
        <v>10.29</v>
      </c>
    </row>
    <row r="1723" spans="1:8">
      <c r="A1723" s="485"/>
      <c r="B1723" s="486"/>
      <c r="C1723" s="17" t="s">
        <v>10</v>
      </c>
      <c r="D1723" s="485">
        <v>1</v>
      </c>
      <c r="E1723" s="485">
        <v>1.05</v>
      </c>
      <c r="F1723" s="485"/>
      <c r="G1723" s="485">
        <v>3.5</v>
      </c>
      <c r="H1723" s="487">
        <f t="shared" si="274"/>
        <v>3.6750000000000003</v>
      </c>
    </row>
    <row r="1724" spans="1:8">
      <c r="A1724" s="485"/>
      <c r="B1724" s="486" t="s">
        <v>2009</v>
      </c>
      <c r="C1724" s="17" t="s">
        <v>10</v>
      </c>
      <c r="D1724" s="485">
        <v>1</v>
      </c>
      <c r="E1724" s="485">
        <v>1.05</v>
      </c>
      <c r="F1724" s="485"/>
      <c r="G1724" s="485">
        <v>3.5</v>
      </c>
      <c r="H1724" s="487">
        <f t="shared" si="274"/>
        <v>3.6750000000000003</v>
      </c>
    </row>
    <row r="1725" spans="1:8">
      <c r="A1725" s="485"/>
      <c r="B1725" s="486"/>
      <c r="C1725" s="17" t="s">
        <v>10</v>
      </c>
      <c r="D1725" s="485">
        <v>1</v>
      </c>
      <c r="E1725" s="485">
        <v>1.5</v>
      </c>
      <c r="F1725" s="485"/>
      <c r="G1725" s="485">
        <v>3.5</v>
      </c>
      <c r="H1725" s="487">
        <f t="shared" si="274"/>
        <v>5.25</v>
      </c>
    </row>
    <row r="1726" spans="1:8">
      <c r="A1726" s="485"/>
      <c r="B1726" s="486" t="s">
        <v>1213</v>
      </c>
      <c r="C1726" s="17" t="s">
        <v>10</v>
      </c>
      <c r="D1726" s="485">
        <v>1</v>
      </c>
      <c r="E1726" s="485">
        <v>6.78</v>
      </c>
      <c r="F1726" s="485"/>
      <c r="G1726" s="485">
        <v>3.5</v>
      </c>
      <c r="H1726" s="487">
        <f t="shared" si="274"/>
        <v>23.73</v>
      </c>
    </row>
    <row r="1727" spans="1:8">
      <c r="A1727" s="485"/>
      <c r="B1727" s="486"/>
      <c r="C1727" s="17" t="s">
        <v>10</v>
      </c>
      <c r="D1727" s="485">
        <v>2</v>
      </c>
      <c r="E1727" s="485">
        <v>3.55</v>
      </c>
      <c r="F1727" s="485"/>
      <c r="G1727" s="485">
        <v>3.5</v>
      </c>
      <c r="H1727" s="487">
        <f t="shared" si="274"/>
        <v>24.849999999999998</v>
      </c>
    </row>
    <row r="1728" spans="1:8">
      <c r="A1728" s="485"/>
      <c r="B1728" s="486"/>
      <c r="C1728" s="17" t="s">
        <v>10</v>
      </c>
      <c r="D1728" s="485">
        <v>2</v>
      </c>
      <c r="E1728" s="485">
        <v>0.15</v>
      </c>
      <c r="F1728" s="485"/>
      <c r="G1728" s="485">
        <v>3.5</v>
      </c>
      <c r="H1728" s="487">
        <f t="shared" si="274"/>
        <v>1.05</v>
      </c>
    </row>
    <row r="1729" spans="1:8">
      <c r="A1729" s="485"/>
      <c r="B1729" s="486"/>
      <c r="C1729" s="17" t="s">
        <v>10</v>
      </c>
      <c r="D1729" s="485">
        <v>1</v>
      </c>
      <c r="E1729" s="485">
        <v>2.8</v>
      </c>
      <c r="F1729" s="485"/>
      <c r="G1729" s="485">
        <v>1.1000000000000001</v>
      </c>
      <c r="H1729" s="487">
        <f t="shared" si="274"/>
        <v>3.08</v>
      </c>
    </row>
    <row r="1730" spans="1:8">
      <c r="A1730" s="485"/>
      <c r="B1730" s="486" t="s">
        <v>1214</v>
      </c>
      <c r="C1730" s="17" t="s">
        <v>10</v>
      </c>
      <c r="D1730" s="485">
        <v>2</v>
      </c>
      <c r="E1730" s="485">
        <v>0.15</v>
      </c>
      <c r="F1730" s="485"/>
      <c r="G1730" s="485">
        <v>3.5</v>
      </c>
      <c r="H1730" s="487">
        <f t="shared" si="274"/>
        <v>1.05</v>
      </c>
    </row>
    <row r="1731" spans="1:8">
      <c r="A1731" s="485"/>
      <c r="B1731" s="486"/>
      <c r="C1731" s="17" t="s">
        <v>10</v>
      </c>
      <c r="D1731" s="485">
        <v>1</v>
      </c>
      <c r="E1731" s="485">
        <v>0.2</v>
      </c>
      <c r="F1731" s="485"/>
      <c r="G1731" s="485">
        <v>3.5</v>
      </c>
      <c r="H1731" s="487">
        <f t="shared" si="274"/>
        <v>0.70000000000000007</v>
      </c>
    </row>
    <row r="1732" spans="1:8">
      <c r="A1732" s="485"/>
      <c r="B1732" s="486"/>
      <c r="C1732" s="17" t="s">
        <v>10</v>
      </c>
      <c r="D1732" s="485">
        <v>1</v>
      </c>
      <c r="E1732" s="485">
        <v>2.6</v>
      </c>
      <c r="F1732" s="485"/>
      <c r="G1732" s="485">
        <v>1.1000000000000001</v>
      </c>
      <c r="H1732" s="487">
        <f t="shared" si="274"/>
        <v>2.8600000000000003</v>
      </c>
    </row>
    <row r="1733" spans="1:8">
      <c r="A1733" s="485"/>
      <c r="B1733" s="486"/>
      <c r="C1733" s="17" t="s">
        <v>10</v>
      </c>
      <c r="D1733" s="485">
        <v>2</v>
      </c>
      <c r="E1733" s="485">
        <v>3.55</v>
      </c>
      <c r="F1733" s="485"/>
      <c r="G1733" s="485">
        <v>3.5</v>
      </c>
      <c r="H1733" s="487">
        <f t="shared" si="274"/>
        <v>24.849999999999998</v>
      </c>
    </row>
    <row r="1734" spans="1:8">
      <c r="A1734" s="485"/>
      <c r="B1734" s="486"/>
      <c r="C1734" s="17" t="s">
        <v>10</v>
      </c>
      <c r="D1734" s="485">
        <v>1</v>
      </c>
      <c r="E1734" s="485">
        <v>3.35</v>
      </c>
      <c r="F1734" s="485"/>
      <c r="G1734" s="485">
        <v>3.5</v>
      </c>
      <c r="H1734" s="487">
        <f t="shared" si="274"/>
        <v>11.725</v>
      </c>
    </row>
    <row r="1735" spans="1:8">
      <c r="A1735" s="485"/>
      <c r="B1735" s="486" t="s">
        <v>1217</v>
      </c>
      <c r="C1735" s="17" t="s">
        <v>10</v>
      </c>
      <c r="D1735" s="485">
        <v>2</v>
      </c>
      <c r="E1735" s="485">
        <v>0.15</v>
      </c>
      <c r="F1735" s="485"/>
      <c r="G1735" s="485">
        <v>3.5</v>
      </c>
      <c r="H1735" s="487">
        <f t="shared" si="274"/>
        <v>1.05</v>
      </c>
    </row>
    <row r="1736" spans="1:8">
      <c r="A1736" s="485"/>
      <c r="B1736" s="486"/>
      <c r="C1736" s="17" t="s">
        <v>10</v>
      </c>
      <c r="D1736" s="485">
        <v>1</v>
      </c>
      <c r="E1736" s="485">
        <v>1.4</v>
      </c>
      <c r="F1736" s="485"/>
      <c r="G1736" s="485">
        <v>3.5</v>
      </c>
      <c r="H1736" s="487">
        <f t="shared" si="274"/>
        <v>4.8999999999999995</v>
      </c>
    </row>
    <row r="1737" spans="1:8">
      <c r="A1737" s="485"/>
      <c r="B1737" s="486"/>
      <c r="C1737" s="17" t="s">
        <v>10</v>
      </c>
      <c r="D1737" s="485">
        <v>2</v>
      </c>
      <c r="E1737" s="485">
        <v>1</v>
      </c>
      <c r="F1737" s="485"/>
      <c r="G1737" s="485">
        <v>3.5</v>
      </c>
      <c r="H1737" s="487">
        <f t="shared" si="274"/>
        <v>7</v>
      </c>
    </row>
    <row r="1738" spans="1:8">
      <c r="A1738" s="485"/>
      <c r="B1738" s="486"/>
      <c r="C1738" s="17" t="s">
        <v>10</v>
      </c>
      <c r="D1738" s="485">
        <v>1</v>
      </c>
      <c r="E1738" s="485">
        <v>11</v>
      </c>
      <c r="F1738" s="485"/>
      <c r="G1738" s="485">
        <v>1.1000000000000001</v>
      </c>
      <c r="H1738" s="487">
        <f t="shared" si="274"/>
        <v>12.100000000000001</v>
      </c>
    </row>
    <row r="1739" spans="1:8" s="948" customFormat="1">
      <c r="A1739" s="485"/>
      <c r="B1739" s="486"/>
      <c r="C1739" s="17" t="s">
        <v>10</v>
      </c>
      <c r="D1739" s="485">
        <v>1</v>
      </c>
      <c r="E1739" s="485">
        <f>11-2.4</f>
        <v>8.6</v>
      </c>
      <c r="F1739" s="485"/>
      <c r="G1739" s="485">
        <v>1.2</v>
      </c>
      <c r="H1739" s="487">
        <f t="shared" si="274"/>
        <v>10.319999999999999</v>
      </c>
    </row>
    <row r="1740" spans="1:8">
      <c r="A1740" s="485"/>
      <c r="B1740" s="486" t="s">
        <v>1343</v>
      </c>
      <c r="C1740" s="17" t="s">
        <v>10</v>
      </c>
      <c r="D1740" s="485">
        <v>1</v>
      </c>
      <c r="E1740" s="485">
        <v>6.6</v>
      </c>
      <c r="F1740" s="485"/>
      <c r="G1740" s="485">
        <v>2.7</v>
      </c>
      <c r="H1740" s="487">
        <f t="shared" si="274"/>
        <v>17.82</v>
      </c>
    </row>
    <row r="1741" spans="1:8">
      <c r="A1741" s="485"/>
      <c r="B1741" s="486"/>
      <c r="C1741" s="17" t="s">
        <v>10</v>
      </c>
      <c r="D1741" s="485">
        <v>1</v>
      </c>
      <c r="E1741" s="485">
        <v>0.6</v>
      </c>
      <c r="F1741" s="485"/>
      <c r="G1741" s="485">
        <v>2.7</v>
      </c>
      <c r="H1741" s="487">
        <f t="shared" si="274"/>
        <v>1.62</v>
      </c>
    </row>
    <row r="1742" spans="1:8">
      <c r="A1742" s="485"/>
      <c r="B1742" s="486"/>
      <c r="C1742" s="17" t="s">
        <v>10</v>
      </c>
      <c r="D1742" s="485">
        <v>1</v>
      </c>
      <c r="E1742" s="485">
        <v>11</v>
      </c>
      <c r="F1742" s="485"/>
      <c r="G1742" s="485">
        <v>3.5</v>
      </c>
      <c r="H1742" s="487">
        <f t="shared" si="274"/>
        <v>38.5</v>
      </c>
    </row>
    <row r="1743" spans="1:8">
      <c r="A1743" s="485"/>
      <c r="B1743" s="486" t="s">
        <v>1219</v>
      </c>
      <c r="C1743" s="17" t="s">
        <v>10</v>
      </c>
      <c r="D1743" s="485">
        <v>1</v>
      </c>
      <c r="E1743" s="485">
        <v>1.3</v>
      </c>
      <c r="F1743" s="485"/>
      <c r="G1743" s="485">
        <v>3.5</v>
      </c>
      <c r="H1743" s="487">
        <f t="shared" si="274"/>
        <v>4.55</v>
      </c>
    </row>
    <row r="1744" spans="1:8">
      <c r="A1744" s="485"/>
      <c r="B1744" s="486"/>
      <c r="C1744" s="17" t="s">
        <v>10</v>
      </c>
      <c r="D1744" s="485">
        <v>1</v>
      </c>
      <c r="E1744" s="485">
        <v>1.4750000000000001</v>
      </c>
      <c r="F1744" s="485"/>
      <c r="G1744" s="485">
        <v>3.5</v>
      </c>
      <c r="H1744" s="487">
        <f t="shared" si="274"/>
        <v>5.1625000000000005</v>
      </c>
    </row>
    <row r="1745" spans="1:8">
      <c r="A1745" s="485"/>
      <c r="B1745" s="486"/>
      <c r="C1745" s="17" t="s">
        <v>10</v>
      </c>
      <c r="D1745" s="485">
        <v>-1</v>
      </c>
      <c r="E1745" s="485">
        <v>1</v>
      </c>
      <c r="F1745" s="485"/>
      <c r="G1745" s="485">
        <v>2.4</v>
      </c>
      <c r="H1745" s="487">
        <f t="shared" si="274"/>
        <v>-2.4</v>
      </c>
    </row>
    <row r="1746" spans="1:8">
      <c r="A1746" s="485"/>
      <c r="B1746" s="486" t="s">
        <v>1343</v>
      </c>
      <c r="C1746" s="17" t="s">
        <v>10</v>
      </c>
      <c r="D1746" s="485">
        <v>1</v>
      </c>
      <c r="E1746" s="485">
        <v>1.075</v>
      </c>
      <c r="F1746" s="485"/>
      <c r="G1746" s="485">
        <v>3.5</v>
      </c>
      <c r="H1746" s="487">
        <f t="shared" si="274"/>
        <v>3.7624999999999997</v>
      </c>
    </row>
    <row r="1747" spans="1:8">
      <c r="A1747" s="485"/>
      <c r="B1747" s="486" t="s">
        <v>1343</v>
      </c>
      <c r="C1747" s="17" t="s">
        <v>10</v>
      </c>
      <c r="D1747" s="485">
        <v>1</v>
      </c>
      <c r="E1747" s="485">
        <v>1.175</v>
      </c>
      <c r="F1747" s="485"/>
      <c r="G1747" s="485">
        <v>3.5</v>
      </c>
      <c r="H1747" s="487">
        <f t="shared" si="274"/>
        <v>4.1124999999999998</v>
      </c>
    </row>
    <row r="1748" spans="1:8">
      <c r="A1748" s="485"/>
      <c r="B1748" s="486" t="s">
        <v>1343</v>
      </c>
      <c r="C1748" s="17" t="s">
        <v>10</v>
      </c>
      <c r="D1748" s="485">
        <v>1</v>
      </c>
      <c r="E1748" s="485">
        <v>0.97499999999999998</v>
      </c>
      <c r="F1748" s="485"/>
      <c r="G1748" s="485">
        <v>2.7</v>
      </c>
      <c r="H1748" s="487">
        <f t="shared" ref="H1748:H1813" si="277">PRODUCT(D1748:G1748)</f>
        <v>2.6325000000000003</v>
      </c>
    </row>
    <row r="1749" spans="1:8">
      <c r="A1749" s="485"/>
      <c r="B1749" s="486" t="s">
        <v>1343</v>
      </c>
      <c r="C1749" s="17" t="s">
        <v>10</v>
      </c>
      <c r="D1749" s="485">
        <v>1</v>
      </c>
      <c r="E1749" s="485">
        <v>0.875</v>
      </c>
      <c r="F1749" s="485"/>
      <c r="G1749" s="485">
        <v>2.7</v>
      </c>
      <c r="H1749" s="487">
        <f t="shared" si="277"/>
        <v>2.3625000000000003</v>
      </c>
    </row>
    <row r="1750" spans="1:8">
      <c r="A1750" s="485"/>
      <c r="B1750" s="486"/>
      <c r="C1750" s="17" t="s">
        <v>10</v>
      </c>
      <c r="D1750" s="485">
        <v>1</v>
      </c>
      <c r="E1750" s="485">
        <v>0.15</v>
      </c>
      <c r="F1750" s="485"/>
      <c r="G1750" s="485">
        <v>3.5</v>
      </c>
      <c r="H1750" s="487">
        <f t="shared" si="277"/>
        <v>0.52500000000000002</v>
      </c>
    </row>
    <row r="1751" spans="1:8">
      <c r="A1751" s="485"/>
      <c r="B1751" s="486"/>
      <c r="C1751" s="17" t="s">
        <v>10</v>
      </c>
      <c r="D1751" s="485">
        <v>1</v>
      </c>
      <c r="E1751" s="485">
        <v>3.1</v>
      </c>
      <c r="F1751" s="485"/>
      <c r="G1751" s="485">
        <v>1.1000000000000001</v>
      </c>
      <c r="H1751" s="487">
        <f t="shared" si="277"/>
        <v>3.4100000000000006</v>
      </c>
    </row>
    <row r="1752" spans="1:8">
      <c r="A1752" s="485"/>
      <c r="B1752" s="486"/>
      <c r="C1752" s="17" t="s">
        <v>10</v>
      </c>
      <c r="D1752" s="485">
        <v>2</v>
      </c>
      <c r="E1752" s="485">
        <v>2.5499999999999998</v>
      </c>
      <c r="F1752" s="485"/>
      <c r="G1752" s="485">
        <v>3.5</v>
      </c>
      <c r="H1752" s="487">
        <f t="shared" si="277"/>
        <v>17.849999999999998</v>
      </c>
    </row>
    <row r="1753" spans="1:8">
      <c r="A1753" s="485"/>
      <c r="B1753" s="486" t="s">
        <v>1343</v>
      </c>
      <c r="C1753" s="17" t="s">
        <v>10</v>
      </c>
      <c r="D1753" s="485">
        <v>1</v>
      </c>
      <c r="E1753" s="485">
        <v>3.03</v>
      </c>
      <c r="F1753" s="485"/>
      <c r="G1753" s="485">
        <v>2.7</v>
      </c>
      <c r="H1753" s="487">
        <f t="shared" si="277"/>
        <v>8.1809999999999992</v>
      </c>
    </row>
    <row r="1754" spans="1:8">
      <c r="A1754" s="485"/>
      <c r="B1754" s="486" t="s">
        <v>1354</v>
      </c>
      <c r="C1754" s="17" t="s">
        <v>10</v>
      </c>
      <c r="D1754" s="485">
        <v>2</v>
      </c>
      <c r="E1754" s="485">
        <v>2.5499999999999998</v>
      </c>
      <c r="F1754" s="485"/>
      <c r="G1754" s="485">
        <v>3.5</v>
      </c>
      <c r="H1754" s="487">
        <f t="shared" si="277"/>
        <v>17.849999999999998</v>
      </c>
    </row>
    <row r="1755" spans="1:8">
      <c r="A1755" s="485"/>
      <c r="B1755" s="486"/>
      <c r="C1755" s="17" t="s">
        <v>10</v>
      </c>
      <c r="D1755" s="485">
        <v>2</v>
      </c>
      <c r="E1755" s="485">
        <v>0.15</v>
      </c>
      <c r="F1755" s="485"/>
      <c r="G1755" s="485">
        <v>3.5</v>
      </c>
      <c r="H1755" s="487">
        <f t="shared" si="277"/>
        <v>1.05</v>
      </c>
    </row>
    <row r="1756" spans="1:8">
      <c r="A1756" s="485"/>
      <c r="B1756" s="486"/>
      <c r="C1756" s="17" t="s">
        <v>10</v>
      </c>
      <c r="D1756" s="485">
        <v>1</v>
      </c>
      <c r="E1756" s="485">
        <v>2.75</v>
      </c>
      <c r="F1756" s="485"/>
      <c r="G1756" s="485">
        <v>1.1000000000000001</v>
      </c>
      <c r="H1756" s="487">
        <f t="shared" si="277"/>
        <v>3.0250000000000004</v>
      </c>
    </row>
    <row r="1757" spans="1:8">
      <c r="A1757" s="485"/>
      <c r="B1757" s="486" t="s">
        <v>2085</v>
      </c>
      <c r="C1757" s="17" t="s">
        <v>10</v>
      </c>
      <c r="D1757" s="485">
        <v>1</v>
      </c>
      <c r="E1757" s="485">
        <v>1.4</v>
      </c>
      <c r="F1757" s="485"/>
      <c r="G1757" s="485">
        <v>1.1000000000000001</v>
      </c>
      <c r="H1757" s="487">
        <f t="shared" ref="H1757:H1758" si="278">PRODUCT(D1757:G1757)</f>
        <v>1.54</v>
      </c>
    </row>
    <row r="1758" spans="1:8">
      <c r="A1758" s="485"/>
      <c r="B1758" s="486"/>
      <c r="C1758" s="17" t="s">
        <v>10</v>
      </c>
      <c r="D1758" s="485">
        <v>2</v>
      </c>
      <c r="E1758" s="485">
        <v>0.15</v>
      </c>
      <c r="F1758" s="485"/>
      <c r="G1758" s="485">
        <v>3.5</v>
      </c>
      <c r="H1758" s="487">
        <f t="shared" si="278"/>
        <v>1.05</v>
      </c>
    </row>
    <row r="1759" spans="1:8">
      <c r="A1759" s="485"/>
      <c r="B1759" s="486" t="s">
        <v>2010</v>
      </c>
      <c r="C1759" s="17" t="s">
        <v>10</v>
      </c>
      <c r="D1759" s="485">
        <v>1</v>
      </c>
      <c r="E1759" s="485">
        <v>4</v>
      </c>
      <c r="F1759" s="485"/>
      <c r="G1759" s="485">
        <v>3.5</v>
      </c>
      <c r="H1759" s="487">
        <f t="shared" si="277"/>
        <v>14</v>
      </c>
    </row>
    <row r="1760" spans="1:8">
      <c r="A1760" s="485"/>
      <c r="B1760" s="486"/>
      <c r="C1760" s="17" t="s">
        <v>10</v>
      </c>
      <c r="D1760" s="485">
        <v>-1</v>
      </c>
      <c r="E1760" s="485">
        <f>3.85-0.15-0.15</f>
        <v>3.5500000000000003</v>
      </c>
      <c r="F1760" s="485"/>
      <c r="G1760" s="485">
        <v>2.4</v>
      </c>
      <c r="H1760" s="487">
        <f t="shared" si="277"/>
        <v>-8.52</v>
      </c>
    </row>
    <row r="1761" spans="1:8">
      <c r="A1761" s="485"/>
      <c r="B1761" s="486" t="s">
        <v>2011</v>
      </c>
      <c r="C1761" s="17" t="s">
        <v>10</v>
      </c>
      <c r="D1761" s="485">
        <v>1</v>
      </c>
      <c r="E1761" s="485">
        <v>4</v>
      </c>
      <c r="F1761" s="485"/>
      <c r="G1761" s="485">
        <v>3.5</v>
      </c>
      <c r="H1761" s="487">
        <f t="shared" si="277"/>
        <v>14</v>
      </c>
    </row>
    <row r="1762" spans="1:8">
      <c r="A1762" s="485"/>
      <c r="B1762" s="486"/>
      <c r="C1762" s="17" t="s">
        <v>10</v>
      </c>
      <c r="D1762" s="485">
        <v>-2</v>
      </c>
      <c r="E1762" s="485">
        <v>0.75</v>
      </c>
      <c r="F1762" s="485"/>
      <c r="G1762" s="485">
        <v>2.4</v>
      </c>
      <c r="H1762" s="487">
        <f t="shared" si="277"/>
        <v>-3.5999999999999996</v>
      </c>
    </row>
    <row r="1763" spans="1:8">
      <c r="A1763" s="485"/>
      <c r="B1763" s="486"/>
      <c r="C1763" s="17" t="s">
        <v>10</v>
      </c>
      <c r="D1763" s="485">
        <v>1</v>
      </c>
      <c r="E1763" s="485">
        <v>2.5</v>
      </c>
      <c r="F1763" s="485"/>
      <c r="G1763" s="485">
        <v>3.5</v>
      </c>
      <c r="H1763" s="487">
        <f t="shared" si="277"/>
        <v>8.75</v>
      </c>
    </row>
    <row r="1764" spans="1:8">
      <c r="A1764" s="485"/>
      <c r="B1764" s="486" t="s">
        <v>1354</v>
      </c>
      <c r="C1764" s="17" t="s">
        <v>10</v>
      </c>
      <c r="D1764" s="485">
        <v>2</v>
      </c>
      <c r="E1764" s="485">
        <v>2.5499999999999998</v>
      </c>
      <c r="F1764" s="485"/>
      <c r="G1764" s="485">
        <v>3.5</v>
      </c>
      <c r="H1764" s="487">
        <f t="shared" si="277"/>
        <v>17.849999999999998</v>
      </c>
    </row>
    <row r="1765" spans="1:8">
      <c r="A1765" s="485"/>
      <c r="B1765" s="486"/>
      <c r="C1765" s="17" t="s">
        <v>10</v>
      </c>
      <c r="D1765" s="485">
        <v>1</v>
      </c>
      <c r="E1765" s="485">
        <v>0.15</v>
      </c>
      <c r="F1765" s="485"/>
      <c r="G1765" s="485">
        <v>3.5</v>
      </c>
      <c r="H1765" s="487">
        <f t="shared" si="277"/>
        <v>0.52500000000000002</v>
      </c>
    </row>
    <row r="1766" spans="1:8">
      <c r="A1766" s="485"/>
      <c r="B1766" s="486"/>
      <c r="C1766" s="17" t="s">
        <v>10</v>
      </c>
      <c r="D1766" s="485">
        <v>1</v>
      </c>
      <c r="E1766" s="485">
        <v>0.2</v>
      </c>
      <c r="F1766" s="485"/>
      <c r="G1766" s="485">
        <v>3.5</v>
      </c>
      <c r="H1766" s="487">
        <f t="shared" ref="H1766" si="279">PRODUCT(D1766:G1766)</f>
        <v>0.70000000000000007</v>
      </c>
    </row>
    <row r="1767" spans="1:8">
      <c r="A1767" s="485"/>
      <c r="B1767" s="486"/>
      <c r="C1767" s="17" t="s">
        <v>10</v>
      </c>
      <c r="D1767" s="485">
        <v>1</v>
      </c>
      <c r="E1767" s="485">
        <v>2.75</v>
      </c>
      <c r="F1767" s="485"/>
      <c r="G1767" s="485">
        <v>1.1000000000000001</v>
      </c>
      <c r="H1767" s="487">
        <f t="shared" si="277"/>
        <v>3.0250000000000004</v>
      </c>
    </row>
    <row r="1768" spans="1:8">
      <c r="A1768" s="485"/>
      <c r="B1768" s="486"/>
      <c r="C1768" s="17" t="s">
        <v>10</v>
      </c>
      <c r="D1768" s="485">
        <v>1</v>
      </c>
      <c r="E1768" s="485">
        <v>2.5499999999999998</v>
      </c>
      <c r="F1768" s="485"/>
      <c r="G1768" s="485">
        <v>3.5</v>
      </c>
      <c r="H1768" s="487">
        <f t="shared" si="277"/>
        <v>8.9249999999999989</v>
      </c>
    </row>
    <row r="1769" spans="1:8">
      <c r="A1769" s="485"/>
      <c r="B1769" s="486" t="s">
        <v>1917</v>
      </c>
      <c r="C1769" s="17" t="s">
        <v>10</v>
      </c>
      <c r="D1769" s="485">
        <v>1</v>
      </c>
      <c r="E1769" s="485">
        <v>6.1</v>
      </c>
      <c r="F1769" s="485"/>
      <c r="G1769" s="485">
        <v>3.5</v>
      </c>
      <c r="H1769" s="487">
        <f t="shared" si="277"/>
        <v>21.349999999999998</v>
      </c>
    </row>
    <row r="1770" spans="1:8">
      <c r="A1770" s="485"/>
      <c r="B1770" s="486"/>
      <c r="C1770" s="17" t="s">
        <v>10</v>
      </c>
      <c r="D1770" s="485">
        <v>1</v>
      </c>
      <c r="E1770" s="485">
        <v>2.1800000000000002</v>
      </c>
      <c r="F1770" s="485"/>
      <c r="G1770" s="485">
        <v>3.5</v>
      </c>
      <c r="H1770" s="487">
        <f t="shared" si="277"/>
        <v>7.6300000000000008</v>
      </c>
    </row>
    <row r="1771" spans="1:8">
      <c r="A1771" s="485"/>
      <c r="B1771" s="486"/>
      <c r="C1771" s="17" t="s">
        <v>10</v>
      </c>
      <c r="D1771" s="485">
        <v>2</v>
      </c>
      <c r="E1771" s="485">
        <v>5.6</v>
      </c>
      <c r="F1771" s="485"/>
      <c r="G1771" s="485">
        <v>3.5</v>
      </c>
      <c r="H1771" s="487">
        <f t="shared" si="277"/>
        <v>39.199999999999996</v>
      </c>
    </row>
    <row r="1772" spans="1:8">
      <c r="A1772" s="485"/>
      <c r="B1772" s="486"/>
      <c r="C1772" s="17" t="s">
        <v>10</v>
      </c>
      <c r="D1772" s="485">
        <v>1</v>
      </c>
      <c r="E1772" s="485">
        <v>8.77</v>
      </c>
      <c r="F1772" s="485"/>
      <c r="G1772" s="485">
        <v>3.5</v>
      </c>
      <c r="H1772" s="487">
        <f t="shared" si="277"/>
        <v>30.695</v>
      </c>
    </row>
    <row r="1773" spans="1:8">
      <c r="A1773" s="485"/>
      <c r="B1773" s="486" t="s">
        <v>1343</v>
      </c>
      <c r="C1773" s="17" t="s">
        <v>10</v>
      </c>
      <c r="D1773" s="485">
        <v>1</v>
      </c>
      <c r="E1773" s="485">
        <v>6.6</v>
      </c>
      <c r="F1773" s="485"/>
      <c r="G1773" s="485">
        <v>3.5</v>
      </c>
      <c r="H1773" s="487">
        <f t="shared" si="277"/>
        <v>23.099999999999998</v>
      </c>
    </row>
    <row r="1774" spans="1:8">
      <c r="A1774" s="485"/>
      <c r="B1774" s="486" t="s">
        <v>2012</v>
      </c>
      <c r="C1774" s="17" t="s">
        <v>10</v>
      </c>
      <c r="D1774" s="485">
        <v>2</v>
      </c>
      <c r="E1774" s="485">
        <v>3.85</v>
      </c>
      <c r="F1774" s="485"/>
      <c r="G1774" s="485">
        <v>3.5</v>
      </c>
      <c r="H1774" s="487">
        <f t="shared" si="277"/>
        <v>26.95</v>
      </c>
    </row>
    <row r="1775" spans="1:8">
      <c r="A1775" s="485"/>
      <c r="B1775" s="486"/>
      <c r="C1775" s="17" t="s">
        <v>10</v>
      </c>
      <c r="D1775" s="485">
        <v>-2</v>
      </c>
      <c r="E1775" s="485">
        <v>1.6</v>
      </c>
      <c r="F1775" s="485"/>
      <c r="G1775" s="485">
        <v>2.4</v>
      </c>
      <c r="H1775" s="487">
        <f t="shared" si="277"/>
        <v>-7.68</v>
      </c>
    </row>
    <row r="1776" spans="1:8">
      <c r="A1776" s="485"/>
      <c r="B1776" s="486"/>
      <c r="C1776" s="17" t="s">
        <v>10</v>
      </c>
      <c r="D1776" s="485">
        <v>2</v>
      </c>
      <c r="E1776" s="485">
        <v>5.0999999999999996</v>
      </c>
      <c r="F1776" s="485"/>
      <c r="G1776" s="485">
        <v>3.5</v>
      </c>
      <c r="H1776" s="487">
        <f t="shared" si="277"/>
        <v>35.699999999999996</v>
      </c>
    </row>
    <row r="1777" spans="1:8">
      <c r="A1777" s="485"/>
      <c r="B1777" s="486"/>
      <c r="C1777" s="17" t="s">
        <v>10</v>
      </c>
      <c r="D1777" s="485">
        <v>2</v>
      </c>
      <c r="E1777" s="485">
        <v>3.93</v>
      </c>
      <c r="F1777" s="485"/>
      <c r="G1777" s="485">
        <v>3.5</v>
      </c>
      <c r="H1777" s="487">
        <f t="shared" si="277"/>
        <v>27.51</v>
      </c>
    </row>
    <row r="1778" spans="1:8">
      <c r="A1778" s="485"/>
      <c r="B1778" s="486"/>
      <c r="C1778" s="17" t="s">
        <v>10</v>
      </c>
      <c r="D1778" s="485">
        <v>1</v>
      </c>
      <c r="E1778" s="485">
        <v>4.18</v>
      </c>
      <c r="F1778" s="485"/>
      <c r="G1778" s="485">
        <v>3.5</v>
      </c>
      <c r="H1778" s="487">
        <f t="shared" si="277"/>
        <v>14.629999999999999</v>
      </c>
    </row>
    <row r="1779" spans="1:8">
      <c r="A1779" s="485"/>
      <c r="B1779" s="486"/>
      <c r="C1779" s="17" t="s">
        <v>10</v>
      </c>
      <c r="D1779" s="485">
        <v>-1</v>
      </c>
      <c r="E1779" s="485">
        <v>3.79</v>
      </c>
      <c r="F1779" s="485"/>
      <c r="G1779" s="485">
        <v>2.4</v>
      </c>
      <c r="H1779" s="487">
        <f t="shared" si="277"/>
        <v>-9.0960000000000001</v>
      </c>
    </row>
    <row r="1780" spans="1:8">
      <c r="A1780" s="485"/>
      <c r="B1780" s="486"/>
      <c r="C1780" s="17" t="s">
        <v>10</v>
      </c>
      <c r="D1780" s="485">
        <v>1</v>
      </c>
      <c r="E1780" s="485">
        <v>13.34</v>
      </c>
      <c r="F1780" s="485"/>
      <c r="G1780" s="485">
        <v>3.5</v>
      </c>
      <c r="H1780" s="487">
        <f t="shared" si="277"/>
        <v>46.69</v>
      </c>
    </row>
    <row r="1781" spans="1:8">
      <c r="A1781" s="485"/>
      <c r="B1781" s="486"/>
      <c r="C1781" s="17" t="s">
        <v>10</v>
      </c>
      <c r="D1781" s="485">
        <v>1</v>
      </c>
      <c r="E1781" s="485">
        <v>1.1000000000000001</v>
      </c>
      <c r="F1781" s="485"/>
      <c r="G1781" s="485">
        <v>3.5</v>
      </c>
      <c r="H1781" s="487">
        <f t="shared" si="277"/>
        <v>3.8500000000000005</v>
      </c>
    </row>
    <row r="1782" spans="1:8">
      <c r="A1782" s="485"/>
      <c r="B1782" s="486"/>
      <c r="C1782" s="17" t="s">
        <v>10</v>
      </c>
      <c r="D1782" s="485">
        <v>1</v>
      </c>
      <c r="E1782" s="485">
        <v>0.55200000000000005</v>
      </c>
      <c r="F1782" s="485"/>
      <c r="G1782" s="485">
        <v>3.5</v>
      </c>
      <c r="H1782" s="487">
        <f t="shared" si="277"/>
        <v>1.9320000000000002</v>
      </c>
    </row>
    <row r="1783" spans="1:8">
      <c r="A1783" s="485"/>
      <c r="B1783" s="486"/>
      <c r="C1783" s="17" t="s">
        <v>10</v>
      </c>
      <c r="D1783" s="485">
        <v>1</v>
      </c>
      <c r="E1783" s="485">
        <v>6.23</v>
      </c>
      <c r="F1783" s="485"/>
      <c r="G1783" s="485">
        <v>3.5</v>
      </c>
      <c r="H1783" s="487">
        <f t="shared" si="277"/>
        <v>21.805</v>
      </c>
    </row>
    <row r="1784" spans="1:8">
      <c r="A1784" s="485"/>
      <c r="B1784" s="486"/>
      <c r="C1784" s="17" t="s">
        <v>10</v>
      </c>
      <c r="D1784" s="485">
        <v>-1</v>
      </c>
      <c r="E1784" s="485">
        <v>1</v>
      </c>
      <c r="F1784" s="485"/>
      <c r="G1784" s="485">
        <v>2.4</v>
      </c>
      <c r="H1784" s="487">
        <f t="shared" si="277"/>
        <v>-2.4</v>
      </c>
    </row>
    <row r="1785" spans="1:8">
      <c r="A1785" s="485"/>
      <c r="B1785" s="486" t="s">
        <v>2013</v>
      </c>
      <c r="C1785" s="17" t="s">
        <v>10</v>
      </c>
      <c r="D1785" s="485">
        <v>2</v>
      </c>
      <c r="E1785" s="485">
        <v>3.55</v>
      </c>
      <c r="F1785" s="485"/>
      <c r="G1785" s="485">
        <v>3.5</v>
      </c>
      <c r="H1785" s="487">
        <f t="shared" si="277"/>
        <v>24.849999999999998</v>
      </c>
    </row>
    <row r="1786" spans="1:8">
      <c r="A1786" s="485"/>
      <c r="B1786" s="486"/>
      <c r="C1786" s="17" t="s">
        <v>10</v>
      </c>
      <c r="D1786" s="485">
        <v>1</v>
      </c>
      <c r="E1786" s="485">
        <v>0.8</v>
      </c>
      <c r="F1786" s="485"/>
      <c r="G1786" s="485">
        <v>3.5</v>
      </c>
      <c r="H1786" s="487">
        <f t="shared" si="277"/>
        <v>2.8000000000000003</v>
      </c>
    </row>
    <row r="1787" spans="1:8">
      <c r="A1787" s="485"/>
      <c r="B1787" s="486"/>
      <c r="C1787" s="17" t="s">
        <v>10</v>
      </c>
      <c r="D1787" s="485">
        <v>1</v>
      </c>
      <c r="E1787" s="485">
        <v>0.3</v>
      </c>
      <c r="F1787" s="485"/>
      <c r="G1787" s="485">
        <v>3.5</v>
      </c>
      <c r="H1787" s="487">
        <f t="shared" si="277"/>
        <v>1.05</v>
      </c>
    </row>
    <row r="1788" spans="1:8">
      <c r="A1788" s="485"/>
      <c r="B1788" s="486" t="s">
        <v>216</v>
      </c>
      <c r="C1788" s="17" t="s">
        <v>10</v>
      </c>
      <c r="D1788" s="485">
        <v>1</v>
      </c>
      <c r="E1788" s="485">
        <v>0.15</v>
      </c>
      <c r="F1788" s="485"/>
      <c r="G1788" s="485">
        <v>3.5</v>
      </c>
      <c r="H1788" s="487">
        <f t="shared" si="277"/>
        <v>0.52500000000000002</v>
      </c>
    </row>
    <row r="1789" spans="1:8">
      <c r="A1789" s="485"/>
      <c r="B1789" s="486"/>
      <c r="C1789" s="17" t="s">
        <v>10</v>
      </c>
      <c r="D1789" s="485">
        <v>1</v>
      </c>
      <c r="E1789" s="485">
        <v>3.8250000000000002</v>
      </c>
      <c r="F1789" s="485"/>
      <c r="G1789" s="485">
        <v>1.1000000000000001</v>
      </c>
      <c r="H1789" s="487">
        <f t="shared" si="277"/>
        <v>4.2075000000000005</v>
      </c>
    </row>
    <row r="1790" spans="1:8">
      <c r="A1790" s="485"/>
      <c r="B1790" s="486" t="s">
        <v>1230</v>
      </c>
      <c r="C1790" s="17" t="s">
        <v>10</v>
      </c>
      <c r="D1790" s="485">
        <v>2</v>
      </c>
      <c r="E1790" s="485">
        <v>3.55</v>
      </c>
      <c r="F1790" s="485"/>
      <c r="G1790" s="485">
        <v>3.5</v>
      </c>
      <c r="H1790" s="487">
        <f t="shared" si="277"/>
        <v>24.849999999999998</v>
      </c>
    </row>
    <row r="1791" spans="1:8">
      <c r="A1791" s="485"/>
      <c r="B1791" s="486"/>
      <c r="C1791" s="17" t="s">
        <v>10</v>
      </c>
      <c r="D1791" s="485">
        <v>2</v>
      </c>
      <c r="E1791" s="485">
        <v>0.15</v>
      </c>
      <c r="F1791" s="485"/>
      <c r="G1791" s="485">
        <v>3.5</v>
      </c>
      <c r="H1791" s="487">
        <f t="shared" si="277"/>
        <v>1.05</v>
      </c>
    </row>
    <row r="1792" spans="1:8">
      <c r="A1792" s="485"/>
      <c r="B1792" s="486"/>
      <c r="C1792" s="17" t="s">
        <v>10</v>
      </c>
      <c r="D1792" s="485">
        <v>1</v>
      </c>
      <c r="E1792" s="485">
        <v>2.9249999999999998</v>
      </c>
      <c r="F1792" s="485"/>
      <c r="G1792" s="485">
        <v>1.1000000000000001</v>
      </c>
      <c r="H1792" s="487">
        <f t="shared" si="277"/>
        <v>3.2175000000000002</v>
      </c>
    </row>
    <row r="1793" spans="1:8">
      <c r="A1793" s="485"/>
      <c r="B1793" s="486"/>
      <c r="C1793" s="17" t="s">
        <v>10</v>
      </c>
      <c r="D1793" s="485">
        <v>1</v>
      </c>
      <c r="E1793" s="485">
        <v>3.55</v>
      </c>
      <c r="F1793" s="485"/>
      <c r="G1793" s="485">
        <v>3.5</v>
      </c>
      <c r="H1793" s="487">
        <f t="shared" si="277"/>
        <v>12.424999999999999</v>
      </c>
    </row>
    <row r="1794" spans="1:8">
      <c r="A1794" s="485"/>
      <c r="B1794" s="486" t="s">
        <v>2014</v>
      </c>
      <c r="C1794" s="17" t="s">
        <v>10</v>
      </c>
      <c r="D1794" s="485">
        <v>1</v>
      </c>
      <c r="E1794" s="485">
        <v>1.34</v>
      </c>
      <c r="F1794" s="485"/>
      <c r="G1794" s="485">
        <v>3.5</v>
      </c>
      <c r="H1794" s="487">
        <f t="shared" si="277"/>
        <v>4.6900000000000004</v>
      </c>
    </row>
    <row r="1795" spans="1:8">
      <c r="A1795" s="485"/>
      <c r="B1795" s="486" t="s">
        <v>1229</v>
      </c>
      <c r="C1795" s="17" t="s">
        <v>10</v>
      </c>
      <c r="D1795" s="485">
        <v>2</v>
      </c>
      <c r="E1795" s="485">
        <v>3.55</v>
      </c>
      <c r="F1795" s="485"/>
      <c r="G1795" s="485">
        <v>3.5</v>
      </c>
      <c r="H1795" s="487">
        <f t="shared" si="277"/>
        <v>24.849999999999998</v>
      </c>
    </row>
    <row r="1796" spans="1:8">
      <c r="A1796" s="485"/>
      <c r="B1796" s="486"/>
      <c r="C1796" s="17" t="s">
        <v>10</v>
      </c>
      <c r="D1796" s="485">
        <v>1</v>
      </c>
      <c r="E1796" s="485">
        <v>0.15</v>
      </c>
      <c r="F1796" s="485"/>
      <c r="G1796" s="485">
        <v>3.5</v>
      </c>
      <c r="H1796" s="487">
        <f t="shared" si="277"/>
        <v>0.52500000000000002</v>
      </c>
    </row>
    <row r="1797" spans="1:8">
      <c r="A1797" s="485"/>
      <c r="B1797" s="486"/>
      <c r="C1797" s="17" t="s">
        <v>10</v>
      </c>
      <c r="D1797" s="485">
        <v>1</v>
      </c>
      <c r="E1797" s="485">
        <v>0.2</v>
      </c>
      <c r="F1797" s="485"/>
      <c r="G1797" s="485">
        <v>3.5</v>
      </c>
      <c r="H1797" s="487">
        <f t="shared" ref="H1797" si="280">PRODUCT(D1797:G1797)</f>
        <v>0.70000000000000007</v>
      </c>
    </row>
    <row r="1798" spans="1:8">
      <c r="A1798" s="485"/>
      <c r="B1798" s="486"/>
      <c r="C1798" s="17" t="s">
        <v>10</v>
      </c>
      <c r="D1798" s="485">
        <v>1</v>
      </c>
      <c r="E1798" s="485">
        <v>2.65</v>
      </c>
      <c r="F1798" s="485"/>
      <c r="G1798" s="485">
        <v>1.1000000000000001</v>
      </c>
      <c r="H1798" s="487">
        <f t="shared" si="277"/>
        <v>2.915</v>
      </c>
    </row>
    <row r="1799" spans="1:8">
      <c r="A1799" s="485"/>
      <c r="B1799" s="486" t="s">
        <v>172</v>
      </c>
      <c r="C1799" s="17" t="s">
        <v>10</v>
      </c>
      <c r="D1799" s="485">
        <v>1</v>
      </c>
      <c r="E1799" s="485">
        <v>6.9249999999999998</v>
      </c>
      <c r="F1799" s="485"/>
      <c r="G1799" s="485">
        <v>1.05</v>
      </c>
      <c r="H1799" s="487">
        <f t="shared" si="277"/>
        <v>7.2712500000000002</v>
      </c>
    </row>
    <row r="1800" spans="1:8">
      <c r="A1800" s="485"/>
      <c r="B1800" s="486" t="s">
        <v>1339</v>
      </c>
      <c r="C1800" s="17" t="s">
        <v>10</v>
      </c>
      <c r="D1800" s="485">
        <v>1</v>
      </c>
      <c r="E1800" s="485">
        <v>6</v>
      </c>
      <c r="F1800" s="485"/>
      <c r="G1800" s="485">
        <v>3.5</v>
      </c>
      <c r="H1800" s="487">
        <f t="shared" si="277"/>
        <v>21</v>
      </c>
    </row>
    <row r="1801" spans="1:8">
      <c r="A1801" s="485"/>
      <c r="B1801" s="486" t="s">
        <v>1358</v>
      </c>
      <c r="C1801" s="17" t="s">
        <v>10</v>
      </c>
      <c r="D1801" s="485">
        <v>2</v>
      </c>
      <c r="E1801" s="485">
        <v>1.425</v>
      </c>
      <c r="F1801" s="485"/>
      <c r="G1801" s="485">
        <v>3.5</v>
      </c>
      <c r="H1801" s="487">
        <f t="shared" si="277"/>
        <v>9.9749999999999996</v>
      </c>
    </row>
    <row r="1802" spans="1:8">
      <c r="A1802" s="485"/>
      <c r="B1802" s="486"/>
      <c r="C1802" s="17" t="s">
        <v>10</v>
      </c>
      <c r="D1802" s="485">
        <v>1</v>
      </c>
      <c r="E1802" s="485">
        <v>0.8</v>
      </c>
      <c r="F1802" s="485"/>
      <c r="G1802" s="485">
        <v>3.5</v>
      </c>
      <c r="H1802" s="487">
        <f t="shared" si="277"/>
        <v>2.8000000000000003</v>
      </c>
    </row>
    <row r="1803" spans="1:8">
      <c r="A1803" s="485"/>
      <c r="B1803" s="486"/>
      <c r="C1803" s="17" t="s">
        <v>10</v>
      </c>
      <c r="D1803" s="485">
        <v>-1</v>
      </c>
      <c r="E1803" s="485">
        <v>1.1499999999999999</v>
      </c>
      <c r="F1803" s="485"/>
      <c r="G1803" s="485">
        <v>2.4</v>
      </c>
      <c r="H1803" s="487">
        <f t="shared" si="277"/>
        <v>-2.76</v>
      </c>
    </row>
    <row r="1804" spans="1:8">
      <c r="A1804" s="485"/>
      <c r="B1804" s="486" t="s">
        <v>1269</v>
      </c>
      <c r="C1804" s="17" t="s">
        <v>10</v>
      </c>
      <c r="D1804" s="485">
        <v>3</v>
      </c>
      <c r="E1804" s="485">
        <v>2.06</v>
      </c>
      <c r="F1804" s="485"/>
      <c r="G1804" s="485">
        <v>3.5</v>
      </c>
      <c r="H1804" s="487">
        <f t="shared" si="277"/>
        <v>21.63</v>
      </c>
    </row>
    <row r="1805" spans="1:8">
      <c r="A1805" s="485"/>
      <c r="B1805" s="486"/>
      <c r="C1805" s="17" t="s">
        <v>10</v>
      </c>
      <c r="D1805" s="485">
        <v>1</v>
      </c>
      <c r="E1805" s="485">
        <v>3.8</v>
      </c>
      <c r="F1805" s="485"/>
      <c r="G1805" s="485">
        <v>3.5</v>
      </c>
      <c r="H1805" s="487">
        <f t="shared" si="277"/>
        <v>13.299999999999999</v>
      </c>
    </row>
    <row r="1806" spans="1:8">
      <c r="A1806" s="485"/>
      <c r="B1806" s="486"/>
      <c r="C1806" s="17" t="s">
        <v>10</v>
      </c>
      <c r="D1806" s="485">
        <v>-3</v>
      </c>
      <c r="E1806" s="485">
        <v>0.75</v>
      </c>
      <c r="F1806" s="485"/>
      <c r="G1806" s="485">
        <v>2.4</v>
      </c>
      <c r="H1806" s="487">
        <f t="shared" si="277"/>
        <v>-5.3999999999999995</v>
      </c>
    </row>
    <row r="1807" spans="1:8">
      <c r="A1807" s="485"/>
      <c r="B1807" s="486" t="s">
        <v>1207</v>
      </c>
      <c r="C1807" s="17" t="s">
        <v>10</v>
      </c>
      <c r="D1807" s="485">
        <v>2</v>
      </c>
      <c r="E1807" s="485">
        <v>3.9</v>
      </c>
      <c r="F1807" s="485"/>
      <c r="G1807" s="485">
        <v>3.5</v>
      </c>
      <c r="H1807" s="487">
        <f t="shared" si="277"/>
        <v>27.3</v>
      </c>
    </row>
    <row r="1808" spans="1:8">
      <c r="A1808" s="485"/>
      <c r="B1808" s="486"/>
      <c r="C1808" s="17" t="s">
        <v>10</v>
      </c>
      <c r="D1808" s="485">
        <v>2</v>
      </c>
      <c r="E1808" s="485">
        <v>0.15</v>
      </c>
      <c r="F1808" s="485"/>
      <c r="G1808" s="485">
        <v>3.5</v>
      </c>
      <c r="H1808" s="487">
        <f t="shared" si="277"/>
        <v>1.05</v>
      </c>
    </row>
    <row r="1809" spans="1:8">
      <c r="A1809" s="485"/>
      <c r="B1809" s="486"/>
      <c r="C1809" s="17" t="s">
        <v>10</v>
      </c>
      <c r="D1809" s="485">
        <v>2</v>
      </c>
      <c r="E1809" s="485">
        <v>0.2</v>
      </c>
      <c r="F1809" s="485"/>
      <c r="G1809" s="485">
        <v>3.5</v>
      </c>
      <c r="H1809" s="487">
        <f t="shared" si="277"/>
        <v>1.4000000000000001</v>
      </c>
    </row>
    <row r="1810" spans="1:8">
      <c r="A1810" s="485"/>
      <c r="B1810" s="486"/>
      <c r="C1810" s="17" t="s">
        <v>10</v>
      </c>
      <c r="D1810" s="485">
        <v>1</v>
      </c>
      <c r="E1810" s="485">
        <v>4.5999999999999996</v>
      </c>
      <c r="F1810" s="485"/>
      <c r="G1810" s="485">
        <v>1.1000000000000001</v>
      </c>
      <c r="H1810" s="487">
        <f t="shared" si="277"/>
        <v>5.0599999999999996</v>
      </c>
    </row>
    <row r="1811" spans="1:8">
      <c r="A1811" s="485"/>
      <c r="B1811" s="486"/>
      <c r="C1811" s="17" t="s">
        <v>10</v>
      </c>
      <c r="D1811" s="485">
        <v>1</v>
      </c>
      <c r="E1811" s="485">
        <v>3.55</v>
      </c>
      <c r="F1811" s="485"/>
      <c r="G1811" s="485">
        <v>1.1000000000000001</v>
      </c>
      <c r="H1811" s="487">
        <f t="shared" si="277"/>
        <v>3.9050000000000002</v>
      </c>
    </row>
    <row r="1812" spans="1:8">
      <c r="A1812" s="485"/>
      <c r="B1812" s="486"/>
      <c r="C1812" s="17" t="s">
        <v>10</v>
      </c>
      <c r="D1812" s="485">
        <v>1</v>
      </c>
      <c r="E1812" s="485">
        <v>5.2</v>
      </c>
      <c r="F1812" s="485"/>
      <c r="G1812" s="485">
        <v>3.5</v>
      </c>
      <c r="H1812" s="487">
        <f t="shared" si="277"/>
        <v>18.2</v>
      </c>
    </row>
    <row r="1813" spans="1:8">
      <c r="A1813" s="485"/>
      <c r="B1813" s="486"/>
      <c r="C1813" s="17" t="s">
        <v>10</v>
      </c>
      <c r="D1813" s="485">
        <v>-1</v>
      </c>
      <c r="E1813" s="485">
        <v>1</v>
      </c>
      <c r="F1813" s="485"/>
      <c r="G1813" s="485">
        <v>2.4</v>
      </c>
      <c r="H1813" s="487">
        <f t="shared" si="277"/>
        <v>-2.4</v>
      </c>
    </row>
    <row r="1814" spans="1:8">
      <c r="A1814" s="485"/>
      <c r="B1814" s="486" t="s">
        <v>1195</v>
      </c>
      <c r="C1814" s="17" t="s">
        <v>10</v>
      </c>
      <c r="D1814" s="485">
        <v>2</v>
      </c>
      <c r="E1814" s="485">
        <v>3.7</v>
      </c>
      <c r="F1814" s="485"/>
      <c r="G1814" s="485">
        <v>3.5</v>
      </c>
      <c r="H1814" s="487">
        <f t="shared" ref="H1814:H1864" si="281">PRODUCT(D1814:G1814)</f>
        <v>25.900000000000002</v>
      </c>
    </row>
    <row r="1815" spans="1:8">
      <c r="A1815" s="485"/>
      <c r="B1815" s="486"/>
      <c r="C1815" s="17" t="s">
        <v>10</v>
      </c>
      <c r="D1815" s="485">
        <v>1</v>
      </c>
      <c r="E1815" s="485">
        <v>6.5</v>
      </c>
      <c r="F1815" s="485"/>
      <c r="G1815" s="485">
        <v>3.5</v>
      </c>
      <c r="H1815" s="487">
        <f t="shared" si="281"/>
        <v>22.75</v>
      </c>
    </row>
    <row r="1816" spans="1:8">
      <c r="A1816" s="485"/>
      <c r="B1816" s="486"/>
      <c r="C1816" s="17" t="s">
        <v>10</v>
      </c>
      <c r="D1816" s="485">
        <v>1</v>
      </c>
      <c r="E1816" s="485">
        <v>3.67</v>
      </c>
      <c r="F1816" s="485"/>
      <c r="G1816" s="485">
        <v>3.5</v>
      </c>
      <c r="H1816" s="487">
        <f t="shared" si="281"/>
        <v>12.844999999999999</v>
      </c>
    </row>
    <row r="1817" spans="1:8">
      <c r="A1817" s="485"/>
      <c r="B1817" s="486"/>
      <c r="C1817" s="17" t="s">
        <v>10</v>
      </c>
      <c r="D1817" s="485">
        <v>2</v>
      </c>
      <c r="E1817" s="485">
        <v>0.15</v>
      </c>
      <c r="F1817" s="485"/>
      <c r="G1817" s="485">
        <v>3.5</v>
      </c>
      <c r="H1817" s="487">
        <f t="shared" si="281"/>
        <v>1.05</v>
      </c>
    </row>
    <row r="1818" spans="1:8">
      <c r="A1818" s="485"/>
      <c r="B1818" s="486"/>
      <c r="C1818" s="17" t="s">
        <v>10</v>
      </c>
      <c r="D1818" s="485">
        <v>1</v>
      </c>
      <c r="E1818" s="485">
        <v>2.85</v>
      </c>
      <c r="F1818" s="485"/>
      <c r="G1818" s="485">
        <v>1.1000000000000001</v>
      </c>
      <c r="H1818" s="487">
        <f t="shared" si="281"/>
        <v>3.1350000000000002</v>
      </c>
    </row>
    <row r="1819" spans="1:8">
      <c r="A1819" s="485"/>
      <c r="B1819" s="486" t="s">
        <v>2015</v>
      </c>
      <c r="C1819" s="17" t="s">
        <v>10</v>
      </c>
      <c r="D1819" s="485">
        <v>2</v>
      </c>
      <c r="E1819" s="485">
        <v>3.67</v>
      </c>
      <c r="F1819" s="485"/>
      <c r="G1819" s="485">
        <v>3.5</v>
      </c>
      <c r="H1819" s="487">
        <f t="shared" si="281"/>
        <v>25.689999999999998</v>
      </c>
    </row>
    <row r="1820" spans="1:8">
      <c r="A1820" s="485"/>
      <c r="B1820" s="486"/>
      <c r="C1820" s="17" t="s">
        <v>10</v>
      </c>
      <c r="D1820" s="485">
        <v>2</v>
      </c>
      <c r="E1820" s="485">
        <v>0.15</v>
      </c>
      <c r="F1820" s="485"/>
      <c r="G1820" s="485">
        <v>3.5</v>
      </c>
      <c r="H1820" s="487">
        <f t="shared" si="281"/>
        <v>1.05</v>
      </c>
    </row>
    <row r="1821" spans="1:8">
      <c r="A1821" s="485"/>
      <c r="B1821" s="486"/>
      <c r="C1821" s="17" t="s">
        <v>10</v>
      </c>
      <c r="D1821" s="485">
        <v>1</v>
      </c>
      <c r="E1821" s="485">
        <v>2.9</v>
      </c>
      <c r="F1821" s="485"/>
      <c r="G1821" s="485">
        <v>1.1000000000000001</v>
      </c>
      <c r="H1821" s="487">
        <f t="shared" si="281"/>
        <v>3.19</v>
      </c>
    </row>
    <row r="1822" spans="1:8">
      <c r="A1822" s="485"/>
      <c r="B1822" s="486" t="s">
        <v>2014</v>
      </c>
      <c r="C1822" s="17" t="s">
        <v>10</v>
      </c>
      <c r="D1822" s="485">
        <v>2</v>
      </c>
      <c r="E1822" s="485">
        <v>1.6</v>
      </c>
      <c r="F1822" s="485"/>
      <c r="G1822" s="485">
        <v>3.5</v>
      </c>
      <c r="H1822" s="487">
        <f t="shared" si="281"/>
        <v>11.200000000000001</v>
      </c>
    </row>
    <row r="1823" spans="1:8">
      <c r="A1823" s="485"/>
      <c r="B1823" s="486"/>
      <c r="C1823" s="17" t="s">
        <v>10</v>
      </c>
      <c r="D1823" s="485">
        <v>1</v>
      </c>
      <c r="E1823" s="485">
        <v>1.258</v>
      </c>
      <c r="F1823" s="485"/>
      <c r="G1823" s="485">
        <v>1.1000000000000001</v>
      </c>
      <c r="H1823" s="487">
        <f t="shared" si="281"/>
        <v>1.3838000000000001</v>
      </c>
    </row>
    <row r="1824" spans="1:8">
      <c r="A1824" s="485"/>
      <c r="B1824" s="486"/>
      <c r="C1824" s="17" t="s">
        <v>10</v>
      </c>
      <c r="D1824" s="485">
        <v>1</v>
      </c>
      <c r="E1824" s="485">
        <v>1.6</v>
      </c>
      <c r="F1824" s="485"/>
      <c r="G1824" s="485">
        <v>3.5</v>
      </c>
      <c r="H1824" s="487">
        <f t="shared" si="281"/>
        <v>5.6000000000000005</v>
      </c>
    </row>
    <row r="1825" spans="1:8">
      <c r="A1825" s="485"/>
      <c r="B1825" s="486" t="s">
        <v>1293</v>
      </c>
      <c r="C1825" s="17" t="s">
        <v>10</v>
      </c>
      <c r="D1825" s="485">
        <v>1</v>
      </c>
      <c r="E1825" s="485">
        <v>2.15</v>
      </c>
      <c r="F1825" s="485"/>
      <c r="G1825" s="485">
        <v>3.5</v>
      </c>
      <c r="H1825" s="487">
        <f t="shared" si="281"/>
        <v>7.5249999999999995</v>
      </c>
    </row>
    <row r="1826" spans="1:8">
      <c r="A1826" s="485"/>
      <c r="B1826" s="486"/>
      <c r="C1826" s="17" t="s">
        <v>10</v>
      </c>
      <c r="D1826" s="485">
        <v>-1</v>
      </c>
      <c r="E1826" s="485">
        <v>1</v>
      </c>
      <c r="F1826" s="485"/>
      <c r="G1826" s="485">
        <v>2.4</v>
      </c>
      <c r="H1826" s="487">
        <f t="shared" si="281"/>
        <v>-2.4</v>
      </c>
    </row>
    <row r="1827" spans="1:8">
      <c r="A1827" s="485"/>
      <c r="B1827" s="486"/>
      <c r="C1827" s="17" t="s">
        <v>10</v>
      </c>
      <c r="D1827" s="485">
        <v>1</v>
      </c>
      <c r="E1827" s="485">
        <v>1.4</v>
      </c>
      <c r="F1827" s="485"/>
      <c r="G1827" s="485">
        <v>3.5</v>
      </c>
      <c r="H1827" s="487">
        <f t="shared" si="281"/>
        <v>4.8999999999999995</v>
      </c>
    </row>
    <row r="1828" spans="1:8">
      <c r="A1828" s="485"/>
      <c r="B1828" s="486"/>
      <c r="C1828" s="17" t="s">
        <v>10</v>
      </c>
      <c r="D1828" s="485">
        <v>2</v>
      </c>
      <c r="E1828" s="485">
        <v>3.86</v>
      </c>
      <c r="F1828" s="485"/>
      <c r="G1828" s="485">
        <v>3.5</v>
      </c>
      <c r="H1828" s="487">
        <f t="shared" si="281"/>
        <v>27.02</v>
      </c>
    </row>
    <row r="1829" spans="1:8">
      <c r="A1829" s="485"/>
      <c r="B1829" s="486"/>
      <c r="C1829" s="17" t="s">
        <v>10</v>
      </c>
      <c r="D1829" s="485">
        <v>1</v>
      </c>
      <c r="E1829" s="485">
        <v>4.0999999999999996</v>
      </c>
      <c r="F1829" s="485"/>
      <c r="G1829" s="485">
        <v>3.5</v>
      </c>
      <c r="H1829" s="487">
        <f t="shared" si="281"/>
        <v>14.349999999999998</v>
      </c>
    </row>
    <row r="1830" spans="1:8">
      <c r="A1830" s="485"/>
      <c r="B1830" s="486" t="s">
        <v>1343</v>
      </c>
      <c r="C1830" s="17" t="s">
        <v>10</v>
      </c>
      <c r="D1830" s="485">
        <v>1</v>
      </c>
      <c r="E1830" s="485">
        <v>1.04</v>
      </c>
      <c r="F1830" s="485"/>
      <c r="G1830" s="485">
        <v>3.5</v>
      </c>
      <c r="H1830" s="487">
        <f t="shared" ref="H1830" si="282">PRODUCT(D1830:G1830)</f>
        <v>3.64</v>
      </c>
    </row>
    <row r="1831" spans="1:8">
      <c r="A1831" s="485"/>
      <c r="B1831" s="486" t="s">
        <v>1343</v>
      </c>
      <c r="C1831" s="17" t="s">
        <v>10</v>
      </c>
      <c r="D1831" s="485">
        <v>1</v>
      </c>
      <c r="E1831" s="485">
        <v>0.94</v>
      </c>
      <c r="F1831" s="485"/>
      <c r="G1831" s="485">
        <v>3.5</v>
      </c>
      <c r="H1831" s="487">
        <f t="shared" ref="H1831" si="283">PRODUCT(D1831:G1831)</f>
        <v>3.29</v>
      </c>
    </row>
    <row r="1832" spans="1:8">
      <c r="A1832" s="485"/>
      <c r="B1832" s="486" t="s">
        <v>2086</v>
      </c>
      <c r="C1832" s="17" t="s">
        <v>10</v>
      </c>
      <c r="D1832" s="485">
        <v>1</v>
      </c>
      <c r="E1832" s="485">
        <v>6.6</v>
      </c>
      <c r="F1832" s="485"/>
      <c r="G1832" s="485">
        <v>3.5</v>
      </c>
      <c r="H1832" s="487">
        <f t="shared" ref="H1832:H1834" si="284">PRODUCT(D1832:G1832)</f>
        <v>23.099999999999998</v>
      </c>
    </row>
    <row r="1833" spans="1:8">
      <c r="A1833" s="485"/>
      <c r="B1833" s="486"/>
      <c r="C1833" s="17" t="s">
        <v>10</v>
      </c>
      <c r="D1833" s="485">
        <v>1</v>
      </c>
      <c r="E1833" s="485">
        <v>1.6</v>
      </c>
      <c r="F1833" s="485"/>
      <c r="G1833" s="485">
        <v>3.5</v>
      </c>
      <c r="H1833" s="487">
        <f t="shared" si="284"/>
        <v>5.6000000000000005</v>
      </c>
    </row>
    <row r="1834" spans="1:8">
      <c r="A1834" s="485"/>
      <c r="B1834" s="486"/>
      <c r="C1834" s="17" t="s">
        <v>10</v>
      </c>
      <c r="D1834" s="485">
        <v>2</v>
      </c>
      <c r="E1834" s="485">
        <v>1.4</v>
      </c>
      <c r="F1834" s="485"/>
      <c r="G1834" s="485">
        <v>3.5</v>
      </c>
      <c r="H1834" s="487">
        <f t="shared" si="284"/>
        <v>9.7999999999999989</v>
      </c>
    </row>
    <row r="1835" spans="1:8">
      <c r="A1835" s="485"/>
      <c r="B1835" s="486" t="s">
        <v>1292</v>
      </c>
      <c r="C1835" s="17" t="s">
        <v>10</v>
      </c>
      <c r="D1835" s="485">
        <v>1</v>
      </c>
      <c r="E1835" s="485">
        <v>0.95199999999999996</v>
      </c>
      <c r="F1835" s="485"/>
      <c r="G1835" s="485">
        <v>3.5</v>
      </c>
      <c r="H1835" s="487">
        <f t="shared" si="281"/>
        <v>3.3319999999999999</v>
      </c>
    </row>
    <row r="1836" spans="1:8">
      <c r="A1836" s="485"/>
      <c r="B1836" s="486"/>
      <c r="C1836" s="17" t="s">
        <v>10</v>
      </c>
      <c r="D1836" s="485">
        <v>1</v>
      </c>
      <c r="E1836" s="485">
        <v>2.68</v>
      </c>
      <c r="F1836" s="485"/>
      <c r="G1836" s="485">
        <v>3.5</v>
      </c>
      <c r="H1836" s="487">
        <f t="shared" si="281"/>
        <v>9.3800000000000008</v>
      </c>
    </row>
    <row r="1837" spans="1:8">
      <c r="A1837" s="485"/>
      <c r="B1837" s="486"/>
      <c r="C1837" s="17" t="s">
        <v>10</v>
      </c>
      <c r="D1837" s="485">
        <v>1</v>
      </c>
      <c r="E1837" s="485">
        <v>0.315</v>
      </c>
      <c r="F1837" s="485"/>
      <c r="G1837" s="485">
        <v>3.5</v>
      </c>
      <c r="H1837" s="487">
        <f t="shared" si="281"/>
        <v>1.1025</v>
      </c>
    </row>
    <row r="1838" spans="1:8">
      <c r="A1838" s="485"/>
      <c r="B1838" s="486"/>
      <c r="C1838" s="17" t="s">
        <v>10</v>
      </c>
      <c r="D1838" s="485">
        <v>1</v>
      </c>
      <c r="E1838" s="485">
        <v>2.2999999999999998</v>
      </c>
      <c r="F1838" s="485"/>
      <c r="G1838" s="485">
        <v>3.5</v>
      </c>
      <c r="H1838" s="487">
        <f t="shared" si="281"/>
        <v>8.0499999999999989</v>
      </c>
    </row>
    <row r="1839" spans="1:8">
      <c r="A1839" s="485"/>
      <c r="B1839" s="486"/>
      <c r="C1839" s="17" t="s">
        <v>10</v>
      </c>
      <c r="D1839" s="485">
        <v>1</v>
      </c>
      <c r="E1839" s="485">
        <v>6.5</v>
      </c>
      <c r="F1839" s="485"/>
      <c r="G1839" s="485">
        <v>3.5</v>
      </c>
      <c r="H1839" s="487">
        <f t="shared" si="281"/>
        <v>22.75</v>
      </c>
    </row>
    <row r="1840" spans="1:8">
      <c r="A1840" s="485"/>
      <c r="B1840" s="486" t="s">
        <v>1294</v>
      </c>
      <c r="C1840" s="17" t="s">
        <v>10</v>
      </c>
      <c r="D1840" s="485">
        <v>1</v>
      </c>
      <c r="E1840" s="485">
        <v>2.11</v>
      </c>
      <c r="F1840" s="485"/>
      <c r="G1840" s="485">
        <v>3.5</v>
      </c>
      <c r="H1840" s="487">
        <f t="shared" si="281"/>
        <v>7.3849999999999998</v>
      </c>
    </row>
    <row r="1841" spans="1:8">
      <c r="A1841" s="485"/>
      <c r="B1841" s="486"/>
      <c r="C1841" s="17" t="s">
        <v>10</v>
      </c>
      <c r="D1841" s="485">
        <v>-1</v>
      </c>
      <c r="E1841" s="485">
        <v>1</v>
      </c>
      <c r="F1841" s="485"/>
      <c r="G1841" s="485">
        <v>2.4</v>
      </c>
      <c r="H1841" s="487">
        <f t="shared" si="281"/>
        <v>-2.4</v>
      </c>
    </row>
    <row r="1842" spans="1:8">
      <c r="A1842" s="485"/>
      <c r="B1842" s="486" t="s">
        <v>2016</v>
      </c>
      <c r="C1842" s="17" t="s">
        <v>10</v>
      </c>
      <c r="D1842" s="485">
        <v>1</v>
      </c>
      <c r="E1842" s="485">
        <v>2.8</v>
      </c>
      <c r="F1842" s="485"/>
      <c r="G1842" s="485">
        <v>3.5</v>
      </c>
      <c r="H1842" s="487">
        <f t="shared" si="281"/>
        <v>9.7999999999999989</v>
      </c>
    </row>
    <row r="1843" spans="1:8">
      <c r="A1843" s="485"/>
      <c r="B1843" s="486"/>
      <c r="C1843" s="17" t="s">
        <v>10</v>
      </c>
      <c r="D1843" s="485">
        <v>-1</v>
      </c>
      <c r="E1843" s="485">
        <v>1</v>
      </c>
      <c r="F1843" s="485"/>
      <c r="G1843" s="485">
        <v>2.4</v>
      </c>
      <c r="H1843" s="487">
        <f t="shared" si="281"/>
        <v>-2.4</v>
      </c>
    </row>
    <row r="1844" spans="1:8">
      <c r="A1844" s="485"/>
      <c r="B1844" s="486"/>
      <c r="C1844" s="17" t="s">
        <v>10</v>
      </c>
      <c r="D1844" s="485">
        <v>1</v>
      </c>
      <c r="E1844" s="485">
        <v>3.9</v>
      </c>
      <c r="F1844" s="485"/>
      <c r="G1844" s="485">
        <v>3.5</v>
      </c>
      <c r="H1844" s="487">
        <f t="shared" si="281"/>
        <v>13.65</v>
      </c>
    </row>
    <row r="1845" spans="1:8">
      <c r="A1845" s="485"/>
      <c r="B1845" s="486"/>
      <c r="C1845" s="17" t="s">
        <v>10</v>
      </c>
      <c r="D1845" s="485">
        <v>-2</v>
      </c>
      <c r="E1845" s="485">
        <v>0.75</v>
      </c>
      <c r="F1845" s="485"/>
      <c r="G1845" s="485">
        <v>2.4</v>
      </c>
      <c r="H1845" s="487">
        <f t="shared" si="281"/>
        <v>-3.5999999999999996</v>
      </c>
    </row>
    <row r="1846" spans="1:8">
      <c r="A1846" s="485"/>
      <c r="B1846" s="486"/>
      <c r="C1846" s="17" t="s">
        <v>10</v>
      </c>
      <c r="D1846" s="485">
        <v>1</v>
      </c>
      <c r="E1846" s="485">
        <v>4.0999999999999996</v>
      </c>
      <c r="F1846" s="485"/>
      <c r="G1846" s="485">
        <v>2.7</v>
      </c>
      <c r="H1846" s="487">
        <f t="shared" si="281"/>
        <v>11.07</v>
      </c>
    </row>
    <row r="1847" spans="1:8">
      <c r="A1847" s="485"/>
      <c r="B1847" s="486"/>
      <c r="C1847" s="17" t="s">
        <v>10</v>
      </c>
      <c r="D1847" s="485">
        <v>1</v>
      </c>
      <c r="E1847" s="485">
        <v>1.3</v>
      </c>
      <c r="F1847" s="485"/>
      <c r="G1847" s="485">
        <v>3.5</v>
      </c>
      <c r="H1847" s="487">
        <f t="shared" si="281"/>
        <v>4.55</v>
      </c>
    </row>
    <row r="1848" spans="1:8">
      <c r="A1848" s="485"/>
      <c r="B1848" s="486"/>
      <c r="C1848" s="17" t="s">
        <v>10</v>
      </c>
      <c r="D1848" s="485">
        <v>1</v>
      </c>
      <c r="E1848" s="485">
        <v>1</v>
      </c>
      <c r="F1848" s="485"/>
      <c r="G1848" s="485">
        <v>3.5</v>
      </c>
      <c r="H1848" s="487">
        <f t="shared" si="281"/>
        <v>3.5</v>
      </c>
    </row>
    <row r="1849" spans="1:8">
      <c r="A1849" s="485"/>
      <c r="B1849" s="486" t="s">
        <v>214</v>
      </c>
      <c r="C1849" s="17" t="s">
        <v>10</v>
      </c>
      <c r="D1849" s="485">
        <v>1</v>
      </c>
      <c r="E1849" s="485">
        <v>9.15</v>
      </c>
      <c r="F1849" s="485"/>
      <c r="G1849" s="485">
        <v>3.5</v>
      </c>
      <c r="H1849" s="487">
        <f t="shared" si="281"/>
        <v>32.024999999999999</v>
      </c>
    </row>
    <row r="1850" spans="1:8">
      <c r="A1850" s="485"/>
      <c r="B1850" s="486"/>
      <c r="C1850" s="17" t="s">
        <v>10</v>
      </c>
      <c r="D1850" s="485">
        <v>-1</v>
      </c>
      <c r="E1850" s="485">
        <v>1</v>
      </c>
      <c r="F1850" s="485"/>
      <c r="G1850" s="485">
        <v>2.4</v>
      </c>
      <c r="H1850" s="487">
        <f t="shared" si="281"/>
        <v>-2.4</v>
      </c>
    </row>
    <row r="1851" spans="1:8">
      <c r="A1851" s="485"/>
      <c r="B1851" s="486"/>
      <c r="C1851" s="17" t="s">
        <v>10</v>
      </c>
      <c r="D1851" s="485">
        <v>1</v>
      </c>
      <c r="E1851" s="485">
        <v>6.3</v>
      </c>
      <c r="F1851" s="485"/>
      <c r="G1851" s="485">
        <v>3.5</v>
      </c>
      <c r="H1851" s="487">
        <f t="shared" si="281"/>
        <v>22.05</v>
      </c>
    </row>
    <row r="1852" spans="1:8">
      <c r="A1852" s="485"/>
      <c r="B1852" s="486"/>
      <c r="C1852" s="17" t="s">
        <v>10</v>
      </c>
      <c r="D1852" s="485">
        <v>1</v>
      </c>
      <c r="E1852" s="485">
        <v>10.9</v>
      </c>
      <c r="F1852" s="485"/>
      <c r="G1852" s="485">
        <v>3.5</v>
      </c>
      <c r="H1852" s="487">
        <f t="shared" si="281"/>
        <v>38.15</v>
      </c>
    </row>
    <row r="1853" spans="1:8">
      <c r="A1853" s="485"/>
      <c r="B1853" s="486"/>
      <c r="C1853" s="17" t="s">
        <v>10</v>
      </c>
      <c r="D1853" s="485">
        <v>-1</v>
      </c>
      <c r="E1853" s="485">
        <v>1</v>
      </c>
      <c r="F1853" s="485"/>
      <c r="G1853" s="485">
        <v>2.4</v>
      </c>
      <c r="H1853" s="487">
        <f t="shared" si="281"/>
        <v>-2.4</v>
      </c>
    </row>
    <row r="1854" spans="1:8">
      <c r="A1854" s="485"/>
      <c r="B1854" s="486"/>
      <c r="C1854" s="17" t="s">
        <v>10</v>
      </c>
      <c r="D1854" s="485">
        <v>1</v>
      </c>
      <c r="E1854" s="485">
        <v>0.65</v>
      </c>
      <c r="F1854" s="485"/>
      <c r="G1854" s="485">
        <v>3.5</v>
      </c>
      <c r="H1854" s="487">
        <f t="shared" si="281"/>
        <v>2.2749999999999999</v>
      </c>
    </row>
    <row r="1855" spans="1:8">
      <c r="A1855" s="485"/>
      <c r="B1855" s="486"/>
      <c r="C1855" s="17" t="s">
        <v>10</v>
      </c>
      <c r="D1855" s="485">
        <v>1</v>
      </c>
      <c r="E1855" s="485">
        <v>0.15</v>
      </c>
      <c r="F1855" s="485"/>
      <c r="G1855" s="485">
        <v>3.5</v>
      </c>
      <c r="H1855" s="487">
        <f t="shared" si="281"/>
        <v>0.52500000000000002</v>
      </c>
    </row>
    <row r="1856" spans="1:8">
      <c r="A1856" s="485"/>
      <c r="B1856" s="486"/>
      <c r="C1856" s="17" t="s">
        <v>10</v>
      </c>
      <c r="D1856" s="485">
        <v>1</v>
      </c>
      <c r="E1856" s="485">
        <v>5.4</v>
      </c>
      <c r="F1856" s="485"/>
      <c r="G1856" s="485">
        <v>1.1000000000000001</v>
      </c>
      <c r="H1856" s="487">
        <f t="shared" si="281"/>
        <v>5.9400000000000013</v>
      </c>
    </row>
    <row r="1857" spans="1:8">
      <c r="A1857" s="485"/>
      <c r="B1857" s="486" t="s">
        <v>2017</v>
      </c>
      <c r="C1857" s="17" t="s">
        <v>10</v>
      </c>
      <c r="D1857" s="485">
        <v>1</v>
      </c>
      <c r="E1857" s="485">
        <v>1.9</v>
      </c>
      <c r="F1857" s="485"/>
      <c r="G1857" s="485">
        <v>3.5</v>
      </c>
      <c r="H1857" s="487">
        <f t="shared" si="281"/>
        <v>6.6499999999999995</v>
      </c>
    </row>
    <row r="1858" spans="1:8">
      <c r="A1858" s="485"/>
      <c r="B1858" s="486" t="s">
        <v>2029</v>
      </c>
      <c r="C1858" s="17" t="s">
        <v>10</v>
      </c>
      <c r="D1858" s="485">
        <v>1</v>
      </c>
      <c r="E1858" s="485">
        <v>6.58</v>
      </c>
      <c r="F1858" s="485"/>
      <c r="G1858" s="485">
        <v>3.5</v>
      </c>
      <c r="H1858" s="487">
        <f t="shared" si="281"/>
        <v>23.03</v>
      </c>
    </row>
    <row r="1859" spans="1:8">
      <c r="A1859" s="485"/>
      <c r="B1859" s="486"/>
      <c r="C1859" s="17" t="s">
        <v>10</v>
      </c>
      <c r="D1859" s="485">
        <v>1</v>
      </c>
      <c r="E1859" s="485">
        <v>2.1</v>
      </c>
      <c r="F1859" s="485"/>
      <c r="G1859" s="485">
        <v>3.5</v>
      </c>
      <c r="H1859" s="487">
        <f t="shared" si="281"/>
        <v>7.3500000000000005</v>
      </c>
    </row>
    <row r="1860" spans="1:8">
      <c r="A1860" s="485"/>
      <c r="B1860" s="486" t="s">
        <v>1241</v>
      </c>
      <c r="C1860" s="17" t="s">
        <v>10</v>
      </c>
      <c r="D1860" s="485">
        <v>1</v>
      </c>
      <c r="E1860" s="485">
        <v>1.425</v>
      </c>
      <c r="F1860" s="485"/>
      <c r="G1860" s="485">
        <v>3.5</v>
      </c>
      <c r="H1860" s="487">
        <f t="shared" si="281"/>
        <v>4.9874999999999998</v>
      </c>
    </row>
    <row r="1861" spans="1:8">
      <c r="A1861" s="485"/>
      <c r="B1861" s="486" t="s">
        <v>2035</v>
      </c>
      <c r="C1861" s="17" t="s">
        <v>10</v>
      </c>
      <c r="D1861" s="485">
        <v>1</v>
      </c>
      <c r="E1861" s="485">
        <f>1.075+0.975+0.875</f>
        <v>2.9249999999999998</v>
      </c>
      <c r="F1861" s="485"/>
      <c r="G1861" s="485">
        <v>3.5</v>
      </c>
      <c r="H1861" s="487">
        <f t="shared" si="281"/>
        <v>10.237499999999999</v>
      </c>
    </row>
    <row r="1862" spans="1:8">
      <c r="A1862" s="485"/>
      <c r="B1862" s="486" t="s">
        <v>2012</v>
      </c>
      <c r="C1862" s="17" t="s">
        <v>10</v>
      </c>
      <c r="D1862" s="485">
        <v>2</v>
      </c>
      <c r="E1862" s="485">
        <v>1</v>
      </c>
      <c r="F1862" s="485"/>
      <c r="G1862" s="485">
        <v>3.5</v>
      </c>
      <c r="H1862" s="487">
        <f t="shared" si="281"/>
        <v>7</v>
      </c>
    </row>
    <row r="1863" spans="1:8" s="948" customFormat="1">
      <c r="A1863" s="485"/>
      <c r="B1863" s="486"/>
      <c r="C1863" s="17" t="s">
        <v>10</v>
      </c>
      <c r="D1863" s="485">
        <v>1</v>
      </c>
      <c r="E1863" s="485">
        <v>1.5</v>
      </c>
      <c r="F1863" s="485"/>
      <c r="G1863" s="485">
        <v>3.5</v>
      </c>
      <c r="H1863" s="487">
        <f t="shared" ref="H1863" si="285">PRODUCT(D1863:G1863)</f>
        <v>5.25</v>
      </c>
    </row>
    <row r="1864" spans="1:8">
      <c r="A1864" s="485"/>
      <c r="B1864" s="486" t="s">
        <v>1358</v>
      </c>
      <c r="C1864" s="17" t="s">
        <v>10</v>
      </c>
      <c r="D1864" s="485">
        <v>1</v>
      </c>
      <c r="E1864" s="485">
        <f>1.2+1.05+1.2+1.05</f>
        <v>4.5</v>
      </c>
      <c r="F1864" s="485"/>
      <c r="G1864" s="485">
        <v>3.5</v>
      </c>
      <c r="H1864" s="487">
        <f t="shared" si="281"/>
        <v>15.75</v>
      </c>
    </row>
    <row r="1865" spans="1:8">
      <c r="A1865" s="485"/>
      <c r="B1865" s="486"/>
      <c r="C1865" s="485"/>
      <c r="D1865" s="485"/>
      <c r="E1865" s="485"/>
      <c r="F1865" s="485"/>
      <c r="G1865" s="485"/>
      <c r="H1865" s="487"/>
    </row>
    <row r="1866" spans="1:8">
      <c r="A1866" s="485"/>
      <c r="B1866" s="486"/>
      <c r="C1866" s="485"/>
      <c r="D1866" s="485"/>
      <c r="E1866" s="485"/>
      <c r="F1866" s="485"/>
      <c r="G1866" s="485"/>
      <c r="H1866" s="487"/>
    </row>
    <row r="1867" spans="1:8">
      <c r="A1867" s="15"/>
      <c r="B1867" s="15" t="s">
        <v>21</v>
      </c>
      <c r="C1867" s="15"/>
      <c r="D1867" s="15"/>
      <c r="E1867" s="15"/>
      <c r="F1867" s="15"/>
      <c r="G1867" s="15"/>
      <c r="H1867" s="20">
        <f>SUM(H1612:H1866)</f>
        <v>2331.2370500000002</v>
      </c>
    </row>
    <row r="1868" spans="1:8">
      <c r="A1868" s="17"/>
      <c r="B1868" s="17" t="s">
        <v>22</v>
      </c>
      <c r="C1868" s="17"/>
      <c r="D1868" s="17"/>
      <c r="E1868" s="17"/>
      <c r="F1868" s="17"/>
      <c r="G1868" s="17"/>
      <c r="H1868" s="18"/>
    </row>
    <row r="1869" spans="1:8">
      <c r="A1869" s="15"/>
      <c r="B1869" s="15" t="s">
        <v>23</v>
      </c>
      <c r="C1869" s="15"/>
      <c r="D1869" s="15"/>
      <c r="E1869" s="15"/>
      <c r="F1869" s="15"/>
      <c r="G1869" s="15"/>
      <c r="H1869" s="20">
        <f>ROUND(SUM(H1867:H1868),0)</f>
        <v>2331</v>
      </c>
    </row>
    <row r="1871" spans="1:8">
      <c r="A1871" s="17">
        <v>4</v>
      </c>
      <c r="B1871" s="15" t="s">
        <v>46</v>
      </c>
      <c r="C1871" s="17" t="s">
        <v>10</v>
      </c>
      <c r="D1871" s="17"/>
      <c r="E1871" s="17"/>
      <c r="F1871" s="17"/>
      <c r="G1871" s="17"/>
      <c r="H1871" s="18"/>
    </row>
    <row r="1872" spans="1:8">
      <c r="A1872" s="17"/>
      <c r="B1872" s="17" t="s">
        <v>171</v>
      </c>
      <c r="C1872" s="73" t="s">
        <v>10</v>
      </c>
      <c r="D1872" s="17">
        <v>2</v>
      </c>
      <c r="E1872" s="17">
        <v>2.5499999999999998</v>
      </c>
      <c r="F1872" s="17"/>
      <c r="G1872" s="17">
        <v>3.5</v>
      </c>
      <c r="H1872" s="18">
        <f t="shared" ref="H1872:H1875" si="286">PRODUCT(D1872:G1872)</f>
        <v>17.849999999999998</v>
      </c>
    </row>
    <row r="1873" spans="1:8">
      <c r="A1873" s="17"/>
      <c r="B1873" s="17"/>
      <c r="C1873" s="73" t="s">
        <v>10</v>
      </c>
      <c r="D1873" s="17">
        <v>1</v>
      </c>
      <c r="E1873" s="17">
        <v>2.2000000000000002</v>
      </c>
      <c r="F1873" s="17"/>
      <c r="G1873" s="17">
        <v>3.5</v>
      </c>
      <c r="H1873" s="18">
        <f t="shared" si="286"/>
        <v>7.7000000000000011</v>
      </c>
    </row>
    <row r="1874" spans="1:8">
      <c r="A1874" s="485"/>
      <c r="B1874" s="485" t="s">
        <v>2085</v>
      </c>
      <c r="C1874" s="73" t="s">
        <v>10</v>
      </c>
      <c r="D1874" s="17">
        <v>1</v>
      </c>
      <c r="E1874" s="17">
        <v>2.5499999999999998</v>
      </c>
      <c r="F1874" s="17"/>
      <c r="G1874" s="17">
        <v>3.5</v>
      </c>
      <c r="H1874" s="18">
        <f t="shared" ref="H1874" si="287">PRODUCT(D1874:G1874)</f>
        <v>8.9249999999999989</v>
      </c>
    </row>
    <row r="1875" spans="1:8">
      <c r="A1875" s="17"/>
      <c r="B1875" s="17" t="s">
        <v>1218</v>
      </c>
      <c r="C1875" s="73" t="s">
        <v>10</v>
      </c>
      <c r="D1875" s="17">
        <v>1</v>
      </c>
      <c r="E1875" s="17">
        <v>3.05</v>
      </c>
      <c r="F1875" s="17"/>
      <c r="G1875" s="17">
        <v>3.5</v>
      </c>
      <c r="H1875" s="18">
        <f t="shared" si="286"/>
        <v>10.674999999999999</v>
      </c>
    </row>
    <row r="1876" spans="1:8">
      <c r="A1876" s="485"/>
      <c r="B1876" s="485"/>
      <c r="C1876" s="73" t="s">
        <v>10</v>
      </c>
      <c r="D1876" s="17">
        <v>2</v>
      </c>
      <c r="E1876" s="17">
        <v>2.4500000000000002</v>
      </c>
      <c r="F1876" s="17"/>
      <c r="G1876" s="17">
        <v>3.5</v>
      </c>
      <c r="H1876" s="18">
        <f t="shared" ref="H1876:H1877" si="288">PRODUCT(D1876:G1876)</f>
        <v>17.150000000000002</v>
      </c>
    </row>
    <row r="1877" spans="1:8">
      <c r="A1877" s="485"/>
      <c r="B1877" s="485"/>
      <c r="C1877" s="73" t="s">
        <v>10</v>
      </c>
      <c r="D1877" s="485">
        <v>1</v>
      </c>
      <c r="E1877" s="485">
        <v>0.75</v>
      </c>
      <c r="F1877" s="485"/>
      <c r="G1877" s="17">
        <v>3.5</v>
      </c>
      <c r="H1877" s="18">
        <f t="shared" si="288"/>
        <v>2.625</v>
      </c>
    </row>
    <row r="1878" spans="1:8">
      <c r="A1878" s="485"/>
      <c r="B1878" s="485" t="s">
        <v>171</v>
      </c>
      <c r="C1878" s="73" t="s">
        <v>10</v>
      </c>
      <c r="D1878" s="485">
        <v>1</v>
      </c>
      <c r="E1878" s="485">
        <v>3.05</v>
      </c>
      <c r="F1878" s="485"/>
      <c r="G1878" s="17">
        <v>3.5</v>
      </c>
      <c r="H1878" s="18">
        <f t="shared" ref="H1878" si="289">PRODUCT(D1878:G1878)</f>
        <v>10.674999999999999</v>
      </c>
    </row>
    <row r="1879" spans="1:8">
      <c r="A1879" s="485"/>
      <c r="B1879" s="485"/>
      <c r="C1879" s="73" t="s">
        <v>10</v>
      </c>
      <c r="D1879" s="485">
        <v>1</v>
      </c>
      <c r="E1879" s="485">
        <v>1.98</v>
      </c>
      <c r="F1879" s="485"/>
      <c r="G1879" s="17">
        <v>3.5</v>
      </c>
      <c r="H1879" s="18">
        <f t="shared" ref="H1879:H1880" si="290">PRODUCT(D1879:G1879)</f>
        <v>6.93</v>
      </c>
    </row>
    <row r="1880" spans="1:8">
      <c r="A1880" s="485"/>
      <c r="B1880" s="485"/>
      <c r="C1880" s="73" t="s">
        <v>10</v>
      </c>
      <c r="D1880" s="485">
        <v>-1</v>
      </c>
      <c r="E1880" s="485">
        <v>1</v>
      </c>
      <c r="F1880" s="485"/>
      <c r="G1880" s="485">
        <v>2.4</v>
      </c>
      <c r="H1880" s="487">
        <f t="shared" si="290"/>
        <v>-2.4</v>
      </c>
    </row>
    <row r="1881" spans="1:8">
      <c r="A1881" s="485"/>
      <c r="B1881" s="485" t="s">
        <v>1313</v>
      </c>
      <c r="C1881" s="73" t="s">
        <v>10</v>
      </c>
      <c r="D1881" s="485">
        <v>1</v>
      </c>
      <c r="E1881" s="485">
        <v>1.1000000000000001</v>
      </c>
      <c r="F1881" s="485"/>
      <c r="G1881" s="17">
        <v>3.5</v>
      </c>
      <c r="H1881" s="487">
        <f t="shared" ref="H1881:H1884" si="291">PRODUCT(D1881:G1881)</f>
        <v>3.8500000000000005</v>
      </c>
    </row>
    <row r="1882" spans="1:8">
      <c r="A1882" s="485"/>
      <c r="B1882" s="485"/>
      <c r="C1882" s="73" t="s">
        <v>10</v>
      </c>
      <c r="D1882" s="485">
        <v>1</v>
      </c>
      <c r="E1882" s="485">
        <v>2.35</v>
      </c>
      <c r="F1882" s="485"/>
      <c r="G1882" s="17">
        <v>3.5</v>
      </c>
      <c r="H1882" s="487">
        <f t="shared" si="291"/>
        <v>8.2249999999999996</v>
      </c>
    </row>
    <row r="1883" spans="1:8">
      <c r="A1883" s="485"/>
      <c r="B1883" s="485"/>
      <c r="C1883" s="73" t="s">
        <v>10</v>
      </c>
      <c r="D1883" s="485">
        <v>-1</v>
      </c>
      <c r="E1883" s="485">
        <v>1</v>
      </c>
      <c r="F1883" s="485"/>
      <c r="G1883" s="485">
        <v>2.4</v>
      </c>
      <c r="H1883" s="487">
        <f t="shared" si="291"/>
        <v>-2.4</v>
      </c>
    </row>
    <row r="1884" spans="1:8">
      <c r="A1884" s="485"/>
      <c r="B1884" s="485"/>
      <c r="C1884" s="73" t="s">
        <v>10</v>
      </c>
      <c r="D1884" s="485">
        <v>1</v>
      </c>
      <c r="E1884" s="485">
        <v>9.35</v>
      </c>
      <c r="F1884" s="485"/>
      <c r="G1884" s="17">
        <v>3.5</v>
      </c>
      <c r="H1884" s="487">
        <f t="shared" si="291"/>
        <v>32.725000000000001</v>
      </c>
    </row>
    <row r="1885" spans="1:8">
      <c r="A1885" s="485"/>
      <c r="B1885" s="485"/>
      <c r="C1885" s="73" t="s">
        <v>10</v>
      </c>
      <c r="D1885" s="485">
        <v>1</v>
      </c>
      <c r="E1885" s="485">
        <f>1.075+1.075+1.05</f>
        <v>3.2</v>
      </c>
      <c r="F1885" s="485"/>
      <c r="G1885" s="17">
        <v>3.5</v>
      </c>
      <c r="H1885" s="487">
        <f t="shared" ref="H1885:H1887" si="292">PRODUCT(D1885:G1885)</f>
        <v>11.200000000000001</v>
      </c>
    </row>
    <row r="1886" spans="1:8">
      <c r="A1886" s="485"/>
      <c r="B1886" s="485"/>
      <c r="C1886" s="73" t="s">
        <v>10</v>
      </c>
      <c r="D1886" s="485">
        <v>2</v>
      </c>
      <c r="E1886" s="485">
        <v>2.5499999999999998</v>
      </c>
      <c r="F1886" s="485"/>
      <c r="G1886" s="17">
        <v>3.5</v>
      </c>
      <c r="H1886" s="487">
        <f t="shared" si="292"/>
        <v>17.849999999999998</v>
      </c>
    </row>
    <row r="1887" spans="1:8">
      <c r="A1887" s="485"/>
      <c r="B1887" s="485"/>
      <c r="C1887" s="73" t="s">
        <v>10</v>
      </c>
      <c r="D1887" s="485">
        <v>-1</v>
      </c>
      <c r="E1887" s="485">
        <v>1</v>
      </c>
      <c r="F1887" s="485"/>
      <c r="G1887" s="17">
        <v>2.4</v>
      </c>
      <c r="H1887" s="487">
        <f t="shared" si="292"/>
        <v>-2.4</v>
      </c>
    </row>
    <row r="1888" spans="1:8">
      <c r="A1888" s="485"/>
      <c r="B1888" s="485" t="s">
        <v>171</v>
      </c>
      <c r="C1888" s="73" t="s">
        <v>10</v>
      </c>
      <c r="D1888" s="485">
        <v>1</v>
      </c>
      <c r="E1888" s="485">
        <v>4.5999999999999996</v>
      </c>
      <c r="F1888" s="485"/>
      <c r="G1888" s="17">
        <v>3.5</v>
      </c>
      <c r="H1888" s="487">
        <f t="shared" ref="H1888" si="293">PRODUCT(D1888:G1888)</f>
        <v>16.099999999999998</v>
      </c>
    </row>
    <row r="1889" spans="1:8">
      <c r="A1889" s="485"/>
      <c r="B1889" s="485"/>
      <c r="C1889" s="73" t="s">
        <v>10</v>
      </c>
      <c r="D1889" s="485">
        <v>1</v>
      </c>
      <c r="E1889" s="485">
        <v>3.5</v>
      </c>
      <c r="F1889" s="485"/>
      <c r="G1889" s="17">
        <v>3.5</v>
      </c>
      <c r="H1889" s="487">
        <f t="shared" ref="H1889:H1890" si="294">PRODUCT(D1889:G1889)</f>
        <v>12.25</v>
      </c>
    </row>
    <row r="1890" spans="1:8">
      <c r="A1890" s="485"/>
      <c r="B1890" s="485"/>
      <c r="C1890" s="73" t="s">
        <v>10</v>
      </c>
      <c r="D1890" s="485">
        <v>-2</v>
      </c>
      <c r="E1890" s="485">
        <v>1</v>
      </c>
      <c r="F1890" s="485"/>
      <c r="G1890" s="485">
        <v>2.4</v>
      </c>
      <c r="H1890" s="487">
        <f t="shared" si="294"/>
        <v>-4.8</v>
      </c>
    </row>
    <row r="1891" spans="1:8">
      <c r="A1891" s="485"/>
      <c r="B1891" s="485" t="s">
        <v>2034</v>
      </c>
      <c r="C1891" s="73" t="s">
        <v>10</v>
      </c>
      <c r="D1891" s="485">
        <v>1</v>
      </c>
      <c r="E1891" s="485">
        <f>1.815+1.175+1.175+1.815</f>
        <v>5.98</v>
      </c>
      <c r="F1891" s="485"/>
      <c r="G1891" s="485">
        <v>2.4</v>
      </c>
      <c r="H1891" s="487">
        <f t="shared" ref="H1891" si="295">PRODUCT(D1891:G1891)</f>
        <v>14.352</v>
      </c>
    </row>
    <row r="1892" spans="1:8">
      <c r="A1892" s="17"/>
      <c r="B1892" s="17"/>
      <c r="C1892" s="17"/>
      <c r="D1892" s="17"/>
      <c r="E1892" s="17"/>
      <c r="F1892" s="17"/>
      <c r="G1892" s="17"/>
      <c r="H1892" s="18"/>
    </row>
    <row r="1893" spans="1:8">
      <c r="A1893" s="15"/>
      <c r="B1893" s="15" t="s">
        <v>21</v>
      </c>
      <c r="C1893" s="15"/>
      <c r="D1893" s="15"/>
      <c r="E1893" s="15"/>
      <c r="F1893" s="15"/>
      <c r="G1893" s="15"/>
      <c r="H1893" s="20">
        <f>SUM(H1872:H1892)</f>
        <v>187.08199999999994</v>
      </c>
    </row>
    <row r="1894" spans="1:8">
      <c r="A1894" s="17"/>
      <c r="B1894" s="17" t="s">
        <v>22</v>
      </c>
      <c r="C1894" s="17"/>
      <c r="D1894" s="17"/>
      <c r="E1894" s="17"/>
      <c r="F1894" s="17"/>
      <c r="G1894" s="17"/>
      <c r="H1894" s="18"/>
    </row>
    <row r="1895" spans="1:8">
      <c r="A1895" s="15"/>
      <c r="B1895" s="15" t="s">
        <v>23</v>
      </c>
      <c r="C1895" s="15"/>
      <c r="D1895" s="15"/>
      <c r="E1895" s="15"/>
      <c r="F1895" s="15"/>
      <c r="G1895" s="15"/>
      <c r="H1895" s="20">
        <f>ROUND(SUM(H1893:H1894),0)</f>
        <v>187</v>
      </c>
    </row>
    <row r="1897" spans="1:8">
      <c r="A1897" s="17">
        <v>4</v>
      </c>
      <c r="B1897" s="15" t="s">
        <v>1361</v>
      </c>
      <c r="C1897" s="17" t="s">
        <v>10</v>
      </c>
      <c r="D1897" s="17"/>
      <c r="E1897" s="17"/>
      <c r="F1897" s="17"/>
      <c r="G1897" s="17"/>
      <c r="H1897" s="18"/>
    </row>
    <row r="1898" spans="1:8">
      <c r="A1898" s="17"/>
      <c r="B1898" s="17" t="s">
        <v>2022</v>
      </c>
      <c r="C1898" s="73" t="s">
        <v>10</v>
      </c>
      <c r="D1898" s="17">
        <v>1</v>
      </c>
      <c r="E1898" s="17">
        <v>0.32</v>
      </c>
      <c r="F1898" s="17"/>
      <c r="G1898" s="17">
        <v>3.5</v>
      </c>
      <c r="H1898" s="18">
        <f t="shared" ref="H1898:H1909" si="296">PRODUCT(D1898:G1898)</f>
        <v>1.1200000000000001</v>
      </c>
    </row>
    <row r="1899" spans="1:8">
      <c r="A1899" s="17"/>
      <c r="B1899" s="17" t="s">
        <v>1327</v>
      </c>
      <c r="C1899" s="73" t="s">
        <v>10</v>
      </c>
      <c r="D1899" s="17">
        <v>1</v>
      </c>
      <c r="E1899" s="17">
        <v>0.32</v>
      </c>
      <c r="F1899" s="17"/>
      <c r="G1899" s="17">
        <v>3.5</v>
      </c>
      <c r="H1899" s="18">
        <f t="shared" si="296"/>
        <v>1.1200000000000001</v>
      </c>
    </row>
    <row r="1900" spans="1:8">
      <c r="A1900" s="17"/>
      <c r="B1900" s="17" t="s">
        <v>2023</v>
      </c>
      <c r="C1900" s="73" t="s">
        <v>10</v>
      </c>
      <c r="D1900" s="17">
        <v>1</v>
      </c>
      <c r="E1900" s="17">
        <v>0.32</v>
      </c>
      <c r="F1900" s="17"/>
      <c r="G1900" s="17">
        <v>3.5</v>
      </c>
      <c r="H1900" s="18">
        <f t="shared" si="296"/>
        <v>1.1200000000000001</v>
      </c>
    </row>
    <row r="1901" spans="1:8">
      <c r="A1901" s="485"/>
      <c r="B1901" s="485" t="s">
        <v>191</v>
      </c>
      <c r="C1901" s="73" t="s">
        <v>10</v>
      </c>
      <c r="D1901" s="485">
        <v>2</v>
      </c>
      <c r="E1901" s="485">
        <v>0.32</v>
      </c>
      <c r="F1901" s="485"/>
      <c r="G1901" s="17">
        <v>3.5</v>
      </c>
      <c r="H1901" s="18">
        <f t="shared" si="296"/>
        <v>2.2400000000000002</v>
      </c>
    </row>
    <row r="1902" spans="1:8">
      <c r="A1902" s="17"/>
      <c r="B1902" s="17" t="s">
        <v>2136</v>
      </c>
      <c r="C1902" s="73" t="s">
        <v>10</v>
      </c>
      <c r="D1902" s="17">
        <v>1</v>
      </c>
      <c r="E1902" s="17">
        <v>0.32</v>
      </c>
      <c r="F1902" s="17"/>
      <c r="G1902" s="17">
        <v>3.5</v>
      </c>
      <c r="H1902" s="18">
        <f t="shared" si="296"/>
        <v>1.1200000000000001</v>
      </c>
    </row>
    <row r="1903" spans="1:8">
      <c r="A1903" s="485"/>
      <c r="B1903" s="485" t="s">
        <v>1214</v>
      </c>
      <c r="C1903" s="73" t="s">
        <v>10</v>
      </c>
      <c r="D1903" s="485">
        <v>1</v>
      </c>
      <c r="E1903" s="17">
        <v>0.32</v>
      </c>
      <c r="F1903" s="485"/>
      <c r="G1903" s="17">
        <v>3.5</v>
      </c>
      <c r="H1903" s="18">
        <f t="shared" si="296"/>
        <v>1.1200000000000001</v>
      </c>
    </row>
    <row r="1904" spans="1:8">
      <c r="A1904" s="17"/>
      <c r="B1904" s="17" t="s">
        <v>214</v>
      </c>
      <c r="C1904" s="73" t="s">
        <v>10</v>
      </c>
      <c r="D1904" s="17">
        <v>1</v>
      </c>
      <c r="E1904" s="17">
        <v>0.32</v>
      </c>
      <c r="F1904" s="17"/>
      <c r="G1904" s="17">
        <v>3.5</v>
      </c>
      <c r="H1904" s="18">
        <f t="shared" si="296"/>
        <v>1.1200000000000001</v>
      </c>
    </row>
    <row r="1905" spans="1:8">
      <c r="A1905" s="485"/>
      <c r="B1905" s="485" t="s">
        <v>2025</v>
      </c>
      <c r="C1905" s="73" t="s">
        <v>10</v>
      </c>
      <c r="D1905" s="17">
        <v>1</v>
      </c>
      <c r="E1905" s="17">
        <v>0.47499999999999998</v>
      </c>
      <c r="F1905" s="17"/>
      <c r="G1905" s="17">
        <v>3.5</v>
      </c>
      <c r="H1905" s="18">
        <f t="shared" si="296"/>
        <v>1.6624999999999999</v>
      </c>
    </row>
    <row r="1906" spans="1:8">
      <c r="A1906" s="485"/>
      <c r="B1906" s="485" t="s">
        <v>1917</v>
      </c>
      <c r="C1906" s="73" t="s">
        <v>10</v>
      </c>
      <c r="D1906" s="485">
        <v>1</v>
      </c>
      <c r="E1906" s="485">
        <v>0.32</v>
      </c>
      <c r="F1906" s="485"/>
      <c r="G1906" s="17">
        <v>3.5</v>
      </c>
      <c r="H1906" s="18">
        <f t="shared" si="296"/>
        <v>1.1200000000000001</v>
      </c>
    </row>
    <row r="1907" spans="1:8">
      <c r="A1907" s="485"/>
      <c r="B1907" s="485" t="s">
        <v>2012</v>
      </c>
      <c r="C1907" s="73" t="s">
        <v>10</v>
      </c>
      <c r="D1907" s="485">
        <v>1</v>
      </c>
      <c r="E1907" s="485">
        <v>0.16</v>
      </c>
      <c r="F1907" s="485"/>
      <c r="G1907" s="17">
        <v>3.5</v>
      </c>
      <c r="H1907" s="18">
        <f t="shared" ref="H1907" si="297">PRODUCT(D1907:G1907)</f>
        <v>0.56000000000000005</v>
      </c>
    </row>
    <row r="1908" spans="1:8">
      <c r="A1908" s="485"/>
      <c r="B1908" s="485" t="s">
        <v>2026</v>
      </c>
      <c r="C1908" s="73" t="s">
        <v>10</v>
      </c>
      <c r="D1908" s="485">
        <v>1</v>
      </c>
      <c r="E1908" s="485">
        <v>0.32</v>
      </c>
      <c r="F1908" s="485"/>
      <c r="G1908" s="17">
        <v>3.5</v>
      </c>
      <c r="H1908" s="18">
        <f t="shared" ref="H1908" si="298">PRODUCT(D1908:G1908)</f>
        <v>1.1200000000000001</v>
      </c>
    </row>
    <row r="1909" spans="1:8">
      <c r="A1909" s="485"/>
      <c r="B1909" s="485" t="s">
        <v>1280</v>
      </c>
      <c r="C1909" s="73" t="s">
        <v>10</v>
      </c>
      <c r="D1909" s="485">
        <v>1</v>
      </c>
      <c r="E1909" s="485">
        <v>0.32</v>
      </c>
      <c r="F1909" s="485"/>
      <c r="G1909" s="17">
        <v>3.5</v>
      </c>
      <c r="H1909" s="18">
        <f t="shared" si="296"/>
        <v>1.1200000000000001</v>
      </c>
    </row>
    <row r="1910" spans="1:8">
      <c r="A1910" s="485"/>
      <c r="B1910" s="485" t="s">
        <v>2025</v>
      </c>
      <c r="C1910" s="73" t="s">
        <v>10</v>
      </c>
      <c r="D1910" s="485">
        <v>2</v>
      </c>
      <c r="E1910" s="485">
        <v>0.32</v>
      </c>
      <c r="F1910" s="485"/>
      <c r="G1910" s="17">
        <v>3.5</v>
      </c>
      <c r="H1910" s="18">
        <f t="shared" ref="H1910" si="299">PRODUCT(D1910:G1910)</f>
        <v>2.2400000000000002</v>
      </c>
    </row>
    <row r="1911" spans="1:8">
      <c r="A1911" s="485"/>
      <c r="B1911" s="485" t="s">
        <v>1229</v>
      </c>
      <c r="C1911" s="73" t="s">
        <v>10</v>
      </c>
      <c r="D1911" s="485">
        <v>1</v>
      </c>
      <c r="E1911" s="485">
        <v>0.32</v>
      </c>
      <c r="F1911" s="485"/>
      <c r="G1911" s="17">
        <v>3.5</v>
      </c>
      <c r="H1911" s="18">
        <f t="shared" ref="H1911" si="300">PRODUCT(D1911:G1911)</f>
        <v>1.1200000000000001</v>
      </c>
    </row>
    <row r="1912" spans="1:8">
      <c r="A1912" s="485"/>
      <c r="B1912" s="485" t="s">
        <v>1196</v>
      </c>
      <c r="C1912" s="73" t="s">
        <v>10</v>
      </c>
      <c r="D1912" s="485">
        <v>1</v>
      </c>
      <c r="E1912" s="485">
        <v>0.32</v>
      </c>
      <c r="F1912" s="485"/>
      <c r="G1912" s="17">
        <v>3.5</v>
      </c>
      <c r="H1912" s="18">
        <f t="shared" ref="H1912" si="301">PRODUCT(D1912:G1912)</f>
        <v>1.1200000000000001</v>
      </c>
    </row>
    <row r="1913" spans="1:8">
      <c r="A1913" s="485"/>
      <c r="B1913" s="485" t="s">
        <v>204</v>
      </c>
      <c r="C1913" s="73" t="s">
        <v>10</v>
      </c>
      <c r="D1913" s="485">
        <v>1</v>
      </c>
      <c r="E1913" s="485">
        <v>0.32</v>
      </c>
      <c r="F1913" s="485"/>
      <c r="G1913" s="17">
        <v>3.5</v>
      </c>
      <c r="H1913" s="18">
        <f t="shared" ref="H1913:H1915" si="302">PRODUCT(D1913:G1913)</f>
        <v>1.1200000000000001</v>
      </c>
    </row>
    <row r="1914" spans="1:8" s="948" customFormat="1">
      <c r="A1914" s="17"/>
      <c r="B1914" s="17" t="s">
        <v>1313</v>
      </c>
      <c r="C1914" s="73" t="s">
        <v>10</v>
      </c>
      <c r="D1914" s="17">
        <v>2</v>
      </c>
      <c r="E1914" s="17">
        <v>0.32</v>
      </c>
      <c r="F1914" s="17"/>
      <c r="G1914" s="17">
        <v>3.5</v>
      </c>
      <c r="H1914" s="18">
        <f t="shared" si="302"/>
        <v>2.2400000000000002</v>
      </c>
    </row>
    <row r="1915" spans="1:8" s="948" customFormat="1">
      <c r="A1915" s="485"/>
      <c r="B1915" s="485" t="s">
        <v>171</v>
      </c>
      <c r="C1915" s="73" t="s">
        <v>10</v>
      </c>
      <c r="D1915" s="17">
        <v>1</v>
      </c>
      <c r="E1915" s="17">
        <v>0.32</v>
      </c>
      <c r="F1915" s="17"/>
      <c r="G1915" s="17">
        <v>3.5</v>
      </c>
      <c r="H1915" s="18">
        <f t="shared" si="302"/>
        <v>1.1200000000000001</v>
      </c>
    </row>
    <row r="1916" spans="1:8">
      <c r="A1916" s="17"/>
      <c r="B1916" s="17"/>
      <c r="C1916" s="17"/>
      <c r="D1916" s="17"/>
      <c r="E1916" s="17"/>
      <c r="F1916" s="17"/>
      <c r="G1916" s="17"/>
      <c r="H1916" s="18"/>
    </row>
    <row r="1917" spans="1:8">
      <c r="A1917" s="15"/>
      <c r="B1917" s="15" t="s">
        <v>21</v>
      </c>
      <c r="C1917" s="15"/>
      <c r="D1917" s="15"/>
      <c r="E1917" s="15"/>
      <c r="F1917" s="15"/>
      <c r="G1917" s="15"/>
      <c r="H1917" s="20">
        <f>SUM(H1898:H1916)</f>
        <v>23.502500000000001</v>
      </c>
    </row>
    <row r="1918" spans="1:8">
      <c r="A1918" s="17"/>
      <c r="B1918" s="17" t="s">
        <v>22</v>
      </c>
      <c r="C1918" s="17"/>
      <c r="D1918" s="17"/>
      <c r="E1918" s="17"/>
      <c r="F1918" s="17"/>
      <c r="G1918" s="17"/>
      <c r="H1918" s="18"/>
    </row>
    <row r="1919" spans="1:8">
      <c r="A1919" s="15"/>
      <c r="B1919" s="15" t="s">
        <v>23</v>
      </c>
      <c r="C1919" s="15"/>
      <c r="D1919" s="15"/>
      <c r="E1919" s="15"/>
      <c r="F1919" s="15"/>
      <c r="G1919" s="15"/>
      <c r="H1919" s="20">
        <f>ROUND(SUM(H1917:H1918),0)</f>
        <v>24</v>
      </c>
    </row>
    <row r="1921" spans="1:8">
      <c r="A1921" s="17">
        <v>4</v>
      </c>
      <c r="B1921" s="15" t="s">
        <v>102</v>
      </c>
      <c r="C1921" s="17" t="s">
        <v>10</v>
      </c>
      <c r="D1921" s="17"/>
      <c r="E1921" s="17"/>
      <c r="F1921" s="17"/>
      <c r="G1921" s="17"/>
      <c r="H1921" s="18"/>
    </row>
    <row r="1922" spans="1:8">
      <c r="A1922" s="17"/>
      <c r="B1922" s="17" t="s">
        <v>1217</v>
      </c>
      <c r="C1922" s="73" t="s">
        <v>10</v>
      </c>
      <c r="D1922" s="17">
        <v>0</v>
      </c>
      <c r="E1922" s="17">
        <v>6.6</v>
      </c>
      <c r="F1922" s="17"/>
      <c r="G1922" s="17">
        <v>1.1000000000000001</v>
      </c>
      <c r="H1922" s="18">
        <f t="shared" ref="H1922" si="303">PRODUCT(D1922:G1922)</f>
        <v>0</v>
      </c>
    </row>
    <row r="1923" spans="1:8">
      <c r="A1923" s="17"/>
      <c r="B1923" s="17"/>
      <c r="C1923" s="17"/>
      <c r="D1923" s="17"/>
      <c r="E1923" s="17"/>
      <c r="F1923" s="17"/>
      <c r="G1923" s="17"/>
      <c r="H1923" s="18"/>
    </row>
    <row r="1924" spans="1:8">
      <c r="A1924" s="15"/>
      <c r="B1924" s="15" t="s">
        <v>21</v>
      </c>
      <c r="C1924" s="15"/>
      <c r="D1924" s="15"/>
      <c r="E1924" s="15"/>
      <c r="F1924" s="15"/>
      <c r="G1924" s="15"/>
      <c r="H1924" s="20">
        <f>SUM(H1922:H1923)</f>
        <v>0</v>
      </c>
    </row>
    <row r="1925" spans="1:8">
      <c r="A1925" s="17"/>
      <c r="B1925" s="17" t="s">
        <v>22</v>
      </c>
      <c r="C1925" s="17"/>
      <c r="D1925" s="17"/>
      <c r="E1925" s="17"/>
      <c r="F1925" s="17"/>
      <c r="G1925" s="17"/>
      <c r="H1925" s="18"/>
    </row>
    <row r="1926" spans="1:8">
      <c r="A1926" s="15"/>
      <c r="B1926" s="15" t="s">
        <v>23</v>
      </c>
      <c r="C1926" s="15"/>
      <c r="D1926" s="15"/>
      <c r="E1926" s="15"/>
      <c r="F1926" s="15"/>
      <c r="G1926" s="15"/>
      <c r="H1926" s="20">
        <f>ROUND(SUM(H1924:H1925),0)</f>
        <v>0</v>
      </c>
    </row>
    <row r="1928" spans="1:8">
      <c r="A1928" s="17">
        <v>4</v>
      </c>
      <c r="B1928" s="15" t="s">
        <v>1361</v>
      </c>
      <c r="C1928" s="17" t="s">
        <v>10</v>
      </c>
      <c r="D1928" s="17"/>
      <c r="E1928" s="17"/>
      <c r="F1928" s="17"/>
      <c r="G1928" s="17"/>
      <c r="H1928" s="18"/>
    </row>
    <row r="1929" spans="1:8">
      <c r="A1929" s="17"/>
      <c r="B1929" s="17" t="s">
        <v>1313</v>
      </c>
      <c r="C1929" s="73" t="s">
        <v>10</v>
      </c>
      <c r="D1929" s="17">
        <v>2</v>
      </c>
      <c r="E1929" s="17">
        <v>0.32</v>
      </c>
      <c r="F1929" s="17"/>
      <c r="G1929" s="17">
        <v>3.5</v>
      </c>
      <c r="H1929" s="18">
        <f t="shared" ref="H1929" si="304">PRODUCT(D1929:G1929)</f>
        <v>2.2400000000000002</v>
      </c>
    </row>
    <row r="1930" spans="1:8">
      <c r="A1930" s="485"/>
      <c r="B1930" s="485" t="s">
        <v>171</v>
      </c>
      <c r="C1930" s="73" t="s">
        <v>10</v>
      </c>
      <c r="D1930" s="17">
        <v>1</v>
      </c>
      <c r="E1930" s="17">
        <v>0.32</v>
      </c>
      <c r="F1930" s="17"/>
      <c r="G1930" s="17">
        <v>3.5</v>
      </c>
      <c r="H1930" s="18">
        <f t="shared" ref="H1930" si="305">PRODUCT(D1930:G1930)</f>
        <v>1.1200000000000001</v>
      </c>
    </row>
    <row r="1931" spans="1:8">
      <c r="A1931" s="17"/>
      <c r="B1931" s="17"/>
      <c r="C1931" s="17"/>
      <c r="D1931" s="17"/>
      <c r="E1931" s="17"/>
      <c r="F1931" s="17"/>
      <c r="G1931" s="17"/>
      <c r="H1931" s="18"/>
    </row>
    <row r="1932" spans="1:8">
      <c r="A1932" s="15"/>
      <c r="B1932" s="15" t="s">
        <v>21</v>
      </c>
      <c r="C1932" s="15"/>
      <c r="D1932" s="15"/>
      <c r="E1932" s="15"/>
      <c r="F1932" s="15"/>
      <c r="G1932" s="15"/>
      <c r="H1932" s="20">
        <f>SUM(H1929:H1931)</f>
        <v>3.3600000000000003</v>
      </c>
    </row>
    <row r="1933" spans="1:8">
      <c r="A1933" s="17"/>
      <c r="B1933" s="17" t="s">
        <v>22</v>
      </c>
      <c r="C1933" s="17"/>
      <c r="D1933" s="17"/>
      <c r="E1933" s="17"/>
      <c r="F1933" s="17"/>
      <c r="G1933" s="17"/>
      <c r="H1933" s="18"/>
    </row>
    <row r="1934" spans="1:8">
      <c r="A1934" s="15"/>
      <c r="B1934" s="15" t="s">
        <v>23</v>
      </c>
      <c r="C1934" s="15"/>
      <c r="D1934" s="15"/>
      <c r="E1934" s="15"/>
      <c r="F1934" s="15"/>
      <c r="G1934" s="15"/>
      <c r="H1934" s="20">
        <f>ROUND(SUM(H1932:H1933),0)*0</f>
        <v>0</v>
      </c>
    </row>
    <row r="1936" spans="1:8">
      <c r="A1936" s="17">
        <v>4</v>
      </c>
      <c r="B1936" s="15" t="s">
        <v>1361</v>
      </c>
      <c r="C1936" s="17" t="s">
        <v>10</v>
      </c>
      <c r="D1936" s="17"/>
      <c r="E1936" s="17"/>
      <c r="F1936" s="17"/>
      <c r="G1936" s="17"/>
      <c r="H1936" s="18"/>
    </row>
    <row r="1937" spans="1:8">
      <c r="A1937" s="17"/>
      <c r="B1937" s="17" t="s">
        <v>1252</v>
      </c>
      <c r="C1937" s="73" t="s">
        <v>10</v>
      </c>
      <c r="D1937" s="17">
        <v>1</v>
      </c>
      <c r="E1937" s="17">
        <v>0.1</v>
      </c>
      <c r="F1937" s="17"/>
      <c r="G1937" s="17">
        <v>3.5</v>
      </c>
      <c r="H1937" s="18">
        <f t="shared" ref="H1937:H1939" si="306">PRODUCT(D1937:G1937)</f>
        <v>0.35000000000000003</v>
      </c>
    </row>
    <row r="1938" spans="1:8">
      <c r="A1938" s="17"/>
      <c r="B1938" s="17" t="s">
        <v>191</v>
      </c>
      <c r="C1938" s="73" t="s">
        <v>10</v>
      </c>
      <c r="D1938" s="17">
        <v>1</v>
      </c>
      <c r="E1938" s="17">
        <v>0.32</v>
      </c>
      <c r="F1938" s="17"/>
      <c r="G1938" s="17">
        <v>3.5</v>
      </c>
      <c r="H1938" s="18">
        <f t="shared" si="306"/>
        <v>1.1200000000000001</v>
      </c>
    </row>
    <row r="1939" spans="1:8">
      <c r="A1939" s="17"/>
      <c r="B1939" s="17" t="s">
        <v>280</v>
      </c>
      <c r="C1939" s="73" t="s">
        <v>10</v>
      </c>
      <c r="D1939" s="17">
        <v>1</v>
      </c>
      <c r="E1939" s="17">
        <v>0.32</v>
      </c>
      <c r="F1939" s="17"/>
      <c r="G1939" s="17">
        <v>3.5</v>
      </c>
      <c r="H1939" s="18">
        <f t="shared" si="306"/>
        <v>1.1200000000000001</v>
      </c>
    </row>
    <row r="1940" spans="1:8">
      <c r="A1940" s="485"/>
      <c r="B1940" s="485" t="s">
        <v>1219</v>
      </c>
      <c r="C1940" s="73" t="s">
        <v>10</v>
      </c>
      <c r="D1940" s="17">
        <v>1</v>
      </c>
      <c r="E1940" s="17">
        <v>0.32</v>
      </c>
      <c r="F1940" s="17"/>
      <c r="G1940" s="17">
        <v>3.5</v>
      </c>
      <c r="H1940" s="18">
        <f t="shared" ref="H1940" si="307">PRODUCT(D1940:G1940)</f>
        <v>1.1200000000000001</v>
      </c>
    </row>
    <row r="1941" spans="1:8">
      <c r="A1941" s="485"/>
      <c r="B1941" s="485" t="s">
        <v>2028</v>
      </c>
      <c r="C1941" s="73" t="s">
        <v>10</v>
      </c>
      <c r="D1941" s="17">
        <v>1</v>
      </c>
      <c r="E1941" s="17">
        <v>0.32</v>
      </c>
      <c r="F1941" s="17"/>
      <c r="G1941" s="17">
        <v>3.5</v>
      </c>
      <c r="H1941" s="18">
        <f t="shared" ref="H1941" si="308">PRODUCT(D1941:G1941)</f>
        <v>1.1200000000000001</v>
      </c>
    </row>
    <row r="1942" spans="1:8">
      <c r="A1942" s="485"/>
      <c r="B1942" s="485" t="s">
        <v>2032</v>
      </c>
      <c r="C1942" s="73" t="s">
        <v>10</v>
      </c>
      <c r="D1942" s="485">
        <v>4</v>
      </c>
      <c r="E1942" s="485">
        <f>3.14*1.72</f>
        <v>5.4008000000000003</v>
      </c>
      <c r="F1942" s="485"/>
      <c r="G1942" s="17">
        <v>3.5</v>
      </c>
      <c r="H1942" s="18">
        <f t="shared" ref="H1942" si="309">PRODUCT(D1942:G1942)</f>
        <v>75.611199999999997</v>
      </c>
    </row>
    <row r="1943" spans="1:8">
      <c r="A1943" s="485"/>
      <c r="B1943" s="485"/>
      <c r="C1943" s="486"/>
      <c r="D1943" s="485"/>
      <c r="E1943" s="485"/>
      <c r="F1943" s="485"/>
      <c r="G1943" s="485"/>
      <c r="H1943" s="487"/>
    </row>
    <row r="1944" spans="1:8">
      <c r="A1944" s="485"/>
      <c r="B1944" s="485"/>
      <c r="C1944" s="486"/>
      <c r="D1944" s="485"/>
      <c r="E1944" s="485"/>
      <c r="F1944" s="485"/>
      <c r="G1944" s="485"/>
      <c r="H1944" s="487"/>
    </row>
    <row r="1945" spans="1:8">
      <c r="A1945" s="17"/>
      <c r="B1945" s="17"/>
      <c r="C1945" s="17"/>
      <c r="D1945" s="17"/>
      <c r="E1945" s="17"/>
      <c r="F1945" s="17"/>
      <c r="G1945" s="17"/>
      <c r="H1945" s="18"/>
    </row>
    <row r="1946" spans="1:8">
      <c r="A1946" s="15"/>
      <c r="B1946" s="15" t="s">
        <v>21</v>
      </c>
      <c r="C1946" s="15"/>
      <c r="D1946" s="15"/>
      <c r="E1946" s="15"/>
      <c r="F1946" s="15"/>
      <c r="G1946" s="15"/>
      <c r="H1946" s="20">
        <f>SUM(H1937:H1945)</f>
        <v>80.441199999999995</v>
      </c>
    </row>
    <row r="1947" spans="1:8">
      <c r="A1947" s="17"/>
      <c r="B1947" s="17" t="s">
        <v>22</v>
      </c>
      <c r="C1947" s="17"/>
      <c r="D1947" s="17"/>
      <c r="E1947" s="17"/>
      <c r="F1947" s="17"/>
      <c r="G1947" s="17"/>
      <c r="H1947" s="18"/>
    </row>
    <row r="1948" spans="1:8">
      <c r="A1948" s="15"/>
      <c r="B1948" s="15" t="s">
        <v>23</v>
      </c>
      <c r="C1948" s="15"/>
      <c r="D1948" s="15"/>
      <c r="E1948" s="15"/>
      <c r="F1948" s="15"/>
      <c r="G1948" s="15"/>
      <c r="H1948" s="20">
        <f>ROUND(SUM(H1946:H1947),0)</f>
        <v>80</v>
      </c>
    </row>
    <row r="1950" spans="1:8">
      <c r="A1950" s="17">
        <v>4</v>
      </c>
      <c r="B1950" s="15" t="s">
        <v>2030</v>
      </c>
      <c r="C1950" s="17" t="s">
        <v>10</v>
      </c>
      <c r="D1950" s="17"/>
      <c r="E1950" s="17"/>
      <c r="F1950" s="17"/>
      <c r="G1950" s="17"/>
      <c r="H1950" s="18"/>
    </row>
    <row r="1951" spans="1:8">
      <c r="A1951" s="485"/>
      <c r="B1951" s="931" t="s">
        <v>2031</v>
      </c>
      <c r="C1951" s="485"/>
      <c r="D1951" s="485"/>
      <c r="E1951" s="485"/>
      <c r="F1951" s="485"/>
      <c r="G1951" s="485"/>
      <c r="H1951" s="487"/>
    </row>
    <row r="1952" spans="1:8">
      <c r="A1952" s="485"/>
      <c r="B1952" s="486" t="s">
        <v>156</v>
      </c>
      <c r="C1952" s="17" t="s">
        <v>10</v>
      </c>
      <c r="D1952" s="485">
        <v>1</v>
      </c>
      <c r="E1952" s="485">
        <v>1.8</v>
      </c>
      <c r="F1952" s="485"/>
      <c r="G1952" s="485">
        <v>3.5</v>
      </c>
      <c r="H1952" s="18">
        <f t="shared" ref="H1952:H2015" si="310">PRODUCT(D1952:G1952)</f>
        <v>6.3</v>
      </c>
    </row>
    <row r="1953" spans="1:8">
      <c r="A1953" s="485"/>
      <c r="B1953" s="486"/>
      <c r="C1953" s="17" t="s">
        <v>10</v>
      </c>
      <c r="D1953" s="485">
        <v>-1</v>
      </c>
      <c r="E1953" s="485">
        <v>1.5</v>
      </c>
      <c r="F1953" s="485"/>
      <c r="G1953" s="485">
        <v>2.4</v>
      </c>
      <c r="H1953" s="18">
        <f t="shared" si="310"/>
        <v>-3.5999999999999996</v>
      </c>
    </row>
    <row r="1954" spans="1:8">
      <c r="A1954" s="485"/>
      <c r="B1954" s="486"/>
      <c r="C1954" s="17" t="s">
        <v>10</v>
      </c>
      <c r="D1954" s="485">
        <v>1</v>
      </c>
      <c r="E1954" s="485">
        <v>0.875</v>
      </c>
      <c r="F1954" s="485"/>
      <c r="G1954" s="485">
        <v>3.5</v>
      </c>
      <c r="H1954" s="18">
        <f t="shared" si="310"/>
        <v>3.0625</v>
      </c>
    </row>
    <row r="1955" spans="1:8">
      <c r="A1955" s="485"/>
      <c r="B1955" s="486"/>
      <c r="C1955" s="17" t="s">
        <v>10</v>
      </c>
      <c r="D1955" s="485">
        <v>1</v>
      </c>
      <c r="E1955" s="485">
        <v>4</v>
      </c>
      <c r="F1955" s="485"/>
      <c r="G1955" s="485">
        <v>3.5</v>
      </c>
      <c r="H1955" s="18">
        <f t="shared" si="310"/>
        <v>14</v>
      </c>
    </row>
    <row r="1956" spans="1:8">
      <c r="A1956" s="485"/>
      <c r="B1956" s="486" t="s">
        <v>1343</v>
      </c>
      <c r="C1956" s="17" t="s">
        <v>10</v>
      </c>
      <c r="D1956" s="485">
        <v>1</v>
      </c>
      <c r="E1956" s="485">
        <v>0.75</v>
      </c>
      <c r="F1956" s="485"/>
      <c r="G1956" s="485">
        <v>3.5</v>
      </c>
      <c r="H1956" s="18">
        <f t="shared" si="310"/>
        <v>2.625</v>
      </c>
    </row>
    <row r="1957" spans="1:8">
      <c r="A1957" s="485"/>
      <c r="B1957" s="486" t="s">
        <v>1343</v>
      </c>
      <c r="C1957" s="17" t="s">
        <v>10</v>
      </c>
      <c r="D1957" s="485">
        <v>1</v>
      </c>
      <c r="E1957" s="485">
        <v>0.31</v>
      </c>
      <c r="F1957" s="485"/>
      <c r="G1957" s="485">
        <v>3.5</v>
      </c>
      <c r="H1957" s="18">
        <f t="shared" si="310"/>
        <v>1.085</v>
      </c>
    </row>
    <row r="1958" spans="1:8">
      <c r="A1958" s="485"/>
      <c r="B1958" s="486" t="s">
        <v>1343</v>
      </c>
      <c r="C1958" s="17" t="s">
        <v>10</v>
      </c>
      <c r="D1958" s="485">
        <v>1</v>
      </c>
      <c r="E1958" s="485">
        <v>2.48</v>
      </c>
      <c r="F1958" s="485"/>
      <c r="G1958" s="485">
        <v>3.5</v>
      </c>
      <c r="H1958" s="18">
        <f t="shared" si="310"/>
        <v>8.68</v>
      </c>
    </row>
    <row r="1959" spans="1:8">
      <c r="A1959" s="485"/>
      <c r="B1959" s="486"/>
      <c r="C1959" s="17" t="s">
        <v>10</v>
      </c>
      <c r="D1959" s="485">
        <v>1</v>
      </c>
      <c r="E1959" s="485">
        <v>0.5</v>
      </c>
      <c r="F1959" s="485"/>
      <c r="G1959" s="485">
        <v>3.5</v>
      </c>
      <c r="H1959" s="18">
        <f t="shared" si="310"/>
        <v>1.75</v>
      </c>
    </row>
    <row r="1960" spans="1:8">
      <c r="A1960" s="485"/>
      <c r="B1960" s="486"/>
      <c r="C1960" s="17" t="s">
        <v>10</v>
      </c>
      <c r="D1960" s="485">
        <v>1</v>
      </c>
      <c r="E1960" s="485">
        <v>9.1</v>
      </c>
      <c r="F1960" s="485"/>
      <c r="G1960" s="485">
        <v>3.5</v>
      </c>
      <c r="H1960" s="487">
        <f t="shared" si="310"/>
        <v>31.849999999999998</v>
      </c>
    </row>
    <row r="1961" spans="1:8">
      <c r="A1961" s="485"/>
      <c r="B1961" s="486"/>
      <c r="C1961" s="17" t="s">
        <v>10</v>
      </c>
      <c r="D1961" s="485">
        <v>1</v>
      </c>
      <c r="E1961" s="485">
        <v>2.75</v>
      </c>
      <c r="F1961" s="485"/>
      <c r="G1961" s="485">
        <v>3.5</v>
      </c>
      <c r="H1961" s="487">
        <f t="shared" si="310"/>
        <v>9.625</v>
      </c>
    </row>
    <row r="1962" spans="1:8">
      <c r="A1962" s="485"/>
      <c r="B1962" s="486"/>
      <c r="C1962" s="17" t="s">
        <v>10</v>
      </c>
      <c r="D1962" s="485">
        <v>1</v>
      </c>
      <c r="E1962" s="485">
        <v>1.7549999999999999</v>
      </c>
      <c r="F1962" s="485"/>
      <c r="G1962" s="485">
        <v>3.5</v>
      </c>
      <c r="H1962" s="487">
        <f t="shared" si="310"/>
        <v>6.1425000000000001</v>
      </c>
    </row>
    <row r="1963" spans="1:8">
      <c r="A1963" s="485"/>
      <c r="B1963" s="486"/>
      <c r="C1963" s="17" t="s">
        <v>10</v>
      </c>
      <c r="D1963" s="485">
        <v>1</v>
      </c>
      <c r="E1963" s="485">
        <v>5.0999999999999996</v>
      </c>
      <c r="F1963" s="485"/>
      <c r="G1963" s="485">
        <v>3.5</v>
      </c>
      <c r="H1963" s="487">
        <f t="shared" si="310"/>
        <v>17.849999999999998</v>
      </c>
    </row>
    <row r="1964" spans="1:8">
      <c r="A1964" s="485"/>
      <c r="B1964" s="486"/>
      <c r="C1964" s="17" t="s">
        <v>10</v>
      </c>
      <c r="D1964" s="485">
        <v>1</v>
      </c>
      <c r="E1964" s="485">
        <v>1.63</v>
      </c>
      <c r="F1964" s="485"/>
      <c r="G1964" s="485">
        <v>3.5</v>
      </c>
      <c r="H1964" s="487">
        <f t="shared" si="310"/>
        <v>5.7050000000000001</v>
      </c>
    </row>
    <row r="1965" spans="1:8">
      <c r="A1965" s="485"/>
      <c r="B1965" s="486" t="s">
        <v>1252</v>
      </c>
      <c r="C1965" s="17" t="s">
        <v>10</v>
      </c>
      <c r="D1965" s="485">
        <v>1</v>
      </c>
      <c r="E1965" s="485">
        <v>5.3</v>
      </c>
      <c r="F1965" s="485"/>
      <c r="G1965" s="485">
        <v>3.5</v>
      </c>
      <c r="H1965" s="487">
        <f t="shared" si="310"/>
        <v>18.55</v>
      </c>
    </row>
    <row r="1966" spans="1:8">
      <c r="A1966" s="485"/>
      <c r="B1966" s="486"/>
      <c r="C1966" s="17" t="s">
        <v>10</v>
      </c>
      <c r="D1966" s="485">
        <v>1</v>
      </c>
      <c r="E1966" s="485">
        <v>1.1299999999999999</v>
      </c>
      <c r="F1966" s="485"/>
      <c r="G1966" s="485">
        <v>3.5</v>
      </c>
      <c r="H1966" s="487">
        <f t="shared" si="310"/>
        <v>3.9549999999999996</v>
      </c>
    </row>
    <row r="1967" spans="1:8">
      <c r="A1967" s="485"/>
      <c r="B1967" s="486"/>
      <c r="C1967" s="17" t="s">
        <v>10</v>
      </c>
      <c r="D1967" s="485">
        <v>1</v>
      </c>
      <c r="E1967" s="485">
        <v>5.91</v>
      </c>
      <c r="F1967" s="485"/>
      <c r="G1967" s="485">
        <v>3.5</v>
      </c>
      <c r="H1967" s="487">
        <f t="shared" si="310"/>
        <v>20.685000000000002</v>
      </c>
    </row>
    <row r="1968" spans="1:8">
      <c r="A1968" s="485"/>
      <c r="B1968" s="486" t="s">
        <v>1343</v>
      </c>
      <c r="C1968" s="17" t="s">
        <v>10</v>
      </c>
      <c r="D1968" s="485">
        <v>1</v>
      </c>
      <c r="E1968" s="485">
        <v>1.69</v>
      </c>
      <c r="F1968" s="485"/>
      <c r="G1968" s="485">
        <v>3.5</v>
      </c>
      <c r="H1968" s="487">
        <f t="shared" si="310"/>
        <v>5.915</v>
      </c>
    </row>
    <row r="1969" spans="1:8">
      <c r="A1969" s="485"/>
      <c r="B1969" s="486"/>
      <c r="C1969" s="17" t="s">
        <v>10</v>
      </c>
      <c r="D1969" s="485">
        <v>1</v>
      </c>
      <c r="E1969" s="485">
        <v>0.84</v>
      </c>
      <c r="F1969" s="485"/>
      <c r="G1969" s="485">
        <v>3.5</v>
      </c>
      <c r="H1969" s="487">
        <f t="shared" si="310"/>
        <v>2.94</v>
      </c>
    </row>
    <row r="1970" spans="1:8">
      <c r="A1970" s="485"/>
      <c r="B1970" s="486"/>
      <c r="C1970" s="17" t="s">
        <v>10</v>
      </c>
      <c r="D1970" s="485">
        <v>1</v>
      </c>
      <c r="E1970" s="485">
        <v>1.65</v>
      </c>
      <c r="F1970" s="485"/>
      <c r="G1970" s="485">
        <v>3.5</v>
      </c>
      <c r="H1970" s="487">
        <f t="shared" si="310"/>
        <v>5.7749999999999995</v>
      </c>
    </row>
    <row r="1971" spans="1:8">
      <c r="A1971" s="485"/>
      <c r="B1971" s="486"/>
      <c r="C1971" s="17" t="s">
        <v>10</v>
      </c>
      <c r="D1971" s="485">
        <v>1</v>
      </c>
      <c r="E1971" s="485">
        <v>3.78</v>
      </c>
      <c r="F1971" s="485"/>
      <c r="G1971" s="485">
        <v>3.5</v>
      </c>
      <c r="H1971" s="487">
        <f t="shared" si="310"/>
        <v>13.229999999999999</v>
      </c>
    </row>
    <row r="1972" spans="1:8">
      <c r="A1972" s="485"/>
      <c r="B1972" s="486" t="s">
        <v>1215</v>
      </c>
      <c r="C1972" s="17" t="s">
        <v>10</v>
      </c>
      <c r="D1972" s="485">
        <v>1</v>
      </c>
      <c r="E1972" s="485">
        <v>3.45</v>
      </c>
      <c r="F1972" s="485"/>
      <c r="G1972" s="485">
        <v>3.5</v>
      </c>
      <c r="H1972" s="487">
        <f t="shared" si="310"/>
        <v>12.075000000000001</v>
      </c>
    </row>
    <row r="1973" spans="1:8">
      <c r="A1973" s="485"/>
      <c r="B1973" s="486"/>
      <c r="C1973" s="17" t="s">
        <v>10</v>
      </c>
      <c r="D1973" s="485">
        <v>1</v>
      </c>
      <c r="E1973" s="485">
        <v>15.64</v>
      </c>
      <c r="F1973" s="485"/>
      <c r="G1973" s="485">
        <v>3.5</v>
      </c>
      <c r="H1973" s="487">
        <f t="shared" si="310"/>
        <v>54.74</v>
      </c>
    </row>
    <row r="1974" spans="1:8">
      <c r="A1974" s="485"/>
      <c r="B1974" s="486"/>
      <c r="C1974" s="17" t="s">
        <v>10</v>
      </c>
      <c r="D1974" s="485">
        <v>1</v>
      </c>
      <c r="E1974" s="485">
        <v>0.2</v>
      </c>
      <c r="F1974" s="485"/>
      <c r="G1974" s="485">
        <v>3.5</v>
      </c>
      <c r="H1974" s="487">
        <f t="shared" si="310"/>
        <v>0.70000000000000007</v>
      </c>
    </row>
    <row r="1975" spans="1:8">
      <c r="A1975" s="485"/>
      <c r="B1975" s="486"/>
      <c r="C1975" s="17" t="s">
        <v>10</v>
      </c>
      <c r="D1975" s="485">
        <v>1</v>
      </c>
      <c r="E1975" s="485">
        <v>2.9</v>
      </c>
      <c r="F1975" s="485"/>
      <c r="G1975" s="485">
        <f>3.5-2.4</f>
        <v>1.1000000000000001</v>
      </c>
      <c r="H1975" s="487">
        <f t="shared" si="310"/>
        <v>3.19</v>
      </c>
    </row>
    <row r="1976" spans="1:8">
      <c r="A1976" s="485"/>
      <c r="B1976" s="486"/>
      <c r="C1976" s="17" t="s">
        <v>10</v>
      </c>
      <c r="D1976" s="485">
        <v>1</v>
      </c>
      <c r="E1976" s="485">
        <v>0.15</v>
      </c>
      <c r="F1976" s="485"/>
      <c r="G1976" s="485">
        <v>3.5</v>
      </c>
      <c r="H1976" s="487">
        <f t="shared" si="310"/>
        <v>0.52500000000000002</v>
      </c>
    </row>
    <row r="1977" spans="1:8">
      <c r="A1977" s="485"/>
      <c r="B1977" s="486"/>
      <c r="C1977" s="17" t="s">
        <v>10</v>
      </c>
      <c r="D1977" s="485">
        <v>2</v>
      </c>
      <c r="E1977" s="485">
        <v>3.55</v>
      </c>
      <c r="F1977" s="485"/>
      <c r="G1977" s="485">
        <v>3.5</v>
      </c>
      <c r="H1977" s="487">
        <f t="shared" si="310"/>
        <v>24.849999999999998</v>
      </c>
    </row>
    <row r="1978" spans="1:8">
      <c r="A1978" s="485"/>
      <c r="B1978" s="486" t="s">
        <v>2004</v>
      </c>
      <c r="C1978" s="17" t="s">
        <v>10</v>
      </c>
      <c r="D1978" s="485">
        <v>1</v>
      </c>
      <c r="E1978" s="485">
        <v>1.556</v>
      </c>
      <c r="F1978" s="485"/>
      <c r="G1978" s="485">
        <v>3.5</v>
      </c>
      <c r="H1978" s="487">
        <f t="shared" si="310"/>
        <v>5.4459999999999997</v>
      </c>
    </row>
    <row r="1979" spans="1:8">
      <c r="A1979" s="485"/>
      <c r="B1979" s="486" t="s">
        <v>1199</v>
      </c>
      <c r="C1979" s="17" t="s">
        <v>10</v>
      </c>
      <c r="D1979" s="485">
        <v>4</v>
      </c>
      <c r="E1979" s="485">
        <v>3.55</v>
      </c>
      <c r="F1979" s="485"/>
      <c r="G1979" s="485">
        <v>3.5</v>
      </c>
      <c r="H1979" s="487">
        <f t="shared" si="310"/>
        <v>49.699999999999996</v>
      </c>
    </row>
    <row r="1980" spans="1:8">
      <c r="A1980" s="485"/>
      <c r="B1980" s="486"/>
      <c r="C1980" s="17" t="s">
        <v>10</v>
      </c>
      <c r="D1980" s="485">
        <v>2</v>
      </c>
      <c r="E1980" s="485">
        <v>0.15</v>
      </c>
      <c r="F1980" s="485"/>
      <c r="G1980" s="485">
        <v>3.5</v>
      </c>
      <c r="H1980" s="487">
        <f t="shared" si="310"/>
        <v>1.05</v>
      </c>
    </row>
    <row r="1981" spans="1:8">
      <c r="A1981" s="485"/>
      <c r="B1981" s="486"/>
      <c r="C1981" s="17" t="s">
        <v>10</v>
      </c>
      <c r="D1981" s="485">
        <v>1</v>
      </c>
      <c r="E1981" s="485">
        <v>2.77</v>
      </c>
      <c r="F1981" s="485"/>
      <c r="G1981" s="485">
        <v>1.1000000000000001</v>
      </c>
      <c r="H1981" s="487">
        <f t="shared" si="310"/>
        <v>3.0470000000000002</v>
      </c>
    </row>
    <row r="1982" spans="1:8">
      <c r="A1982" s="485"/>
      <c r="B1982" s="486" t="s">
        <v>1327</v>
      </c>
      <c r="C1982" s="17" t="s">
        <v>10</v>
      </c>
      <c r="D1982" s="485">
        <v>2</v>
      </c>
      <c r="E1982" s="485">
        <v>0.15</v>
      </c>
      <c r="F1982" s="485"/>
      <c r="G1982" s="485">
        <v>3.5</v>
      </c>
      <c r="H1982" s="487">
        <f t="shared" si="310"/>
        <v>1.05</v>
      </c>
    </row>
    <row r="1983" spans="1:8">
      <c r="A1983" s="485"/>
      <c r="B1983" s="486"/>
      <c r="C1983" s="17" t="s">
        <v>10</v>
      </c>
      <c r="D1983" s="485">
        <v>1</v>
      </c>
      <c r="E1983" s="485">
        <v>3.45</v>
      </c>
      <c r="F1983" s="485"/>
      <c r="G1983" s="485">
        <v>3.5</v>
      </c>
      <c r="H1983" s="487">
        <f t="shared" si="310"/>
        <v>12.075000000000001</v>
      </c>
    </row>
    <row r="1984" spans="1:8">
      <c r="A1984" s="485"/>
      <c r="B1984" s="486"/>
      <c r="C1984" s="17" t="s">
        <v>10</v>
      </c>
      <c r="D1984" s="485">
        <v>1</v>
      </c>
      <c r="E1984" s="485">
        <v>2.62</v>
      </c>
      <c r="F1984" s="485"/>
      <c r="G1984" s="485">
        <v>1.1000000000000001</v>
      </c>
      <c r="H1984" s="487">
        <f t="shared" si="310"/>
        <v>2.8820000000000006</v>
      </c>
    </row>
    <row r="1985" spans="1:8">
      <c r="A1985" s="485"/>
      <c r="B1985" s="486" t="s">
        <v>1207</v>
      </c>
      <c r="C1985" s="17" t="s">
        <v>10</v>
      </c>
      <c r="D1985" s="485">
        <v>1</v>
      </c>
      <c r="E1985" s="485">
        <v>3.4</v>
      </c>
      <c r="F1985" s="485"/>
      <c r="G1985" s="485">
        <v>3.5</v>
      </c>
      <c r="H1985" s="487">
        <f t="shared" si="310"/>
        <v>11.9</v>
      </c>
    </row>
    <row r="1986" spans="1:8">
      <c r="A1986" s="485"/>
      <c r="B1986" s="486"/>
      <c r="C1986" s="17" t="s">
        <v>10</v>
      </c>
      <c r="D1986" s="485">
        <v>2</v>
      </c>
      <c r="E1986" s="485">
        <v>0.15</v>
      </c>
      <c r="F1986" s="485"/>
      <c r="G1986" s="485">
        <v>3.5</v>
      </c>
      <c r="H1986" s="487">
        <f t="shared" si="310"/>
        <v>1.05</v>
      </c>
    </row>
    <row r="1987" spans="1:8">
      <c r="A1987" s="485"/>
      <c r="B1987" s="486"/>
      <c r="C1987" s="17" t="s">
        <v>10</v>
      </c>
      <c r="D1987" s="485">
        <v>1</v>
      </c>
      <c r="E1987" s="485">
        <v>4.8</v>
      </c>
      <c r="F1987" s="485"/>
      <c r="G1987" s="485">
        <v>1.1000000000000001</v>
      </c>
      <c r="H1987" s="487">
        <f t="shared" si="310"/>
        <v>5.28</v>
      </c>
    </row>
    <row r="1988" spans="1:8">
      <c r="A1988" s="485"/>
      <c r="B1988" s="486"/>
      <c r="C1988" s="17" t="s">
        <v>10</v>
      </c>
      <c r="D1988" s="485">
        <v>2</v>
      </c>
      <c r="E1988" s="485">
        <v>3.5</v>
      </c>
      <c r="F1988" s="485"/>
      <c r="G1988" s="485">
        <v>3.5</v>
      </c>
      <c r="H1988" s="487">
        <f t="shared" si="310"/>
        <v>24.5</v>
      </c>
    </row>
    <row r="1989" spans="1:8">
      <c r="A1989" s="485"/>
      <c r="B1989" s="486" t="s">
        <v>1299</v>
      </c>
      <c r="C1989" s="17" t="s">
        <v>10</v>
      </c>
      <c r="D1989" s="485">
        <v>2</v>
      </c>
      <c r="E1989" s="485">
        <v>0.15</v>
      </c>
      <c r="F1989" s="485"/>
      <c r="G1989" s="485">
        <v>3.5</v>
      </c>
      <c r="H1989" s="487">
        <f t="shared" si="310"/>
        <v>1.05</v>
      </c>
    </row>
    <row r="1990" spans="1:8">
      <c r="A1990" s="485"/>
      <c r="B1990" s="486"/>
      <c r="C1990" s="17" t="s">
        <v>10</v>
      </c>
      <c r="D1990" s="485">
        <v>1</v>
      </c>
      <c r="E1990" s="485">
        <v>2.8</v>
      </c>
      <c r="F1990" s="485"/>
      <c r="G1990" s="485">
        <v>1.1000000000000001</v>
      </c>
      <c r="H1990" s="487">
        <f t="shared" si="310"/>
        <v>3.08</v>
      </c>
    </row>
    <row r="1991" spans="1:8">
      <c r="A1991" s="485"/>
      <c r="B1991" s="486"/>
      <c r="C1991" s="17" t="s">
        <v>10</v>
      </c>
      <c r="D1991" s="485">
        <v>2</v>
      </c>
      <c r="E1991" s="485">
        <v>3.55</v>
      </c>
      <c r="F1991" s="485"/>
      <c r="G1991" s="485">
        <v>3.5</v>
      </c>
      <c r="H1991" s="487">
        <f t="shared" si="310"/>
        <v>24.849999999999998</v>
      </c>
    </row>
    <row r="1992" spans="1:8">
      <c r="A1992" s="485"/>
      <c r="B1992" s="486" t="s">
        <v>1300</v>
      </c>
      <c r="C1992" s="17" t="s">
        <v>10</v>
      </c>
      <c r="D1992" s="485">
        <v>2</v>
      </c>
      <c r="E1992" s="485">
        <v>0.15</v>
      </c>
      <c r="F1992" s="485"/>
      <c r="G1992" s="485">
        <v>3.5</v>
      </c>
      <c r="H1992" s="487">
        <f t="shared" si="310"/>
        <v>1.05</v>
      </c>
    </row>
    <row r="1993" spans="1:8">
      <c r="A1993" s="485"/>
      <c r="B1993" s="486"/>
      <c r="C1993" s="17" t="s">
        <v>10</v>
      </c>
      <c r="D1993" s="485">
        <v>1</v>
      </c>
      <c r="E1993" s="485">
        <v>2.8</v>
      </c>
      <c r="F1993" s="485"/>
      <c r="G1993" s="485">
        <v>1.1000000000000001</v>
      </c>
      <c r="H1993" s="487">
        <f t="shared" si="310"/>
        <v>3.08</v>
      </c>
    </row>
    <row r="1994" spans="1:8">
      <c r="A1994" s="485"/>
      <c r="B1994" s="486"/>
      <c r="C1994" s="17" t="s">
        <v>10</v>
      </c>
      <c r="D1994" s="485">
        <v>2</v>
      </c>
      <c r="E1994" s="485">
        <v>3.55</v>
      </c>
      <c r="F1994" s="485"/>
      <c r="G1994" s="485">
        <v>3.5</v>
      </c>
      <c r="H1994" s="487">
        <f t="shared" si="310"/>
        <v>24.849999999999998</v>
      </c>
    </row>
    <row r="1995" spans="1:8">
      <c r="A1995" s="485"/>
      <c r="B1995" s="486" t="s">
        <v>1301</v>
      </c>
      <c r="C1995" s="17" t="s">
        <v>10</v>
      </c>
      <c r="D1995" s="485">
        <v>2</v>
      </c>
      <c r="E1995" s="485">
        <v>0.15</v>
      </c>
      <c r="F1995" s="485"/>
      <c r="G1995" s="485">
        <v>3.5</v>
      </c>
      <c r="H1995" s="487">
        <f t="shared" si="310"/>
        <v>1.05</v>
      </c>
    </row>
    <row r="1996" spans="1:8">
      <c r="A1996" s="485"/>
      <c r="B1996" s="486"/>
      <c r="C1996" s="17" t="s">
        <v>10</v>
      </c>
      <c r="D1996" s="485">
        <v>1</v>
      </c>
      <c r="E1996" s="485">
        <v>2.8</v>
      </c>
      <c r="F1996" s="485"/>
      <c r="G1996" s="485">
        <v>1.1000000000000001</v>
      </c>
      <c r="H1996" s="487">
        <f t="shared" si="310"/>
        <v>3.08</v>
      </c>
    </row>
    <row r="1997" spans="1:8">
      <c r="A1997" s="485"/>
      <c r="B1997" s="486"/>
      <c r="C1997" s="17" t="s">
        <v>10</v>
      </c>
      <c r="D1997" s="485">
        <v>2</v>
      </c>
      <c r="E1997" s="485">
        <v>3.55</v>
      </c>
      <c r="F1997" s="485"/>
      <c r="G1997" s="485">
        <v>3.5</v>
      </c>
      <c r="H1997" s="487">
        <f t="shared" si="310"/>
        <v>24.849999999999998</v>
      </c>
    </row>
    <row r="1998" spans="1:8">
      <c r="A1998" s="485"/>
      <c r="B1998" s="486" t="s">
        <v>1269</v>
      </c>
      <c r="C1998" s="17" t="s">
        <v>10</v>
      </c>
      <c r="D1998" s="485">
        <v>1</v>
      </c>
      <c r="E1998" s="485">
        <v>5.9</v>
      </c>
      <c r="F1998" s="485"/>
      <c r="G1998" s="485">
        <v>3.5</v>
      </c>
      <c r="H1998" s="487">
        <f t="shared" si="310"/>
        <v>20.650000000000002</v>
      </c>
    </row>
    <row r="1999" spans="1:8">
      <c r="A1999" s="485"/>
      <c r="B1999" s="486"/>
      <c r="C1999" s="17" t="s">
        <v>10</v>
      </c>
      <c r="D1999" s="485">
        <v>1</v>
      </c>
      <c r="E1999" s="485">
        <v>3.7</v>
      </c>
      <c r="F1999" s="485"/>
      <c r="G1999" s="485">
        <v>3.5</v>
      </c>
      <c r="H1999" s="487">
        <f t="shared" si="310"/>
        <v>12.950000000000001</v>
      </c>
    </row>
    <row r="2000" spans="1:8">
      <c r="A2000" s="485"/>
      <c r="B2000" s="486"/>
      <c r="C2000" s="17" t="s">
        <v>10</v>
      </c>
      <c r="D2000" s="485">
        <v>-3</v>
      </c>
      <c r="E2000" s="485">
        <v>0.75</v>
      </c>
      <c r="F2000" s="485"/>
      <c r="G2000" s="485">
        <v>2.4</v>
      </c>
      <c r="H2000" s="487">
        <f t="shared" si="310"/>
        <v>-5.3999999999999995</v>
      </c>
    </row>
    <row r="2001" spans="1:8">
      <c r="A2001" s="485"/>
      <c r="B2001" s="486"/>
      <c r="C2001" s="17" t="s">
        <v>10</v>
      </c>
      <c r="D2001" s="485">
        <v>1</v>
      </c>
      <c r="E2001" s="485">
        <v>1.88</v>
      </c>
      <c r="F2001" s="485"/>
      <c r="G2001" s="485">
        <v>3.5</v>
      </c>
      <c r="H2001" s="487">
        <f t="shared" si="310"/>
        <v>6.58</v>
      </c>
    </row>
    <row r="2002" spans="1:8">
      <c r="A2002" s="485"/>
      <c r="B2002" s="486"/>
      <c r="C2002" s="17" t="s">
        <v>10</v>
      </c>
      <c r="D2002" s="485">
        <v>2</v>
      </c>
      <c r="E2002" s="485">
        <v>1.98</v>
      </c>
      <c r="F2002" s="485"/>
      <c r="G2002" s="485">
        <v>3.5</v>
      </c>
      <c r="H2002" s="487">
        <f t="shared" si="310"/>
        <v>13.86</v>
      </c>
    </row>
    <row r="2003" spans="1:8">
      <c r="A2003" s="485"/>
      <c r="B2003" s="486" t="s">
        <v>1343</v>
      </c>
      <c r="C2003" s="17" t="s">
        <v>10</v>
      </c>
      <c r="D2003" s="485">
        <v>1</v>
      </c>
      <c r="E2003" s="485">
        <v>2.2000000000000002</v>
      </c>
      <c r="F2003" s="485"/>
      <c r="G2003" s="485">
        <v>3.5</v>
      </c>
      <c r="H2003" s="487">
        <f t="shared" si="310"/>
        <v>7.7000000000000011</v>
      </c>
    </row>
    <row r="2004" spans="1:8">
      <c r="A2004" s="485"/>
      <c r="B2004" s="486" t="s">
        <v>312</v>
      </c>
      <c r="C2004" s="17" t="s">
        <v>10</v>
      </c>
      <c r="D2004" s="485">
        <v>0</v>
      </c>
      <c r="E2004" s="485">
        <v>7.66</v>
      </c>
      <c r="F2004" s="485"/>
      <c r="G2004" s="485">
        <v>1.05</v>
      </c>
      <c r="H2004" s="487">
        <f t="shared" si="310"/>
        <v>0</v>
      </c>
    </row>
    <row r="2005" spans="1:8">
      <c r="A2005" s="485"/>
      <c r="B2005" s="486" t="s">
        <v>2004</v>
      </c>
      <c r="C2005" s="17" t="s">
        <v>10</v>
      </c>
      <c r="D2005" s="485">
        <v>0</v>
      </c>
      <c r="E2005" s="485">
        <v>1.31</v>
      </c>
      <c r="F2005" s="485"/>
      <c r="G2005" s="485">
        <v>3.5</v>
      </c>
      <c r="H2005" s="487">
        <f t="shared" si="310"/>
        <v>0</v>
      </c>
    </row>
    <row r="2006" spans="1:8">
      <c r="A2006" s="485"/>
      <c r="B2006" s="486" t="s">
        <v>1201</v>
      </c>
      <c r="C2006" s="17" t="s">
        <v>10</v>
      </c>
      <c r="D2006" s="485">
        <v>1</v>
      </c>
      <c r="E2006" s="485">
        <v>1.9</v>
      </c>
      <c r="F2006" s="485"/>
      <c r="G2006" s="485">
        <v>3.5</v>
      </c>
      <c r="H2006" s="487">
        <f t="shared" si="310"/>
        <v>6.6499999999999995</v>
      </c>
    </row>
    <row r="2007" spans="1:8">
      <c r="A2007" s="485"/>
      <c r="B2007" s="486"/>
      <c r="C2007" s="17" t="s">
        <v>10</v>
      </c>
      <c r="D2007" s="485">
        <v>1</v>
      </c>
      <c r="E2007" s="485">
        <v>3.7</v>
      </c>
      <c r="F2007" s="485"/>
      <c r="G2007" s="485">
        <v>3.5</v>
      </c>
      <c r="H2007" s="487">
        <f t="shared" si="310"/>
        <v>12.950000000000001</v>
      </c>
    </row>
    <row r="2008" spans="1:8">
      <c r="A2008" s="485"/>
      <c r="B2008" s="486"/>
      <c r="C2008" s="17" t="s">
        <v>10</v>
      </c>
      <c r="D2008" s="485">
        <v>2</v>
      </c>
      <c r="E2008" s="485">
        <v>0.15</v>
      </c>
      <c r="F2008" s="485"/>
      <c r="G2008" s="485">
        <v>3.5</v>
      </c>
      <c r="H2008" s="487">
        <f t="shared" si="310"/>
        <v>1.05</v>
      </c>
    </row>
    <row r="2009" spans="1:8">
      <c r="A2009" s="485"/>
      <c r="B2009" s="486"/>
      <c r="C2009" s="17" t="s">
        <v>10</v>
      </c>
      <c r="D2009" s="485">
        <v>1</v>
      </c>
      <c r="E2009" s="485">
        <v>2.81</v>
      </c>
      <c r="F2009" s="485"/>
      <c r="G2009" s="485">
        <v>1.1000000000000001</v>
      </c>
      <c r="H2009" s="487">
        <f t="shared" si="310"/>
        <v>3.0910000000000002</v>
      </c>
    </row>
    <row r="2010" spans="1:8">
      <c r="A2010" s="485"/>
      <c r="B2010" s="486" t="s">
        <v>1202</v>
      </c>
      <c r="C2010" s="17" t="s">
        <v>10</v>
      </c>
      <c r="D2010" s="485">
        <v>2</v>
      </c>
      <c r="E2010" s="485">
        <v>3.7</v>
      </c>
      <c r="F2010" s="485"/>
      <c r="G2010" s="485">
        <v>3.5</v>
      </c>
      <c r="H2010" s="487">
        <f t="shared" si="310"/>
        <v>25.900000000000002</v>
      </c>
    </row>
    <row r="2011" spans="1:8">
      <c r="A2011" s="485"/>
      <c r="B2011" s="486"/>
      <c r="C2011" s="17" t="s">
        <v>10</v>
      </c>
      <c r="D2011" s="485">
        <v>2</v>
      </c>
      <c r="E2011" s="485">
        <v>0.15</v>
      </c>
      <c r="F2011" s="485"/>
      <c r="G2011" s="485">
        <v>3.5</v>
      </c>
      <c r="H2011" s="487">
        <f t="shared" si="310"/>
        <v>1.05</v>
      </c>
    </row>
    <row r="2012" spans="1:8">
      <c r="A2012" s="485"/>
      <c r="B2012" s="486"/>
      <c r="C2012" s="17" t="s">
        <v>10</v>
      </c>
      <c r="D2012" s="485">
        <v>1</v>
      </c>
      <c r="E2012" s="485">
        <v>2.8</v>
      </c>
      <c r="F2012" s="485"/>
      <c r="G2012" s="485">
        <v>1.1000000000000001</v>
      </c>
      <c r="H2012" s="487">
        <f t="shared" si="310"/>
        <v>3.08</v>
      </c>
    </row>
    <row r="2013" spans="1:8">
      <c r="A2013" s="485"/>
      <c r="B2013" s="486"/>
      <c r="C2013" s="17" t="s">
        <v>10</v>
      </c>
      <c r="D2013" s="485">
        <v>1</v>
      </c>
      <c r="E2013" s="485">
        <v>1.25</v>
      </c>
      <c r="F2013" s="485"/>
      <c r="G2013" s="485">
        <v>3.5</v>
      </c>
      <c r="H2013" s="487">
        <f t="shared" si="310"/>
        <v>4.375</v>
      </c>
    </row>
    <row r="2014" spans="1:8">
      <c r="A2014" s="485"/>
      <c r="B2014" s="486" t="s">
        <v>1343</v>
      </c>
      <c r="C2014" s="17" t="s">
        <v>10</v>
      </c>
      <c r="D2014" s="485">
        <v>1</v>
      </c>
      <c r="E2014" s="485">
        <v>2.35</v>
      </c>
      <c r="F2014" s="485"/>
      <c r="G2014" s="485">
        <v>3.5</v>
      </c>
      <c r="H2014" s="487">
        <f t="shared" si="310"/>
        <v>8.2249999999999996</v>
      </c>
    </row>
    <row r="2015" spans="1:8">
      <c r="A2015" s="485"/>
      <c r="B2015" s="486"/>
      <c r="C2015" s="17" t="s">
        <v>10</v>
      </c>
      <c r="D2015" s="485">
        <v>1</v>
      </c>
      <c r="E2015" s="485">
        <v>1.47</v>
      </c>
      <c r="F2015" s="485"/>
      <c r="G2015" s="485">
        <v>3.5</v>
      </c>
      <c r="H2015" s="487">
        <f t="shared" si="310"/>
        <v>5.1449999999999996</v>
      </c>
    </row>
    <row r="2016" spans="1:8">
      <c r="A2016" s="485"/>
      <c r="B2016" s="486"/>
      <c r="C2016" s="17" t="s">
        <v>10</v>
      </c>
      <c r="D2016" s="485">
        <v>0</v>
      </c>
      <c r="E2016" s="485">
        <v>1.56</v>
      </c>
      <c r="F2016" s="485"/>
      <c r="G2016" s="485">
        <v>3.5</v>
      </c>
      <c r="H2016" s="487">
        <f t="shared" ref="H2016:H2080" si="311">PRODUCT(D2016:G2016)</f>
        <v>0</v>
      </c>
    </row>
    <row r="2017" spans="1:8">
      <c r="A2017" s="485"/>
      <c r="B2017" s="486" t="s">
        <v>1262</v>
      </c>
      <c r="C2017" s="17" t="s">
        <v>10</v>
      </c>
      <c r="D2017" s="485">
        <v>2</v>
      </c>
      <c r="E2017" s="485">
        <v>3.7</v>
      </c>
      <c r="F2017" s="485"/>
      <c r="G2017" s="485">
        <v>3.5</v>
      </c>
      <c r="H2017" s="487">
        <f t="shared" si="311"/>
        <v>25.900000000000002</v>
      </c>
    </row>
    <row r="2018" spans="1:8">
      <c r="A2018" s="485"/>
      <c r="B2018" s="486"/>
      <c r="C2018" s="17" t="s">
        <v>10</v>
      </c>
      <c r="D2018" s="485">
        <v>2</v>
      </c>
      <c r="E2018" s="485">
        <v>0.15</v>
      </c>
      <c r="F2018" s="485"/>
      <c r="G2018" s="485">
        <v>3.5</v>
      </c>
      <c r="H2018" s="487">
        <f t="shared" si="311"/>
        <v>1.05</v>
      </c>
    </row>
    <row r="2019" spans="1:8">
      <c r="A2019" s="485"/>
      <c r="B2019" s="486"/>
      <c r="C2019" s="17" t="s">
        <v>10</v>
      </c>
      <c r="D2019" s="485">
        <v>1</v>
      </c>
      <c r="E2019" s="485">
        <v>3.9</v>
      </c>
      <c r="F2019" s="485"/>
      <c r="G2019" s="485">
        <v>3.5</v>
      </c>
      <c r="H2019" s="487">
        <f t="shared" si="311"/>
        <v>13.65</v>
      </c>
    </row>
    <row r="2020" spans="1:8">
      <c r="A2020" s="485"/>
      <c r="B2020" s="486" t="s">
        <v>1343</v>
      </c>
      <c r="C2020" s="17" t="s">
        <v>10</v>
      </c>
      <c r="D2020" s="485">
        <v>0</v>
      </c>
      <c r="E2020" s="485">
        <v>2.8</v>
      </c>
      <c r="F2020" s="485"/>
      <c r="G2020" s="485">
        <v>2.7</v>
      </c>
      <c r="H2020" s="487">
        <f t="shared" si="311"/>
        <v>0</v>
      </c>
    </row>
    <row r="2021" spans="1:8">
      <c r="A2021" s="485"/>
      <c r="B2021" s="486"/>
      <c r="C2021" s="17" t="s">
        <v>10</v>
      </c>
      <c r="D2021" s="485">
        <v>0</v>
      </c>
      <c r="E2021" s="485">
        <v>1.1000000000000001</v>
      </c>
      <c r="F2021" s="485"/>
      <c r="G2021" s="485">
        <v>2.4</v>
      </c>
      <c r="H2021" s="487">
        <f t="shared" si="311"/>
        <v>0</v>
      </c>
    </row>
    <row r="2022" spans="1:8">
      <c r="A2022" s="485"/>
      <c r="B2022" s="486" t="s">
        <v>1242</v>
      </c>
      <c r="C2022" s="17" t="s">
        <v>10</v>
      </c>
      <c r="D2022" s="485">
        <v>2</v>
      </c>
      <c r="E2022" s="485">
        <v>0.15</v>
      </c>
      <c r="F2022" s="485"/>
      <c r="G2022" s="485">
        <v>3.5</v>
      </c>
      <c r="H2022" s="487">
        <f t="shared" si="311"/>
        <v>1.05</v>
      </c>
    </row>
    <row r="2023" spans="1:8">
      <c r="A2023" s="485"/>
      <c r="B2023" s="486"/>
      <c r="C2023" s="17" t="s">
        <v>10</v>
      </c>
      <c r="D2023" s="485">
        <v>1</v>
      </c>
      <c r="E2023" s="485">
        <v>6.2</v>
      </c>
      <c r="F2023" s="485"/>
      <c r="G2023" s="485">
        <v>1.1000000000000001</v>
      </c>
      <c r="H2023" s="487">
        <f t="shared" si="311"/>
        <v>6.8200000000000012</v>
      </c>
    </row>
    <row r="2024" spans="1:8">
      <c r="A2024" s="485"/>
      <c r="B2024" s="486"/>
      <c r="C2024" s="17" t="s">
        <v>10</v>
      </c>
      <c r="D2024" s="485">
        <v>2</v>
      </c>
      <c r="E2024" s="485">
        <v>3.9</v>
      </c>
      <c r="F2024" s="485"/>
      <c r="G2024" s="485">
        <v>3.5</v>
      </c>
      <c r="H2024" s="487">
        <f t="shared" si="311"/>
        <v>27.3</v>
      </c>
    </row>
    <row r="2025" spans="1:8">
      <c r="A2025" s="485"/>
      <c r="B2025" s="486" t="s">
        <v>1343</v>
      </c>
      <c r="C2025" s="17" t="s">
        <v>10</v>
      </c>
      <c r="D2025" s="485">
        <v>0</v>
      </c>
      <c r="E2025" s="485">
        <v>3.8</v>
      </c>
      <c r="F2025" s="485"/>
      <c r="G2025" s="485">
        <v>2.7</v>
      </c>
      <c r="H2025" s="487">
        <f t="shared" si="311"/>
        <v>0</v>
      </c>
    </row>
    <row r="2026" spans="1:8">
      <c r="A2026" s="485"/>
      <c r="B2026" s="486"/>
      <c r="C2026" s="17" t="s">
        <v>10</v>
      </c>
      <c r="D2026" s="485">
        <v>0</v>
      </c>
      <c r="E2026" s="485">
        <v>2.0499999999999998</v>
      </c>
      <c r="F2026" s="485"/>
      <c r="G2026" s="485">
        <v>2.7</v>
      </c>
      <c r="H2026" s="487">
        <f t="shared" si="311"/>
        <v>0</v>
      </c>
    </row>
    <row r="2027" spans="1:8">
      <c r="A2027" s="485"/>
      <c r="B2027" s="486"/>
      <c r="C2027" s="17" t="s">
        <v>10</v>
      </c>
      <c r="D2027" s="485">
        <v>0</v>
      </c>
      <c r="E2027" s="485">
        <v>4.45</v>
      </c>
      <c r="F2027" s="485"/>
      <c r="G2027" s="485">
        <v>1.1000000000000001</v>
      </c>
      <c r="H2027" s="487">
        <f t="shared" si="311"/>
        <v>0</v>
      </c>
    </row>
    <row r="2028" spans="1:8">
      <c r="A2028" s="485"/>
      <c r="B2028" s="486" t="s">
        <v>1243</v>
      </c>
      <c r="C2028" s="17" t="s">
        <v>10</v>
      </c>
      <c r="D2028" s="485">
        <v>2</v>
      </c>
      <c r="E2028" s="485">
        <v>0.15</v>
      </c>
      <c r="F2028" s="485"/>
      <c r="G2028" s="485">
        <v>3.5</v>
      </c>
      <c r="H2028" s="487">
        <f t="shared" si="311"/>
        <v>1.05</v>
      </c>
    </row>
    <row r="2029" spans="1:8">
      <c r="A2029" s="485"/>
      <c r="B2029" s="486"/>
      <c r="C2029" s="17" t="s">
        <v>10</v>
      </c>
      <c r="D2029" s="485">
        <v>2</v>
      </c>
      <c r="E2029" s="485">
        <v>3.9</v>
      </c>
      <c r="F2029" s="485"/>
      <c r="G2029" s="485">
        <v>3.5</v>
      </c>
      <c r="H2029" s="487">
        <f t="shared" si="311"/>
        <v>27.3</v>
      </c>
    </row>
    <row r="2030" spans="1:8">
      <c r="A2030" s="485"/>
      <c r="B2030" s="486"/>
      <c r="C2030" s="17" t="s">
        <v>10</v>
      </c>
      <c r="D2030" s="485">
        <v>1</v>
      </c>
      <c r="E2030" s="485">
        <v>4.7</v>
      </c>
      <c r="F2030" s="485"/>
      <c r="G2030" s="485">
        <v>1.1000000000000001</v>
      </c>
      <c r="H2030" s="487">
        <f t="shared" si="311"/>
        <v>5.1700000000000008</v>
      </c>
    </row>
    <row r="2031" spans="1:8">
      <c r="A2031" s="485"/>
      <c r="B2031" s="486" t="s">
        <v>1343</v>
      </c>
      <c r="C2031" s="17" t="s">
        <v>10</v>
      </c>
      <c r="D2031" s="485">
        <v>0</v>
      </c>
      <c r="E2031" s="485">
        <v>3.8</v>
      </c>
      <c r="F2031" s="485"/>
      <c r="G2031" s="485">
        <v>2.7</v>
      </c>
      <c r="H2031" s="487">
        <f t="shared" si="311"/>
        <v>0</v>
      </c>
    </row>
    <row r="2032" spans="1:8">
      <c r="A2032" s="485"/>
      <c r="B2032" s="486"/>
      <c r="C2032" s="17" t="s">
        <v>10</v>
      </c>
      <c r="D2032" s="485">
        <v>0</v>
      </c>
      <c r="E2032" s="485">
        <v>0.65</v>
      </c>
      <c r="F2032" s="485"/>
      <c r="G2032" s="485">
        <v>2.7</v>
      </c>
      <c r="H2032" s="487">
        <f t="shared" si="311"/>
        <v>0</v>
      </c>
    </row>
    <row r="2033" spans="1:8">
      <c r="A2033" s="485"/>
      <c r="B2033" s="486"/>
      <c r="C2033" s="17" t="s">
        <v>10</v>
      </c>
      <c r="D2033" s="485">
        <v>1</v>
      </c>
      <c r="E2033" s="485">
        <v>4.3650000000000002</v>
      </c>
      <c r="F2033" s="485"/>
      <c r="G2033" s="485">
        <v>1.1000000000000001</v>
      </c>
      <c r="H2033" s="487">
        <f t="shared" si="311"/>
        <v>4.8015000000000008</v>
      </c>
    </row>
    <row r="2034" spans="1:8">
      <c r="A2034" s="485"/>
      <c r="B2034" s="486" t="s">
        <v>1404</v>
      </c>
      <c r="C2034" s="17" t="s">
        <v>10</v>
      </c>
      <c r="D2034" s="485">
        <v>2</v>
      </c>
      <c r="E2034" s="485">
        <v>4.45</v>
      </c>
      <c r="F2034" s="485"/>
      <c r="G2034" s="485">
        <v>3.5</v>
      </c>
      <c r="H2034" s="487">
        <f t="shared" si="311"/>
        <v>31.150000000000002</v>
      </c>
    </row>
    <row r="2035" spans="1:8">
      <c r="A2035" s="485"/>
      <c r="B2035" s="486"/>
      <c r="C2035" s="17" t="s">
        <v>10</v>
      </c>
      <c r="D2035" s="485">
        <v>-2</v>
      </c>
      <c r="E2035" s="485">
        <v>1</v>
      </c>
      <c r="F2035" s="485"/>
      <c r="G2035" s="485">
        <v>2.4</v>
      </c>
      <c r="H2035" s="487">
        <f t="shared" si="311"/>
        <v>-4.8</v>
      </c>
    </row>
    <row r="2036" spans="1:8">
      <c r="A2036" s="485"/>
      <c r="B2036" s="486" t="s">
        <v>2005</v>
      </c>
      <c r="C2036" s="17" t="s">
        <v>10</v>
      </c>
      <c r="D2036" s="485">
        <v>1</v>
      </c>
      <c r="E2036" s="485">
        <v>3.8</v>
      </c>
      <c r="F2036" s="485"/>
      <c r="G2036" s="485">
        <v>2.7</v>
      </c>
      <c r="H2036" s="487">
        <f t="shared" si="311"/>
        <v>10.26</v>
      </c>
    </row>
    <row r="2037" spans="1:8">
      <c r="A2037" s="485"/>
      <c r="B2037" s="486" t="s">
        <v>2005</v>
      </c>
      <c r="C2037" s="17" t="s">
        <v>10</v>
      </c>
      <c r="D2037" s="485">
        <v>1</v>
      </c>
      <c r="E2037" s="485">
        <v>4.45</v>
      </c>
      <c r="F2037" s="485"/>
      <c r="G2037" s="485">
        <v>2.7</v>
      </c>
      <c r="H2037" s="487">
        <f t="shared" si="311"/>
        <v>12.015000000000001</v>
      </c>
    </row>
    <row r="2038" spans="1:8">
      <c r="A2038" s="485"/>
      <c r="B2038" s="486" t="s">
        <v>172</v>
      </c>
      <c r="C2038" s="17" t="s">
        <v>10</v>
      </c>
      <c r="D2038" s="485">
        <v>1</v>
      </c>
      <c r="E2038" s="485">
        <v>6.75</v>
      </c>
      <c r="F2038" s="485"/>
      <c r="G2038" s="485">
        <v>1.05</v>
      </c>
      <c r="H2038" s="487">
        <f t="shared" si="311"/>
        <v>7.0875000000000004</v>
      </c>
    </row>
    <row r="2039" spans="1:8">
      <c r="A2039" s="485"/>
      <c r="B2039" s="486" t="s">
        <v>2006</v>
      </c>
      <c r="C2039" s="17" t="s">
        <v>10</v>
      </c>
      <c r="D2039" s="485">
        <v>1</v>
      </c>
      <c r="E2039" s="485">
        <v>3.5</v>
      </c>
      <c r="F2039" s="485"/>
      <c r="G2039" s="485">
        <v>3.5</v>
      </c>
      <c r="H2039" s="487">
        <f t="shared" si="311"/>
        <v>12.25</v>
      </c>
    </row>
    <row r="2040" spans="1:8">
      <c r="A2040" s="485"/>
      <c r="B2040" s="486"/>
      <c r="C2040" s="17" t="s">
        <v>10</v>
      </c>
      <c r="D2040" s="485">
        <v>2</v>
      </c>
      <c r="E2040" s="485">
        <v>0.15</v>
      </c>
      <c r="F2040" s="485"/>
      <c r="G2040" s="485">
        <v>3.5</v>
      </c>
      <c r="H2040" s="487">
        <f t="shared" si="311"/>
        <v>1.05</v>
      </c>
    </row>
    <row r="2041" spans="1:8">
      <c r="A2041" s="485"/>
      <c r="B2041" s="486"/>
      <c r="C2041" s="17" t="s">
        <v>10</v>
      </c>
      <c r="D2041" s="485">
        <v>1</v>
      </c>
      <c r="E2041" s="485">
        <v>3.9</v>
      </c>
      <c r="F2041" s="485"/>
      <c r="G2041" s="485">
        <v>1.1000000000000001</v>
      </c>
      <c r="H2041" s="487">
        <f t="shared" si="311"/>
        <v>4.29</v>
      </c>
    </row>
    <row r="2042" spans="1:8">
      <c r="A2042" s="485"/>
      <c r="B2042" s="486"/>
      <c r="C2042" s="17" t="s">
        <v>10</v>
      </c>
      <c r="D2042" s="485">
        <v>2</v>
      </c>
      <c r="E2042" s="485">
        <v>3.7</v>
      </c>
      <c r="F2042" s="485"/>
      <c r="G2042" s="485">
        <v>3.5</v>
      </c>
      <c r="H2042" s="487">
        <f t="shared" si="311"/>
        <v>25.900000000000002</v>
      </c>
    </row>
    <row r="2043" spans="1:8">
      <c r="A2043" s="485"/>
      <c r="B2043" s="486" t="s">
        <v>1343</v>
      </c>
      <c r="C2043" s="17" t="s">
        <v>10</v>
      </c>
      <c r="D2043" s="485">
        <v>0</v>
      </c>
      <c r="E2043" s="485">
        <v>4.3499999999999996</v>
      </c>
      <c r="F2043" s="485"/>
      <c r="G2043" s="485">
        <v>2.7</v>
      </c>
      <c r="H2043" s="487">
        <f t="shared" si="311"/>
        <v>0</v>
      </c>
    </row>
    <row r="2044" spans="1:8">
      <c r="A2044" s="485"/>
      <c r="B2044" s="486" t="s">
        <v>1310</v>
      </c>
      <c r="C2044" s="17" t="s">
        <v>10</v>
      </c>
      <c r="D2044" s="485">
        <v>2</v>
      </c>
      <c r="E2044" s="485">
        <v>0.15</v>
      </c>
      <c r="F2044" s="485"/>
      <c r="G2044" s="485">
        <v>3.5</v>
      </c>
      <c r="H2044" s="487">
        <f t="shared" si="311"/>
        <v>1.05</v>
      </c>
    </row>
    <row r="2045" spans="1:8">
      <c r="A2045" s="485"/>
      <c r="B2045" s="486"/>
      <c r="C2045" s="17" t="s">
        <v>10</v>
      </c>
      <c r="D2045" s="485">
        <v>1</v>
      </c>
      <c r="E2045" s="485">
        <v>3.26</v>
      </c>
      <c r="F2045" s="485"/>
      <c r="G2045" s="485">
        <v>1.1000000000000001</v>
      </c>
      <c r="H2045" s="487">
        <f t="shared" si="311"/>
        <v>3.5859999999999999</v>
      </c>
    </row>
    <row r="2046" spans="1:8">
      <c r="A2046" s="485"/>
      <c r="B2046" s="486"/>
      <c r="C2046" s="17" t="s">
        <v>10</v>
      </c>
      <c r="D2046" s="485">
        <v>2</v>
      </c>
      <c r="E2046" s="485">
        <v>3.7</v>
      </c>
      <c r="F2046" s="485"/>
      <c r="G2046" s="485">
        <v>3.5</v>
      </c>
      <c r="H2046" s="487">
        <f t="shared" si="311"/>
        <v>25.900000000000002</v>
      </c>
    </row>
    <row r="2047" spans="1:8">
      <c r="A2047" s="485"/>
      <c r="B2047" s="486"/>
      <c r="C2047" s="17" t="s">
        <v>10</v>
      </c>
      <c r="D2047" s="485">
        <v>0</v>
      </c>
      <c r="E2047" s="485">
        <v>3.56</v>
      </c>
      <c r="F2047" s="485"/>
      <c r="G2047" s="485">
        <v>2.7</v>
      </c>
      <c r="H2047" s="487">
        <f t="shared" si="311"/>
        <v>0</v>
      </c>
    </row>
    <row r="2048" spans="1:8">
      <c r="A2048" s="485"/>
      <c r="B2048" s="486" t="s">
        <v>2007</v>
      </c>
      <c r="C2048" s="17" t="s">
        <v>10</v>
      </c>
      <c r="D2048" s="485">
        <v>1</v>
      </c>
      <c r="E2048" s="485">
        <v>6.67</v>
      </c>
      <c r="F2048" s="485"/>
      <c r="G2048" s="485">
        <v>3.5</v>
      </c>
      <c r="H2048" s="487">
        <f t="shared" si="311"/>
        <v>23.344999999999999</v>
      </c>
    </row>
    <row r="2049" spans="1:8">
      <c r="A2049" s="485"/>
      <c r="B2049" s="486"/>
      <c r="C2049" s="17" t="s">
        <v>10</v>
      </c>
      <c r="D2049" s="485">
        <v>1</v>
      </c>
      <c r="E2049" s="485">
        <v>0.15</v>
      </c>
      <c r="F2049" s="485"/>
      <c r="G2049" s="485">
        <v>3.5</v>
      </c>
      <c r="H2049" s="487">
        <f t="shared" si="311"/>
        <v>0.52500000000000002</v>
      </c>
    </row>
    <row r="2050" spans="1:8">
      <c r="A2050" s="485"/>
      <c r="B2050" s="486"/>
      <c r="C2050" s="17" t="s">
        <v>10</v>
      </c>
      <c r="D2050" s="485">
        <v>1</v>
      </c>
      <c r="E2050" s="485">
        <v>3</v>
      </c>
      <c r="F2050" s="485"/>
      <c r="G2050" s="485">
        <v>1.1000000000000001</v>
      </c>
      <c r="H2050" s="487">
        <f t="shared" si="311"/>
        <v>3.3000000000000003</v>
      </c>
    </row>
    <row r="2051" spans="1:8">
      <c r="A2051" s="485"/>
      <c r="B2051" s="486"/>
      <c r="C2051" s="17" t="s">
        <v>10</v>
      </c>
      <c r="D2051" s="485">
        <v>1</v>
      </c>
      <c r="E2051" s="485">
        <v>4.3</v>
      </c>
      <c r="F2051" s="485"/>
      <c r="G2051" s="485">
        <v>3.5</v>
      </c>
      <c r="H2051" s="487">
        <f t="shared" si="311"/>
        <v>15.049999999999999</v>
      </c>
    </row>
    <row r="2052" spans="1:8">
      <c r="A2052" s="485"/>
      <c r="B2052" s="486" t="s">
        <v>2008</v>
      </c>
      <c r="C2052" s="17" t="s">
        <v>10</v>
      </c>
      <c r="D2052" s="485">
        <v>1</v>
      </c>
      <c r="E2052" s="485">
        <v>3</v>
      </c>
      <c r="F2052" s="485"/>
      <c r="G2052" s="485">
        <v>1.1000000000000001</v>
      </c>
      <c r="H2052" s="487">
        <f t="shared" si="311"/>
        <v>3.3000000000000003</v>
      </c>
    </row>
    <row r="2053" spans="1:8">
      <c r="A2053" s="485"/>
      <c r="B2053" s="486"/>
      <c r="C2053" s="17" t="s">
        <v>10</v>
      </c>
      <c r="D2053" s="485">
        <v>1</v>
      </c>
      <c r="E2053" s="485">
        <v>6.67</v>
      </c>
      <c r="F2053" s="485"/>
      <c r="G2053" s="485">
        <v>3.5</v>
      </c>
      <c r="H2053" s="487">
        <f t="shared" si="311"/>
        <v>23.344999999999999</v>
      </c>
    </row>
    <row r="2054" spans="1:8">
      <c r="A2054" s="485"/>
      <c r="B2054" s="486"/>
      <c r="C2054" s="17" t="s">
        <v>10</v>
      </c>
      <c r="D2054" s="485">
        <v>1</v>
      </c>
      <c r="E2054" s="485">
        <v>0.15</v>
      </c>
      <c r="F2054" s="485"/>
      <c r="G2054" s="485">
        <v>3.5</v>
      </c>
      <c r="H2054" s="487">
        <f t="shared" si="311"/>
        <v>0.52500000000000002</v>
      </c>
    </row>
    <row r="2055" spans="1:8">
      <c r="A2055" s="485"/>
      <c r="B2055" s="486" t="s">
        <v>201</v>
      </c>
      <c r="C2055" s="17" t="s">
        <v>10</v>
      </c>
      <c r="D2055" s="485">
        <v>1</v>
      </c>
      <c r="E2055" s="485">
        <v>1.4419999999999999</v>
      </c>
      <c r="F2055" s="485"/>
      <c r="G2055" s="485">
        <v>3.5</v>
      </c>
      <c r="H2055" s="487">
        <f t="shared" si="311"/>
        <v>5.0469999999999997</v>
      </c>
    </row>
    <row r="2056" spans="1:8">
      <c r="A2056" s="485"/>
      <c r="B2056" s="486" t="s">
        <v>1343</v>
      </c>
      <c r="C2056" s="17" t="s">
        <v>10</v>
      </c>
      <c r="D2056" s="485">
        <v>2</v>
      </c>
      <c r="E2056" s="485">
        <v>1.47</v>
      </c>
      <c r="F2056" s="485"/>
      <c r="G2056" s="485">
        <v>3.5</v>
      </c>
      <c r="H2056" s="487">
        <f t="shared" si="311"/>
        <v>10.29</v>
      </c>
    </row>
    <row r="2057" spans="1:8">
      <c r="A2057" s="485"/>
      <c r="B2057" s="486"/>
      <c r="C2057" s="17" t="s">
        <v>10</v>
      </c>
      <c r="D2057" s="485">
        <v>0</v>
      </c>
      <c r="E2057" s="485">
        <v>1.05</v>
      </c>
      <c r="F2057" s="485"/>
      <c r="G2057" s="485">
        <v>3.5</v>
      </c>
      <c r="H2057" s="487">
        <f t="shared" si="311"/>
        <v>0</v>
      </c>
    </row>
    <row r="2058" spans="1:8">
      <c r="A2058" s="485"/>
      <c r="B2058" s="486" t="s">
        <v>2009</v>
      </c>
      <c r="C2058" s="17" t="s">
        <v>10</v>
      </c>
      <c r="D2058" s="485">
        <v>1</v>
      </c>
      <c r="E2058" s="485">
        <v>1.05</v>
      </c>
      <c r="F2058" s="485"/>
      <c r="G2058" s="485">
        <v>3.5</v>
      </c>
      <c r="H2058" s="487">
        <f t="shared" si="311"/>
        <v>3.6750000000000003</v>
      </c>
    </row>
    <row r="2059" spans="1:8">
      <c r="A2059" s="485"/>
      <c r="B2059" s="486" t="s">
        <v>1213</v>
      </c>
      <c r="C2059" s="17" t="s">
        <v>10</v>
      </c>
      <c r="D2059" s="485">
        <v>1</v>
      </c>
      <c r="E2059" s="485">
        <v>6.78</v>
      </c>
      <c r="F2059" s="485"/>
      <c r="G2059" s="485">
        <v>3.5</v>
      </c>
      <c r="H2059" s="487">
        <f t="shared" si="311"/>
        <v>23.73</v>
      </c>
    </row>
    <row r="2060" spans="1:8">
      <c r="A2060" s="485"/>
      <c r="B2060" s="486"/>
      <c r="C2060" s="17" t="s">
        <v>10</v>
      </c>
      <c r="D2060" s="485">
        <v>2</v>
      </c>
      <c r="E2060" s="485">
        <v>3.55</v>
      </c>
      <c r="F2060" s="485"/>
      <c r="G2060" s="485">
        <v>3.5</v>
      </c>
      <c r="H2060" s="487">
        <f t="shared" si="311"/>
        <v>24.849999999999998</v>
      </c>
    </row>
    <row r="2061" spans="1:8">
      <c r="A2061" s="485"/>
      <c r="B2061" s="486"/>
      <c r="C2061" s="17" t="s">
        <v>10</v>
      </c>
      <c r="D2061" s="485">
        <v>2</v>
      </c>
      <c r="E2061" s="485">
        <v>0.15</v>
      </c>
      <c r="F2061" s="485"/>
      <c r="G2061" s="485">
        <v>3.5</v>
      </c>
      <c r="H2061" s="487">
        <f t="shared" si="311"/>
        <v>1.05</v>
      </c>
    </row>
    <row r="2062" spans="1:8">
      <c r="A2062" s="485"/>
      <c r="B2062" s="486"/>
      <c r="C2062" s="17" t="s">
        <v>10</v>
      </c>
      <c r="D2062" s="485">
        <v>1</v>
      </c>
      <c r="E2062" s="485">
        <v>2.8</v>
      </c>
      <c r="F2062" s="485"/>
      <c r="G2062" s="485">
        <v>1.1000000000000001</v>
      </c>
      <c r="H2062" s="487">
        <f t="shared" si="311"/>
        <v>3.08</v>
      </c>
    </row>
    <row r="2063" spans="1:8">
      <c r="A2063" s="485"/>
      <c r="B2063" s="486" t="s">
        <v>1214</v>
      </c>
      <c r="C2063" s="17" t="s">
        <v>10</v>
      </c>
      <c r="D2063" s="485">
        <v>2</v>
      </c>
      <c r="E2063" s="485">
        <v>0.15</v>
      </c>
      <c r="F2063" s="485"/>
      <c r="G2063" s="485">
        <v>3.5</v>
      </c>
      <c r="H2063" s="487">
        <f t="shared" si="311"/>
        <v>1.05</v>
      </c>
    </row>
    <row r="2064" spans="1:8">
      <c r="A2064" s="485"/>
      <c r="B2064" s="486"/>
      <c r="C2064" s="17" t="s">
        <v>10</v>
      </c>
      <c r="D2064" s="485">
        <v>1</v>
      </c>
      <c r="E2064" s="485">
        <v>2.6</v>
      </c>
      <c r="F2064" s="485"/>
      <c r="G2064" s="485">
        <v>1.1000000000000001</v>
      </c>
      <c r="H2064" s="487">
        <f t="shared" si="311"/>
        <v>2.8600000000000003</v>
      </c>
    </row>
    <row r="2065" spans="1:8">
      <c r="A2065" s="485"/>
      <c r="B2065" s="486"/>
      <c r="C2065" s="17" t="s">
        <v>10</v>
      </c>
      <c r="D2065" s="485">
        <v>2</v>
      </c>
      <c r="E2065" s="485">
        <v>3.55</v>
      </c>
      <c r="F2065" s="485"/>
      <c r="G2065" s="485">
        <v>3.5</v>
      </c>
      <c r="H2065" s="487">
        <f t="shared" si="311"/>
        <v>24.849999999999998</v>
      </c>
    </row>
    <row r="2066" spans="1:8">
      <c r="A2066" s="485"/>
      <c r="B2066" s="486"/>
      <c r="C2066" s="17" t="s">
        <v>10</v>
      </c>
      <c r="D2066" s="485">
        <v>1</v>
      </c>
      <c r="E2066" s="485">
        <v>3.35</v>
      </c>
      <c r="F2066" s="485"/>
      <c r="G2066" s="485">
        <v>3.5</v>
      </c>
      <c r="H2066" s="487">
        <f t="shared" si="311"/>
        <v>11.725</v>
      </c>
    </row>
    <row r="2067" spans="1:8">
      <c r="A2067" s="485"/>
      <c r="B2067" s="486" t="s">
        <v>1217</v>
      </c>
      <c r="C2067" s="17" t="s">
        <v>10</v>
      </c>
      <c r="D2067" s="485">
        <v>2</v>
      </c>
      <c r="E2067" s="485">
        <v>0.15</v>
      </c>
      <c r="F2067" s="485"/>
      <c r="G2067" s="485">
        <v>3.5</v>
      </c>
      <c r="H2067" s="487">
        <f t="shared" si="311"/>
        <v>1.05</v>
      </c>
    </row>
    <row r="2068" spans="1:8">
      <c r="A2068" s="485"/>
      <c r="B2068" s="486"/>
      <c r="C2068" s="17" t="s">
        <v>10</v>
      </c>
      <c r="D2068" s="485">
        <v>1</v>
      </c>
      <c r="E2068" s="485">
        <v>1.4</v>
      </c>
      <c r="F2068" s="485"/>
      <c r="G2068" s="485">
        <v>3.5</v>
      </c>
      <c r="H2068" s="487">
        <f t="shared" si="311"/>
        <v>4.8999999999999995</v>
      </c>
    </row>
    <row r="2069" spans="1:8">
      <c r="A2069" s="485"/>
      <c r="B2069" s="486"/>
      <c r="C2069" s="17" t="s">
        <v>10</v>
      </c>
      <c r="D2069" s="485">
        <v>2</v>
      </c>
      <c r="E2069" s="485">
        <v>1</v>
      </c>
      <c r="F2069" s="485"/>
      <c r="G2069" s="485">
        <v>3.5</v>
      </c>
      <c r="H2069" s="487">
        <f t="shared" si="311"/>
        <v>7</v>
      </c>
    </row>
    <row r="2070" spans="1:8">
      <c r="A2070" s="485"/>
      <c r="B2070" s="486"/>
      <c r="C2070" s="17" t="s">
        <v>10</v>
      </c>
      <c r="D2070" s="485">
        <v>1</v>
      </c>
      <c r="E2070" s="485">
        <v>10</v>
      </c>
      <c r="F2070" s="485"/>
      <c r="G2070" s="485">
        <v>1.1000000000000001</v>
      </c>
      <c r="H2070" s="487">
        <f t="shared" si="311"/>
        <v>11</v>
      </c>
    </row>
    <row r="2071" spans="1:8" s="948" customFormat="1">
      <c r="A2071" s="485"/>
      <c r="B2071" s="486"/>
      <c r="C2071" s="17" t="s">
        <v>10</v>
      </c>
      <c r="D2071" s="485">
        <v>1</v>
      </c>
      <c r="E2071" s="485">
        <f>10-2.4</f>
        <v>7.6</v>
      </c>
      <c r="F2071" s="485"/>
      <c r="G2071" s="485">
        <v>1.2</v>
      </c>
      <c r="H2071" s="487">
        <f t="shared" si="311"/>
        <v>9.1199999999999992</v>
      </c>
    </row>
    <row r="2072" spans="1:8">
      <c r="A2072" s="485"/>
      <c r="B2072" s="486" t="s">
        <v>1343</v>
      </c>
      <c r="C2072" s="17" t="s">
        <v>10</v>
      </c>
      <c r="D2072" s="485">
        <v>0</v>
      </c>
      <c r="E2072" s="485">
        <v>6.6</v>
      </c>
      <c r="F2072" s="485"/>
      <c r="G2072" s="485">
        <v>2.7</v>
      </c>
      <c r="H2072" s="487">
        <f t="shared" si="311"/>
        <v>0</v>
      </c>
    </row>
    <row r="2073" spans="1:8">
      <c r="A2073" s="485"/>
      <c r="B2073" s="486"/>
      <c r="C2073" s="17" t="s">
        <v>10</v>
      </c>
      <c r="D2073" s="485">
        <v>0</v>
      </c>
      <c r="E2073" s="485">
        <v>0.6</v>
      </c>
      <c r="F2073" s="485"/>
      <c r="G2073" s="485">
        <v>2.7</v>
      </c>
      <c r="H2073" s="487">
        <f t="shared" si="311"/>
        <v>0</v>
      </c>
    </row>
    <row r="2074" spans="1:8">
      <c r="A2074" s="485"/>
      <c r="B2074" s="486"/>
      <c r="C2074" s="17" t="s">
        <v>10</v>
      </c>
      <c r="D2074" s="485">
        <v>1</v>
      </c>
      <c r="E2074" s="485">
        <v>11</v>
      </c>
      <c r="F2074" s="485"/>
      <c r="G2074" s="485">
        <v>3.5</v>
      </c>
      <c r="H2074" s="487">
        <f t="shared" si="311"/>
        <v>38.5</v>
      </c>
    </row>
    <row r="2075" spans="1:8">
      <c r="A2075" s="485"/>
      <c r="B2075" s="486" t="s">
        <v>1219</v>
      </c>
      <c r="C2075" s="17" t="s">
        <v>10</v>
      </c>
      <c r="D2075" s="485">
        <v>1</v>
      </c>
      <c r="E2075" s="485">
        <v>1.3</v>
      </c>
      <c r="F2075" s="485"/>
      <c r="G2075" s="485">
        <v>3.5</v>
      </c>
      <c r="H2075" s="487">
        <f t="shared" si="311"/>
        <v>4.55</v>
      </c>
    </row>
    <row r="2076" spans="1:8">
      <c r="A2076" s="485"/>
      <c r="B2076" s="486"/>
      <c r="C2076" s="17" t="s">
        <v>10</v>
      </c>
      <c r="D2076" s="485">
        <v>1</v>
      </c>
      <c r="E2076" s="485">
        <v>1.4750000000000001</v>
      </c>
      <c r="F2076" s="485"/>
      <c r="G2076" s="485">
        <v>3.5</v>
      </c>
      <c r="H2076" s="487">
        <f t="shared" si="311"/>
        <v>5.1625000000000005</v>
      </c>
    </row>
    <row r="2077" spans="1:8">
      <c r="A2077" s="485"/>
      <c r="B2077" s="486"/>
      <c r="C2077" s="17" t="s">
        <v>10</v>
      </c>
      <c r="D2077" s="485">
        <v>-1</v>
      </c>
      <c r="E2077" s="485">
        <v>1</v>
      </c>
      <c r="F2077" s="485"/>
      <c r="G2077" s="485">
        <v>2.4</v>
      </c>
      <c r="H2077" s="487">
        <f t="shared" si="311"/>
        <v>-2.4</v>
      </c>
    </row>
    <row r="2078" spans="1:8">
      <c r="A2078" s="485"/>
      <c r="B2078" s="486" t="s">
        <v>1343</v>
      </c>
      <c r="C2078" s="17" t="s">
        <v>10</v>
      </c>
      <c r="D2078" s="485">
        <v>1</v>
      </c>
      <c r="E2078" s="485">
        <v>1.075</v>
      </c>
      <c r="F2078" s="485"/>
      <c r="G2078" s="485">
        <v>3.5</v>
      </c>
      <c r="H2078" s="487">
        <f t="shared" si="311"/>
        <v>3.7624999999999997</v>
      </c>
    </row>
    <row r="2079" spans="1:8">
      <c r="A2079" s="485"/>
      <c r="B2079" s="486" t="s">
        <v>1343</v>
      </c>
      <c r="C2079" s="17" t="s">
        <v>10</v>
      </c>
      <c r="D2079" s="485">
        <v>1</v>
      </c>
      <c r="E2079" s="485">
        <v>1.175</v>
      </c>
      <c r="F2079" s="485"/>
      <c r="G2079" s="485">
        <v>3.5</v>
      </c>
      <c r="H2079" s="487">
        <f t="shared" si="311"/>
        <v>4.1124999999999998</v>
      </c>
    </row>
    <row r="2080" spans="1:8">
      <c r="A2080" s="485"/>
      <c r="B2080" s="486" t="s">
        <v>1343</v>
      </c>
      <c r="C2080" s="17" t="s">
        <v>10</v>
      </c>
      <c r="D2080" s="485">
        <v>0</v>
      </c>
      <c r="E2080" s="485">
        <v>0.97499999999999998</v>
      </c>
      <c r="F2080" s="485"/>
      <c r="G2080" s="485">
        <v>2.7</v>
      </c>
      <c r="H2080" s="487">
        <f t="shared" si="311"/>
        <v>0</v>
      </c>
    </row>
    <row r="2081" spans="1:8">
      <c r="A2081" s="485"/>
      <c r="B2081" s="486" t="s">
        <v>1343</v>
      </c>
      <c r="C2081" s="17" t="s">
        <v>10</v>
      </c>
      <c r="D2081" s="485">
        <v>0</v>
      </c>
      <c r="E2081" s="485">
        <v>0.875</v>
      </c>
      <c r="F2081" s="485"/>
      <c r="G2081" s="485">
        <v>2.7</v>
      </c>
      <c r="H2081" s="487">
        <f t="shared" ref="H2081:H2144" si="312">PRODUCT(D2081:G2081)</f>
        <v>0</v>
      </c>
    </row>
    <row r="2082" spans="1:8">
      <c r="A2082" s="485"/>
      <c r="B2082" s="486"/>
      <c r="C2082" s="17" t="s">
        <v>10</v>
      </c>
      <c r="D2082" s="485">
        <v>1</v>
      </c>
      <c r="E2082" s="485">
        <v>0.15</v>
      </c>
      <c r="F2082" s="485"/>
      <c r="G2082" s="485">
        <v>3.5</v>
      </c>
      <c r="H2082" s="487">
        <f t="shared" si="312"/>
        <v>0.52500000000000002</v>
      </c>
    </row>
    <row r="2083" spans="1:8">
      <c r="A2083" s="485"/>
      <c r="B2083" s="486"/>
      <c r="C2083" s="17" t="s">
        <v>10</v>
      </c>
      <c r="D2083" s="485">
        <v>1</v>
      </c>
      <c r="E2083" s="485">
        <v>3.1</v>
      </c>
      <c r="F2083" s="485"/>
      <c r="G2083" s="485">
        <v>1.1000000000000001</v>
      </c>
      <c r="H2083" s="487">
        <f t="shared" si="312"/>
        <v>3.4100000000000006</v>
      </c>
    </row>
    <row r="2084" spans="1:8">
      <c r="A2084" s="485"/>
      <c r="B2084" s="486"/>
      <c r="C2084" s="17" t="s">
        <v>10</v>
      </c>
      <c r="D2084" s="485">
        <v>2</v>
      </c>
      <c r="E2084" s="485">
        <v>2.5499999999999998</v>
      </c>
      <c r="F2084" s="485"/>
      <c r="G2084" s="485">
        <v>3.5</v>
      </c>
      <c r="H2084" s="487">
        <f t="shared" si="312"/>
        <v>17.849999999999998</v>
      </c>
    </row>
    <row r="2085" spans="1:8">
      <c r="A2085" s="485"/>
      <c r="B2085" s="486" t="s">
        <v>1343</v>
      </c>
      <c r="C2085" s="17" t="s">
        <v>10</v>
      </c>
      <c r="D2085" s="485">
        <v>0</v>
      </c>
      <c r="E2085" s="485">
        <v>3.03</v>
      </c>
      <c r="F2085" s="485"/>
      <c r="G2085" s="485">
        <v>2.7</v>
      </c>
      <c r="H2085" s="487">
        <f t="shared" si="312"/>
        <v>0</v>
      </c>
    </row>
    <row r="2086" spans="1:8">
      <c r="A2086" s="485"/>
      <c r="B2086" s="486" t="s">
        <v>1354</v>
      </c>
      <c r="C2086" s="17" t="s">
        <v>10</v>
      </c>
      <c r="D2086" s="485">
        <v>2</v>
      </c>
      <c r="E2086" s="485">
        <v>2.5499999999999998</v>
      </c>
      <c r="F2086" s="485"/>
      <c r="G2086" s="485">
        <v>3.5</v>
      </c>
      <c r="H2086" s="487">
        <f t="shared" si="312"/>
        <v>17.849999999999998</v>
      </c>
    </row>
    <row r="2087" spans="1:8">
      <c r="A2087" s="485"/>
      <c r="B2087" s="486"/>
      <c r="C2087" s="17" t="s">
        <v>10</v>
      </c>
      <c r="D2087" s="485">
        <v>2</v>
      </c>
      <c r="E2087" s="485">
        <v>0.15</v>
      </c>
      <c r="F2087" s="485"/>
      <c r="G2087" s="485">
        <v>3.5</v>
      </c>
      <c r="H2087" s="487">
        <f t="shared" si="312"/>
        <v>1.05</v>
      </c>
    </row>
    <row r="2088" spans="1:8">
      <c r="A2088" s="485"/>
      <c r="B2088" s="486"/>
      <c r="C2088" s="17" t="s">
        <v>10</v>
      </c>
      <c r="D2088" s="485">
        <v>1</v>
      </c>
      <c r="E2088" s="485">
        <v>2.75</v>
      </c>
      <c r="F2088" s="485"/>
      <c r="G2088" s="485">
        <v>1.1000000000000001</v>
      </c>
      <c r="H2088" s="487">
        <f t="shared" si="312"/>
        <v>3.0250000000000004</v>
      </c>
    </row>
    <row r="2089" spans="1:8">
      <c r="A2089" s="485"/>
      <c r="B2089" s="486" t="s">
        <v>1343</v>
      </c>
      <c r="C2089" s="17" t="s">
        <v>10</v>
      </c>
      <c r="D2089" s="485">
        <v>0</v>
      </c>
      <c r="E2089" s="485">
        <v>3.05</v>
      </c>
      <c r="F2089" s="485"/>
      <c r="G2089" s="485">
        <v>2.7</v>
      </c>
      <c r="H2089" s="487">
        <f t="shared" si="312"/>
        <v>0</v>
      </c>
    </row>
    <row r="2090" spans="1:8">
      <c r="A2090" s="485"/>
      <c r="B2090" s="486" t="s">
        <v>329</v>
      </c>
      <c r="C2090" s="17" t="s">
        <v>10</v>
      </c>
      <c r="D2090" s="485">
        <v>1</v>
      </c>
      <c r="E2090" s="485">
        <v>1.4</v>
      </c>
      <c r="F2090" s="485"/>
      <c r="G2090" s="485">
        <v>3.5</v>
      </c>
      <c r="H2090" s="487">
        <f t="shared" si="312"/>
        <v>4.8999999999999995</v>
      </c>
    </row>
    <row r="2091" spans="1:8">
      <c r="A2091" s="485"/>
      <c r="B2091" s="486"/>
      <c r="C2091" s="17" t="s">
        <v>10</v>
      </c>
      <c r="D2091" s="485">
        <v>1</v>
      </c>
      <c r="E2091" s="485">
        <v>2.35</v>
      </c>
      <c r="F2091" s="485"/>
      <c r="G2091" s="485">
        <v>3.5</v>
      </c>
      <c r="H2091" s="487">
        <f t="shared" si="312"/>
        <v>8.2249999999999996</v>
      </c>
    </row>
    <row r="2092" spans="1:8">
      <c r="A2092" s="485"/>
      <c r="B2092" s="486"/>
      <c r="C2092" s="17" t="s">
        <v>10</v>
      </c>
      <c r="D2092" s="485">
        <v>-1</v>
      </c>
      <c r="E2092" s="485">
        <v>2.2000000000000002</v>
      </c>
      <c r="F2092" s="485"/>
      <c r="G2092" s="485">
        <v>2.4</v>
      </c>
      <c r="H2092" s="487">
        <f t="shared" si="312"/>
        <v>-5.28</v>
      </c>
    </row>
    <row r="2093" spans="1:8">
      <c r="A2093" s="485"/>
      <c r="B2093" s="486" t="s">
        <v>2010</v>
      </c>
      <c r="C2093" s="17" t="s">
        <v>10</v>
      </c>
      <c r="D2093" s="485">
        <v>2</v>
      </c>
      <c r="E2093" s="485">
        <v>4</v>
      </c>
      <c r="F2093" s="485"/>
      <c r="G2093" s="485">
        <v>3.5</v>
      </c>
      <c r="H2093" s="487">
        <f t="shared" si="312"/>
        <v>28</v>
      </c>
    </row>
    <row r="2094" spans="1:8">
      <c r="A2094" s="485"/>
      <c r="B2094" s="486"/>
      <c r="C2094" s="17" t="s">
        <v>10</v>
      </c>
      <c r="D2094" s="485">
        <v>-1</v>
      </c>
      <c r="E2094" s="485">
        <v>1.85</v>
      </c>
      <c r="F2094" s="485"/>
      <c r="G2094" s="485">
        <v>2.4</v>
      </c>
      <c r="H2094" s="487">
        <f t="shared" si="312"/>
        <v>-4.4400000000000004</v>
      </c>
    </row>
    <row r="2095" spans="1:8">
      <c r="A2095" s="485"/>
      <c r="B2095" s="486" t="s">
        <v>2011</v>
      </c>
      <c r="C2095" s="17" t="s">
        <v>10</v>
      </c>
      <c r="D2095" s="485">
        <v>1</v>
      </c>
      <c r="E2095" s="485">
        <v>4</v>
      </c>
      <c r="F2095" s="485"/>
      <c r="G2095" s="485">
        <v>3.5</v>
      </c>
      <c r="H2095" s="487">
        <f t="shared" si="312"/>
        <v>14</v>
      </c>
    </row>
    <row r="2096" spans="1:8">
      <c r="A2096" s="485"/>
      <c r="B2096" s="486"/>
      <c r="C2096" s="17" t="s">
        <v>10</v>
      </c>
      <c r="D2096" s="485">
        <v>-2</v>
      </c>
      <c r="E2096" s="485">
        <v>0.75</v>
      </c>
      <c r="F2096" s="485"/>
      <c r="G2096" s="485">
        <v>2.4</v>
      </c>
      <c r="H2096" s="487">
        <f t="shared" si="312"/>
        <v>-3.5999999999999996</v>
      </c>
    </row>
    <row r="2097" spans="1:8">
      <c r="A2097" s="485"/>
      <c r="B2097" s="486"/>
      <c r="C2097" s="17" t="s">
        <v>10</v>
      </c>
      <c r="D2097" s="485">
        <v>1</v>
      </c>
      <c r="E2097" s="485">
        <v>2.5</v>
      </c>
      <c r="F2097" s="485"/>
      <c r="G2097" s="485">
        <v>3.5</v>
      </c>
      <c r="H2097" s="487">
        <f t="shared" si="312"/>
        <v>8.75</v>
      </c>
    </row>
    <row r="2098" spans="1:8">
      <c r="A2098" s="485"/>
      <c r="B2098" s="486" t="s">
        <v>1354</v>
      </c>
      <c r="C2098" s="17" t="s">
        <v>10</v>
      </c>
      <c r="D2098" s="485">
        <v>2</v>
      </c>
      <c r="E2098" s="485">
        <v>2.5499999999999998</v>
      </c>
      <c r="F2098" s="485"/>
      <c r="G2098" s="485">
        <v>3.5</v>
      </c>
      <c r="H2098" s="487">
        <f t="shared" si="312"/>
        <v>17.849999999999998</v>
      </c>
    </row>
    <row r="2099" spans="1:8">
      <c r="A2099" s="485"/>
      <c r="B2099" s="486"/>
      <c r="C2099" s="17" t="s">
        <v>10</v>
      </c>
      <c r="D2099" s="485">
        <v>2</v>
      </c>
      <c r="E2099" s="485">
        <v>0.15</v>
      </c>
      <c r="F2099" s="485"/>
      <c r="G2099" s="485">
        <v>3.5</v>
      </c>
      <c r="H2099" s="487">
        <f t="shared" si="312"/>
        <v>1.05</v>
      </c>
    </row>
    <row r="2100" spans="1:8">
      <c r="A2100" s="485"/>
      <c r="B2100" s="486"/>
      <c r="C2100" s="17" t="s">
        <v>10</v>
      </c>
      <c r="D2100" s="485">
        <v>1</v>
      </c>
      <c r="E2100" s="485">
        <v>2.75</v>
      </c>
      <c r="F2100" s="485"/>
      <c r="G2100" s="485">
        <v>1.1000000000000001</v>
      </c>
      <c r="H2100" s="487">
        <f t="shared" si="312"/>
        <v>3.0250000000000004</v>
      </c>
    </row>
    <row r="2101" spans="1:8">
      <c r="A2101" s="485"/>
      <c r="B2101" s="486"/>
      <c r="C2101" s="17" t="s">
        <v>10</v>
      </c>
      <c r="D2101" s="485">
        <v>1</v>
      </c>
      <c r="E2101" s="485">
        <v>2.5499999999999998</v>
      </c>
      <c r="F2101" s="485"/>
      <c r="G2101" s="485">
        <v>3.5</v>
      </c>
      <c r="H2101" s="487">
        <f t="shared" si="312"/>
        <v>8.9249999999999989</v>
      </c>
    </row>
    <row r="2102" spans="1:8">
      <c r="A2102" s="485"/>
      <c r="B2102" s="486" t="s">
        <v>1917</v>
      </c>
      <c r="C2102" s="17" t="s">
        <v>10</v>
      </c>
      <c r="D2102" s="485">
        <v>1</v>
      </c>
      <c r="E2102" s="485">
        <v>6.1</v>
      </c>
      <c r="F2102" s="485"/>
      <c r="G2102" s="485">
        <v>3.5</v>
      </c>
      <c r="H2102" s="487">
        <f t="shared" si="312"/>
        <v>21.349999999999998</v>
      </c>
    </row>
    <row r="2103" spans="1:8">
      <c r="A2103" s="485"/>
      <c r="B2103" s="486"/>
      <c r="C2103" s="17" t="s">
        <v>10</v>
      </c>
      <c r="D2103" s="485">
        <v>1</v>
      </c>
      <c r="E2103" s="485">
        <v>2.1800000000000002</v>
      </c>
      <c r="F2103" s="485"/>
      <c r="G2103" s="485">
        <v>3.5</v>
      </c>
      <c r="H2103" s="487">
        <f t="shared" si="312"/>
        <v>7.6300000000000008</v>
      </c>
    </row>
    <row r="2104" spans="1:8">
      <c r="A2104" s="485"/>
      <c r="B2104" s="486"/>
      <c r="C2104" s="17" t="s">
        <v>10</v>
      </c>
      <c r="D2104" s="485">
        <v>2</v>
      </c>
      <c r="E2104" s="485">
        <v>5.6</v>
      </c>
      <c r="F2104" s="485"/>
      <c r="G2104" s="485">
        <v>3.5</v>
      </c>
      <c r="H2104" s="487">
        <f t="shared" si="312"/>
        <v>39.199999999999996</v>
      </c>
    </row>
    <row r="2105" spans="1:8">
      <c r="A2105" s="485"/>
      <c r="B2105" s="486"/>
      <c r="C2105" s="17" t="s">
        <v>10</v>
      </c>
      <c r="D2105" s="485">
        <v>1</v>
      </c>
      <c r="E2105" s="485">
        <v>8.77</v>
      </c>
      <c r="F2105" s="485"/>
      <c r="G2105" s="485">
        <v>3.5</v>
      </c>
      <c r="H2105" s="487">
        <f t="shared" si="312"/>
        <v>30.695</v>
      </c>
    </row>
    <row r="2106" spans="1:8">
      <c r="A2106" s="485"/>
      <c r="B2106" s="486"/>
      <c r="C2106" s="17" t="s">
        <v>10</v>
      </c>
      <c r="D2106" s="485">
        <v>-1</v>
      </c>
      <c r="E2106" s="485">
        <v>1</v>
      </c>
      <c r="F2106" s="485"/>
      <c r="G2106" s="485">
        <v>2.4</v>
      </c>
      <c r="H2106" s="487">
        <f t="shared" si="312"/>
        <v>-2.4</v>
      </c>
    </row>
    <row r="2107" spans="1:8">
      <c r="A2107" s="485"/>
      <c r="B2107" s="486" t="s">
        <v>1343</v>
      </c>
      <c r="C2107" s="17" t="s">
        <v>10</v>
      </c>
      <c r="D2107" s="485">
        <v>1</v>
      </c>
      <c r="E2107" s="485">
        <v>6.6</v>
      </c>
      <c r="F2107" s="485"/>
      <c r="G2107" s="485">
        <v>3.5</v>
      </c>
      <c r="H2107" s="487">
        <f t="shared" si="312"/>
        <v>23.099999999999998</v>
      </c>
    </row>
    <row r="2108" spans="1:8">
      <c r="A2108" s="485"/>
      <c r="B2108" s="486" t="s">
        <v>2012</v>
      </c>
      <c r="C2108" s="17" t="s">
        <v>10</v>
      </c>
      <c r="D2108" s="485">
        <v>2</v>
      </c>
      <c r="E2108" s="485">
        <v>3.85</v>
      </c>
      <c r="F2108" s="485"/>
      <c r="G2108" s="485">
        <v>3.5</v>
      </c>
      <c r="H2108" s="487">
        <f t="shared" si="312"/>
        <v>26.95</v>
      </c>
    </row>
    <row r="2109" spans="1:8">
      <c r="A2109" s="485"/>
      <c r="B2109" s="486"/>
      <c r="C2109" s="17" t="s">
        <v>10</v>
      </c>
      <c r="D2109" s="485">
        <v>-2</v>
      </c>
      <c r="E2109" s="485">
        <v>1.6</v>
      </c>
      <c r="F2109" s="485"/>
      <c r="G2109" s="485">
        <v>2.4</v>
      </c>
      <c r="H2109" s="487">
        <f t="shared" si="312"/>
        <v>-7.68</v>
      </c>
    </row>
    <row r="2110" spans="1:8">
      <c r="A2110" s="485"/>
      <c r="B2110" s="486"/>
      <c r="C2110" s="17" t="s">
        <v>10</v>
      </c>
      <c r="D2110" s="485">
        <v>2</v>
      </c>
      <c r="E2110" s="485">
        <v>4.8499999999999996</v>
      </c>
      <c r="F2110" s="485"/>
      <c r="G2110" s="485">
        <v>3.5</v>
      </c>
      <c r="H2110" s="487">
        <f t="shared" si="312"/>
        <v>33.949999999999996</v>
      </c>
    </row>
    <row r="2111" spans="1:8">
      <c r="A2111" s="485"/>
      <c r="B2111" s="486"/>
      <c r="C2111" s="17" t="s">
        <v>10</v>
      </c>
      <c r="D2111" s="485">
        <v>2</v>
      </c>
      <c r="E2111" s="485">
        <v>3.93</v>
      </c>
      <c r="F2111" s="485"/>
      <c r="G2111" s="485">
        <v>3.5</v>
      </c>
      <c r="H2111" s="487">
        <f t="shared" si="312"/>
        <v>27.51</v>
      </c>
    </row>
    <row r="2112" spans="1:8">
      <c r="A2112" s="485"/>
      <c r="B2112" s="486"/>
      <c r="C2112" s="17" t="s">
        <v>10</v>
      </c>
      <c r="D2112" s="485">
        <v>1</v>
      </c>
      <c r="E2112" s="485">
        <v>4.18</v>
      </c>
      <c r="F2112" s="485"/>
      <c r="G2112" s="485">
        <v>3.5</v>
      </c>
      <c r="H2112" s="487">
        <f t="shared" si="312"/>
        <v>14.629999999999999</v>
      </c>
    </row>
    <row r="2113" spans="1:8">
      <c r="A2113" s="485"/>
      <c r="B2113" s="486"/>
      <c r="C2113" s="17" t="s">
        <v>10</v>
      </c>
      <c r="D2113" s="485">
        <v>-1</v>
      </c>
      <c r="E2113" s="485">
        <v>1</v>
      </c>
      <c r="F2113" s="485"/>
      <c r="G2113" s="485">
        <v>2.4</v>
      </c>
      <c r="H2113" s="487">
        <f t="shared" si="312"/>
        <v>-2.4</v>
      </c>
    </row>
    <row r="2114" spans="1:8">
      <c r="A2114" s="485"/>
      <c r="B2114" s="486"/>
      <c r="C2114" s="17" t="s">
        <v>10</v>
      </c>
      <c r="D2114" s="485">
        <v>1</v>
      </c>
      <c r="E2114" s="485">
        <v>13.34</v>
      </c>
      <c r="F2114" s="485"/>
      <c r="G2114" s="485">
        <v>3.5</v>
      </c>
      <c r="H2114" s="487">
        <f t="shared" si="312"/>
        <v>46.69</v>
      </c>
    </row>
    <row r="2115" spans="1:8">
      <c r="A2115" s="485"/>
      <c r="B2115" s="486"/>
      <c r="C2115" s="17" t="s">
        <v>10</v>
      </c>
      <c r="D2115" s="485">
        <v>1</v>
      </c>
      <c r="E2115" s="485">
        <v>1.1000000000000001</v>
      </c>
      <c r="F2115" s="485"/>
      <c r="G2115" s="485">
        <v>3.5</v>
      </c>
      <c r="H2115" s="487">
        <f t="shared" si="312"/>
        <v>3.8500000000000005</v>
      </c>
    </row>
    <row r="2116" spans="1:8">
      <c r="A2116" s="485"/>
      <c r="B2116" s="486"/>
      <c r="C2116" s="17" t="s">
        <v>10</v>
      </c>
      <c r="D2116" s="485">
        <v>1</v>
      </c>
      <c r="E2116" s="485">
        <v>0.55200000000000005</v>
      </c>
      <c r="F2116" s="485"/>
      <c r="G2116" s="485">
        <v>3.5</v>
      </c>
      <c r="H2116" s="487">
        <f t="shared" si="312"/>
        <v>1.9320000000000002</v>
      </c>
    </row>
    <row r="2117" spans="1:8">
      <c r="A2117" s="485"/>
      <c r="B2117" s="486"/>
      <c r="C2117" s="17" t="s">
        <v>10</v>
      </c>
      <c r="D2117" s="485">
        <v>1</v>
      </c>
      <c r="E2117" s="485">
        <v>6.23</v>
      </c>
      <c r="F2117" s="485"/>
      <c r="G2117" s="485">
        <v>3.5</v>
      </c>
      <c r="H2117" s="487">
        <f t="shared" si="312"/>
        <v>21.805</v>
      </c>
    </row>
    <row r="2118" spans="1:8">
      <c r="A2118" s="485"/>
      <c r="B2118" s="486" t="s">
        <v>2013</v>
      </c>
      <c r="C2118" s="17" t="s">
        <v>10</v>
      </c>
      <c r="D2118" s="485">
        <v>2</v>
      </c>
      <c r="E2118" s="485">
        <v>3.55</v>
      </c>
      <c r="F2118" s="485"/>
      <c r="G2118" s="485">
        <v>3.5</v>
      </c>
      <c r="H2118" s="487">
        <f t="shared" si="312"/>
        <v>24.849999999999998</v>
      </c>
    </row>
    <row r="2119" spans="1:8">
      <c r="A2119" s="485"/>
      <c r="B2119" s="486"/>
      <c r="C2119" s="17" t="s">
        <v>10</v>
      </c>
      <c r="D2119" s="485">
        <v>1</v>
      </c>
      <c r="E2119" s="485">
        <v>0.4</v>
      </c>
      <c r="F2119" s="485"/>
      <c r="G2119" s="485">
        <v>3.5</v>
      </c>
      <c r="H2119" s="487">
        <f t="shared" si="312"/>
        <v>1.4000000000000001</v>
      </c>
    </row>
    <row r="2120" spans="1:8">
      <c r="A2120" s="485"/>
      <c r="B2120" s="486"/>
      <c r="C2120" s="17" t="s">
        <v>10</v>
      </c>
      <c r="D2120" s="485">
        <v>1</v>
      </c>
      <c r="E2120" s="485">
        <v>0.3</v>
      </c>
      <c r="F2120" s="485"/>
      <c r="G2120" s="485">
        <v>3.5</v>
      </c>
      <c r="H2120" s="487">
        <f t="shared" si="312"/>
        <v>1.05</v>
      </c>
    </row>
    <row r="2121" spans="1:8">
      <c r="A2121" s="485"/>
      <c r="B2121" s="486" t="s">
        <v>216</v>
      </c>
      <c r="C2121" s="17" t="s">
        <v>10</v>
      </c>
      <c r="D2121" s="485">
        <v>2</v>
      </c>
      <c r="E2121" s="485">
        <v>0.15</v>
      </c>
      <c r="F2121" s="485"/>
      <c r="G2121" s="485">
        <v>3.5</v>
      </c>
      <c r="H2121" s="487">
        <f t="shared" si="312"/>
        <v>1.05</v>
      </c>
    </row>
    <row r="2122" spans="1:8">
      <c r="A2122" s="485"/>
      <c r="B2122" s="486"/>
      <c r="C2122" s="17" t="s">
        <v>10</v>
      </c>
      <c r="D2122" s="485">
        <v>1</v>
      </c>
      <c r="E2122" s="485">
        <v>3.8250000000000002</v>
      </c>
      <c r="F2122" s="485"/>
      <c r="G2122" s="485">
        <v>1.1000000000000001</v>
      </c>
      <c r="H2122" s="487">
        <f t="shared" si="312"/>
        <v>4.2075000000000005</v>
      </c>
    </row>
    <row r="2123" spans="1:8">
      <c r="A2123" s="485"/>
      <c r="B2123" s="486" t="s">
        <v>1230</v>
      </c>
      <c r="C2123" s="17" t="s">
        <v>10</v>
      </c>
      <c r="D2123" s="485">
        <v>2</v>
      </c>
      <c r="E2123" s="485">
        <v>3.55</v>
      </c>
      <c r="F2123" s="485"/>
      <c r="G2123" s="485">
        <v>3.5</v>
      </c>
      <c r="H2123" s="487">
        <f t="shared" si="312"/>
        <v>24.849999999999998</v>
      </c>
    </row>
    <row r="2124" spans="1:8">
      <c r="A2124" s="485"/>
      <c r="B2124" s="486"/>
      <c r="C2124" s="17" t="s">
        <v>10</v>
      </c>
      <c r="D2124" s="485">
        <v>2</v>
      </c>
      <c r="E2124" s="485">
        <v>0.15</v>
      </c>
      <c r="F2124" s="485"/>
      <c r="G2124" s="485">
        <v>3.5</v>
      </c>
      <c r="H2124" s="487">
        <f t="shared" si="312"/>
        <v>1.05</v>
      </c>
    </row>
    <row r="2125" spans="1:8">
      <c r="A2125" s="485"/>
      <c r="B2125" s="486"/>
      <c r="C2125" s="17" t="s">
        <v>10</v>
      </c>
      <c r="D2125" s="485">
        <v>1</v>
      </c>
      <c r="E2125" s="485">
        <v>2.9249999999999998</v>
      </c>
      <c r="F2125" s="485"/>
      <c r="G2125" s="485">
        <v>1.1000000000000001</v>
      </c>
      <c r="H2125" s="487">
        <f t="shared" si="312"/>
        <v>3.2175000000000002</v>
      </c>
    </row>
    <row r="2126" spans="1:8">
      <c r="A2126" s="485"/>
      <c r="B2126" s="486"/>
      <c r="C2126" s="17" t="s">
        <v>10</v>
      </c>
      <c r="D2126" s="485">
        <v>1</v>
      </c>
      <c r="E2126" s="485">
        <v>3.55</v>
      </c>
      <c r="F2126" s="485"/>
      <c r="G2126" s="485">
        <v>3.5</v>
      </c>
      <c r="H2126" s="487">
        <f t="shared" si="312"/>
        <v>12.424999999999999</v>
      </c>
    </row>
    <row r="2127" spans="1:8">
      <c r="A2127" s="485"/>
      <c r="B2127" s="486" t="s">
        <v>2014</v>
      </c>
      <c r="C2127" s="17" t="s">
        <v>10</v>
      </c>
      <c r="D2127" s="485">
        <v>1</v>
      </c>
      <c r="E2127" s="485">
        <v>1.34</v>
      </c>
      <c r="F2127" s="485"/>
      <c r="G2127" s="485">
        <v>3.5</v>
      </c>
      <c r="H2127" s="487">
        <f t="shared" si="312"/>
        <v>4.6900000000000004</v>
      </c>
    </row>
    <row r="2128" spans="1:8">
      <c r="A2128" s="485"/>
      <c r="B2128" s="486" t="s">
        <v>1229</v>
      </c>
      <c r="C2128" s="17" t="s">
        <v>10</v>
      </c>
      <c r="D2128" s="485">
        <v>2</v>
      </c>
      <c r="E2128" s="485">
        <v>3.55</v>
      </c>
      <c r="F2128" s="485"/>
      <c r="G2128" s="485">
        <v>3.5</v>
      </c>
      <c r="H2128" s="487">
        <f t="shared" si="312"/>
        <v>24.849999999999998</v>
      </c>
    </row>
    <row r="2129" spans="1:8">
      <c r="A2129" s="485"/>
      <c r="B2129" s="486"/>
      <c r="C2129" s="17" t="s">
        <v>10</v>
      </c>
      <c r="D2129" s="485">
        <v>2</v>
      </c>
      <c r="E2129" s="485">
        <v>0.15</v>
      </c>
      <c r="F2129" s="485"/>
      <c r="G2129" s="485">
        <v>3.5</v>
      </c>
      <c r="H2129" s="487">
        <f t="shared" si="312"/>
        <v>1.05</v>
      </c>
    </row>
    <row r="2130" spans="1:8">
      <c r="A2130" s="485"/>
      <c r="B2130" s="486"/>
      <c r="C2130" s="17" t="s">
        <v>10</v>
      </c>
      <c r="D2130" s="485">
        <v>1</v>
      </c>
      <c r="E2130" s="485">
        <v>2.65</v>
      </c>
      <c r="F2130" s="485"/>
      <c r="G2130" s="485">
        <v>1.1000000000000001</v>
      </c>
      <c r="H2130" s="487">
        <f t="shared" si="312"/>
        <v>2.915</v>
      </c>
    </row>
    <row r="2131" spans="1:8">
      <c r="A2131" s="485"/>
      <c r="B2131" s="486" t="s">
        <v>172</v>
      </c>
      <c r="C2131" s="17" t="s">
        <v>10</v>
      </c>
      <c r="D2131" s="485">
        <v>1</v>
      </c>
      <c r="E2131" s="485">
        <v>6.9249999999999998</v>
      </c>
      <c r="F2131" s="485"/>
      <c r="G2131" s="485">
        <v>1.05</v>
      </c>
      <c r="H2131" s="487">
        <f t="shared" si="312"/>
        <v>7.2712500000000002</v>
      </c>
    </row>
    <row r="2132" spans="1:8">
      <c r="A2132" s="485"/>
      <c r="B2132" s="486" t="s">
        <v>1339</v>
      </c>
      <c r="C2132" s="17" t="s">
        <v>10</v>
      </c>
      <c r="D2132" s="485">
        <v>1</v>
      </c>
      <c r="E2132" s="485">
        <v>6</v>
      </c>
      <c r="F2132" s="485"/>
      <c r="G2132" s="485">
        <v>3.5</v>
      </c>
      <c r="H2132" s="487">
        <f t="shared" si="312"/>
        <v>21</v>
      </c>
    </row>
    <row r="2133" spans="1:8">
      <c r="A2133" s="485"/>
      <c r="B2133" s="486" t="s">
        <v>1358</v>
      </c>
      <c r="C2133" s="17" t="s">
        <v>10</v>
      </c>
      <c r="D2133" s="485">
        <v>2</v>
      </c>
      <c r="E2133" s="485">
        <v>1.425</v>
      </c>
      <c r="F2133" s="485"/>
      <c r="G2133" s="485">
        <v>3.5</v>
      </c>
      <c r="H2133" s="487">
        <f t="shared" si="312"/>
        <v>9.9749999999999996</v>
      </c>
    </row>
    <row r="2134" spans="1:8">
      <c r="A2134" s="485"/>
      <c r="B2134" s="486"/>
      <c r="C2134" s="17" t="s">
        <v>10</v>
      </c>
      <c r="D2134" s="485">
        <v>1</v>
      </c>
      <c r="E2134" s="485">
        <v>0.8</v>
      </c>
      <c r="F2134" s="485"/>
      <c r="G2134" s="485">
        <v>3.5</v>
      </c>
      <c r="H2134" s="487">
        <f t="shared" si="312"/>
        <v>2.8000000000000003</v>
      </c>
    </row>
    <row r="2135" spans="1:8">
      <c r="A2135" s="485"/>
      <c r="B2135" s="486"/>
      <c r="C2135" s="17" t="s">
        <v>10</v>
      </c>
      <c r="D2135" s="485">
        <v>-1</v>
      </c>
      <c r="E2135" s="485">
        <v>1.2250000000000001</v>
      </c>
      <c r="F2135" s="485"/>
      <c r="G2135" s="485">
        <v>2.4</v>
      </c>
      <c r="H2135" s="487">
        <f t="shared" si="312"/>
        <v>-2.94</v>
      </c>
    </row>
    <row r="2136" spans="1:8">
      <c r="A2136" s="485"/>
      <c r="B2136" s="486" t="s">
        <v>1269</v>
      </c>
      <c r="C2136" s="17" t="s">
        <v>10</v>
      </c>
      <c r="D2136" s="485">
        <v>3</v>
      </c>
      <c r="E2136" s="485">
        <v>2.06</v>
      </c>
      <c r="F2136" s="485"/>
      <c r="G2136" s="485">
        <v>3.5</v>
      </c>
      <c r="H2136" s="487">
        <f t="shared" si="312"/>
        <v>21.63</v>
      </c>
    </row>
    <row r="2137" spans="1:8">
      <c r="A2137" s="485"/>
      <c r="B2137" s="486"/>
      <c r="C2137" s="17" t="s">
        <v>10</v>
      </c>
      <c r="D2137" s="485">
        <v>1</v>
      </c>
      <c r="E2137" s="485">
        <v>3.8</v>
      </c>
      <c r="F2137" s="485"/>
      <c r="G2137" s="485">
        <v>3.5</v>
      </c>
      <c r="H2137" s="487">
        <f t="shared" si="312"/>
        <v>13.299999999999999</v>
      </c>
    </row>
    <row r="2138" spans="1:8">
      <c r="A2138" s="485"/>
      <c r="B2138" s="486"/>
      <c r="C2138" s="17" t="s">
        <v>10</v>
      </c>
      <c r="D2138" s="485">
        <v>-3</v>
      </c>
      <c r="E2138" s="485">
        <v>0.75</v>
      </c>
      <c r="F2138" s="485"/>
      <c r="G2138" s="485">
        <v>2.4</v>
      </c>
      <c r="H2138" s="487">
        <f t="shared" si="312"/>
        <v>-5.3999999999999995</v>
      </c>
    </row>
    <row r="2139" spans="1:8">
      <c r="A2139" s="485"/>
      <c r="B2139" s="486" t="s">
        <v>1207</v>
      </c>
      <c r="C2139" s="17" t="s">
        <v>10</v>
      </c>
      <c r="D2139" s="485">
        <v>2</v>
      </c>
      <c r="E2139" s="485">
        <v>3.9</v>
      </c>
      <c r="F2139" s="485"/>
      <c r="G2139" s="485">
        <v>3.5</v>
      </c>
      <c r="H2139" s="487">
        <f t="shared" si="312"/>
        <v>27.3</v>
      </c>
    </row>
    <row r="2140" spans="1:8">
      <c r="A2140" s="485"/>
      <c r="B2140" s="486"/>
      <c r="C2140" s="17" t="s">
        <v>10</v>
      </c>
      <c r="D2140" s="485">
        <v>2</v>
      </c>
      <c r="E2140" s="485">
        <v>0.15</v>
      </c>
      <c r="F2140" s="485"/>
      <c r="G2140" s="485">
        <v>3.5</v>
      </c>
      <c r="H2140" s="487">
        <f t="shared" si="312"/>
        <v>1.05</v>
      </c>
    </row>
    <row r="2141" spans="1:8">
      <c r="A2141" s="485"/>
      <c r="B2141" s="486"/>
      <c r="C2141" s="17" t="s">
        <v>10</v>
      </c>
      <c r="D2141" s="485">
        <v>2</v>
      </c>
      <c r="E2141" s="485">
        <v>0.2</v>
      </c>
      <c r="F2141" s="485"/>
      <c r="G2141" s="485">
        <v>3.5</v>
      </c>
      <c r="H2141" s="487">
        <f t="shared" si="312"/>
        <v>1.4000000000000001</v>
      </c>
    </row>
    <row r="2142" spans="1:8">
      <c r="A2142" s="485"/>
      <c r="B2142" s="486"/>
      <c r="C2142" s="17" t="s">
        <v>10</v>
      </c>
      <c r="D2142" s="485">
        <v>1</v>
      </c>
      <c r="E2142" s="485">
        <v>4.5999999999999996</v>
      </c>
      <c r="F2142" s="485"/>
      <c r="G2142" s="485">
        <v>1.1000000000000001</v>
      </c>
      <c r="H2142" s="487">
        <f t="shared" si="312"/>
        <v>5.0599999999999996</v>
      </c>
    </row>
    <row r="2143" spans="1:8">
      <c r="A2143" s="485"/>
      <c r="B2143" s="486"/>
      <c r="C2143" s="17" t="s">
        <v>10</v>
      </c>
      <c r="D2143" s="485">
        <v>1</v>
      </c>
      <c r="E2143" s="485">
        <v>3.55</v>
      </c>
      <c r="F2143" s="485"/>
      <c r="G2143" s="485">
        <v>1.1000000000000001</v>
      </c>
      <c r="H2143" s="487">
        <f t="shared" si="312"/>
        <v>3.9050000000000002</v>
      </c>
    </row>
    <row r="2144" spans="1:8">
      <c r="A2144" s="485"/>
      <c r="B2144" s="486"/>
      <c r="C2144" s="17" t="s">
        <v>10</v>
      </c>
      <c r="D2144" s="485">
        <v>1</v>
      </c>
      <c r="E2144" s="485">
        <v>5.2</v>
      </c>
      <c r="F2144" s="485"/>
      <c r="G2144" s="485">
        <v>3.5</v>
      </c>
      <c r="H2144" s="487">
        <f t="shared" si="312"/>
        <v>18.2</v>
      </c>
    </row>
    <row r="2145" spans="1:8">
      <c r="A2145" s="485"/>
      <c r="B2145" s="486"/>
      <c r="C2145" s="17" t="s">
        <v>10</v>
      </c>
      <c r="D2145" s="485">
        <v>-1</v>
      </c>
      <c r="E2145" s="485">
        <v>1</v>
      </c>
      <c r="F2145" s="485"/>
      <c r="G2145" s="485">
        <v>2.4</v>
      </c>
      <c r="H2145" s="487">
        <f t="shared" ref="H2145:H2185" si="313">PRODUCT(D2145:G2145)</f>
        <v>-2.4</v>
      </c>
    </row>
    <row r="2146" spans="1:8">
      <c r="A2146" s="485"/>
      <c r="B2146" s="486" t="s">
        <v>1195</v>
      </c>
      <c r="C2146" s="17" t="s">
        <v>10</v>
      </c>
      <c r="D2146" s="485">
        <v>2</v>
      </c>
      <c r="E2146" s="485">
        <v>3.7</v>
      </c>
      <c r="F2146" s="485"/>
      <c r="G2146" s="485">
        <v>3.5</v>
      </c>
      <c r="H2146" s="487">
        <f t="shared" si="313"/>
        <v>25.900000000000002</v>
      </c>
    </row>
    <row r="2147" spans="1:8">
      <c r="A2147" s="485"/>
      <c r="B2147" s="486"/>
      <c r="C2147" s="17" t="s">
        <v>10</v>
      </c>
      <c r="D2147" s="485">
        <v>1</v>
      </c>
      <c r="E2147" s="485">
        <v>6.95</v>
      </c>
      <c r="F2147" s="485"/>
      <c r="G2147" s="485">
        <v>3.5</v>
      </c>
      <c r="H2147" s="487">
        <f t="shared" si="313"/>
        <v>24.324999999999999</v>
      </c>
    </row>
    <row r="2148" spans="1:8">
      <c r="A2148" s="485"/>
      <c r="B2148" s="486"/>
      <c r="C2148" s="17" t="s">
        <v>10</v>
      </c>
      <c r="D2148" s="485">
        <v>1</v>
      </c>
      <c r="E2148" s="485">
        <v>3.67</v>
      </c>
      <c r="F2148" s="485"/>
      <c r="G2148" s="485">
        <v>3.5</v>
      </c>
      <c r="H2148" s="487">
        <f t="shared" si="313"/>
        <v>12.844999999999999</v>
      </c>
    </row>
    <row r="2149" spans="1:8">
      <c r="A2149" s="485"/>
      <c r="B2149" s="486"/>
      <c r="C2149" s="17" t="s">
        <v>10</v>
      </c>
      <c r="D2149" s="485">
        <v>2</v>
      </c>
      <c r="E2149" s="485">
        <v>0.15</v>
      </c>
      <c r="F2149" s="485"/>
      <c r="G2149" s="485">
        <v>3.5</v>
      </c>
      <c r="H2149" s="487">
        <f t="shared" si="313"/>
        <v>1.05</v>
      </c>
    </row>
    <row r="2150" spans="1:8">
      <c r="A2150" s="485"/>
      <c r="B2150" s="486"/>
      <c r="C2150" s="17" t="s">
        <v>10</v>
      </c>
      <c r="D2150" s="485">
        <v>1</v>
      </c>
      <c r="E2150" s="485">
        <v>2.85</v>
      </c>
      <c r="F2150" s="485"/>
      <c r="G2150" s="485">
        <v>1.1000000000000001</v>
      </c>
      <c r="H2150" s="487">
        <f t="shared" si="313"/>
        <v>3.1350000000000002</v>
      </c>
    </row>
    <row r="2151" spans="1:8">
      <c r="A2151" s="485"/>
      <c r="B2151" s="486" t="s">
        <v>2015</v>
      </c>
      <c r="C2151" s="17" t="s">
        <v>10</v>
      </c>
      <c r="D2151" s="485">
        <v>2</v>
      </c>
      <c r="E2151" s="485">
        <v>3.67</v>
      </c>
      <c r="F2151" s="485"/>
      <c r="G2151" s="485">
        <v>3.5</v>
      </c>
      <c r="H2151" s="487">
        <f t="shared" si="313"/>
        <v>25.689999999999998</v>
      </c>
    </row>
    <row r="2152" spans="1:8">
      <c r="A2152" s="485"/>
      <c r="B2152" s="486"/>
      <c r="C2152" s="17" t="s">
        <v>10</v>
      </c>
      <c r="D2152" s="485">
        <v>2</v>
      </c>
      <c r="E2152" s="485">
        <v>0.15</v>
      </c>
      <c r="F2152" s="485"/>
      <c r="G2152" s="485">
        <v>3.5</v>
      </c>
      <c r="H2152" s="487">
        <f t="shared" si="313"/>
        <v>1.05</v>
      </c>
    </row>
    <row r="2153" spans="1:8">
      <c r="A2153" s="485"/>
      <c r="B2153" s="486"/>
      <c r="C2153" s="17" t="s">
        <v>10</v>
      </c>
      <c r="D2153" s="485">
        <v>1</v>
      </c>
      <c r="E2153" s="485">
        <v>2.9</v>
      </c>
      <c r="F2153" s="485"/>
      <c r="G2153" s="485">
        <v>1.1000000000000001</v>
      </c>
      <c r="H2153" s="487">
        <f t="shared" si="313"/>
        <v>3.19</v>
      </c>
    </row>
    <row r="2154" spans="1:8">
      <c r="A2154" s="485"/>
      <c r="B2154" s="486" t="s">
        <v>2014</v>
      </c>
      <c r="C2154" s="17" t="s">
        <v>10</v>
      </c>
      <c r="D2154" s="485">
        <v>1</v>
      </c>
      <c r="E2154" s="485">
        <v>1.1579999999999999</v>
      </c>
      <c r="F2154" s="485"/>
      <c r="G2154" s="485">
        <v>3.5</v>
      </c>
      <c r="H2154" s="487">
        <f t="shared" si="313"/>
        <v>4.0529999999999999</v>
      </c>
    </row>
    <row r="2155" spans="1:8">
      <c r="A2155" s="485"/>
      <c r="B2155" s="486"/>
      <c r="C2155" s="17" t="s">
        <v>10</v>
      </c>
      <c r="D2155" s="485">
        <v>-1</v>
      </c>
      <c r="E2155" s="485">
        <v>0.94</v>
      </c>
      <c r="F2155" s="485"/>
      <c r="G2155" s="485">
        <v>2.4</v>
      </c>
      <c r="H2155" s="487">
        <f t="shared" si="313"/>
        <v>-2.2559999999999998</v>
      </c>
    </row>
    <row r="2156" spans="1:8">
      <c r="A2156" s="485"/>
      <c r="B2156" s="486"/>
      <c r="C2156" s="17" t="s">
        <v>10</v>
      </c>
      <c r="D2156" s="485">
        <v>1</v>
      </c>
      <c r="E2156" s="485">
        <v>2.58</v>
      </c>
      <c r="F2156" s="485"/>
      <c r="G2156" s="485">
        <v>3.5</v>
      </c>
      <c r="H2156" s="487">
        <f t="shared" si="313"/>
        <v>9.0300000000000011</v>
      </c>
    </row>
    <row r="2157" spans="1:8">
      <c r="A2157" s="485"/>
      <c r="B2157" s="486" t="s">
        <v>1343</v>
      </c>
      <c r="C2157" s="17" t="s">
        <v>10</v>
      </c>
      <c r="D2157" s="485">
        <v>2</v>
      </c>
      <c r="E2157" s="485">
        <v>1.36</v>
      </c>
      <c r="F2157" s="485"/>
      <c r="G2157" s="485">
        <v>3.5</v>
      </c>
      <c r="H2157" s="487">
        <f t="shared" si="313"/>
        <v>9.5200000000000014</v>
      </c>
    </row>
    <row r="2158" spans="1:8">
      <c r="A2158" s="485"/>
      <c r="B2158" s="486" t="s">
        <v>1293</v>
      </c>
      <c r="C2158" s="17" t="s">
        <v>10</v>
      </c>
      <c r="D2158" s="485">
        <v>1</v>
      </c>
      <c r="E2158" s="485">
        <v>1.94</v>
      </c>
      <c r="F2158" s="485"/>
      <c r="G2158" s="485">
        <v>3.5</v>
      </c>
      <c r="H2158" s="487">
        <f t="shared" si="313"/>
        <v>6.79</v>
      </c>
    </row>
    <row r="2159" spans="1:8">
      <c r="A2159" s="485"/>
      <c r="B2159" s="486"/>
      <c r="C2159" s="17" t="s">
        <v>10</v>
      </c>
      <c r="D2159" s="485">
        <v>-1</v>
      </c>
      <c r="E2159" s="485">
        <v>1</v>
      </c>
      <c r="F2159" s="485"/>
      <c r="G2159" s="485">
        <v>2.4</v>
      </c>
      <c r="H2159" s="487">
        <f t="shared" si="313"/>
        <v>-2.4</v>
      </c>
    </row>
    <row r="2160" spans="1:8">
      <c r="A2160" s="485"/>
      <c r="B2160" s="486"/>
      <c r="C2160" s="17" t="s">
        <v>10</v>
      </c>
      <c r="D2160" s="485">
        <v>1</v>
      </c>
      <c r="E2160" s="485">
        <v>1.4</v>
      </c>
      <c r="F2160" s="485"/>
      <c r="G2160" s="485">
        <v>3.5</v>
      </c>
      <c r="H2160" s="487">
        <f t="shared" si="313"/>
        <v>4.8999999999999995</v>
      </c>
    </row>
    <row r="2161" spans="1:8">
      <c r="A2161" s="485"/>
      <c r="B2161" s="486"/>
      <c r="C2161" s="17" t="s">
        <v>10</v>
      </c>
      <c r="D2161" s="485">
        <v>1</v>
      </c>
      <c r="E2161" s="485">
        <v>1.34</v>
      </c>
      <c r="F2161" s="485"/>
      <c r="G2161" s="485">
        <v>3.5</v>
      </c>
      <c r="H2161" s="487">
        <f t="shared" si="313"/>
        <v>4.6900000000000004</v>
      </c>
    </row>
    <row r="2162" spans="1:8">
      <c r="A2162" s="485"/>
      <c r="B2162" s="486"/>
      <c r="C2162" s="17" t="s">
        <v>10</v>
      </c>
      <c r="D2162" s="485">
        <v>1</v>
      </c>
      <c r="E2162" s="485">
        <v>4.0999999999999996</v>
      </c>
      <c r="F2162" s="485"/>
      <c r="G2162" s="485">
        <v>3.5</v>
      </c>
      <c r="H2162" s="487">
        <f t="shared" si="313"/>
        <v>14.349999999999998</v>
      </c>
    </row>
    <row r="2163" spans="1:8">
      <c r="A2163" s="485"/>
      <c r="B2163" s="486" t="s">
        <v>1292</v>
      </c>
      <c r="C2163" s="17" t="s">
        <v>10</v>
      </c>
      <c r="D2163" s="485">
        <v>1</v>
      </c>
      <c r="E2163" s="485">
        <v>0.95199999999999996</v>
      </c>
      <c r="F2163" s="485"/>
      <c r="G2163" s="485">
        <v>3.5</v>
      </c>
      <c r="H2163" s="487">
        <f t="shared" si="313"/>
        <v>3.3319999999999999</v>
      </c>
    </row>
    <row r="2164" spans="1:8">
      <c r="A2164" s="485"/>
      <c r="B2164" s="486"/>
      <c r="C2164" s="17" t="s">
        <v>10</v>
      </c>
      <c r="D2164" s="485">
        <v>1</v>
      </c>
      <c r="E2164" s="485">
        <v>2.68</v>
      </c>
      <c r="F2164" s="485"/>
      <c r="G2164" s="485">
        <v>3.5</v>
      </c>
      <c r="H2164" s="487">
        <f t="shared" si="313"/>
        <v>9.3800000000000008</v>
      </c>
    </row>
    <row r="2165" spans="1:8">
      <c r="A2165" s="485"/>
      <c r="B2165" s="486"/>
      <c r="C2165" s="17" t="s">
        <v>10</v>
      </c>
      <c r="D2165" s="485">
        <v>1</v>
      </c>
      <c r="E2165" s="485">
        <v>0.315</v>
      </c>
      <c r="F2165" s="485"/>
      <c r="G2165" s="485">
        <v>3.5</v>
      </c>
      <c r="H2165" s="487">
        <f t="shared" si="313"/>
        <v>1.1025</v>
      </c>
    </row>
    <row r="2166" spans="1:8">
      <c r="A2166" s="485"/>
      <c r="B2166" s="486"/>
      <c r="C2166" s="17" t="s">
        <v>10</v>
      </c>
      <c r="D2166" s="485">
        <v>1</v>
      </c>
      <c r="E2166" s="485">
        <v>2.2999999999999998</v>
      </c>
      <c r="F2166" s="485"/>
      <c r="G2166" s="485">
        <v>3.5</v>
      </c>
      <c r="H2166" s="487">
        <f t="shared" si="313"/>
        <v>8.0499999999999989</v>
      </c>
    </row>
    <row r="2167" spans="1:8">
      <c r="A2167" s="485"/>
      <c r="B2167" s="486"/>
      <c r="C2167" s="17" t="s">
        <v>10</v>
      </c>
      <c r="D2167" s="485">
        <v>1</v>
      </c>
      <c r="E2167" s="485">
        <v>6.5</v>
      </c>
      <c r="F2167" s="485"/>
      <c r="G2167" s="485">
        <v>3.5</v>
      </c>
      <c r="H2167" s="487">
        <f t="shared" si="313"/>
        <v>22.75</v>
      </c>
    </row>
    <row r="2168" spans="1:8">
      <c r="A2168" s="485"/>
      <c r="B2168" s="486" t="s">
        <v>1294</v>
      </c>
      <c r="C2168" s="17" t="s">
        <v>10</v>
      </c>
      <c r="D2168" s="485">
        <v>1</v>
      </c>
      <c r="E2168" s="485">
        <v>2.11</v>
      </c>
      <c r="F2168" s="485"/>
      <c r="G2168" s="485">
        <v>3.5</v>
      </c>
      <c r="H2168" s="487">
        <f t="shared" si="313"/>
        <v>7.3849999999999998</v>
      </c>
    </row>
    <row r="2169" spans="1:8">
      <c r="A2169" s="485"/>
      <c r="B2169" s="486"/>
      <c r="C2169" s="17" t="s">
        <v>10</v>
      </c>
      <c r="D2169" s="485">
        <v>-1</v>
      </c>
      <c r="E2169" s="485">
        <v>1</v>
      </c>
      <c r="F2169" s="485"/>
      <c r="G2169" s="485">
        <v>2.4</v>
      </c>
      <c r="H2169" s="487">
        <f t="shared" si="313"/>
        <v>-2.4</v>
      </c>
    </row>
    <row r="2170" spans="1:8">
      <c r="A2170" s="485"/>
      <c r="B2170" s="486" t="s">
        <v>2016</v>
      </c>
      <c r="C2170" s="17" t="s">
        <v>10</v>
      </c>
      <c r="D2170" s="485">
        <v>1</v>
      </c>
      <c r="E2170" s="485">
        <v>2.8</v>
      </c>
      <c r="F2170" s="485"/>
      <c r="G2170" s="485">
        <v>3.5</v>
      </c>
      <c r="H2170" s="487">
        <f t="shared" si="313"/>
        <v>9.7999999999999989</v>
      </c>
    </row>
    <row r="2171" spans="1:8">
      <c r="A2171" s="485"/>
      <c r="B2171" s="486"/>
      <c r="C2171" s="17" t="s">
        <v>10</v>
      </c>
      <c r="D2171" s="485">
        <v>-1</v>
      </c>
      <c r="E2171" s="485">
        <v>1</v>
      </c>
      <c r="F2171" s="485"/>
      <c r="G2171" s="485">
        <v>2.4</v>
      </c>
      <c r="H2171" s="487">
        <f t="shared" si="313"/>
        <v>-2.4</v>
      </c>
    </row>
    <row r="2172" spans="1:8">
      <c r="A2172" s="485"/>
      <c r="B2172" s="486"/>
      <c r="C2172" s="17" t="s">
        <v>10</v>
      </c>
      <c r="D2172" s="485">
        <v>1</v>
      </c>
      <c r="E2172" s="485">
        <v>3.9</v>
      </c>
      <c r="F2172" s="485"/>
      <c r="G2172" s="485">
        <v>3.5</v>
      </c>
      <c r="H2172" s="487">
        <f t="shared" si="313"/>
        <v>13.65</v>
      </c>
    </row>
    <row r="2173" spans="1:8">
      <c r="A2173" s="485"/>
      <c r="B2173" s="486"/>
      <c r="C2173" s="17" t="s">
        <v>10</v>
      </c>
      <c r="D2173" s="485">
        <v>-2</v>
      </c>
      <c r="E2173" s="485">
        <v>0.75</v>
      </c>
      <c r="F2173" s="485"/>
      <c r="G2173" s="485">
        <v>2.4</v>
      </c>
      <c r="H2173" s="487">
        <f t="shared" si="313"/>
        <v>-3.5999999999999996</v>
      </c>
    </row>
    <row r="2174" spans="1:8">
      <c r="A2174" s="485"/>
      <c r="B2174" s="486"/>
      <c r="C2174" s="17" t="s">
        <v>10</v>
      </c>
      <c r="D2174" s="485">
        <v>0</v>
      </c>
      <c r="E2174" s="485">
        <v>4.0999999999999996</v>
      </c>
      <c r="F2174" s="485"/>
      <c r="G2174" s="485">
        <v>2.7</v>
      </c>
      <c r="H2174" s="487">
        <f t="shared" si="313"/>
        <v>0</v>
      </c>
    </row>
    <row r="2175" spans="1:8">
      <c r="A2175" s="485"/>
      <c r="B2175" s="486"/>
      <c r="C2175" s="17" t="s">
        <v>10</v>
      </c>
      <c r="D2175" s="485">
        <v>1</v>
      </c>
      <c r="E2175" s="485">
        <v>1.3</v>
      </c>
      <c r="F2175" s="485"/>
      <c r="G2175" s="485">
        <v>3.5</v>
      </c>
      <c r="H2175" s="487">
        <f t="shared" si="313"/>
        <v>4.55</v>
      </c>
    </row>
    <row r="2176" spans="1:8">
      <c r="A2176" s="485"/>
      <c r="B2176" s="486"/>
      <c r="C2176" s="17" t="s">
        <v>10</v>
      </c>
      <c r="D2176" s="485">
        <v>1</v>
      </c>
      <c r="E2176" s="485">
        <v>1</v>
      </c>
      <c r="F2176" s="485"/>
      <c r="G2176" s="485">
        <v>3.5</v>
      </c>
      <c r="H2176" s="487">
        <f t="shared" si="313"/>
        <v>3.5</v>
      </c>
    </row>
    <row r="2177" spans="1:8">
      <c r="A2177" s="485"/>
      <c r="B2177" s="486" t="s">
        <v>214</v>
      </c>
      <c r="C2177" s="17" t="s">
        <v>10</v>
      </c>
      <c r="D2177" s="485">
        <v>1</v>
      </c>
      <c r="E2177" s="485">
        <v>9.15</v>
      </c>
      <c r="F2177" s="485"/>
      <c r="G2177" s="485">
        <v>3.5</v>
      </c>
      <c r="H2177" s="487">
        <f t="shared" si="313"/>
        <v>32.024999999999999</v>
      </c>
    </row>
    <row r="2178" spans="1:8">
      <c r="A2178" s="485"/>
      <c r="B2178" s="486"/>
      <c r="C2178" s="17" t="s">
        <v>10</v>
      </c>
      <c r="D2178" s="485">
        <v>-1</v>
      </c>
      <c r="E2178" s="485">
        <v>1</v>
      </c>
      <c r="F2178" s="485"/>
      <c r="G2178" s="485">
        <v>2.4</v>
      </c>
      <c r="H2178" s="487">
        <f t="shared" si="313"/>
        <v>-2.4</v>
      </c>
    </row>
    <row r="2179" spans="1:8">
      <c r="A2179" s="485"/>
      <c r="B2179" s="486"/>
      <c r="C2179" s="17" t="s">
        <v>10</v>
      </c>
      <c r="D2179" s="485">
        <v>1</v>
      </c>
      <c r="E2179" s="485">
        <v>6.2850000000000001</v>
      </c>
      <c r="F2179" s="485"/>
      <c r="G2179" s="485">
        <v>3.5</v>
      </c>
      <c r="H2179" s="487">
        <f t="shared" si="313"/>
        <v>21.997500000000002</v>
      </c>
    </row>
    <row r="2180" spans="1:8">
      <c r="A2180" s="485"/>
      <c r="B2180" s="486"/>
      <c r="C2180" s="17" t="s">
        <v>10</v>
      </c>
      <c r="D2180" s="485">
        <v>1</v>
      </c>
      <c r="E2180" s="485">
        <v>10.9</v>
      </c>
      <c r="F2180" s="485"/>
      <c r="G2180" s="485">
        <v>3.5</v>
      </c>
      <c r="H2180" s="487">
        <f t="shared" si="313"/>
        <v>38.15</v>
      </c>
    </row>
    <row r="2181" spans="1:8">
      <c r="A2181" s="485"/>
      <c r="B2181" s="486"/>
      <c r="C2181" s="17" t="s">
        <v>10</v>
      </c>
      <c r="D2181" s="485">
        <v>-1</v>
      </c>
      <c r="E2181" s="485">
        <v>1</v>
      </c>
      <c r="F2181" s="485"/>
      <c r="G2181" s="485">
        <v>2.4</v>
      </c>
      <c r="H2181" s="487">
        <f t="shared" si="313"/>
        <v>-2.4</v>
      </c>
    </row>
    <row r="2182" spans="1:8">
      <c r="A2182" s="485"/>
      <c r="B2182" s="486"/>
      <c r="C2182" s="17" t="s">
        <v>10</v>
      </c>
      <c r="D2182" s="485">
        <v>1</v>
      </c>
      <c r="E2182" s="485">
        <v>0.65</v>
      </c>
      <c r="F2182" s="485"/>
      <c r="G2182" s="485">
        <v>3.5</v>
      </c>
      <c r="H2182" s="487">
        <f t="shared" si="313"/>
        <v>2.2749999999999999</v>
      </c>
    </row>
    <row r="2183" spans="1:8">
      <c r="A2183" s="485"/>
      <c r="B2183" s="486"/>
      <c r="C2183" s="17" t="s">
        <v>10</v>
      </c>
      <c r="D2183" s="485">
        <v>1</v>
      </c>
      <c r="E2183" s="485">
        <v>0.15</v>
      </c>
      <c r="F2183" s="485"/>
      <c r="G2183" s="485">
        <v>3.5</v>
      </c>
      <c r="H2183" s="487">
        <f t="shared" si="313"/>
        <v>0.52500000000000002</v>
      </c>
    </row>
    <row r="2184" spans="1:8">
      <c r="A2184" s="485"/>
      <c r="B2184" s="486"/>
      <c r="C2184" s="17" t="s">
        <v>10</v>
      </c>
      <c r="D2184" s="485">
        <v>1</v>
      </c>
      <c r="E2184" s="485">
        <v>5.4</v>
      </c>
      <c r="F2184" s="485"/>
      <c r="G2184" s="485">
        <v>1.1000000000000001</v>
      </c>
      <c r="H2184" s="487">
        <f t="shared" si="313"/>
        <v>5.9400000000000013</v>
      </c>
    </row>
    <row r="2185" spans="1:8">
      <c r="A2185" s="485"/>
      <c r="B2185" s="486" t="s">
        <v>2017</v>
      </c>
      <c r="C2185" s="17" t="s">
        <v>10</v>
      </c>
      <c r="D2185" s="485">
        <v>1</v>
      </c>
      <c r="E2185" s="485">
        <v>1.9</v>
      </c>
      <c r="F2185" s="485"/>
      <c r="G2185" s="485">
        <v>3.5</v>
      </c>
      <c r="H2185" s="487">
        <f t="shared" si="313"/>
        <v>6.6499999999999995</v>
      </c>
    </row>
    <row r="2186" spans="1:8">
      <c r="A2186" s="17"/>
      <c r="B2186" s="15" t="s">
        <v>46</v>
      </c>
      <c r="C2186" s="17" t="s">
        <v>10</v>
      </c>
      <c r="D2186" s="17"/>
      <c r="E2186" s="17"/>
      <c r="F2186" s="17"/>
      <c r="G2186" s="17"/>
      <c r="H2186" s="18"/>
    </row>
    <row r="2187" spans="1:8">
      <c r="A2187" s="17"/>
      <c r="B2187" s="17" t="s">
        <v>171</v>
      </c>
      <c r="C2187" s="73" t="s">
        <v>10</v>
      </c>
      <c r="D2187" s="17">
        <v>2</v>
      </c>
      <c r="E2187" s="17">
        <v>2.5499999999999998</v>
      </c>
      <c r="F2187" s="17"/>
      <c r="G2187" s="17">
        <v>3.5</v>
      </c>
      <c r="H2187" s="18">
        <f t="shared" ref="H2187:H2207" si="314">PRODUCT(D2187:G2187)</f>
        <v>17.849999999999998</v>
      </c>
    </row>
    <row r="2188" spans="1:8">
      <c r="A2188" s="17"/>
      <c r="B2188" s="17"/>
      <c r="C2188" s="73" t="s">
        <v>10</v>
      </c>
      <c r="D2188" s="17">
        <v>1</v>
      </c>
      <c r="E2188" s="17">
        <v>4</v>
      </c>
      <c r="F2188" s="17"/>
      <c r="G2188" s="17">
        <v>3.5</v>
      </c>
      <c r="H2188" s="18">
        <f t="shared" si="314"/>
        <v>14</v>
      </c>
    </row>
    <row r="2189" spans="1:8">
      <c r="A2189" s="485"/>
      <c r="B2189" s="485"/>
      <c r="C2189" s="73" t="s">
        <v>10</v>
      </c>
      <c r="D2189" s="17">
        <v>-1</v>
      </c>
      <c r="E2189" s="17">
        <v>1</v>
      </c>
      <c r="F2189" s="17"/>
      <c r="G2189" s="17">
        <v>2.4</v>
      </c>
      <c r="H2189" s="18">
        <f t="shared" ref="H2189" si="315">PRODUCT(D2189:G2189)</f>
        <v>-2.4</v>
      </c>
    </row>
    <row r="2190" spans="1:8">
      <c r="A2190" s="17"/>
      <c r="B2190" s="17" t="s">
        <v>1218</v>
      </c>
      <c r="C2190" s="73" t="s">
        <v>10</v>
      </c>
      <c r="D2190" s="17">
        <v>1</v>
      </c>
      <c r="E2190" s="17">
        <v>3.05</v>
      </c>
      <c r="F2190" s="17"/>
      <c r="G2190" s="17">
        <v>3.5</v>
      </c>
      <c r="H2190" s="18">
        <f t="shared" si="314"/>
        <v>10.674999999999999</v>
      </c>
    </row>
    <row r="2191" spans="1:8">
      <c r="A2191" s="485"/>
      <c r="B2191" s="485"/>
      <c r="C2191" s="73" t="s">
        <v>10</v>
      </c>
      <c r="D2191" s="17">
        <v>2</v>
      </c>
      <c r="E2191" s="17">
        <v>2.4500000000000002</v>
      </c>
      <c r="F2191" s="17"/>
      <c r="G2191" s="17">
        <v>3.5</v>
      </c>
      <c r="H2191" s="18">
        <f t="shared" si="314"/>
        <v>17.150000000000002</v>
      </c>
    </row>
    <row r="2192" spans="1:8">
      <c r="A2192" s="485"/>
      <c r="B2192" s="485"/>
      <c r="C2192" s="73" t="s">
        <v>10</v>
      </c>
      <c r="D2192" s="485">
        <v>1</v>
      </c>
      <c r="E2192" s="485">
        <v>0.75</v>
      </c>
      <c r="F2192" s="485"/>
      <c r="G2192" s="17">
        <v>3.5</v>
      </c>
      <c r="H2192" s="18">
        <f t="shared" si="314"/>
        <v>2.625</v>
      </c>
    </row>
    <row r="2193" spans="1:8">
      <c r="A2193" s="485"/>
      <c r="B2193" s="485"/>
      <c r="C2193" s="73" t="s">
        <v>10</v>
      </c>
      <c r="D2193" s="485">
        <v>-1</v>
      </c>
      <c r="E2193" s="485">
        <v>1</v>
      </c>
      <c r="F2193" s="485"/>
      <c r="G2193" s="485">
        <v>2.4</v>
      </c>
      <c r="H2193" s="487">
        <f t="shared" si="314"/>
        <v>-2.4</v>
      </c>
    </row>
    <row r="2194" spans="1:8">
      <c r="A2194" s="485"/>
      <c r="B2194" s="485"/>
      <c r="C2194" s="73" t="s">
        <v>10</v>
      </c>
      <c r="D2194" s="485">
        <v>-1</v>
      </c>
      <c r="E2194" s="485">
        <v>0.9</v>
      </c>
      <c r="F2194" s="485"/>
      <c r="G2194" s="485">
        <v>2.4</v>
      </c>
      <c r="H2194" s="487">
        <f t="shared" si="314"/>
        <v>-2.16</v>
      </c>
    </row>
    <row r="2195" spans="1:8">
      <c r="A2195" s="485"/>
      <c r="B2195" s="485" t="s">
        <v>171</v>
      </c>
      <c r="C2195" s="73" t="s">
        <v>10</v>
      </c>
      <c r="D2195" s="485">
        <v>1</v>
      </c>
      <c r="E2195" s="485">
        <v>3.05</v>
      </c>
      <c r="F2195" s="485"/>
      <c r="G2195" s="17">
        <v>3.5</v>
      </c>
      <c r="H2195" s="18">
        <f t="shared" si="314"/>
        <v>10.674999999999999</v>
      </c>
    </row>
    <row r="2196" spans="1:8">
      <c r="A2196" s="485"/>
      <c r="B2196" s="485"/>
      <c r="C2196" s="73" t="s">
        <v>10</v>
      </c>
      <c r="D2196" s="485">
        <v>1</v>
      </c>
      <c r="E2196" s="485">
        <v>1.98</v>
      </c>
      <c r="F2196" s="485"/>
      <c r="G2196" s="17">
        <v>3.5</v>
      </c>
      <c r="H2196" s="18">
        <f t="shared" si="314"/>
        <v>6.93</v>
      </c>
    </row>
    <row r="2197" spans="1:8">
      <c r="A2197" s="485"/>
      <c r="B2197" s="485"/>
      <c r="C2197" s="73" t="s">
        <v>10</v>
      </c>
      <c r="D2197" s="485">
        <v>-1</v>
      </c>
      <c r="E2197" s="485">
        <v>1</v>
      </c>
      <c r="F2197" s="485"/>
      <c r="G2197" s="485">
        <v>2.4</v>
      </c>
      <c r="H2197" s="487">
        <f t="shared" si="314"/>
        <v>-2.4</v>
      </c>
    </row>
    <row r="2198" spans="1:8">
      <c r="A2198" s="485"/>
      <c r="B2198" s="485" t="s">
        <v>1313</v>
      </c>
      <c r="C2198" s="73" t="s">
        <v>10</v>
      </c>
      <c r="D2198" s="485">
        <v>1</v>
      </c>
      <c r="E2198" s="485">
        <v>1.1000000000000001</v>
      </c>
      <c r="F2198" s="485"/>
      <c r="G2198" s="17">
        <v>3.5</v>
      </c>
      <c r="H2198" s="487">
        <f t="shared" si="314"/>
        <v>3.8500000000000005</v>
      </c>
    </row>
    <row r="2199" spans="1:8">
      <c r="A2199" s="485"/>
      <c r="B2199" s="485"/>
      <c r="C2199" s="73" t="s">
        <v>10</v>
      </c>
      <c r="D2199" s="485">
        <v>1</v>
      </c>
      <c r="E2199" s="485">
        <v>2.35</v>
      </c>
      <c r="F2199" s="485"/>
      <c r="G2199" s="17">
        <v>3.5</v>
      </c>
      <c r="H2199" s="487">
        <f t="shared" si="314"/>
        <v>8.2249999999999996</v>
      </c>
    </row>
    <row r="2200" spans="1:8">
      <c r="A2200" s="485"/>
      <c r="B2200" s="485"/>
      <c r="C2200" s="73" t="s">
        <v>10</v>
      </c>
      <c r="D2200" s="485">
        <v>-1</v>
      </c>
      <c r="E2200" s="485">
        <v>1</v>
      </c>
      <c r="F2200" s="485"/>
      <c r="G2200" s="485">
        <v>2.4</v>
      </c>
      <c r="H2200" s="487">
        <f t="shared" si="314"/>
        <v>-2.4</v>
      </c>
    </row>
    <row r="2201" spans="1:8">
      <c r="A2201" s="485"/>
      <c r="B2201" s="485"/>
      <c r="C2201" s="73" t="s">
        <v>10</v>
      </c>
      <c r="D2201" s="485">
        <v>1</v>
      </c>
      <c r="E2201" s="485">
        <v>8.9499999999999993</v>
      </c>
      <c r="F2201" s="485"/>
      <c r="G2201" s="17">
        <v>3.5</v>
      </c>
      <c r="H2201" s="487">
        <f t="shared" si="314"/>
        <v>31.324999999999996</v>
      </c>
    </row>
    <row r="2202" spans="1:8">
      <c r="A2202" s="485"/>
      <c r="B2202" s="485" t="s">
        <v>114</v>
      </c>
      <c r="C2202" s="73" t="s">
        <v>10</v>
      </c>
      <c r="D2202" s="485">
        <v>0</v>
      </c>
      <c r="E2202" s="485">
        <f>1.075+1.075+1.05</f>
        <v>3.2</v>
      </c>
      <c r="F2202" s="485"/>
      <c r="G2202" s="17">
        <v>3.5</v>
      </c>
      <c r="H2202" s="487">
        <f t="shared" si="314"/>
        <v>0</v>
      </c>
    </row>
    <row r="2203" spans="1:8">
      <c r="A2203" s="485"/>
      <c r="B2203" s="485"/>
      <c r="C2203" s="73" t="s">
        <v>10</v>
      </c>
      <c r="D2203" s="485">
        <v>2</v>
      </c>
      <c r="E2203" s="485">
        <v>2.5499999999999998</v>
      </c>
      <c r="F2203" s="485"/>
      <c r="G2203" s="17">
        <v>3.5</v>
      </c>
      <c r="H2203" s="487">
        <f t="shared" si="314"/>
        <v>17.849999999999998</v>
      </c>
    </row>
    <row r="2204" spans="1:8">
      <c r="A2204" s="485"/>
      <c r="B2204" s="485"/>
      <c r="C2204" s="73" t="s">
        <v>10</v>
      </c>
      <c r="D2204" s="485">
        <v>-1</v>
      </c>
      <c r="E2204" s="485">
        <v>1</v>
      </c>
      <c r="F2204" s="485"/>
      <c r="G2204" s="17">
        <v>2.4</v>
      </c>
      <c r="H2204" s="487">
        <f t="shared" si="314"/>
        <v>-2.4</v>
      </c>
    </row>
    <row r="2205" spans="1:8">
      <c r="A2205" s="485"/>
      <c r="B2205" s="485" t="s">
        <v>171</v>
      </c>
      <c r="C2205" s="73" t="s">
        <v>10</v>
      </c>
      <c r="D2205" s="485">
        <v>1</v>
      </c>
      <c r="E2205" s="485">
        <v>4.5999999999999996</v>
      </c>
      <c r="F2205" s="485"/>
      <c r="G2205" s="17">
        <v>3.5</v>
      </c>
      <c r="H2205" s="487">
        <f t="shared" si="314"/>
        <v>16.099999999999998</v>
      </c>
    </row>
    <row r="2206" spans="1:8">
      <c r="A2206" s="485"/>
      <c r="B2206" s="485"/>
      <c r="C2206" s="73" t="s">
        <v>10</v>
      </c>
      <c r="D2206" s="485">
        <v>1</v>
      </c>
      <c r="E2206" s="485">
        <v>2.2999999999999998</v>
      </c>
      <c r="F2206" s="485"/>
      <c r="G2206" s="17">
        <v>3.5</v>
      </c>
      <c r="H2206" s="487">
        <f t="shared" si="314"/>
        <v>8.0499999999999989</v>
      </c>
    </row>
    <row r="2207" spans="1:8">
      <c r="A2207" s="485"/>
      <c r="B2207" s="485"/>
      <c r="C2207" s="73" t="s">
        <v>10</v>
      </c>
      <c r="D2207" s="485">
        <v>-1</v>
      </c>
      <c r="E2207" s="485">
        <v>1</v>
      </c>
      <c r="F2207" s="485"/>
      <c r="G2207" s="485">
        <v>2.4</v>
      </c>
      <c r="H2207" s="487">
        <f t="shared" si="314"/>
        <v>-2.4</v>
      </c>
    </row>
    <row r="2208" spans="1:8">
      <c r="A2208" s="485"/>
      <c r="B2208" s="485"/>
      <c r="C2208" s="486"/>
      <c r="D2208" s="485"/>
      <c r="E2208" s="485"/>
      <c r="F2208" s="485"/>
      <c r="G2208" s="485"/>
      <c r="H2208" s="487"/>
    </row>
    <row r="2209" spans="1:8">
      <c r="A2209" s="17"/>
      <c r="B2209" s="17"/>
      <c r="C2209" s="17"/>
      <c r="D2209" s="17"/>
      <c r="E2209" s="17"/>
      <c r="F2209" s="17"/>
      <c r="G2209" s="17"/>
      <c r="H2209" s="18"/>
    </row>
    <row r="2210" spans="1:8">
      <c r="A2210" s="15"/>
      <c r="B2210" s="15" t="s">
        <v>21</v>
      </c>
      <c r="C2210" s="15"/>
      <c r="D2210" s="15"/>
      <c r="E2210" s="15"/>
      <c r="F2210" s="15"/>
      <c r="G2210" s="15"/>
      <c r="H2210" s="20">
        <f>SUM(H1952:H2209)</f>
        <v>2231.3177499999979</v>
      </c>
    </row>
    <row r="2211" spans="1:8">
      <c r="A2211" s="17"/>
      <c r="B2211" s="17" t="s">
        <v>22</v>
      </c>
      <c r="C2211" s="17"/>
      <c r="D2211" s="17"/>
      <c r="E2211" s="17"/>
      <c r="F2211" s="17"/>
      <c r="G2211" s="17"/>
      <c r="H2211" s="18"/>
    </row>
    <row r="2212" spans="1:8">
      <c r="A2212" s="15"/>
      <c r="B2212" s="15" t="s">
        <v>23</v>
      </c>
      <c r="C2212" s="15"/>
      <c r="D2212" s="15"/>
      <c r="E2212" s="15"/>
      <c r="F2212" s="15"/>
      <c r="G2212" s="15"/>
      <c r="H2212" s="20">
        <f>ROUND(SUM(H2210:H2211),0)</f>
        <v>2231</v>
      </c>
    </row>
    <row r="2213" spans="1:8" s="948" customFormat="1">
      <c r="H2213" s="21"/>
    </row>
    <row r="2214" spans="1:8" s="948" customFormat="1">
      <c r="A2214" s="17">
        <v>4</v>
      </c>
      <c r="B2214" s="15" t="s">
        <v>2140</v>
      </c>
      <c r="C2214" s="17" t="s">
        <v>10</v>
      </c>
      <c r="D2214" s="17"/>
      <c r="E2214" s="17"/>
      <c r="F2214" s="17"/>
      <c r="G2214" s="17"/>
      <c r="H2214" s="18"/>
    </row>
    <row r="2215" spans="1:8" s="948" customFormat="1">
      <c r="A2215" s="485"/>
      <c r="B2215" s="931" t="s">
        <v>2031</v>
      </c>
      <c r="C2215" s="485"/>
      <c r="D2215" s="485"/>
      <c r="E2215" s="485"/>
      <c r="F2215" s="485"/>
      <c r="G2215" s="485"/>
      <c r="H2215" s="487"/>
    </row>
    <row r="2216" spans="1:8" s="948" customFormat="1">
      <c r="A2216" s="485"/>
      <c r="B2216" s="486" t="s">
        <v>156</v>
      </c>
      <c r="C2216" s="17" t="s">
        <v>10</v>
      </c>
      <c r="D2216" s="485">
        <v>4</v>
      </c>
      <c r="E2216" s="485">
        <v>1.8</v>
      </c>
      <c r="F2216" s="485"/>
      <c r="G2216" s="485">
        <v>3.5</v>
      </c>
      <c r="H2216" s="18">
        <f t="shared" ref="H2216:H2307" si="316">PRODUCT(D2216:G2216)</f>
        <v>25.2</v>
      </c>
    </row>
    <row r="2217" spans="1:8" s="948" customFormat="1">
      <c r="A2217" s="485"/>
      <c r="B2217" s="486"/>
      <c r="C2217" s="17" t="s">
        <v>10</v>
      </c>
      <c r="D2217" s="485">
        <v>-4</v>
      </c>
      <c r="E2217" s="485">
        <v>1.5</v>
      </c>
      <c r="F2217" s="485"/>
      <c r="G2217" s="485">
        <v>2.4</v>
      </c>
      <c r="H2217" s="18">
        <f t="shared" si="316"/>
        <v>-14.399999999999999</v>
      </c>
    </row>
    <row r="2218" spans="1:8" s="948" customFormat="1">
      <c r="A2218" s="485"/>
      <c r="B2218" s="486"/>
      <c r="C2218" s="17" t="s">
        <v>10</v>
      </c>
      <c r="D2218" s="485">
        <v>3</v>
      </c>
      <c r="E2218" s="485">
        <v>0.875</v>
      </c>
      <c r="F2218" s="485"/>
      <c r="G2218" s="485">
        <v>3.5</v>
      </c>
      <c r="H2218" s="18">
        <f t="shared" si="316"/>
        <v>9.1875</v>
      </c>
    </row>
    <row r="2219" spans="1:8" s="948" customFormat="1">
      <c r="A2219" s="485"/>
      <c r="B2219" s="486"/>
      <c r="C2219" s="17" t="s">
        <v>10</v>
      </c>
      <c r="D2219" s="485">
        <v>2</v>
      </c>
      <c r="E2219" s="485">
        <v>4</v>
      </c>
      <c r="F2219" s="485"/>
      <c r="G2219" s="485">
        <v>2.4</v>
      </c>
      <c r="H2219" s="18">
        <f t="shared" si="316"/>
        <v>19.2</v>
      </c>
    </row>
    <row r="2220" spans="1:8" s="948" customFormat="1">
      <c r="A2220" s="485"/>
      <c r="B2220" s="486"/>
      <c r="C2220" s="17" t="s">
        <v>10</v>
      </c>
      <c r="D2220" s="485">
        <v>4</v>
      </c>
      <c r="E2220" s="485">
        <v>4</v>
      </c>
      <c r="F2220" s="485"/>
      <c r="G2220" s="485">
        <v>1.1000000000000001</v>
      </c>
      <c r="H2220" s="18">
        <f t="shared" ref="H2220" si="317">PRODUCT(D2220:G2220)</f>
        <v>17.600000000000001</v>
      </c>
    </row>
    <row r="2221" spans="1:8" s="948" customFormat="1">
      <c r="A2221" s="485"/>
      <c r="B2221" s="486" t="s">
        <v>1343</v>
      </c>
      <c r="C2221" s="17" t="s">
        <v>10</v>
      </c>
      <c r="D2221" s="485">
        <v>1</v>
      </c>
      <c r="E2221" s="485">
        <v>0.75</v>
      </c>
      <c r="F2221" s="485"/>
      <c r="G2221" s="485">
        <v>3.5</v>
      </c>
      <c r="H2221" s="18">
        <f t="shared" si="316"/>
        <v>2.625</v>
      </c>
    </row>
    <row r="2222" spans="1:8" s="948" customFormat="1">
      <c r="A2222" s="485"/>
      <c r="B2222" s="486"/>
      <c r="C2222" s="17" t="s">
        <v>10</v>
      </c>
      <c r="D2222" s="485">
        <v>2</v>
      </c>
      <c r="E2222" s="485">
        <v>0.75</v>
      </c>
      <c r="F2222" s="485"/>
      <c r="G2222" s="485">
        <v>1.1000000000000001</v>
      </c>
      <c r="H2222" s="18">
        <f t="shared" ref="H2222" si="318">PRODUCT(D2222:G2222)</f>
        <v>1.6500000000000001</v>
      </c>
    </row>
    <row r="2223" spans="1:8" s="948" customFormat="1">
      <c r="A2223" s="485"/>
      <c r="B2223" s="486" t="s">
        <v>1343</v>
      </c>
      <c r="C2223" s="17" t="s">
        <v>10</v>
      </c>
      <c r="D2223" s="485">
        <v>2</v>
      </c>
      <c r="E2223" s="485">
        <v>0.84</v>
      </c>
      <c r="F2223" s="485"/>
      <c r="G2223" s="485">
        <v>3.5</v>
      </c>
      <c r="H2223" s="18">
        <f t="shared" si="316"/>
        <v>5.88</v>
      </c>
    </row>
    <row r="2224" spans="1:8" s="948" customFormat="1">
      <c r="A2224" s="485"/>
      <c r="B2224" s="486" t="s">
        <v>1343</v>
      </c>
      <c r="C2224" s="17" t="s">
        <v>10</v>
      </c>
      <c r="D2224" s="485">
        <v>2</v>
      </c>
      <c r="E2224" s="485">
        <v>2.5529999999999999</v>
      </c>
      <c r="F2224" s="485"/>
      <c r="G2224" s="485">
        <v>3.5</v>
      </c>
      <c r="H2224" s="18">
        <f t="shared" si="316"/>
        <v>17.870999999999999</v>
      </c>
    </row>
    <row r="2225" spans="1:8" s="948" customFormat="1">
      <c r="A2225" s="485"/>
      <c r="B2225" s="486"/>
      <c r="C2225" s="17" t="s">
        <v>10</v>
      </c>
      <c r="D2225" s="485">
        <v>4</v>
      </c>
      <c r="E2225" s="485">
        <v>0.5</v>
      </c>
      <c r="F2225" s="485"/>
      <c r="G2225" s="485">
        <v>3.5</v>
      </c>
      <c r="H2225" s="18">
        <f t="shared" si="316"/>
        <v>7</v>
      </c>
    </row>
    <row r="2226" spans="1:8" s="948" customFormat="1">
      <c r="A2226" s="485"/>
      <c r="B2226" s="486"/>
      <c r="C2226" s="17" t="s">
        <v>10</v>
      </c>
      <c r="D2226" s="485">
        <v>3</v>
      </c>
      <c r="E2226" s="485">
        <v>9.1</v>
      </c>
      <c r="F2226" s="485"/>
      <c r="G2226" s="485">
        <v>2.4</v>
      </c>
      <c r="H2226" s="487">
        <f t="shared" si="316"/>
        <v>65.52</v>
      </c>
    </row>
    <row r="2227" spans="1:8" s="948" customFormat="1">
      <c r="A2227" s="485"/>
      <c r="B2227" s="486"/>
      <c r="C2227" s="17" t="s">
        <v>10</v>
      </c>
      <c r="D2227" s="485">
        <v>4</v>
      </c>
      <c r="E2227" s="485">
        <v>9.1</v>
      </c>
      <c r="F2227" s="485"/>
      <c r="G2227" s="485">
        <v>1.1000000000000001</v>
      </c>
      <c r="H2227" s="487">
        <f t="shared" ref="H2227" si="319">PRODUCT(D2227:G2227)</f>
        <v>40.04</v>
      </c>
    </row>
    <row r="2228" spans="1:8" s="948" customFormat="1">
      <c r="A2228" s="485"/>
      <c r="B2228" s="486"/>
      <c r="C2228" s="17" t="s">
        <v>10</v>
      </c>
      <c r="D2228" s="485">
        <v>1</v>
      </c>
      <c r="E2228" s="485">
        <v>1.7549999999999999</v>
      </c>
      <c r="F2228" s="485"/>
      <c r="G2228" s="485">
        <v>3.5</v>
      </c>
      <c r="H2228" s="487">
        <f t="shared" si="316"/>
        <v>6.1425000000000001</v>
      </c>
    </row>
    <row r="2229" spans="1:8" s="948" customFormat="1">
      <c r="A2229" s="485"/>
      <c r="B2229" s="486"/>
      <c r="C2229" s="17" t="s">
        <v>10</v>
      </c>
      <c r="D2229" s="485">
        <v>1</v>
      </c>
      <c r="E2229" s="485">
        <v>1.7549999999999999</v>
      </c>
      <c r="F2229" s="485"/>
      <c r="G2229" s="485">
        <v>1.1000000000000001</v>
      </c>
      <c r="H2229" s="487">
        <f t="shared" ref="H2229" si="320">PRODUCT(D2229:G2229)</f>
        <v>1.9305000000000001</v>
      </c>
    </row>
    <row r="2230" spans="1:8" s="948" customFormat="1">
      <c r="A2230" s="485"/>
      <c r="B2230" s="486"/>
      <c r="C2230" s="17" t="s">
        <v>10</v>
      </c>
      <c r="D2230" s="485">
        <v>2</v>
      </c>
      <c r="E2230" s="485">
        <v>5.0999999999999996</v>
      </c>
      <c r="F2230" s="485"/>
      <c r="G2230" s="485">
        <v>2.4</v>
      </c>
      <c r="H2230" s="487">
        <f t="shared" si="316"/>
        <v>24.479999999999997</v>
      </c>
    </row>
    <row r="2231" spans="1:8" s="948" customFormat="1">
      <c r="A2231" s="485"/>
      <c r="B2231" s="486"/>
      <c r="C2231" s="17" t="s">
        <v>10</v>
      </c>
      <c r="D2231" s="485">
        <v>2</v>
      </c>
      <c r="E2231" s="485">
        <v>5.0999999999999996</v>
      </c>
      <c r="F2231" s="485"/>
      <c r="G2231" s="485">
        <v>1.1000000000000001</v>
      </c>
      <c r="H2231" s="487">
        <f t="shared" ref="H2231" si="321">PRODUCT(D2231:G2231)</f>
        <v>11.22</v>
      </c>
    </row>
    <row r="2232" spans="1:8" s="948" customFormat="1">
      <c r="A2232" s="485"/>
      <c r="B2232" s="486"/>
      <c r="C2232" s="17" t="s">
        <v>10</v>
      </c>
      <c r="D2232" s="485">
        <v>2</v>
      </c>
      <c r="E2232" s="485">
        <v>1.63</v>
      </c>
      <c r="F2232" s="485"/>
      <c r="G2232" s="485">
        <v>3.5</v>
      </c>
      <c r="H2232" s="487">
        <f t="shared" si="316"/>
        <v>11.41</v>
      </c>
    </row>
    <row r="2233" spans="1:8" s="948" customFormat="1">
      <c r="A2233" s="485"/>
      <c r="B2233" s="486" t="s">
        <v>1252</v>
      </c>
      <c r="C2233" s="17" t="s">
        <v>10</v>
      </c>
      <c r="D2233" s="485">
        <v>3</v>
      </c>
      <c r="E2233" s="485">
        <v>5.3</v>
      </c>
      <c r="F2233" s="485"/>
      <c r="G2233" s="485">
        <v>3.5</v>
      </c>
      <c r="H2233" s="487">
        <f t="shared" si="316"/>
        <v>55.649999999999991</v>
      </c>
    </row>
    <row r="2234" spans="1:8" s="948" customFormat="1">
      <c r="A2234" s="485"/>
      <c r="B2234" s="486"/>
      <c r="C2234" s="17" t="s">
        <v>10</v>
      </c>
      <c r="D2234" s="485">
        <v>1</v>
      </c>
      <c r="E2234" s="485">
        <v>5.3</v>
      </c>
      <c r="F2234" s="485"/>
      <c r="G2234" s="485">
        <v>1.1000000000000001</v>
      </c>
      <c r="H2234" s="487">
        <f t="shared" ref="H2234" si="322">PRODUCT(D2234:G2234)</f>
        <v>5.83</v>
      </c>
    </row>
    <row r="2235" spans="1:8" s="948" customFormat="1">
      <c r="A2235" s="485"/>
      <c r="B2235" s="486"/>
      <c r="C2235" s="17" t="s">
        <v>10</v>
      </c>
      <c r="D2235" s="485">
        <v>1</v>
      </c>
      <c r="E2235" s="485">
        <v>1.1299999999999999</v>
      </c>
      <c r="F2235" s="485"/>
      <c r="G2235" s="485">
        <v>3.5</v>
      </c>
      <c r="H2235" s="487">
        <f t="shared" si="316"/>
        <v>3.9549999999999996</v>
      </c>
    </row>
    <row r="2236" spans="1:8" s="948" customFormat="1">
      <c r="A2236" s="485"/>
      <c r="B2236" s="486"/>
      <c r="C2236" s="17" t="s">
        <v>10</v>
      </c>
      <c r="D2236" s="485">
        <v>1</v>
      </c>
      <c r="E2236" s="485">
        <v>1.1299999999999999</v>
      </c>
      <c r="F2236" s="485"/>
      <c r="G2236" s="485">
        <v>1.1000000000000001</v>
      </c>
      <c r="H2236" s="487">
        <f t="shared" ref="H2236" si="323">PRODUCT(D2236:G2236)</f>
        <v>1.2429999999999999</v>
      </c>
    </row>
    <row r="2237" spans="1:8" s="948" customFormat="1">
      <c r="A2237" s="485"/>
      <c r="B2237" s="486"/>
      <c r="C2237" s="17" t="s">
        <v>10</v>
      </c>
      <c r="D2237" s="485">
        <v>3</v>
      </c>
      <c r="E2237" s="485">
        <v>5.91</v>
      </c>
      <c r="F2237" s="485"/>
      <c r="G2237" s="485">
        <v>3.5</v>
      </c>
      <c r="H2237" s="487">
        <f t="shared" si="316"/>
        <v>62.055</v>
      </c>
    </row>
    <row r="2238" spans="1:8" s="948" customFormat="1">
      <c r="A2238" s="485"/>
      <c r="B2238" s="486"/>
      <c r="C2238" s="17" t="s">
        <v>10</v>
      </c>
      <c r="D2238" s="485">
        <v>1</v>
      </c>
      <c r="E2238" s="485">
        <v>5.91</v>
      </c>
      <c r="F2238" s="485"/>
      <c r="G2238" s="485">
        <v>1.1000000000000001</v>
      </c>
      <c r="H2238" s="487">
        <f t="shared" ref="H2238" si="324">PRODUCT(D2238:G2238)</f>
        <v>6.5010000000000003</v>
      </c>
    </row>
    <row r="2239" spans="1:8" s="948" customFormat="1">
      <c r="A2239" s="485"/>
      <c r="B2239" s="486" t="s">
        <v>1343</v>
      </c>
      <c r="C2239" s="17" t="s">
        <v>10</v>
      </c>
      <c r="D2239" s="485">
        <v>2</v>
      </c>
      <c r="E2239" s="485">
        <v>1.69</v>
      </c>
      <c r="F2239" s="485"/>
      <c r="G2239" s="485">
        <v>3.5</v>
      </c>
      <c r="H2239" s="487">
        <f t="shared" si="316"/>
        <v>11.83</v>
      </c>
    </row>
    <row r="2240" spans="1:8" s="948" customFormat="1">
      <c r="A2240" s="485"/>
      <c r="B2240" s="486"/>
      <c r="C2240" s="17" t="s">
        <v>10</v>
      </c>
      <c r="D2240" s="485">
        <v>1</v>
      </c>
      <c r="E2240" s="485">
        <v>0.84</v>
      </c>
      <c r="F2240" s="485"/>
      <c r="G2240" s="485">
        <v>1.1000000000000001</v>
      </c>
      <c r="H2240" s="487">
        <f t="shared" si="316"/>
        <v>0.92400000000000004</v>
      </c>
    </row>
    <row r="2241" spans="1:8" s="948" customFormat="1">
      <c r="A2241" s="485"/>
      <c r="B2241" s="486"/>
      <c r="C2241" s="17" t="s">
        <v>10</v>
      </c>
      <c r="D2241" s="485">
        <v>1</v>
      </c>
      <c r="E2241" s="485">
        <v>1.65</v>
      </c>
      <c r="F2241" s="485"/>
      <c r="G2241" s="485">
        <v>1.1000000000000001</v>
      </c>
      <c r="H2241" s="487">
        <f t="shared" si="316"/>
        <v>1.8149999999999999</v>
      </c>
    </row>
    <row r="2242" spans="1:8" s="948" customFormat="1">
      <c r="A2242" s="485"/>
      <c r="B2242" s="486"/>
      <c r="C2242" s="17" t="s">
        <v>10</v>
      </c>
      <c r="D2242" s="485">
        <v>4</v>
      </c>
      <c r="E2242" s="485">
        <v>3.78</v>
      </c>
      <c r="F2242" s="485"/>
      <c r="G2242" s="485">
        <v>3.5</v>
      </c>
      <c r="H2242" s="487">
        <f t="shared" si="316"/>
        <v>52.919999999999995</v>
      </c>
    </row>
    <row r="2243" spans="1:8" s="948" customFormat="1">
      <c r="A2243" s="485"/>
      <c r="B2243" s="486" t="s">
        <v>1215</v>
      </c>
      <c r="C2243" s="17" t="s">
        <v>10</v>
      </c>
      <c r="D2243" s="485">
        <v>2</v>
      </c>
      <c r="E2243" s="485">
        <v>3.45</v>
      </c>
      <c r="F2243" s="485"/>
      <c r="G2243" s="485">
        <v>3.5</v>
      </c>
      <c r="H2243" s="487">
        <f t="shared" si="316"/>
        <v>24.150000000000002</v>
      </c>
    </row>
    <row r="2244" spans="1:8" s="948" customFormat="1">
      <c r="A2244" s="485"/>
      <c r="B2244" s="486"/>
      <c r="C2244" s="17" t="s">
        <v>10</v>
      </c>
      <c r="D2244" s="485">
        <v>2</v>
      </c>
      <c r="E2244" s="485">
        <v>3.45</v>
      </c>
      <c r="F2244" s="485"/>
      <c r="G2244" s="485">
        <v>1.1000000000000001</v>
      </c>
      <c r="H2244" s="487">
        <f t="shared" ref="H2244" si="325">PRODUCT(D2244:G2244)</f>
        <v>7.5900000000000007</v>
      </c>
    </row>
    <row r="2245" spans="1:8" s="948" customFormat="1">
      <c r="A2245" s="485"/>
      <c r="B2245" s="486"/>
      <c r="C2245" s="17" t="s">
        <v>10</v>
      </c>
      <c r="D2245" s="485">
        <v>2</v>
      </c>
      <c r="E2245" s="485">
        <v>15.64</v>
      </c>
      <c r="F2245" s="485"/>
      <c r="G2245" s="485">
        <v>3.5</v>
      </c>
      <c r="H2245" s="487">
        <f t="shared" si="316"/>
        <v>109.48</v>
      </c>
    </row>
    <row r="2246" spans="1:8" s="948" customFormat="1">
      <c r="A2246" s="485"/>
      <c r="B2246" s="486"/>
      <c r="C2246" s="17" t="s">
        <v>10</v>
      </c>
      <c r="D2246" s="485">
        <v>2</v>
      </c>
      <c r="E2246" s="485">
        <v>15.64</v>
      </c>
      <c r="F2246" s="485"/>
      <c r="G2246" s="485">
        <v>1.1000000000000001</v>
      </c>
      <c r="H2246" s="487">
        <f t="shared" ref="H2246" si="326">PRODUCT(D2246:G2246)</f>
        <v>34.408000000000001</v>
      </c>
    </row>
    <row r="2247" spans="1:8" s="948" customFormat="1">
      <c r="A2247" s="485"/>
      <c r="B2247" s="486"/>
      <c r="C2247" s="17" t="s">
        <v>10</v>
      </c>
      <c r="D2247" s="485">
        <v>3</v>
      </c>
      <c r="E2247" s="485">
        <v>0.2</v>
      </c>
      <c r="F2247" s="485"/>
      <c r="G2247" s="485">
        <v>3.5</v>
      </c>
      <c r="H2247" s="487">
        <f t="shared" si="316"/>
        <v>2.1000000000000005</v>
      </c>
    </row>
    <row r="2248" spans="1:8" s="948" customFormat="1">
      <c r="A2248" s="485"/>
      <c r="B2248" s="486"/>
      <c r="C2248" s="17" t="s">
        <v>10</v>
      </c>
      <c r="D2248" s="485">
        <v>1</v>
      </c>
      <c r="E2248" s="485">
        <v>0.2</v>
      </c>
      <c r="F2248" s="485"/>
      <c r="G2248" s="485">
        <v>1.1000000000000001</v>
      </c>
      <c r="H2248" s="487">
        <f t="shared" ref="H2248" si="327">PRODUCT(D2248:G2248)</f>
        <v>0.22000000000000003</v>
      </c>
    </row>
    <row r="2249" spans="1:8" s="948" customFormat="1">
      <c r="A2249" s="485"/>
      <c r="B2249" s="486"/>
      <c r="C2249" s="17" t="s">
        <v>10</v>
      </c>
      <c r="D2249" s="485">
        <v>4</v>
      </c>
      <c r="E2249" s="485">
        <v>2.9</v>
      </c>
      <c r="F2249" s="485"/>
      <c r="G2249" s="485">
        <f>3.5-2.4</f>
        <v>1.1000000000000001</v>
      </c>
      <c r="H2249" s="487">
        <f t="shared" si="316"/>
        <v>12.76</v>
      </c>
    </row>
    <row r="2250" spans="1:8" s="948" customFormat="1">
      <c r="A2250" s="485"/>
      <c r="B2250" s="486"/>
      <c r="C2250" s="17" t="s">
        <v>10</v>
      </c>
      <c r="D2250" s="485">
        <v>1</v>
      </c>
      <c r="E2250" s="485">
        <v>0.15</v>
      </c>
      <c r="F2250" s="485"/>
      <c r="G2250" s="485">
        <v>3.5</v>
      </c>
      <c r="H2250" s="487">
        <f t="shared" si="316"/>
        <v>0.52500000000000002</v>
      </c>
    </row>
    <row r="2251" spans="1:8" s="948" customFormat="1">
      <c r="A2251" s="485"/>
      <c r="B2251" s="486"/>
      <c r="C2251" s="17" t="s">
        <v>10</v>
      </c>
      <c r="D2251" s="485">
        <v>1</v>
      </c>
      <c r="E2251" s="485">
        <v>3.55</v>
      </c>
      <c r="F2251" s="485"/>
      <c r="G2251" s="485">
        <v>3.5</v>
      </c>
      <c r="H2251" s="487">
        <f t="shared" si="316"/>
        <v>12.424999999999999</v>
      </c>
    </row>
    <row r="2252" spans="1:8" s="948" customFormat="1">
      <c r="A2252" s="485"/>
      <c r="B2252" s="486"/>
      <c r="C2252" s="17" t="s">
        <v>10</v>
      </c>
      <c r="D2252" s="485">
        <v>2</v>
      </c>
      <c r="E2252" s="485">
        <v>3.55</v>
      </c>
      <c r="F2252" s="485"/>
      <c r="G2252" s="485">
        <v>1.1000000000000001</v>
      </c>
      <c r="H2252" s="487">
        <f t="shared" ref="H2252" si="328">PRODUCT(D2252:G2252)</f>
        <v>7.8100000000000005</v>
      </c>
    </row>
    <row r="2253" spans="1:8" s="948" customFormat="1">
      <c r="A2253" s="485"/>
      <c r="B2253" s="486"/>
      <c r="C2253" s="17" t="s">
        <v>10</v>
      </c>
      <c r="D2253" s="485">
        <v>2</v>
      </c>
      <c r="E2253" s="485">
        <v>1.4</v>
      </c>
      <c r="F2253" s="485"/>
      <c r="G2253" s="485">
        <v>3.5</v>
      </c>
      <c r="H2253" s="487">
        <f t="shared" ref="H2253" si="329">PRODUCT(D2253:G2253)</f>
        <v>9.7999999999999989</v>
      </c>
    </row>
    <row r="2254" spans="1:8" s="948" customFormat="1">
      <c r="A2254" s="485"/>
      <c r="B2254" s="486" t="s">
        <v>2004</v>
      </c>
      <c r="C2254" s="17" t="s">
        <v>10</v>
      </c>
      <c r="D2254" s="485">
        <v>2</v>
      </c>
      <c r="E2254" s="485">
        <v>1.556</v>
      </c>
      <c r="F2254" s="485"/>
      <c r="G2254" s="485">
        <v>3.5</v>
      </c>
      <c r="H2254" s="487">
        <f t="shared" si="316"/>
        <v>10.891999999999999</v>
      </c>
    </row>
    <row r="2255" spans="1:8" s="948" customFormat="1">
      <c r="A2255" s="485"/>
      <c r="B2255" s="486" t="s">
        <v>1199</v>
      </c>
      <c r="C2255" s="17" t="s">
        <v>10</v>
      </c>
      <c r="D2255" s="485">
        <v>3</v>
      </c>
      <c r="E2255" s="485">
        <v>3.55</v>
      </c>
      <c r="F2255" s="485"/>
      <c r="G2255" s="485">
        <v>3.5</v>
      </c>
      <c r="H2255" s="487">
        <f t="shared" si="316"/>
        <v>37.274999999999991</v>
      </c>
    </row>
    <row r="2256" spans="1:8" s="948" customFormat="1">
      <c r="A2256" s="485"/>
      <c r="B2256" s="486"/>
      <c r="C2256" s="17" t="s">
        <v>10</v>
      </c>
      <c r="D2256" s="485">
        <v>6</v>
      </c>
      <c r="E2256" s="485">
        <v>3.55</v>
      </c>
      <c r="F2256" s="485"/>
      <c r="G2256" s="485">
        <v>1.1000000000000001</v>
      </c>
      <c r="H2256" s="487">
        <f t="shared" ref="H2256:H2257" si="330">PRODUCT(D2256:G2256)</f>
        <v>23.43</v>
      </c>
    </row>
    <row r="2257" spans="1:8" s="948" customFormat="1">
      <c r="A2257" s="485"/>
      <c r="B2257" s="486"/>
      <c r="C2257" s="17" t="s">
        <v>10</v>
      </c>
      <c r="D2257" s="485">
        <v>2</v>
      </c>
      <c r="E2257" s="485">
        <v>1.4</v>
      </c>
      <c r="F2257" s="485"/>
      <c r="G2257" s="485">
        <v>3.5</v>
      </c>
      <c r="H2257" s="487">
        <f t="shared" si="330"/>
        <v>9.7999999999999989</v>
      </c>
    </row>
    <row r="2258" spans="1:8" s="948" customFormat="1">
      <c r="A2258" s="485"/>
      <c r="B2258" s="486"/>
      <c r="C2258" s="17" t="s">
        <v>10</v>
      </c>
      <c r="D2258" s="485">
        <v>8</v>
      </c>
      <c r="E2258" s="485">
        <v>0.15</v>
      </c>
      <c r="F2258" s="485"/>
      <c r="G2258" s="485">
        <v>3.5</v>
      </c>
      <c r="H2258" s="487">
        <f t="shared" si="316"/>
        <v>4.2</v>
      </c>
    </row>
    <row r="2259" spans="1:8" s="948" customFormat="1">
      <c r="A2259" s="485"/>
      <c r="B2259" s="486"/>
      <c r="C2259" s="17" t="s">
        <v>10</v>
      </c>
      <c r="D2259" s="485">
        <v>4</v>
      </c>
      <c r="E2259" s="485">
        <v>2.77</v>
      </c>
      <c r="F2259" s="485"/>
      <c r="G2259" s="485">
        <v>1.1000000000000001</v>
      </c>
      <c r="H2259" s="487">
        <f t="shared" si="316"/>
        <v>12.188000000000001</v>
      </c>
    </row>
    <row r="2260" spans="1:8" s="948" customFormat="1">
      <c r="A2260" s="485"/>
      <c r="B2260" s="486" t="s">
        <v>1327</v>
      </c>
      <c r="C2260" s="17" t="s">
        <v>10</v>
      </c>
      <c r="D2260" s="485">
        <v>8</v>
      </c>
      <c r="E2260" s="485">
        <v>0.15</v>
      </c>
      <c r="F2260" s="485"/>
      <c r="G2260" s="485">
        <v>3.5</v>
      </c>
      <c r="H2260" s="487">
        <f t="shared" si="316"/>
        <v>4.2</v>
      </c>
    </row>
    <row r="2261" spans="1:8" s="948" customFormat="1">
      <c r="A2261" s="485"/>
      <c r="B2261" s="486"/>
      <c r="C2261" s="17" t="s">
        <v>10</v>
      </c>
      <c r="D2261" s="485">
        <v>3</v>
      </c>
      <c r="E2261" s="485">
        <v>3.45</v>
      </c>
      <c r="F2261" s="485"/>
      <c r="G2261" s="485">
        <v>3.5</v>
      </c>
      <c r="H2261" s="487">
        <f t="shared" si="316"/>
        <v>36.225000000000009</v>
      </c>
    </row>
    <row r="2262" spans="1:8" s="948" customFormat="1">
      <c r="A2262" s="485"/>
      <c r="B2262" s="486"/>
      <c r="C2262" s="17" t="s">
        <v>10</v>
      </c>
      <c r="D2262" s="485">
        <v>1</v>
      </c>
      <c r="E2262" s="485">
        <v>3.45</v>
      </c>
      <c r="F2262" s="485"/>
      <c r="G2262" s="485">
        <v>1.1000000000000001</v>
      </c>
      <c r="H2262" s="487">
        <f t="shared" ref="H2262" si="331">PRODUCT(D2262:G2262)</f>
        <v>3.7950000000000004</v>
      </c>
    </row>
    <row r="2263" spans="1:8" s="948" customFormat="1">
      <c r="A2263" s="485"/>
      <c r="B2263" s="486"/>
      <c r="C2263" s="17" t="s">
        <v>10</v>
      </c>
      <c r="D2263" s="485">
        <v>4</v>
      </c>
      <c r="E2263" s="485">
        <v>2.62</v>
      </c>
      <c r="F2263" s="485"/>
      <c r="G2263" s="485">
        <v>1.1000000000000001</v>
      </c>
      <c r="H2263" s="487">
        <f t="shared" si="316"/>
        <v>11.528000000000002</v>
      </c>
    </row>
    <row r="2264" spans="1:8" s="948" customFormat="1">
      <c r="A2264" s="485"/>
      <c r="B2264" s="486" t="s">
        <v>1207</v>
      </c>
      <c r="C2264" s="17" t="s">
        <v>10</v>
      </c>
      <c r="D2264" s="485">
        <v>3</v>
      </c>
      <c r="E2264" s="485">
        <v>3.4</v>
      </c>
      <c r="F2264" s="485"/>
      <c r="G2264" s="485">
        <v>3.5</v>
      </c>
      <c r="H2264" s="487">
        <f t="shared" si="316"/>
        <v>35.699999999999996</v>
      </c>
    </row>
    <row r="2265" spans="1:8" s="948" customFormat="1">
      <c r="A2265" s="485"/>
      <c r="B2265" s="486"/>
      <c r="C2265" s="17" t="s">
        <v>10</v>
      </c>
      <c r="D2265" s="485">
        <v>1</v>
      </c>
      <c r="E2265" s="485">
        <v>3.4</v>
      </c>
      <c r="F2265" s="485"/>
      <c r="G2265" s="485">
        <v>1.1000000000000001</v>
      </c>
      <c r="H2265" s="487">
        <f t="shared" ref="H2265" si="332">PRODUCT(D2265:G2265)</f>
        <v>3.74</v>
      </c>
    </row>
    <row r="2266" spans="1:8" s="948" customFormat="1">
      <c r="A2266" s="485"/>
      <c r="B2266" s="486"/>
      <c r="C2266" s="17" t="s">
        <v>10</v>
      </c>
      <c r="D2266" s="485">
        <v>3</v>
      </c>
      <c r="E2266" s="485">
        <v>0.15</v>
      </c>
      <c r="F2266" s="485"/>
      <c r="G2266" s="485">
        <v>3.5</v>
      </c>
      <c r="H2266" s="487">
        <f t="shared" si="316"/>
        <v>1.5749999999999997</v>
      </c>
    </row>
    <row r="2267" spans="1:8" s="948" customFormat="1">
      <c r="A2267" s="485"/>
      <c r="B2267" s="486"/>
      <c r="C2267" s="17" t="s">
        <v>10</v>
      </c>
      <c r="D2267" s="485">
        <v>1</v>
      </c>
      <c r="E2267" s="485">
        <v>0.15</v>
      </c>
      <c r="F2267" s="485"/>
      <c r="G2267" s="485">
        <v>1.1000000000000001</v>
      </c>
      <c r="H2267" s="487">
        <f t="shared" ref="H2267" si="333">PRODUCT(D2267:G2267)</f>
        <v>0.16500000000000001</v>
      </c>
    </row>
    <row r="2268" spans="1:8" s="948" customFormat="1">
      <c r="A2268" s="485"/>
      <c r="B2268" s="486"/>
      <c r="C2268" s="17" t="s">
        <v>10</v>
      </c>
      <c r="D2268" s="485">
        <v>4</v>
      </c>
      <c r="E2268" s="485">
        <v>4.8</v>
      </c>
      <c r="F2268" s="485"/>
      <c r="G2268" s="485">
        <v>1.1000000000000001</v>
      </c>
      <c r="H2268" s="487">
        <f t="shared" si="316"/>
        <v>21.12</v>
      </c>
    </row>
    <row r="2269" spans="1:8" s="948" customFormat="1">
      <c r="A2269" s="485"/>
      <c r="B2269" s="486"/>
      <c r="C2269" s="17" t="s">
        <v>10</v>
      </c>
      <c r="D2269" s="485">
        <v>2</v>
      </c>
      <c r="E2269" s="485">
        <v>3.5</v>
      </c>
      <c r="F2269" s="485"/>
      <c r="G2269" s="485">
        <v>3.5</v>
      </c>
      <c r="H2269" s="487">
        <f t="shared" si="316"/>
        <v>24.5</v>
      </c>
    </row>
    <row r="2270" spans="1:8" s="948" customFormat="1">
      <c r="A2270" s="485"/>
      <c r="B2270" s="486"/>
      <c r="C2270" s="17" t="s">
        <v>10</v>
      </c>
      <c r="D2270" s="485">
        <v>2</v>
      </c>
      <c r="E2270" s="485">
        <v>3.5</v>
      </c>
      <c r="F2270" s="485"/>
      <c r="G2270" s="485">
        <v>1.1000000000000001</v>
      </c>
      <c r="H2270" s="487">
        <f t="shared" ref="H2270" si="334">PRODUCT(D2270:G2270)</f>
        <v>7.7000000000000011</v>
      </c>
    </row>
    <row r="2271" spans="1:8" s="948" customFormat="1">
      <c r="A2271" s="485"/>
      <c r="B2271" s="486" t="s">
        <v>1299</v>
      </c>
      <c r="C2271" s="17" t="s">
        <v>10</v>
      </c>
      <c r="D2271" s="485">
        <v>8</v>
      </c>
      <c r="E2271" s="485">
        <v>0.15</v>
      </c>
      <c r="F2271" s="485"/>
      <c r="G2271" s="485">
        <v>3.5</v>
      </c>
      <c r="H2271" s="487">
        <f t="shared" si="316"/>
        <v>4.2</v>
      </c>
    </row>
    <row r="2272" spans="1:8" s="948" customFormat="1">
      <c r="A2272" s="485"/>
      <c r="B2272" s="486"/>
      <c r="C2272" s="17" t="s">
        <v>10</v>
      </c>
      <c r="D2272" s="485">
        <v>4</v>
      </c>
      <c r="E2272" s="485">
        <v>2.8</v>
      </c>
      <c r="F2272" s="485"/>
      <c r="G2272" s="485">
        <v>1.1000000000000001</v>
      </c>
      <c r="H2272" s="487">
        <f t="shared" si="316"/>
        <v>12.32</v>
      </c>
    </row>
    <row r="2273" spans="1:8" s="948" customFormat="1">
      <c r="A2273" s="485"/>
      <c r="B2273" s="486"/>
      <c r="C2273" s="17" t="s">
        <v>10</v>
      </c>
      <c r="D2273" s="485">
        <v>2</v>
      </c>
      <c r="E2273" s="485">
        <v>3.55</v>
      </c>
      <c r="F2273" s="485"/>
      <c r="G2273" s="485">
        <v>3.5</v>
      </c>
      <c r="H2273" s="487">
        <f t="shared" si="316"/>
        <v>24.849999999999998</v>
      </c>
    </row>
    <row r="2274" spans="1:8" s="948" customFormat="1">
      <c r="A2274" s="485"/>
      <c r="B2274" s="486"/>
      <c r="C2274" s="17" t="s">
        <v>10</v>
      </c>
      <c r="D2274" s="485">
        <v>2</v>
      </c>
      <c r="E2274" s="485">
        <v>3.55</v>
      </c>
      <c r="F2274" s="485"/>
      <c r="G2274" s="485">
        <v>1.1000000000000001</v>
      </c>
      <c r="H2274" s="487">
        <f t="shared" ref="H2274" si="335">PRODUCT(D2274:G2274)</f>
        <v>7.8100000000000005</v>
      </c>
    </row>
    <row r="2275" spans="1:8" s="948" customFormat="1">
      <c r="A2275" s="485"/>
      <c r="B2275" s="486" t="s">
        <v>1300</v>
      </c>
      <c r="C2275" s="17" t="s">
        <v>10</v>
      </c>
      <c r="D2275" s="485">
        <v>8</v>
      </c>
      <c r="E2275" s="485">
        <v>0.15</v>
      </c>
      <c r="F2275" s="485"/>
      <c r="G2275" s="485">
        <v>3.5</v>
      </c>
      <c r="H2275" s="487">
        <f t="shared" si="316"/>
        <v>4.2</v>
      </c>
    </row>
    <row r="2276" spans="1:8" s="948" customFormat="1">
      <c r="A2276" s="485"/>
      <c r="B2276" s="486"/>
      <c r="C2276" s="17" t="s">
        <v>10</v>
      </c>
      <c r="D2276" s="485">
        <v>4</v>
      </c>
      <c r="E2276" s="485">
        <v>2.8</v>
      </c>
      <c r="F2276" s="485"/>
      <c r="G2276" s="485">
        <v>1.1000000000000001</v>
      </c>
      <c r="H2276" s="487">
        <f t="shared" si="316"/>
        <v>12.32</v>
      </c>
    </row>
    <row r="2277" spans="1:8" s="948" customFormat="1">
      <c r="A2277" s="485"/>
      <c r="B2277" s="486"/>
      <c r="C2277" s="17" t="s">
        <v>10</v>
      </c>
      <c r="D2277" s="485">
        <v>2</v>
      </c>
      <c r="E2277" s="485">
        <v>3.55</v>
      </c>
      <c r="F2277" s="485"/>
      <c r="G2277" s="485">
        <v>3.5</v>
      </c>
      <c r="H2277" s="487">
        <f t="shared" si="316"/>
        <v>24.849999999999998</v>
      </c>
    </row>
    <row r="2278" spans="1:8" s="948" customFormat="1">
      <c r="A2278" s="485"/>
      <c r="B2278" s="486"/>
      <c r="C2278" s="17" t="s">
        <v>10</v>
      </c>
      <c r="D2278" s="485">
        <v>2</v>
      </c>
      <c r="E2278" s="485">
        <v>3.55</v>
      </c>
      <c r="F2278" s="485"/>
      <c r="G2278" s="485">
        <v>1.1000000000000001</v>
      </c>
      <c r="H2278" s="487">
        <f t="shared" ref="H2278" si="336">PRODUCT(D2278:G2278)</f>
        <v>7.8100000000000005</v>
      </c>
    </row>
    <row r="2279" spans="1:8" s="948" customFormat="1">
      <c r="A2279" s="485"/>
      <c r="B2279" s="486" t="s">
        <v>1301</v>
      </c>
      <c r="C2279" s="17" t="s">
        <v>10</v>
      </c>
      <c r="D2279" s="485">
        <v>8</v>
      </c>
      <c r="E2279" s="485">
        <v>0.15</v>
      </c>
      <c r="F2279" s="485"/>
      <c r="G2279" s="485">
        <v>3.5</v>
      </c>
      <c r="H2279" s="487">
        <f t="shared" si="316"/>
        <v>4.2</v>
      </c>
    </row>
    <row r="2280" spans="1:8" s="948" customFormat="1">
      <c r="A2280" s="485"/>
      <c r="B2280" s="486"/>
      <c r="C2280" s="17" t="s">
        <v>10</v>
      </c>
      <c r="D2280" s="485">
        <v>4</v>
      </c>
      <c r="E2280" s="485">
        <v>2.8</v>
      </c>
      <c r="F2280" s="485"/>
      <c r="G2280" s="485">
        <v>1.1000000000000001</v>
      </c>
      <c r="H2280" s="487">
        <f t="shared" si="316"/>
        <v>12.32</v>
      </c>
    </row>
    <row r="2281" spans="1:8" s="948" customFormat="1">
      <c r="A2281" s="485"/>
      <c r="B2281" s="486"/>
      <c r="C2281" s="17" t="s">
        <v>10</v>
      </c>
      <c r="D2281" s="485">
        <v>3</v>
      </c>
      <c r="E2281" s="485">
        <v>3.55</v>
      </c>
      <c r="F2281" s="485"/>
      <c r="G2281" s="485">
        <v>3.5</v>
      </c>
      <c r="H2281" s="487">
        <f t="shared" si="316"/>
        <v>37.274999999999991</v>
      </c>
    </row>
    <row r="2282" spans="1:8" s="948" customFormat="1">
      <c r="A2282" s="485"/>
      <c r="B2282" s="486"/>
      <c r="C2282" s="17" t="s">
        <v>10</v>
      </c>
      <c r="D2282" s="485">
        <v>1</v>
      </c>
      <c r="E2282" s="485">
        <v>3.55</v>
      </c>
      <c r="F2282" s="485"/>
      <c r="G2282" s="485">
        <v>1.1000000000000001</v>
      </c>
      <c r="H2282" s="487">
        <f t="shared" ref="H2282" si="337">PRODUCT(D2282:G2282)</f>
        <v>3.9050000000000002</v>
      </c>
    </row>
    <row r="2283" spans="1:8" s="948" customFormat="1">
      <c r="A2283" s="485"/>
      <c r="B2283" s="486" t="s">
        <v>1269</v>
      </c>
      <c r="C2283" s="17" t="s">
        <v>10</v>
      </c>
      <c r="D2283" s="485">
        <v>3</v>
      </c>
      <c r="E2283" s="485">
        <v>6.4</v>
      </c>
      <c r="F2283" s="485"/>
      <c r="G2283" s="485">
        <v>3.5</v>
      </c>
      <c r="H2283" s="487">
        <f t="shared" si="316"/>
        <v>67.200000000000017</v>
      </c>
    </row>
    <row r="2284" spans="1:8" s="948" customFormat="1">
      <c r="A2284" s="485"/>
      <c r="B2284" s="486"/>
      <c r="C2284" s="17" t="s">
        <v>10</v>
      </c>
      <c r="D2284" s="485">
        <v>1</v>
      </c>
      <c r="E2284" s="485">
        <v>6.4</v>
      </c>
      <c r="F2284" s="485"/>
      <c r="G2284" s="485">
        <v>1.1000000000000001</v>
      </c>
      <c r="H2284" s="487">
        <f t="shared" ref="H2284" si="338">PRODUCT(D2284:G2284)</f>
        <v>7.0400000000000009</v>
      </c>
    </row>
    <row r="2285" spans="1:8" s="948" customFormat="1">
      <c r="A2285" s="485"/>
      <c r="B2285" s="486"/>
      <c r="C2285" s="17" t="s">
        <v>10</v>
      </c>
      <c r="D2285" s="485">
        <v>1</v>
      </c>
      <c r="E2285" s="485">
        <v>2.1</v>
      </c>
      <c r="F2285" s="485"/>
      <c r="G2285" s="485">
        <v>2.4</v>
      </c>
      <c r="H2285" s="487">
        <f t="shared" ref="H2285" si="339">PRODUCT(D2285:G2285)</f>
        <v>5.04</v>
      </c>
    </row>
    <row r="2286" spans="1:8" s="948" customFormat="1">
      <c r="A2286" s="485"/>
      <c r="B2286" s="486"/>
      <c r="C2286" s="17" t="s">
        <v>10</v>
      </c>
      <c r="D2286" s="485">
        <v>4</v>
      </c>
      <c r="E2286" s="485">
        <v>4.25</v>
      </c>
      <c r="F2286" s="485"/>
      <c r="G2286" s="485">
        <v>1.1000000000000001</v>
      </c>
      <c r="H2286" s="487">
        <f t="shared" si="316"/>
        <v>18.700000000000003</v>
      </c>
    </row>
    <row r="2287" spans="1:8" s="948" customFormat="1">
      <c r="A2287" s="485"/>
      <c r="B2287" s="486"/>
      <c r="C2287" s="17" t="s">
        <v>10</v>
      </c>
      <c r="D2287" s="485">
        <v>8</v>
      </c>
      <c r="E2287" s="485">
        <v>1.98</v>
      </c>
      <c r="F2287" s="485"/>
      <c r="G2287" s="485">
        <v>3.5</v>
      </c>
      <c r="H2287" s="487">
        <f t="shared" si="316"/>
        <v>55.44</v>
      </c>
    </row>
    <row r="2288" spans="1:8" s="948" customFormat="1">
      <c r="A2288" s="485"/>
      <c r="B2288" s="486"/>
      <c r="C2288" s="17" t="s">
        <v>10</v>
      </c>
      <c r="D2288" s="485">
        <v>6</v>
      </c>
      <c r="E2288" s="485">
        <v>1.98</v>
      </c>
      <c r="F2288" s="485"/>
      <c r="G2288" s="485">
        <v>1.1000000000000001</v>
      </c>
      <c r="H2288" s="487">
        <f t="shared" ref="H2288" si="340">PRODUCT(D2288:G2288)</f>
        <v>13.068</v>
      </c>
    </row>
    <row r="2289" spans="1:8" s="948" customFormat="1">
      <c r="A2289" s="485"/>
      <c r="B2289" s="486" t="s">
        <v>1343</v>
      </c>
      <c r="C2289" s="17" t="s">
        <v>10</v>
      </c>
      <c r="D2289" s="485">
        <v>2</v>
      </c>
      <c r="E2289" s="485">
        <v>2.2000000000000002</v>
      </c>
      <c r="F2289" s="485"/>
      <c r="G2289" s="485">
        <v>3.5</v>
      </c>
      <c r="H2289" s="487">
        <f t="shared" si="316"/>
        <v>15.400000000000002</v>
      </c>
    </row>
    <row r="2290" spans="1:8" s="948" customFormat="1">
      <c r="A2290" s="485"/>
      <c r="B2290" s="486"/>
      <c r="C2290" s="17" t="s">
        <v>10</v>
      </c>
      <c r="D2290" s="485">
        <v>4</v>
      </c>
      <c r="E2290" s="485">
        <v>1.8</v>
      </c>
      <c r="F2290" s="485"/>
      <c r="G2290" s="485">
        <v>3.5</v>
      </c>
      <c r="H2290" s="487">
        <f t="shared" ref="H2290" si="341">PRODUCT(D2290:G2290)</f>
        <v>25.2</v>
      </c>
    </row>
    <row r="2291" spans="1:8" s="948" customFormat="1">
      <c r="A2291" s="485"/>
      <c r="B2291" s="486" t="s">
        <v>312</v>
      </c>
      <c r="C2291" s="17" t="s">
        <v>10</v>
      </c>
      <c r="D2291" s="485">
        <v>4</v>
      </c>
      <c r="E2291" s="485">
        <v>7.66</v>
      </c>
      <c r="F2291" s="485"/>
      <c r="G2291" s="485">
        <v>1.05</v>
      </c>
      <c r="H2291" s="487">
        <f t="shared" si="316"/>
        <v>32.172000000000004</v>
      </c>
    </row>
    <row r="2292" spans="1:8" s="948" customFormat="1">
      <c r="A2292" s="485"/>
      <c r="B2292" s="486" t="s">
        <v>2004</v>
      </c>
      <c r="C2292" s="17" t="s">
        <v>10</v>
      </c>
      <c r="D2292" s="485">
        <v>2</v>
      </c>
      <c r="E2292" s="485">
        <v>1.31</v>
      </c>
      <c r="F2292" s="485"/>
      <c r="G2292" s="485">
        <v>3.5</v>
      </c>
      <c r="H2292" s="487">
        <f t="shared" si="316"/>
        <v>9.17</v>
      </c>
    </row>
    <row r="2293" spans="1:8" s="948" customFormat="1">
      <c r="A2293" s="485"/>
      <c r="B2293" s="486"/>
      <c r="C2293" s="17" t="s">
        <v>10</v>
      </c>
      <c r="D2293" s="485">
        <v>2</v>
      </c>
      <c r="E2293" s="485">
        <v>0.76500000000000001</v>
      </c>
      <c r="F2293" s="485"/>
      <c r="G2293" s="485">
        <v>3.5</v>
      </c>
      <c r="H2293" s="487">
        <f t="shared" si="316"/>
        <v>5.3550000000000004</v>
      </c>
    </row>
    <row r="2294" spans="1:8" s="948" customFormat="1">
      <c r="A2294" s="485"/>
      <c r="B2294" s="486" t="s">
        <v>1201</v>
      </c>
      <c r="C2294" s="17" t="s">
        <v>10</v>
      </c>
      <c r="D2294" s="485">
        <v>2</v>
      </c>
      <c r="E2294" s="485">
        <v>0.6</v>
      </c>
      <c r="F2294" s="485"/>
      <c r="G2294" s="485">
        <v>3.5</v>
      </c>
      <c r="H2294" s="487">
        <f t="shared" si="316"/>
        <v>4.2</v>
      </c>
    </row>
    <row r="2295" spans="1:8" s="948" customFormat="1">
      <c r="A2295" s="485"/>
      <c r="B2295" s="486"/>
      <c r="C2295" s="17" t="s">
        <v>10</v>
      </c>
      <c r="D2295" s="485">
        <v>1</v>
      </c>
      <c r="E2295" s="485">
        <v>3.7</v>
      </c>
      <c r="F2295" s="485"/>
      <c r="G2295" s="485">
        <v>3.5</v>
      </c>
      <c r="H2295" s="487">
        <f t="shared" si="316"/>
        <v>12.950000000000001</v>
      </c>
    </row>
    <row r="2296" spans="1:8" s="948" customFormat="1">
      <c r="A2296" s="485"/>
      <c r="B2296" s="486"/>
      <c r="C2296" s="17" t="s">
        <v>10</v>
      </c>
      <c r="D2296" s="485">
        <v>1</v>
      </c>
      <c r="E2296" s="485">
        <v>3.7</v>
      </c>
      <c r="F2296" s="485"/>
      <c r="G2296" s="485">
        <v>1.1000000000000001</v>
      </c>
      <c r="H2296" s="487">
        <f t="shared" ref="H2296" si="342">PRODUCT(D2296:G2296)</f>
        <v>4.07</v>
      </c>
    </row>
    <row r="2297" spans="1:8" s="948" customFormat="1">
      <c r="A2297" s="485"/>
      <c r="B2297" s="486"/>
      <c r="C2297" s="17" t="s">
        <v>10</v>
      </c>
      <c r="D2297" s="485">
        <v>8</v>
      </c>
      <c r="E2297" s="485">
        <v>0.15</v>
      </c>
      <c r="F2297" s="485"/>
      <c r="G2297" s="485">
        <v>3.5</v>
      </c>
      <c r="H2297" s="487">
        <f t="shared" si="316"/>
        <v>4.2</v>
      </c>
    </row>
    <row r="2298" spans="1:8" s="948" customFormat="1">
      <c r="A2298" s="485"/>
      <c r="B2298" s="486"/>
      <c r="C2298" s="17" t="s">
        <v>10</v>
      </c>
      <c r="D2298" s="485">
        <v>4</v>
      </c>
      <c r="E2298" s="485">
        <v>2.81</v>
      </c>
      <c r="F2298" s="485"/>
      <c r="G2298" s="485">
        <v>1.1000000000000001</v>
      </c>
      <c r="H2298" s="487">
        <f t="shared" si="316"/>
        <v>12.364000000000001</v>
      </c>
    </row>
    <row r="2299" spans="1:8" s="948" customFormat="1">
      <c r="A2299" s="485"/>
      <c r="B2299" s="486" t="s">
        <v>1202</v>
      </c>
      <c r="C2299" s="17" t="s">
        <v>10</v>
      </c>
      <c r="D2299" s="485">
        <v>2</v>
      </c>
      <c r="E2299" s="485">
        <v>3.7</v>
      </c>
      <c r="F2299" s="485"/>
      <c r="G2299" s="485">
        <v>3.5</v>
      </c>
      <c r="H2299" s="487">
        <f t="shared" si="316"/>
        <v>25.900000000000002</v>
      </c>
    </row>
    <row r="2300" spans="1:8" s="948" customFormat="1">
      <c r="A2300" s="485"/>
      <c r="B2300" s="486"/>
      <c r="C2300" s="17" t="s">
        <v>10</v>
      </c>
      <c r="D2300" s="485">
        <v>2</v>
      </c>
      <c r="E2300" s="485">
        <v>3.7</v>
      </c>
      <c r="F2300" s="485"/>
      <c r="G2300" s="485">
        <v>1.1000000000000001</v>
      </c>
      <c r="H2300" s="487">
        <f t="shared" ref="H2300" si="343">PRODUCT(D2300:G2300)</f>
        <v>8.14</v>
      </c>
    </row>
    <row r="2301" spans="1:8" s="948" customFormat="1">
      <c r="A2301" s="485"/>
      <c r="B2301" s="486"/>
      <c r="C2301" s="17" t="s">
        <v>10</v>
      </c>
      <c r="D2301" s="485">
        <v>8</v>
      </c>
      <c r="E2301" s="485">
        <v>0.15</v>
      </c>
      <c r="F2301" s="485"/>
      <c r="G2301" s="485">
        <v>3.5</v>
      </c>
      <c r="H2301" s="487">
        <f t="shared" si="316"/>
        <v>4.2</v>
      </c>
    </row>
    <row r="2302" spans="1:8" s="948" customFormat="1">
      <c r="A2302" s="485"/>
      <c r="B2302" s="486"/>
      <c r="C2302" s="17" t="s">
        <v>10</v>
      </c>
      <c r="D2302" s="485">
        <v>4</v>
      </c>
      <c r="E2302" s="485">
        <v>2.8</v>
      </c>
      <c r="F2302" s="485"/>
      <c r="G2302" s="485">
        <v>1.1000000000000001</v>
      </c>
      <c r="H2302" s="487">
        <f t="shared" si="316"/>
        <v>12.32</v>
      </c>
    </row>
    <row r="2303" spans="1:8" s="948" customFormat="1">
      <c r="A2303" s="485"/>
      <c r="B2303" s="486"/>
      <c r="C2303" s="17" t="s">
        <v>10</v>
      </c>
      <c r="D2303" s="485">
        <v>3</v>
      </c>
      <c r="E2303" s="485">
        <v>1.25</v>
      </c>
      <c r="F2303" s="485"/>
      <c r="G2303" s="485">
        <v>3.5</v>
      </c>
      <c r="H2303" s="487">
        <f t="shared" si="316"/>
        <v>13.125</v>
      </c>
    </row>
    <row r="2304" spans="1:8" s="948" customFormat="1">
      <c r="A2304" s="485"/>
      <c r="B2304" s="486"/>
      <c r="C2304" s="485"/>
      <c r="D2304" s="485">
        <v>1</v>
      </c>
      <c r="E2304" s="485">
        <v>1.25</v>
      </c>
      <c r="F2304" s="485"/>
      <c r="G2304" s="485">
        <v>1.1000000000000001</v>
      </c>
      <c r="H2304" s="487">
        <f t="shared" ref="H2304" si="344">PRODUCT(D2304:G2304)</f>
        <v>1.375</v>
      </c>
    </row>
    <row r="2305" spans="1:8" s="948" customFormat="1">
      <c r="A2305" s="485"/>
      <c r="B2305" s="486" t="s">
        <v>1343</v>
      </c>
      <c r="C2305" s="17" t="s">
        <v>10</v>
      </c>
      <c r="D2305" s="485">
        <v>0</v>
      </c>
      <c r="E2305" s="485">
        <v>2.35</v>
      </c>
      <c r="F2305" s="485"/>
      <c r="G2305" s="485">
        <v>2.6</v>
      </c>
      <c r="H2305" s="487">
        <f t="shared" si="316"/>
        <v>0</v>
      </c>
    </row>
    <row r="2306" spans="1:8" s="948" customFormat="1">
      <c r="A2306" s="485"/>
      <c r="B2306" s="486"/>
      <c r="C2306" s="17" t="s">
        <v>10</v>
      </c>
      <c r="D2306" s="485">
        <v>1</v>
      </c>
      <c r="E2306" s="485">
        <v>2.35</v>
      </c>
      <c r="F2306" s="485"/>
      <c r="G2306" s="485">
        <v>1.1000000000000001</v>
      </c>
      <c r="H2306" s="487">
        <f t="shared" ref="H2306" si="345">PRODUCT(D2306:G2306)</f>
        <v>2.5850000000000004</v>
      </c>
    </row>
    <row r="2307" spans="1:8" s="948" customFormat="1">
      <c r="A2307" s="485"/>
      <c r="B2307" s="486"/>
      <c r="C2307" s="17" t="s">
        <v>10</v>
      </c>
      <c r="D2307" s="485">
        <v>0</v>
      </c>
      <c r="E2307" s="485">
        <v>1.47</v>
      </c>
      <c r="F2307" s="485"/>
      <c r="G2307" s="485">
        <v>3.5</v>
      </c>
      <c r="H2307" s="487">
        <f t="shared" si="316"/>
        <v>0</v>
      </c>
    </row>
    <row r="2308" spans="1:8" s="948" customFormat="1">
      <c r="A2308" s="485"/>
      <c r="B2308" s="486"/>
      <c r="C2308" s="17" t="s">
        <v>10</v>
      </c>
      <c r="D2308" s="485">
        <v>1</v>
      </c>
      <c r="E2308" s="485">
        <v>1.47</v>
      </c>
      <c r="F2308" s="485"/>
      <c r="G2308" s="485">
        <v>1.1000000000000001</v>
      </c>
      <c r="H2308" s="487">
        <f t="shared" ref="H2308" si="346">PRODUCT(D2308:G2308)</f>
        <v>1.617</v>
      </c>
    </row>
    <row r="2309" spans="1:8" s="948" customFormat="1">
      <c r="A2309" s="485"/>
      <c r="B2309" s="486"/>
      <c r="C2309" s="17" t="s">
        <v>10</v>
      </c>
      <c r="D2309" s="485">
        <v>2</v>
      </c>
      <c r="E2309" s="485">
        <v>1.56</v>
      </c>
      <c r="F2309" s="485"/>
      <c r="G2309" s="485">
        <v>3.5</v>
      </c>
      <c r="H2309" s="487">
        <f t="shared" ref="H2309:H2366" si="347">PRODUCT(D2309:G2309)</f>
        <v>10.92</v>
      </c>
    </row>
    <row r="2310" spans="1:8" s="948" customFormat="1">
      <c r="A2310" s="485"/>
      <c r="B2310" s="486" t="s">
        <v>1262</v>
      </c>
      <c r="C2310" s="17" t="s">
        <v>10</v>
      </c>
      <c r="D2310" s="485">
        <v>1</v>
      </c>
      <c r="E2310" s="485">
        <v>3.7</v>
      </c>
      <c r="F2310" s="485"/>
      <c r="G2310" s="485">
        <v>3.5</v>
      </c>
      <c r="H2310" s="487">
        <f t="shared" si="347"/>
        <v>12.950000000000001</v>
      </c>
    </row>
    <row r="2311" spans="1:8" s="948" customFormat="1">
      <c r="A2311" s="485"/>
      <c r="B2311" s="486"/>
      <c r="C2311" s="17" t="s">
        <v>10</v>
      </c>
      <c r="D2311" s="485">
        <v>1</v>
      </c>
      <c r="E2311" s="485">
        <v>3.7</v>
      </c>
      <c r="F2311" s="485"/>
      <c r="G2311" s="485">
        <v>1.1000000000000001</v>
      </c>
      <c r="H2311" s="487">
        <f t="shared" ref="H2311" si="348">PRODUCT(D2311:G2311)</f>
        <v>4.07</v>
      </c>
    </row>
    <row r="2312" spans="1:8" s="948" customFormat="1">
      <c r="A2312" s="485"/>
      <c r="B2312" s="486"/>
      <c r="C2312" s="17" t="s">
        <v>10</v>
      </c>
      <c r="D2312" s="485">
        <v>8</v>
      </c>
      <c r="E2312" s="485">
        <v>0.15</v>
      </c>
      <c r="F2312" s="485"/>
      <c r="G2312" s="485">
        <v>3.5</v>
      </c>
      <c r="H2312" s="487">
        <f t="shared" si="347"/>
        <v>4.2</v>
      </c>
    </row>
    <row r="2313" spans="1:8" s="948" customFormat="1">
      <c r="A2313" s="485"/>
      <c r="B2313" s="486"/>
      <c r="C2313" s="17" t="s">
        <v>10</v>
      </c>
      <c r="D2313" s="485">
        <v>4</v>
      </c>
      <c r="E2313" s="485">
        <v>3.9</v>
      </c>
      <c r="F2313" s="485"/>
      <c r="G2313" s="485">
        <v>1.1000000000000001</v>
      </c>
      <c r="H2313" s="487">
        <f t="shared" si="347"/>
        <v>17.16</v>
      </c>
    </row>
    <row r="2314" spans="1:8" s="948" customFormat="1">
      <c r="A2314" s="485"/>
      <c r="B2314" s="486" t="s">
        <v>172</v>
      </c>
      <c r="C2314" s="17" t="s">
        <v>10</v>
      </c>
      <c r="D2314" s="485">
        <v>4</v>
      </c>
      <c r="E2314" s="485">
        <v>6.75</v>
      </c>
      <c r="F2314" s="485"/>
      <c r="G2314" s="485">
        <v>1.05</v>
      </c>
      <c r="H2314" s="487">
        <f t="shared" si="347"/>
        <v>28.35</v>
      </c>
    </row>
    <row r="2315" spans="1:8" s="948" customFormat="1">
      <c r="A2315" s="485"/>
      <c r="B2315" s="486" t="s">
        <v>2006</v>
      </c>
      <c r="C2315" s="17" t="s">
        <v>10</v>
      </c>
      <c r="D2315" s="485">
        <v>3</v>
      </c>
      <c r="E2315" s="485">
        <v>3.5</v>
      </c>
      <c r="F2315" s="485"/>
      <c r="G2315" s="485">
        <v>3.5</v>
      </c>
      <c r="H2315" s="487">
        <f t="shared" si="347"/>
        <v>36.75</v>
      </c>
    </row>
    <row r="2316" spans="1:8" s="948" customFormat="1">
      <c r="A2316" s="485"/>
      <c r="B2316" s="486"/>
      <c r="C2316" s="17" t="s">
        <v>10</v>
      </c>
      <c r="D2316" s="485">
        <v>1</v>
      </c>
      <c r="E2316" s="485">
        <v>3.5</v>
      </c>
      <c r="F2316" s="485"/>
      <c r="G2316" s="485">
        <v>1.1000000000000001</v>
      </c>
      <c r="H2316" s="487">
        <f t="shared" si="347"/>
        <v>3.8500000000000005</v>
      </c>
    </row>
    <row r="2317" spans="1:8" s="948" customFormat="1">
      <c r="A2317" s="485"/>
      <c r="B2317" s="486"/>
      <c r="C2317" s="17" t="s">
        <v>10</v>
      </c>
      <c r="D2317" s="485">
        <v>8</v>
      </c>
      <c r="E2317" s="485">
        <v>0.15</v>
      </c>
      <c r="F2317" s="485"/>
      <c r="G2317" s="485">
        <v>3.5</v>
      </c>
      <c r="H2317" s="487">
        <f t="shared" si="347"/>
        <v>4.2</v>
      </c>
    </row>
    <row r="2318" spans="1:8" s="948" customFormat="1">
      <c r="A2318" s="485"/>
      <c r="B2318" s="486"/>
      <c r="C2318" s="17" t="s">
        <v>10</v>
      </c>
      <c r="D2318" s="485">
        <v>4</v>
      </c>
      <c r="E2318" s="485">
        <v>3.9</v>
      </c>
      <c r="F2318" s="485"/>
      <c r="G2318" s="485">
        <v>1.1000000000000001</v>
      </c>
      <c r="H2318" s="487">
        <f t="shared" si="347"/>
        <v>17.16</v>
      </c>
    </row>
    <row r="2319" spans="1:8" s="948" customFormat="1">
      <c r="A2319" s="485"/>
      <c r="B2319" s="486"/>
      <c r="C2319" s="17" t="s">
        <v>10</v>
      </c>
      <c r="D2319" s="485">
        <v>2</v>
      </c>
      <c r="E2319" s="485">
        <v>3.7</v>
      </c>
      <c r="F2319" s="485"/>
      <c r="G2319" s="485">
        <v>3.5</v>
      </c>
      <c r="H2319" s="487">
        <f t="shared" si="347"/>
        <v>25.900000000000002</v>
      </c>
    </row>
    <row r="2320" spans="1:8" s="948" customFormat="1">
      <c r="A2320" s="485"/>
      <c r="B2320" s="486"/>
      <c r="C2320" s="17" t="s">
        <v>10</v>
      </c>
      <c r="D2320" s="485">
        <v>2</v>
      </c>
      <c r="E2320" s="485">
        <v>3.7</v>
      </c>
      <c r="F2320" s="485"/>
      <c r="G2320" s="485">
        <v>1.1000000000000001</v>
      </c>
      <c r="H2320" s="487">
        <f t="shared" ref="H2320" si="349">PRODUCT(D2320:G2320)</f>
        <v>8.14</v>
      </c>
    </row>
    <row r="2321" spans="1:8" s="948" customFormat="1">
      <c r="A2321" s="485"/>
      <c r="B2321" s="486" t="s">
        <v>1343</v>
      </c>
      <c r="C2321" s="17" t="s">
        <v>10</v>
      </c>
      <c r="D2321" s="485">
        <v>1</v>
      </c>
      <c r="E2321" s="485">
        <v>4.3499999999999996</v>
      </c>
      <c r="F2321" s="485"/>
      <c r="G2321" s="485">
        <v>2.7</v>
      </c>
      <c r="H2321" s="487">
        <f t="shared" si="347"/>
        <v>11.744999999999999</v>
      </c>
    </row>
    <row r="2322" spans="1:8" s="948" customFormat="1">
      <c r="A2322" s="485"/>
      <c r="B2322" s="486" t="s">
        <v>1310</v>
      </c>
      <c r="C2322" s="17" t="s">
        <v>10</v>
      </c>
      <c r="D2322" s="485">
        <v>8</v>
      </c>
      <c r="E2322" s="485">
        <v>0.15</v>
      </c>
      <c r="F2322" s="485"/>
      <c r="G2322" s="485">
        <v>3.5</v>
      </c>
      <c r="H2322" s="487">
        <f t="shared" si="347"/>
        <v>4.2</v>
      </c>
    </row>
    <row r="2323" spans="1:8" s="948" customFormat="1">
      <c r="A2323" s="485"/>
      <c r="B2323" s="486"/>
      <c r="C2323" s="17" t="s">
        <v>10</v>
      </c>
      <c r="D2323" s="485">
        <v>4</v>
      </c>
      <c r="E2323" s="485">
        <v>3.26</v>
      </c>
      <c r="F2323" s="485"/>
      <c r="G2323" s="485">
        <v>1.1000000000000001</v>
      </c>
      <c r="H2323" s="487">
        <f t="shared" si="347"/>
        <v>14.343999999999999</v>
      </c>
    </row>
    <row r="2324" spans="1:8" s="948" customFormat="1">
      <c r="A2324" s="485"/>
      <c r="B2324" s="486"/>
      <c r="C2324" s="17" t="s">
        <v>10</v>
      </c>
      <c r="D2324" s="485">
        <v>3</v>
      </c>
      <c r="E2324" s="485">
        <v>3.7</v>
      </c>
      <c r="F2324" s="485"/>
      <c r="G2324" s="485">
        <v>3.5</v>
      </c>
      <c r="H2324" s="487">
        <f t="shared" si="347"/>
        <v>38.850000000000009</v>
      </c>
    </row>
    <row r="2325" spans="1:8" s="948" customFormat="1">
      <c r="A2325" s="485"/>
      <c r="B2325" s="486"/>
      <c r="C2325" s="17" t="s">
        <v>10</v>
      </c>
      <c r="D2325" s="485">
        <v>1</v>
      </c>
      <c r="E2325" s="485">
        <v>3.7</v>
      </c>
      <c r="F2325" s="485"/>
      <c r="G2325" s="485">
        <v>1.1000000000000001</v>
      </c>
      <c r="H2325" s="487">
        <f t="shared" ref="H2325" si="350">PRODUCT(D2325:G2325)</f>
        <v>4.07</v>
      </c>
    </row>
    <row r="2326" spans="1:8" s="948" customFormat="1">
      <c r="A2326" s="485"/>
      <c r="B2326" s="486"/>
      <c r="C2326" s="17" t="s">
        <v>10</v>
      </c>
      <c r="D2326" s="485">
        <v>1</v>
      </c>
      <c r="E2326" s="485">
        <v>3.56</v>
      </c>
      <c r="F2326" s="485"/>
      <c r="G2326" s="485">
        <v>2.7</v>
      </c>
      <c r="H2326" s="487">
        <f t="shared" si="347"/>
        <v>9.6120000000000001</v>
      </c>
    </row>
    <row r="2327" spans="1:8" s="948" customFormat="1">
      <c r="A2327" s="485"/>
      <c r="B2327" s="486" t="s">
        <v>2007</v>
      </c>
      <c r="C2327" s="17" t="s">
        <v>10</v>
      </c>
      <c r="D2327" s="485">
        <v>4</v>
      </c>
      <c r="E2327" s="485">
        <v>6.67</v>
      </c>
      <c r="F2327" s="485"/>
      <c r="G2327" s="485">
        <v>3.5</v>
      </c>
      <c r="H2327" s="487">
        <f t="shared" si="347"/>
        <v>93.38</v>
      </c>
    </row>
    <row r="2328" spans="1:8" s="948" customFormat="1">
      <c r="A2328" s="485"/>
      <c r="B2328" s="486"/>
      <c r="C2328" s="17" t="s">
        <v>10</v>
      </c>
      <c r="D2328" s="485">
        <v>4</v>
      </c>
      <c r="E2328" s="485">
        <v>0.15</v>
      </c>
      <c r="F2328" s="485"/>
      <c r="G2328" s="485">
        <v>3.5</v>
      </c>
      <c r="H2328" s="487">
        <f t="shared" si="347"/>
        <v>2.1</v>
      </c>
    </row>
    <row r="2329" spans="1:8" s="948" customFormat="1">
      <c r="A2329" s="485"/>
      <c r="B2329" s="486"/>
      <c r="C2329" s="17" t="s">
        <v>10</v>
      </c>
      <c r="D2329" s="485">
        <v>4</v>
      </c>
      <c r="E2329" s="485">
        <v>3</v>
      </c>
      <c r="F2329" s="485"/>
      <c r="G2329" s="485">
        <v>1.1000000000000001</v>
      </c>
      <c r="H2329" s="487">
        <f t="shared" si="347"/>
        <v>13.200000000000001</v>
      </c>
    </row>
    <row r="2330" spans="1:8" s="948" customFormat="1">
      <c r="A2330" s="485"/>
      <c r="B2330" s="486"/>
      <c r="C2330" s="17" t="s">
        <v>10</v>
      </c>
      <c r="D2330" s="485">
        <v>2</v>
      </c>
      <c r="E2330" s="485">
        <v>4.3</v>
      </c>
      <c r="F2330" s="485"/>
      <c r="G2330" s="485">
        <v>3.5</v>
      </c>
      <c r="H2330" s="487">
        <f t="shared" si="347"/>
        <v>30.099999999999998</v>
      </c>
    </row>
    <row r="2331" spans="1:8" s="948" customFormat="1">
      <c r="A2331" s="485"/>
      <c r="B2331" s="486"/>
      <c r="C2331" s="17" t="s">
        <v>10</v>
      </c>
      <c r="D2331" s="485">
        <v>1</v>
      </c>
      <c r="E2331" s="485">
        <v>4.3</v>
      </c>
      <c r="F2331" s="485"/>
      <c r="G2331" s="485">
        <v>1.1000000000000001</v>
      </c>
      <c r="H2331" s="487">
        <f t="shared" ref="H2331" si="351">PRODUCT(D2331:G2331)</f>
        <v>4.7300000000000004</v>
      </c>
    </row>
    <row r="2332" spans="1:8" s="948" customFormat="1">
      <c r="A2332" s="485"/>
      <c r="B2332" s="486" t="s">
        <v>2008</v>
      </c>
      <c r="C2332" s="17" t="s">
        <v>10</v>
      </c>
      <c r="D2332" s="485">
        <v>4</v>
      </c>
      <c r="E2332" s="485">
        <v>3</v>
      </c>
      <c r="F2332" s="485"/>
      <c r="G2332" s="485">
        <v>1.1000000000000001</v>
      </c>
      <c r="H2332" s="487">
        <f t="shared" si="347"/>
        <v>13.200000000000001</v>
      </c>
    </row>
    <row r="2333" spans="1:8" s="948" customFormat="1">
      <c r="A2333" s="485"/>
      <c r="B2333" s="486"/>
      <c r="C2333" s="17" t="s">
        <v>10</v>
      </c>
      <c r="D2333" s="485">
        <v>3</v>
      </c>
      <c r="E2333" s="485">
        <v>6.67</v>
      </c>
      <c r="F2333" s="485"/>
      <c r="G2333" s="485">
        <v>3.5</v>
      </c>
      <c r="H2333" s="487">
        <f t="shared" si="347"/>
        <v>70.034999999999997</v>
      </c>
    </row>
    <row r="2334" spans="1:8" s="948" customFormat="1">
      <c r="A2334" s="485"/>
      <c r="B2334" s="486"/>
      <c r="C2334" s="17" t="s">
        <v>10</v>
      </c>
      <c r="D2334" s="485">
        <v>1</v>
      </c>
      <c r="E2334" s="485">
        <v>6.67</v>
      </c>
      <c r="F2334" s="485"/>
      <c r="G2334" s="485">
        <v>1.1000000000000001</v>
      </c>
      <c r="H2334" s="487">
        <f t="shared" ref="H2334" si="352">PRODUCT(D2334:G2334)</f>
        <v>7.3370000000000006</v>
      </c>
    </row>
    <row r="2335" spans="1:8" s="948" customFormat="1">
      <c r="A2335" s="485"/>
      <c r="B2335" s="486"/>
      <c r="C2335" s="17" t="s">
        <v>10</v>
      </c>
      <c r="D2335" s="485">
        <v>4</v>
      </c>
      <c r="E2335" s="485">
        <v>0.15</v>
      </c>
      <c r="F2335" s="485"/>
      <c r="G2335" s="485">
        <v>3.5</v>
      </c>
      <c r="H2335" s="487">
        <f t="shared" si="347"/>
        <v>2.1</v>
      </c>
    </row>
    <row r="2336" spans="1:8" s="948" customFormat="1">
      <c r="A2336" s="485"/>
      <c r="B2336" s="486" t="s">
        <v>201</v>
      </c>
      <c r="C2336" s="17" t="s">
        <v>10</v>
      </c>
      <c r="D2336" s="485">
        <v>1</v>
      </c>
      <c r="E2336" s="485">
        <v>1.4419999999999999</v>
      </c>
      <c r="F2336" s="485"/>
      <c r="G2336" s="485">
        <v>3.5</v>
      </c>
      <c r="H2336" s="487">
        <f t="shared" si="347"/>
        <v>5.0469999999999997</v>
      </c>
    </row>
    <row r="2337" spans="1:8" s="948" customFormat="1">
      <c r="A2337" s="485"/>
      <c r="B2337" s="486"/>
      <c r="C2337" s="17" t="s">
        <v>10</v>
      </c>
      <c r="D2337" s="485">
        <v>1</v>
      </c>
      <c r="E2337" s="485">
        <v>1.4419999999999999</v>
      </c>
      <c r="F2337" s="485"/>
      <c r="G2337" s="485">
        <v>1.1000000000000001</v>
      </c>
      <c r="H2337" s="487">
        <f t="shared" ref="H2337" si="353">PRODUCT(D2337:G2337)</f>
        <v>1.5862000000000001</v>
      </c>
    </row>
    <row r="2338" spans="1:8" s="948" customFormat="1">
      <c r="A2338" s="485"/>
      <c r="B2338" s="486" t="s">
        <v>1343</v>
      </c>
      <c r="C2338" s="17" t="s">
        <v>10</v>
      </c>
      <c r="D2338" s="485">
        <v>2</v>
      </c>
      <c r="E2338" s="485">
        <v>1.47</v>
      </c>
      <c r="F2338" s="485"/>
      <c r="G2338" s="485">
        <v>3.5</v>
      </c>
      <c r="H2338" s="487">
        <f t="shared" si="347"/>
        <v>10.29</v>
      </c>
    </row>
    <row r="2339" spans="1:8" s="948" customFormat="1">
      <c r="A2339" s="485"/>
      <c r="B2339" s="486"/>
      <c r="C2339" s="17" t="s">
        <v>10</v>
      </c>
      <c r="D2339" s="485">
        <v>1</v>
      </c>
      <c r="E2339" s="485">
        <v>1.47</v>
      </c>
      <c r="F2339" s="485"/>
      <c r="G2339" s="485">
        <v>1.1000000000000001</v>
      </c>
      <c r="H2339" s="487">
        <f t="shared" ref="H2339" si="354">PRODUCT(D2339:G2339)</f>
        <v>1.617</v>
      </c>
    </row>
    <row r="2340" spans="1:8" s="948" customFormat="1">
      <c r="A2340" s="485"/>
      <c r="B2340" s="486"/>
      <c r="C2340" s="17" t="s">
        <v>10</v>
      </c>
      <c r="D2340" s="485">
        <v>2</v>
      </c>
      <c r="E2340" s="485">
        <v>1.05</v>
      </c>
      <c r="F2340" s="485"/>
      <c r="G2340" s="485">
        <v>3.5</v>
      </c>
      <c r="H2340" s="487">
        <f t="shared" si="347"/>
        <v>7.3500000000000005</v>
      </c>
    </row>
    <row r="2341" spans="1:8" s="948" customFormat="1">
      <c r="A2341" s="485"/>
      <c r="B2341" s="486" t="s">
        <v>2009</v>
      </c>
      <c r="C2341" s="17" t="s">
        <v>10</v>
      </c>
      <c r="D2341" s="485">
        <v>2</v>
      </c>
      <c r="E2341" s="485">
        <v>1.05</v>
      </c>
      <c r="F2341" s="485"/>
      <c r="G2341" s="485">
        <v>3.5</v>
      </c>
      <c r="H2341" s="487">
        <f t="shared" si="347"/>
        <v>7.3500000000000005</v>
      </c>
    </row>
    <row r="2342" spans="1:8" s="948" customFormat="1">
      <c r="A2342" s="485"/>
      <c r="B2342" s="486" t="s">
        <v>1213</v>
      </c>
      <c r="C2342" s="17" t="s">
        <v>10</v>
      </c>
      <c r="D2342" s="485">
        <v>3</v>
      </c>
      <c r="E2342" s="485">
        <v>6.78</v>
      </c>
      <c r="F2342" s="485"/>
      <c r="G2342" s="485">
        <v>3.5</v>
      </c>
      <c r="H2342" s="487">
        <f t="shared" si="347"/>
        <v>71.19</v>
      </c>
    </row>
    <row r="2343" spans="1:8" s="948" customFormat="1">
      <c r="A2343" s="485"/>
      <c r="B2343" s="486"/>
      <c r="C2343" s="17" t="s">
        <v>10</v>
      </c>
      <c r="D2343" s="485">
        <v>1</v>
      </c>
      <c r="E2343" s="485">
        <v>6.78</v>
      </c>
      <c r="F2343" s="485"/>
      <c r="G2343" s="485">
        <v>1.1000000000000001</v>
      </c>
      <c r="H2343" s="487">
        <f t="shared" ref="H2343" si="355">PRODUCT(D2343:G2343)</f>
        <v>7.4580000000000011</v>
      </c>
    </row>
    <row r="2344" spans="1:8" s="948" customFormat="1">
      <c r="A2344" s="485"/>
      <c r="B2344" s="486"/>
      <c r="C2344" s="17" t="s">
        <v>10</v>
      </c>
      <c r="D2344" s="485">
        <v>2</v>
      </c>
      <c r="E2344" s="485">
        <v>3.55</v>
      </c>
      <c r="F2344" s="485"/>
      <c r="G2344" s="485">
        <v>3.5</v>
      </c>
      <c r="H2344" s="487">
        <f t="shared" si="347"/>
        <v>24.849999999999998</v>
      </c>
    </row>
    <row r="2345" spans="1:8" s="948" customFormat="1">
      <c r="A2345" s="485"/>
      <c r="B2345" s="486"/>
      <c r="C2345" s="17" t="s">
        <v>10</v>
      </c>
      <c r="D2345" s="485">
        <v>2</v>
      </c>
      <c r="E2345" s="485">
        <v>3.55</v>
      </c>
      <c r="F2345" s="485"/>
      <c r="G2345" s="485">
        <v>1.1000000000000001</v>
      </c>
      <c r="H2345" s="487">
        <f t="shared" ref="H2345" si="356">PRODUCT(D2345:G2345)</f>
        <v>7.8100000000000005</v>
      </c>
    </row>
    <row r="2346" spans="1:8" s="948" customFormat="1">
      <c r="A2346" s="485"/>
      <c r="B2346" s="486"/>
      <c r="C2346" s="17" t="s">
        <v>10</v>
      </c>
      <c r="D2346" s="485">
        <v>8</v>
      </c>
      <c r="E2346" s="485">
        <v>0.15</v>
      </c>
      <c r="F2346" s="485"/>
      <c r="G2346" s="485">
        <v>3.5</v>
      </c>
      <c r="H2346" s="487">
        <f t="shared" si="347"/>
        <v>4.2</v>
      </c>
    </row>
    <row r="2347" spans="1:8" s="948" customFormat="1">
      <c r="A2347" s="485"/>
      <c r="B2347" s="486"/>
      <c r="C2347" s="17" t="s">
        <v>10</v>
      </c>
      <c r="D2347" s="485">
        <v>4</v>
      </c>
      <c r="E2347" s="485">
        <v>2.8</v>
      </c>
      <c r="F2347" s="485"/>
      <c r="G2347" s="485">
        <v>1.1000000000000001</v>
      </c>
      <c r="H2347" s="487">
        <f t="shared" si="347"/>
        <v>12.32</v>
      </c>
    </row>
    <row r="2348" spans="1:8" s="948" customFormat="1">
      <c r="A2348" s="485"/>
      <c r="B2348" s="486" t="s">
        <v>1214</v>
      </c>
      <c r="C2348" s="17" t="s">
        <v>10</v>
      </c>
      <c r="D2348" s="485">
        <v>8</v>
      </c>
      <c r="E2348" s="485">
        <v>0.15</v>
      </c>
      <c r="F2348" s="485"/>
      <c r="G2348" s="485">
        <v>3.5</v>
      </c>
      <c r="H2348" s="487">
        <f t="shared" si="347"/>
        <v>4.2</v>
      </c>
    </row>
    <row r="2349" spans="1:8" s="948" customFormat="1">
      <c r="A2349" s="485"/>
      <c r="B2349" s="486"/>
      <c r="C2349" s="17" t="s">
        <v>10</v>
      </c>
      <c r="D2349" s="485">
        <v>4</v>
      </c>
      <c r="E2349" s="485">
        <v>2.6</v>
      </c>
      <c r="F2349" s="485"/>
      <c r="G2349" s="485">
        <v>1.1000000000000001</v>
      </c>
      <c r="H2349" s="487">
        <f t="shared" si="347"/>
        <v>11.440000000000001</v>
      </c>
    </row>
    <row r="2350" spans="1:8" s="948" customFormat="1">
      <c r="A2350" s="485"/>
      <c r="B2350" s="486"/>
      <c r="C2350" s="17" t="s">
        <v>10</v>
      </c>
      <c r="D2350" s="485">
        <v>2</v>
      </c>
      <c r="E2350" s="485">
        <v>3.55</v>
      </c>
      <c r="F2350" s="485"/>
      <c r="G2350" s="485">
        <v>3.5</v>
      </c>
      <c r="H2350" s="487">
        <f t="shared" si="347"/>
        <v>24.849999999999998</v>
      </c>
    </row>
    <row r="2351" spans="1:8" s="948" customFormat="1">
      <c r="A2351" s="485"/>
      <c r="B2351" s="486"/>
      <c r="C2351" s="17" t="s">
        <v>10</v>
      </c>
      <c r="D2351" s="485">
        <v>2</v>
      </c>
      <c r="E2351" s="485">
        <v>3.55</v>
      </c>
      <c r="F2351" s="485"/>
      <c r="G2351" s="485">
        <v>1.1000000000000001</v>
      </c>
      <c r="H2351" s="487">
        <f t="shared" ref="H2351" si="357">PRODUCT(D2351:G2351)</f>
        <v>7.8100000000000005</v>
      </c>
    </row>
    <row r="2352" spans="1:8" s="948" customFormat="1">
      <c r="A2352" s="485"/>
      <c r="B2352" s="486"/>
      <c r="C2352" s="17" t="s">
        <v>10</v>
      </c>
      <c r="D2352" s="485">
        <v>3</v>
      </c>
      <c r="E2352" s="485">
        <v>3.35</v>
      </c>
      <c r="F2352" s="485"/>
      <c r="G2352" s="485">
        <v>3.5</v>
      </c>
      <c r="H2352" s="487">
        <f t="shared" si="347"/>
        <v>35.175000000000004</v>
      </c>
    </row>
    <row r="2353" spans="1:8" s="948" customFormat="1">
      <c r="A2353" s="485"/>
      <c r="B2353" s="486"/>
      <c r="C2353" s="17" t="s">
        <v>10</v>
      </c>
      <c r="D2353" s="485">
        <v>1</v>
      </c>
      <c r="E2353" s="485">
        <v>3.35</v>
      </c>
      <c r="F2353" s="485"/>
      <c r="G2353" s="485">
        <v>1.1000000000000001</v>
      </c>
      <c r="H2353" s="487">
        <f t="shared" ref="H2353" si="358">PRODUCT(D2353:G2353)</f>
        <v>3.6850000000000005</v>
      </c>
    </row>
    <row r="2354" spans="1:8" s="948" customFormat="1">
      <c r="A2354" s="485"/>
      <c r="B2354" s="486" t="s">
        <v>1217</v>
      </c>
      <c r="C2354" s="17" t="s">
        <v>10</v>
      </c>
      <c r="D2354" s="485">
        <v>4</v>
      </c>
      <c r="E2354" s="485">
        <v>0.15</v>
      </c>
      <c r="F2354" s="485"/>
      <c r="G2354" s="485">
        <v>3.5</v>
      </c>
      <c r="H2354" s="487">
        <f t="shared" si="347"/>
        <v>2.1</v>
      </c>
    </row>
    <row r="2355" spans="1:8" s="948" customFormat="1">
      <c r="A2355" s="485"/>
      <c r="B2355" s="486"/>
      <c r="C2355" s="17" t="s">
        <v>10</v>
      </c>
      <c r="D2355" s="485">
        <v>4</v>
      </c>
      <c r="E2355" s="485">
        <v>10.199999999999999</v>
      </c>
      <c r="F2355" s="485"/>
      <c r="G2355" s="485">
        <v>1.1000000000000001</v>
      </c>
      <c r="H2355" s="487">
        <f t="shared" si="347"/>
        <v>44.88</v>
      </c>
    </row>
    <row r="2356" spans="1:8" s="948" customFormat="1">
      <c r="A2356" s="485"/>
      <c r="B2356" s="486"/>
      <c r="C2356" s="17" t="s">
        <v>10</v>
      </c>
      <c r="D2356" s="485">
        <v>4</v>
      </c>
      <c r="E2356" s="485">
        <f>10-2.4</f>
        <v>7.6</v>
      </c>
      <c r="F2356" s="485"/>
      <c r="G2356" s="485">
        <v>1.2</v>
      </c>
      <c r="H2356" s="487">
        <f t="shared" ref="H2356" si="359">PRODUCT(D2356:G2356)</f>
        <v>36.479999999999997</v>
      </c>
    </row>
    <row r="2357" spans="1:8" s="948" customFormat="1">
      <c r="A2357" s="485"/>
      <c r="B2357" s="486" t="s">
        <v>1343</v>
      </c>
      <c r="C2357" s="17" t="s">
        <v>10</v>
      </c>
      <c r="D2357" s="485">
        <v>1</v>
      </c>
      <c r="E2357" s="485">
        <v>6.6</v>
      </c>
      <c r="F2357" s="485"/>
      <c r="G2357" s="485">
        <v>2.7</v>
      </c>
      <c r="H2357" s="487">
        <f t="shared" si="347"/>
        <v>17.82</v>
      </c>
    </row>
    <row r="2358" spans="1:8" s="948" customFormat="1">
      <c r="A2358" s="485"/>
      <c r="B2358" s="486"/>
      <c r="C2358" s="17" t="s">
        <v>10</v>
      </c>
      <c r="D2358" s="485">
        <v>1</v>
      </c>
      <c r="E2358" s="485">
        <v>0.6</v>
      </c>
      <c r="F2358" s="485"/>
      <c r="G2358" s="485">
        <v>2.7</v>
      </c>
      <c r="H2358" s="487">
        <f t="shared" si="347"/>
        <v>1.62</v>
      </c>
    </row>
    <row r="2359" spans="1:8" s="948" customFormat="1">
      <c r="A2359" s="485"/>
      <c r="B2359" s="486"/>
      <c r="C2359" s="17" t="s">
        <v>10</v>
      </c>
      <c r="D2359" s="485">
        <v>1</v>
      </c>
      <c r="E2359" s="485">
        <v>11</v>
      </c>
      <c r="F2359" s="485"/>
      <c r="G2359" s="485">
        <v>3.5</v>
      </c>
      <c r="H2359" s="487">
        <f t="shared" si="347"/>
        <v>38.5</v>
      </c>
    </row>
    <row r="2360" spans="1:8" s="948" customFormat="1">
      <c r="A2360" s="485"/>
      <c r="B2360" s="486"/>
      <c r="C2360" s="17" t="s">
        <v>10</v>
      </c>
      <c r="D2360" s="485">
        <v>1</v>
      </c>
      <c r="E2360" s="485">
        <v>11</v>
      </c>
      <c r="F2360" s="485"/>
      <c r="G2360" s="485">
        <v>1.1000000000000001</v>
      </c>
      <c r="H2360" s="487">
        <f t="shared" ref="H2360" si="360">PRODUCT(D2360:G2360)</f>
        <v>12.100000000000001</v>
      </c>
    </row>
    <row r="2361" spans="1:8" s="948" customFormat="1">
      <c r="A2361" s="485"/>
      <c r="B2361" s="486" t="s">
        <v>1219</v>
      </c>
      <c r="C2361" s="17" t="s">
        <v>10</v>
      </c>
      <c r="D2361" s="485">
        <v>4</v>
      </c>
      <c r="E2361" s="485">
        <v>1.3</v>
      </c>
      <c r="F2361" s="485"/>
      <c r="G2361" s="485">
        <v>3.5</v>
      </c>
      <c r="H2361" s="487">
        <f t="shared" si="347"/>
        <v>18.2</v>
      </c>
    </row>
    <row r="2362" spans="1:8" s="948" customFormat="1">
      <c r="A2362" s="485"/>
      <c r="B2362" s="486"/>
      <c r="C2362" s="17" t="s">
        <v>10</v>
      </c>
      <c r="D2362" s="485">
        <v>4</v>
      </c>
      <c r="E2362" s="485">
        <v>1.4750000000000001</v>
      </c>
      <c r="F2362" s="485"/>
      <c r="G2362" s="485">
        <v>3.5</v>
      </c>
      <c r="H2362" s="487">
        <f t="shared" si="347"/>
        <v>20.650000000000002</v>
      </c>
    </row>
    <row r="2363" spans="1:8" s="948" customFormat="1">
      <c r="A2363" s="485"/>
      <c r="B2363" s="486"/>
      <c r="C2363" s="17" t="s">
        <v>10</v>
      </c>
      <c r="D2363" s="485">
        <v>-4</v>
      </c>
      <c r="E2363" s="485">
        <v>1</v>
      </c>
      <c r="F2363" s="485"/>
      <c r="G2363" s="485">
        <v>2.4</v>
      </c>
      <c r="H2363" s="487">
        <f t="shared" si="347"/>
        <v>-9.6</v>
      </c>
    </row>
    <row r="2364" spans="1:8" s="948" customFormat="1">
      <c r="A2364" s="485"/>
      <c r="B2364" s="486" t="s">
        <v>1343</v>
      </c>
      <c r="C2364" s="17" t="s">
        <v>10</v>
      </c>
      <c r="D2364" s="485">
        <v>2</v>
      </c>
      <c r="E2364" s="485">
        <v>1.075</v>
      </c>
      <c r="F2364" s="485"/>
      <c r="G2364" s="485">
        <v>3.5</v>
      </c>
      <c r="H2364" s="487">
        <f t="shared" si="347"/>
        <v>7.5249999999999995</v>
      </c>
    </row>
    <row r="2365" spans="1:8" s="948" customFormat="1">
      <c r="A2365" s="485"/>
      <c r="B2365" s="486" t="s">
        <v>1343</v>
      </c>
      <c r="C2365" s="17" t="s">
        <v>10</v>
      </c>
      <c r="D2365" s="485">
        <v>2</v>
      </c>
      <c r="E2365" s="485">
        <v>1.175</v>
      </c>
      <c r="F2365" s="485"/>
      <c r="G2365" s="485">
        <v>3.5</v>
      </c>
      <c r="H2365" s="487">
        <f t="shared" si="347"/>
        <v>8.2249999999999996</v>
      </c>
    </row>
    <row r="2366" spans="1:8" s="948" customFormat="1">
      <c r="A2366" s="485"/>
      <c r="B2366" s="486" t="s">
        <v>1343</v>
      </c>
      <c r="C2366" s="17" t="s">
        <v>10</v>
      </c>
      <c r="D2366" s="485">
        <v>2</v>
      </c>
      <c r="E2366" s="485">
        <v>0.97499999999999998</v>
      </c>
      <c r="F2366" s="485"/>
      <c r="G2366" s="485">
        <v>2.7</v>
      </c>
      <c r="H2366" s="487">
        <f t="shared" si="347"/>
        <v>5.2650000000000006</v>
      </c>
    </row>
    <row r="2367" spans="1:8" s="948" customFormat="1">
      <c r="A2367" s="485"/>
      <c r="B2367" s="486" t="s">
        <v>1343</v>
      </c>
      <c r="C2367" s="17" t="s">
        <v>10</v>
      </c>
      <c r="D2367" s="485">
        <v>2</v>
      </c>
      <c r="E2367" s="485">
        <v>0.875</v>
      </c>
      <c r="F2367" s="485"/>
      <c r="G2367" s="485">
        <v>2.7</v>
      </c>
      <c r="H2367" s="487">
        <f t="shared" ref="H2367:H2444" si="361">PRODUCT(D2367:G2367)</f>
        <v>4.7250000000000005</v>
      </c>
    </row>
    <row r="2368" spans="1:8" s="948" customFormat="1">
      <c r="A2368" s="485"/>
      <c r="B2368" s="486"/>
      <c r="C2368" s="17" t="s">
        <v>10</v>
      </c>
      <c r="D2368" s="485">
        <v>4</v>
      </c>
      <c r="E2368" s="485">
        <v>0.15</v>
      </c>
      <c r="F2368" s="485"/>
      <c r="G2368" s="485">
        <v>3.5</v>
      </c>
      <c r="H2368" s="487">
        <f t="shared" si="361"/>
        <v>2.1</v>
      </c>
    </row>
    <row r="2369" spans="1:8" s="948" customFormat="1">
      <c r="A2369" s="485"/>
      <c r="B2369" s="486"/>
      <c r="C2369" s="17" t="s">
        <v>10</v>
      </c>
      <c r="D2369" s="485">
        <v>4</v>
      </c>
      <c r="E2369" s="485">
        <v>3.1</v>
      </c>
      <c r="F2369" s="485"/>
      <c r="G2369" s="485">
        <v>1.1000000000000001</v>
      </c>
      <c r="H2369" s="487">
        <f t="shared" si="361"/>
        <v>13.640000000000002</v>
      </c>
    </row>
    <row r="2370" spans="1:8" s="948" customFormat="1">
      <c r="A2370" s="485"/>
      <c r="B2370" s="486"/>
      <c r="C2370" s="17" t="s">
        <v>10</v>
      </c>
      <c r="D2370" s="485">
        <v>2</v>
      </c>
      <c r="E2370" s="485">
        <v>2.5499999999999998</v>
      </c>
      <c r="F2370" s="485"/>
      <c r="G2370" s="485">
        <v>3.5</v>
      </c>
      <c r="H2370" s="487">
        <f t="shared" si="361"/>
        <v>17.849999999999998</v>
      </c>
    </row>
    <row r="2371" spans="1:8" s="948" customFormat="1">
      <c r="A2371" s="485"/>
      <c r="B2371" s="486"/>
      <c r="C2371" s="17" t="s">
        <v>10</v>
      </c>
      <c r="D2371" s="485">
        <v>2</v>
      </c>
      <c r="E2371" s="485">
        <v>2.5499999999999998</v>
      </c>
      <c r="F2371" s="485"/>
      <c r="G2371" s="485">
        <v>1.1000000000000001</v>
      </c>
      <c r="H2371" s="487">
        <f t="shared" ref="H2371" si="362">PRODUCT(D2371:G2371)</f>
        <v>5.61</v>
      </c>
    </row>
    <row r="2372" spans="1:8" s="948" customFormat="1">
      <c r="A2372" s="485"/>
      <c r="B2372" s="486" t="s">
        <v>1343</v>
      </c>
      <c r="C2372" s="17" t="s">
        <v>10</v>
      </c>
      <c r="D2372" s="485">
        <v>1</v>
      </c>
      <c r="E2372" s="485">
        <v>3.03</v>
      </c>
      <c r="F2372" s="485"/>
      <c r="G2372" s="485">
        <v>2.7</v>
      </c>
      <c r="H2372" s="487">
        <f t="shared" si="361"/>
        <v>8.1809999999999992</v>
      </c>
    </row>
    <row r="2373" spans="1:8" s="948" customFormat="1">
      <c r="A2373" s="485"/>
      <c r="B2373" s="486" t="s">
        <v>1354</v>
      </c>
      <c r="C2373" s="17" t="s">
        <v>10</v>
      </c>
      <c r="D2373" s="485">
        <v>3</v>
      </c>
      <c r="E2373" s="485">
        <v>2.5499999999999998</v>
      </c>
      <c r="F2373" s="485"/>
      <c r="G2373" s="485">
        <v>3.5</v>
      </c>
      <c r="H2373" s="487">
        <f t="shared" si="361"/>
        <v>26.774999999999999</v>
      </c>
    </row>
    <row r="2374" spans="1:8" s="948" customFormat="1">
      <c r="A2374" s="485"/>
      <c r="B2374" s="486"/>
      <c r="C2374" s="17" t="s">
        <v>10</v>
      </c>
      <c r="D2374" s="485">
        <v>1</v>
      </c>
      <c r="E2374" s="485">
        <v>2.5499999999999998</v>
      </c>
      <c r="F2374" s="485"/>
      <c r="G2374" s="485">
        <v>1.1000000000000001</v>
      </c>
      <c r="H2374" s="487">
        <f t="shared" ref="H2374" si="363">PRODUCT(D2374:G2374)</f>
        <v>2.8050000000000002</v>
      </c>
    </row>
    <row r="2375" spans="1:8" s="948" customFormat="1">
      <c r="A2375" s="485"/>
      <c r="B2375" s="486"/>
      <c r="C2375" s="17" t="s">
        <v>10</v>
      </c>
      <c r="D2375" s="485">
        <v>8</v>
      </c>
      <c r="E2375" s="485">
        <v>0.15</v>
      </c>
      <c r="F2375" s="485"/>
      <c r="G2375" s="485">
        <v>3.5</v>
      </c>
      <c r="H2375" s="487">
        <f t="shared" si="361"/>
        <v>4.2</v>
      </c>
    </row>
    <row r="2376" spans="1:8" s="948" customFormat="1">
      <c r="A2376" s="485"/>
      <c r="B2376" s="486"/>
      <c r="C2376" s="17" t="s">
        <v>10</v>
      </c>
      <c r="D2376" s="485">
        <v>4</v>
      </c>
      <c r="E2376" s="485">
        <v>2.75</v>
      </c>
      <c r="F2376" s="485"/>
      <c r="G2376" s="485">
        <v>1.1000000000000001</v>
      </c>
      <c r="H2376" s="487">
        <f t="shared" si="361"/>
        <v>12.100000000000001</v>
      </c>
    </row>
    <row r="2377" spans="1:8" s="948" customFormat="1">
      <c r="A2377" s="485"/>
      <c r="B2377" s="486" t="s">
        <v>1343</v>
      </c>
      <c r="C2377" s="17" t="s">
        <v>10</v>
      </c>
      <c r="D2377" s="485">
        <v>1</v>
      </c>
      <c r="E2377" s="485">
        <v>3.05</v>
      </c>
      <c r="F2377" s="485"/>
      <c r="G2377" s="485">
        <v>2.7</v>
      </c>
      <c r="H2377" s="487">
        <f t="shared" si="361"/>
        <v>8.2349999999999994</v>
      </c>
    </row>
    <row r="2378" spans="1:8" s="948" customFormat="1">
      <c r="A2378" s="485"/>
      <c r="B2378" s="486" t="s">
        <v>2085</v>
      </c>
      <c r="C2378" s="17" t="s">
        <v>10</v>
      </c>
      <c r="D2378" s="485">
        <v>4</v>
      </c>
      <c r="E2378" s="485">
        <v>1.8</v>
      </c>
      <c r="F2378" s="485"/>
      <c r="G2378" s="485">
        <v>1.1000000000000001</v>
      </c>
      <c r="H2378" s="487">
        <f t="shared" si="361"/>
        <v>7.9200000000000008</v>
      </c>
    </row>
    <row r="2379" spans="1:8" s="948" customFormat="1">
      <c r="A2379" s="485"/>
      <c r="B2379" s="486"/>
      <c r="C2379" s="17" t="s">
        <v>10</v>
      </c>
      <c r="D2379" s="485">
        <v>4</v>
      </c>
      <c r="E2379" s="485">
        <v>2.4500000000000002</v>
      </c>
      <c r="F2379" s="485"/>
      <c r="G2379" s="485">
        <v>1.1000000000000001</v>
      </c>
      <c r="H2379" s="487">
        <f t="shared" si="361"/>
        <v>10.780000000000001</v>
      </c>
    </row>
    <row r="2380" spans="1:8" s="948" customFormat="1">
      <c r="A2380" s="485"/>
      <c r="B2380" s="486"/>
      <c r="C2380" s="17" t="s">
        <v>10</v>
      </c>
      <c r="D2380" s="485">
        <v>4</v>
      </c>
      <c r="E2380" s="485">
        <v>0.25</v>
      </c>
      <c r="F2380" s="485"/>
      <c r="G2380" s="485">
        <v>2.4</v>
      </c>
      <c r="H2380" s="487">
        <f t="shared" si="361"/>
        <v>2.4</v>
      </c>
    </row>
    <row r="2381" spans="1:8" s="948" customFormat="1">
      <c r="A2381" s="485"/>
      <c r="B2381" s="486" t="s">
        <v>2010</v>
      </c>
      <c r="C2381" s="17" t="s">
        <v>10</v>
      </c>
      <c r="D2381" s="485">
        <v>4</v>
      </c>
      <c r="E2381" s="485">
        <v>4</v>
      </c>
      <c r="F2381" s="485"/>
      <c r="G2381" s="485">
        <v>3.5</v>
      </c>
      <c r="H2381" s="487">
        <f t="shared" si="361"/>
        <v>56</v>
      </c>
    </row>
    <row r="2382" spans="1:8" s="948" customFormat="1">
      <c r="A2382" s="485"/>
      <c r="B2382" s="486"/>
      <c r="C2382" s="17" t="s">
        <v>10</v>
      </c>
      <c r="D2382" s="485">
        <v>-4</v>
      </c>
      <c r="E2382" s="485">
        <f>0.875+1.8+0.875</f>
        <v>3.55</v>
      </c>
      <c r="F2382" s="485"/>
      <c r="G2382" s="485">
        <v>2.4</v>
      </c>
      <c r="H2382" s="487">
        <f t="shared" si="361"/>
        <v>-34.08</v>
      </c>
    </row>
    <row r="2383" spans="1:8" s="948" customFormat="1">
      <c r="A2383" s="485"/>
      <c r="B2383" s="486" t="s">
        <v>1354</v>
      </c>
      <c r="C2383" s="17" t="s">
        <v>10</v>
      </c>
      <c r="D2383" s="485">
        <v>1</v>
      </c>
      <c r="E2383" s="485">
        <v>2.5499999999999998</v>
      </c>
      <c r="F2383" s="485"/>
      <c r="G2383" s="485">
        <v>1.1000000000000001</v>
      </c>
      <c r="H2383" s="487">
        <f t="shared" si="361"/>
        <v>2.8050000000000002</v>
      </c>
    </row>
    <row r="2384" spans="1:8" s="948" customFormat="1">
      <c r="A2384" s="485"/>
      <c r="B2384" s="486"/>
      <c r="C2384" s="17" t="s">
        <v>10</v>
      </c>
      <c r="D2384" s="485">
        <v>8</v>
      </c>
      <c r="E2384" s="485">
        <v>0.15</v>
      </c>
      <c r="F2384" s="485"/>
      <c r="G2384" s="485">
        <v>3.5</v>
      </c>
      <c r="H2384" s="487">
        <f t="shared" si="361"/>
        <v>4.2</v>
      </c>
    </row>
    <row r="2385" spans="1:8" s="948" customFormat="1">
      <c r="A2385" s="485"/>
      <c r="B2385" s="486"/>
      <c r="C2385" s="17" t="s">
        <v>10</v>
      </c>
      <c r="D2385" s="485">
        <v>4</v>
      </c>
      <c r="E2385" s="485">
        <v>2.75</v>
      </c>
      <c r="F2385" s="485"/>
      <c r="G2385" s="485">
        <v>1.1000000000000001</v>
      </c>
      <c r="H2385" s="487">
        <f t="shared" si="361"/>
        <v>12.100000000000001</v>
      </c>
    </row>
    <row r="2386" spans="1:8" s="948" customFormat="1">
      <c r="A2386" s="485"/>
      <c r="B2386" s="486"/>
      <c r="C2386" s="17" t="s">
        <v>10</v>
      </c>
      <c r="D2386" s="485">
        <v>3</v>
      </c>
      <c r="E2386" s="485">
        <v>2.5499999999999998</v>
      </c>
      <c r="F2386" s="485"/>
      <c r="G2386" s="485">
        <v>3.5</v>
      </c>
      <c r="H2386" s="487">
        <f t="shared" si="361"/>
        <v>26.774999999999999</v>
      </c>
    </row>
    <row r="2387" spans="1:8" s="948" customFormat="1">
      <c r="A2387" s="485"/>
      <c r="B2387" s="486"/>
      <c r="C2387" s="17" t="s">
        <v>10</v>
      </c>
      <c r="D2387" s="485">
        <v>1</v>
      </c>
      <c r="E2387" s="485">
        <v>2.5499999999999998</v>
      </c>
      <c r="F2387" s="485"/>
      <c r="G2387" s="485">
        <v>1.1000000000000001</v>
      </c>
      <c r="H2387" s="487">
        <f t="shared" ref="H2387" si="364">PRODUCT(D2387:G2387)</f>
        <v>2.8050000000000002</v>
      </c>
    </row>
    <row r="2388" spans="1:8" s="948" customFormat="1">
      <c r="A2388" s="485"/>
      <c r="B2388" s="486" t="s">
        <v>1917</v>
      </c>
      <c r="C2388" s="17" t="s">
        <v>10</v>
      </c>
      <c r="D2388" s="485">
        <v>3</v>
      </c>
      <c r="E2388" s="485">
        <v>6.1</v>
      </c>
      <c r="F2388" s="485"/>
      <c r="G2388" s="485">
        <v>3.5</v>
      </c>
      <c r="H2388" s="487">
        <f t="shared" si="361"/>
        <v>64.049999999999983</v>
      </c>
    </row>
    <row r="2389" spans="1:8" s="948" customFormat="1">
      <c r="A2389" s="485"/>
      <c r="B2389" s="486"/>
      <c r="C2389" s="17" t="s">
        <v>10</v>
      </c>
      <c r="D2389" s="485">
        <v>1</v>
      </c>
      <c r="E2389" s="485">
        <v>6.1</v>
      </c>
      <c r="F2389" s="485"/>
      <c r="G2389" s="485">
        <v>1.1000000000000001</v>
      </c>
      <c r="H2389" s="487">
        <f t="shared" ref="H2389" si="365">PRODUCT(D2389:G2389)</f>
        <v>6.71</v>
      </c>
    </row>
    <row r="2390" spans="1:8" s="948" customFormat="1">
      <c r="A2390" s="485"/>
      <c r="B2390" s="486"/>
      <c r="C2390" s="17" t="s">
        <v>10</v>
      </c>
      <c r="D2390" s="485">
        <v>4</v>
      </c>
      <c r="E2390" s="485">
        <v>2.1800000000000002</v>
      </c>
      <c r="F2390" s="485"/>
      <c r="G2390" s="485">
        <v>3.5</v>
      </c>
      <c r="H2390" s="487">
        <f t="shared" si="361"/>
        <v>30.520000000000003</v>
      </c>
    </row>
    <row r="2391" spans="1:8" s="948" customFormat="1">
      <c r="A2391" s="485"/>
      <c r="B2391" s="486"/>
      <c r="C2391" s="17" t="s">
        <v>10</v>
      </c>
      <c r="D2391" s="485">
        <v>2</v>
      </c>
      <c r="E2391" s="485">
        <v>5.6</v>
      </c>
      <c r="F2391" s="485"/>
      <c r="G2391" s="485">
        <v>3.5</v>
      </c>
      <c r="H2391" s="487">
        <f t="shared" si="361"/>
        <v>39.199999999999996</v>
      </c>
    </row>
    <row r="2392" spans="1:8" s="948" customFormat="1">
      <c r="A2392" s="485"/>
      <c r="B2392" s="486"/>
      <c r="C2392" s="17" t="s">
        <v>10</v>
      </c>
      <c r="D2392" s="485">
        <v>2</v>
      </c>
      <c r="E2392" s="485">
        <v>5.6</v>
      </c>
      <c r="F2392" s="485"/>
      <c r="G2392" s="485">
        <v>1.1000000000000001</v>
      </c>
      <c r="H2392" s="487">
        <f t="shared" ref="H2392" si="366">PRODUCT(D2392:G2392)</f>
        <v>12.32</v>
      </c>
    </row>
    <row r="2393" spans="1:8" s="948" customFormat="1">
      <c r="A2393" s="485"/>
      <c r="B2393" s="486"/>
      <c r="C2393" s="17" t="s">
        <v>10</v>
      </c>
      <c r="D2393" s="485">
        <v>3</v>
      </c>
      <c r="E2393" s="485">
        <v>8.77</v>
      </c>
      <c r="F2393" s="485"/>
      <c r="G2393" s="485">
        <v>3.5</v>
      </c>
      <c r="H2393" s="487">
        <f t="shared" si="361"/>
        <v>92.084999999999994</v>
      </c>
    </row>
    <row r="2394" spans="1:8" s="948" customFormat="1">
      <c r="A2394" s="485"/>
      <c r="B2394" s="486"/>
      <c r="C2394" s="17" t="s">
        <v>10</v>
      </c>
      <c r="D2394" s="485">
        <v>-3</v>
      </c>
      <c r="E2394" s="485">
        <v>3.3</v>
      </c>
      <c r="F2394" s="485"/>
      <c r="G2394" s="485">
        <v>2.4</v>
      </c>
      <c r="H2394" s="487">
        <f t="shared" si="361"/>
        <v>-23.759999999999994</v>
      </c>
    </row>
    <row r="2395" spans="1:8" s="948" customFormat="1">
      <c r="A2395" s="485"/>
      <c r="B2395" s="486"/>
      <c r="C2395" s="17" t="s">
        <v>10</v>
      </c>
      <c r="D2395" s="485">
        <v>1</v>
      </c>
      <c r="E2395" s="485">
        <v>8.77</v>
      </c>
      <c r="F2395" s="485"/>
      <c r="G2395" s="485">
        <v>1.1000000000000001</v>
      </c>
      <c r="H2395" s="487">
        <f t="shared" ref="H2395" si="367">PRODUCT(D2395:G2395)</f>
        <v>9.6470000000000002</v>
      </c>
    </row>
    <row r="2396" spans="1:8" s="948" customFormat="1">
      <c r="A2396" s="485"/>
      <c r="B2396" s="486" t="s">
        <v>1343</v>
      </c>
      <c r="C2396" s="17" t="s">
        <v>10</v>
      </c>
      <c r="D2396" s="485">
        <v>0</v>
      </c>
      <c r="E2396" s="485">
        <v>6.6</v>
      </c>
      <c r="F2396" s="485"/>
      <c r="G2396" s="485">
        <v>2.7</v>
      </c>
      <c r="H2396" s="487">
        <f t="shared" si="361"/>
        <v>0</v>
      </c>
    </row>
    <row r="2397" spans="1:8" s="948" customFormat="1">
      <c r="A2397" s="485"/>
      <c r="B2397" s="486" t="s">
        <v>2012</v>
      </c>
      <c r="C2397" s="17" t="s">
        <v>10</v>
      </c>
      <c r="D2397" s="485">
        <v>4</v>
      </c>
      <c r="E2397" s="485">
        <v>3.85</v>
      </c>
      <c r="F2397" s="485"/>
      <c r="G2397" s="485">
        <v>3.5</v>
      </c>
      <c r="H2397" s="487">
        <f t="shared" si="361"/>
        <v>53.9</v>
      </c>
    </row>
    <row r="2398" spans="1:8" s="948" customFormat="1">
      <c r="A2398" s="485"/>
      <c r="B2398" s="486"/>
      <c r="C2398" s="17" t="s">
        <v>10</v>
      </c>
      <c r="D2398" s="485">
        <v>-4</v>
      </c>
      <c r="E2398" s="485">
        <v>1.6</v>
      </c>
      <c r="F2398" s="485"/>
      <c r="G2398" s="485">
        <v>2.4</v>
      </c>
      <c r="H2398" s="487">
        <f t="shared" si="361"/>
        <v>-15.36</v>
      </c>
    </row>
    <row r="2399" spans="1:8" s="948" customFormat="1">
      <c r="A2399" s="485"/>
      <c r="B2399" s="486"/>
      <c r="C2399" s="17" t="s">
        <v>10</v>
      </c>
      <c r="D2399" s="485">
        <v>2</v>
      </c>
      <c r="E2399" s="485">
        <v>4.8499999999999996</v>
      </c>
      <c r="F2399" s="485"/>
      <c r="G2399" s="485">
        <v>3.5</v>
      </c>
      <c r="H2399" s="487">
        <f t="shared" si="361"/>
        <v>33.949999999999996</v>
      </c>
    </row>
    <row r="2400" spans="1:8" s="948" customFormat="1">
      <c r="A2400" s="485"/>
      <c r="B2400" s="486"/>
      <c r="C2400" s="17" t="s">
        <v>10</v>
      </c>
      <c r="D2400" s="485">
        <v>2</v>
      </c>
      <c r="E2400" s="485">
        <v>4.8499999999999996</v>
      </c>
      <c r="F2400" s="485"/>
      <c r="G2400" s="485">
        <v>1.1000000000000001</v>
      </c>
      <c r="H2400" s="487">
        <f t="shared" ref="H2400" si="368">PRODUCT(D2400:G2400)</f>
        <v>10.67</v>
      </c>
    </row>
    <row r="2401" spans="1:8" s="948" customFormat="1">
      <c r="A2401" s="485"/>
      <c r="B2401" s="486"/>
      <c r="C2401" s="17" t="s">
        <v>10</v>
      </c>
      <c r="D2401" s="485">
        <v>2</v>
      </c>
      <c r="E2401" s="485">
        <v>3.93</v>
      </c>
      <c r="F2401" s="485"/>
      <c r="G2401" s="485">
        <v>3.5</v>
      </c>
      <c r="H2401" s="487">
        <f t="shared" si="361"/>
        <v>27.51</v>
      </c>
    </row>
    <row r="2402" spans="1:8" s="948" customFormat="1">
      <c r="A2402" s="485"/>
      <c r="B2402" s="486"/>
      <c r="C2402" s="17" t="s">
        <v>10</v>
      </c>
      <c r="D2402" s="485">
        <v>2</v>
      </c>
      <c r="E2402" s="485">
        <v>3.93</v>
      </c>
      <c r="F2402" s="485"/>
      <c r="G2402" s="485">
        <v>1.1000000000000001</v>
      </c>
      <c r="H2402" s="487">
        <f t="shared" ref="H2402" si="369">PRODUCT(D2402:G2402)</f>
        <v>8.6460000000000008</v>
      </c>
    </row>
    <row r="2403" spans="1:8" s="948" customFormat="1">
      <c r="A2403" s="485"/>
      <c r="B2403" s="486"/>
      <c r="C2403" s="17" t="s">
        <v>10</v>
      </c>
      <c r="D2403" s="485">
        <v>4</v>
      </c>
      <c r="E2403" s="485">
        <v>4.18</v>
      </c>
      <c r="F2403" s="485"/>
      <c r="G2403" s="485">
        <v>1.1000000000000001</v>
      </c>
      <c r="H2403" s="487">
        <f t="shared" si="361"/>
        <v>18.391999999999999</v>
      </c>
    </row>
    <row r="2404" spans="1:8" s="948" customFormat="1">
      <c r="A2404" s="485"/>
      <c r="B2404" s="486"/>
      <c r="C2404" s="17" t="s">
        <v>10</v>
      </c>
      <c r="D2404" s="485">
        <v>2</v>
      </c>
      <c r="E2404" s="485">
        <v>13.34</v>
      </c>
      <c r="F2404" s="485"/>
      <c r="G2404" s="485">
        <v>3.5</v>
      </c>
      <c r="H2404" s="487">
        <f t="shared" si="361"/>
        <v>93.38</v>
      </c>
    </row>
    <row r="2405" spans="1:8" s="948" customFormat="1">
      <c r="A2405" s="485"/>
      <c r="B2405" s="486"/>
      <c r="C2405" s="17" t="s">
        <v>10</v>
      </c>
      <c r="D2405" s="485">
        <v>1</v>
      </c>
      <c r="E2405" s="485">
        <v>13.34</v>
      </c>
      <c r="F2405" s="485"/>
      <c r="G2405" s="485">
        <v>1.1000000000000001</v>
      </c>
      <c r="H2405" s="487">
        <f t="shared" ref="H2405" si="370">PRODUCT(D2405:G2405)</f>
        <v>14.674000000000001</v>
      </c>
    </row>
    <row r="2406" spans="1:8" s="948" customFormat="1">
      <c r="A2406" s="485"/>
      <c r="B2406" s="486"/>
      <c r="C2406" s="17" t="s">
        <v>10</v>
      </c>
      <c r="D2406" s="485">
        <v>4</v>
      </c>
      <c r="E2406" s="485">
        <v>1.1000000000000001</v>
      </c>
      <c r="F2406" s="485"/>
      <c r="G2406" s="485">
        <v>3.5</v>
      </c>
      <c r="H2406" s="487">
        <f t="shared" si="361"/>
        <v>15.400000000000002</v>
      </c>
    </row>
    <row r="2407" spans="1:8" s="948" customFormat="1">
      <c r="A2407" s="485"/>
      <c r="B2407" s="486"/>
      <c r="C2407" s="17" t="s">
        <v>10</v>
      </c>
      <c r="D2407" s="485">
        <v>4</v>
      </c>
      <c r="E2407" s="485">
        <v>0.55200000000000005</v>
      </c>
      <c r="F2407" s="485"/>
      <c r="G2407" s="485">
        <v>3.5</v>
      </c>
      <c r="H2407" s="487">
        <f t="shared" si="361"/>
        <v>7.7280000000000006</v>
      </c>
    </row>
    <row r="2408" spans="1:8" s="948" customFormat="1">
      <c r="A2408" s="485"/>
      <c r="B2408" s="486"/>
      <c r="C2408" s="17" t="s">
        <v>10</v>
      </c>
      <c r="D2408" s="485">
        <v>4</v>
      </c>
      <c r="E2408" s="485">
        <v>6.23</v>
      </c>
      <c r="F2408" s="485"/>
      <c r="G2408" s="485">
        <v>3.5</v>
      </c>
      <c r="H2408" s="487">
        <f t="shared" si="361"/>
        <v>87.22</v>
      </c>
    </row>
    <row r="2409" spans="1:8" s="948" customFormat="1">
      <c r="A2409" s="485"/>
      <c r="B2409" s="486"/>
      <c r="C2409" s="17" t="s">
        <v>10</v>
      </c>
      <c r="D2409" s="485">
        <v>-1</v>
      </c>
      <c r="E2409" s="485">
        <v>3.42</v>
      </c>
      <c r="F2409" s="485"/>
      <c r="G2409" s="485">
        <v>2.4</v>
      </c>
      <c r="H2409" s="487">
        <f t="shared" si="361"/>
        <v>-8.2080000000000002</v>
      </c>
    </row>
    <row r="2410" spans="1:8" s="948" customFormat="1">
      <c r="A2410" s="485"/>
      <c r="B2410" s="486" t="s">
        <v>2013</v>
      </c>
      <c r="C2410" s="17" t="s">
        <v>10</v>
      </c>
      <c r="D2410" s="485">
        <v>2</v>
      </c>
      <c r="E2410" s="485">
        <v>3.55</v>
      </c>
      <c r="F2410" s="485"/>
      <c r="G2410" s="485">
        <v>3.5</v>
      </c>
      <c r="H2410" s="487">
        <f t="shared" si="361"/>
        <v>24.849999999999998</v>
      </c>
    </row>
    <row r="2411" spans="1:8" s="948" customFormat="1">
      <c r="A2411" s="485"/>
      <c r="B2411" s="486"/>
      <c r="C2411" s="17" t="s">
        <v>10</v>
      </c>
      <c r="D2411" s="485">
        <v>2</v>
      </c>
      <c r="E2411" s="485">
        <v>3.55</v>
      </c>
      <c r="F2411" s="485"/>
      <c r="G2411" s="485">
        <v>1.1000000000000001</v>
      </c>
      <c r="H2411" s="487">
        <f t="shared" si="361"/>
        <v>7.8100000000000005</v>
      </c>
    </row>
    <row r="2412" spans="1:8" s="948" customFormat="1">
      <c r="A2412" s="485"/>
      <c r="B2412" s="486"/>
      <c r="C2412" s="17" t="s">
        <v>10</v>
      </c>
      <c r="D2412" s="485">
        <v>3</v>
      </c>
      <c r="E2412" s="485">
        <v>0.4</v>
      </c>
      <c r="F2412" s="485"/>
      <c r="G2412" s="485">
        <v>3.5</v>
      </c>
      <c r="H2412" s="487">
        <f t="shared" si="361"/>
        <v>4.2000000000000011</v>
      </c>
    </row>
    <row r="2413" spans="1:8" s="948" customFormat="1">
      <c r="A2413" s="485"/>
      <c r="B2413" s="486"/>
      <c r="C2413" s="17" t="s">
        <v>10</v>
      </c>
      <c r="D2413" s="485">
        <v>1</v>
      </c>
      <c r="E2413" s="485">
        <v>0.4</v>
      </c>
      <c r="F2413" s="485"/>
      <c r="G2413" s="485">
        <v>1.1000000000000001</v>
      </c>
      <c r="H2413" s="487">
        <f t="shared" ref="H2413" si="371">PRODUCT(D2413:G2413)</f>
        <v>0.44000000000000006</v>
      </c>
    </row>
    <row r="2414" spans="1:8" s="948" customFormat="1">
      <c r="A2414" s="485"/>
      <c r="B2414" s="486"/>
      <c r="C2414" s="17" t="s">
        <v>10</v>
      </c>
      <c r="D2414" s="485">
        <v>3</v>
      </c>
      <c r="E2414" s="485">
        <v>0.3</v>
      </c>
      <c r="F2414" s="485"/>
      <c r="G2414" s="485">
        <v>3.5</v>
      </c>
      <c r="H2414" s="487">
        <f t="shared" si="361"/>
        <v>3.1499999999999995</v>
      </c>
    </row>
    <row r="2415" spans="1:8" s="948" customFormat="1">
      <c r="A2415" s="485"/>
      <c r="B2415" s="486"/>
      <c r="C2415" s="17" t="s">
        <v>10</v>
      </c>
      <c r="D2415" s="485">
        <v>1</v>
      </c>
      <c r="E2415" s="485">
        <v>0.3</v>
      </c>
      <c r="F2415" s="485"/>
      <c r="G2415" s="485">
        <v>1.1000000000000001</v>
      </c>
      <c r="H2415" s="487">
        <f t="shared" ref="H2415" si="372">PRODUCT(D2415:G2415)</f>
        <v>0.33</v>
      </c>
    </row>
    <row r="2416" spans="1:8" s="948" customFormat="1">
      <c r="A2416" s="485"/>
      <c r="B2416" s="486" t="s">
        <v>216</v>
      </c>
      <c r="C2416" s="17" t="s">
        <v>10</v>
      </c>
      <c r="D2416" s="485">
        <v>8</v>
      </c>
      <c r="E2416" s="485">
        <v>0.15</v>
      </c>
      <c r="F2416" s="485"/>
      <c r="G2416" s="485">
        <v>3.5</v>
      </c>
      <c r="H2416" s="487">
        <f t="shared" si="361"/>
        <v>4.2</v>
      </c>
    </row>
    <row r="2417" spans="1:8" s="948" customFormat="1">
      <c r="A2417" s="485"/>
      <c r="B2417" s="486"/>
      <c r="C2417" s="17" t="s">
        <v>10</v>
      </c>
      <c r="D2417" s="485">
        <v>4</v>
      </c>
      <c r="E2417" s="485">
        <v>3.8250000000000002</v>
      </c>
      <c r="F2417" s="485"/>
      <c r="G2417" s="485">
        <v>1.1000000000000001</v>
      </c>
      <c r="H2417" s="487">
        <f t="shared" si="361"/>
        <v>16.830000000000002</v>
      </c>
    </row>
    <row r="2418" spans="1:8" s="948" customFormat="1">
      <c r="A2418" s="485"/>
      <c r="B2418" s="486" t="s">
        <v>1230</v>
      </c>
      <c r="C2418" s="17" t="s">
        <v>10</v>
      </c>
      <c r="D2418" s="485">
        <v>2</v>
      </c>
      <c r="E2418" s="485">
        <v>3.55</v>
      </c>
      <c r="F2418" s="485"/>
      <c r="G2418" s="485">
        <v>3.5</v>
      </c>
      <c r="H2418" s="487">
        <f t="shared" si="361"/>
        <v>24.849999999999998</v>
      </c>
    </row>
    <row r="2419" spans="1:8" s="948" customFormat="1">
      <c r="A2419" s="485"/>
      <c r="B2419" s="486"/>
      <c r="C2419" s="17" t="s">
        <v>10</v>
      </c>
      <c r="D2419" s="485">
        <v>2</v>
      </c>
      <c r="E2419" s="485">
        <v>3.55</v>
      </c>
      <c r="F2419" s="485"/>
      <c r="G2419" s="485">
        <v>1.1000000000000001</v>
      </c>
      <c r="H2419" s="487">
        <f t="shared" ref="H2419" si="373">PRODUCT(D2419:G2419)</f>
        <v>7.8100000000000005</v>
      </c>
    </row>
    <row r="2420" spans="1:8" s="948" customFormat="1">
      <c r="A2420" s="485"/>
      <c r="B2420" s="486"/>
      <c r="C2420" s="17" t="s">
        <v>10</v>
      </c>
      <c r="D2420" s="485">
        <v>8</v>
      </c>
      <c r="E2420" s="485">
        <v>0.15</v>
      </c>
      <c r="F2420" s="485"/>
      <c r="G2420" s="485">
        <v>3.5</v>
      </c>
      <c r="H2420" s="487">
        <f t="shared" si="361"/>
        <v>4.2</v>
      </c>
    </row>
    <row r="2421" spans="1:8" s="948" customFormat="1">
      <c r="A2421" s="485"/>
      <c r="B2421" s="486"/>
      <c r="C2421" s="17" t="s">
        <v>10</v>
      </c>
      <c r="D2421" s="485">
        <v>4</v>
      </c>
      <c r="E2421" s="485">
        <v>2.9249999999999998</v>
      </c>
      <c r="F2421" s="485"/>
      <c r="G2421" s="485">
        <v>1.1000000000000001</v>
      </c>
      <c r="H2421" s="487">
        <f t="shared" si="361"/>
        <v>12.870000000000001</v>
      </c>
    </row>
    <row r="2422" spans="1:8" s="948" customFormat="1">
      <c r="A2422" s="485"/>
      <c r="B2422" s="486"/>
      <c r="C2422" s="17" t="s">
        <v>10</v>
      </c>
      <c r="D2422" s="485">
        <v>1</v>
      </c>
      <c r="E2422" s="485">
        <v>3.55</v>
      </c>
      <c r="F2422" s="485"/>
      <c r="G2422" s="485">
        <v>3.5</v>
      </c>
      <c r="H2422" s="487">
        <f t="shared" si="361"/>
        <v>12.424999999999999</v>
      </c>
    </row>
    <row r="2423" spans="1:8" s="948" customFormat="1">
      <c r="A2423" s="485"/>
      <c r="B2423" s="486"/>
      <c r="C2423" s="17" t="s">
        <v>10</v>
      </c>
      <c r="D2423" s="485">
        <v>1</v>
      </c>
      <c r="E2423" s="485">
        <v>3.55</v>
      </c>
      <c r="F2423" s="485"/>
      <c r="G2423" s="485">
        <v>1.1000000000000001</v>
      </c>
      <c r="H2423" s="487">
        <f t="shared" ref="H2423:H2424" si="374">PRODUCT(D2423:G2423)</f>
        <v>3.9050000000000002</v>
      </c>
    </row>
    <row r="2424" spans="1:8" s="948" customFormat="1">
      <c r="A2424" s="485"/>
      <c r="B2424" s="486"/>
      <c r="C2424" s="17" t="s">
        <v>10</v>
      </c>
      <c r="D2424" s="485">
        <v>2</v>
      </c>
      <c r="E2424" s="485">
        <v>1.575</v>
      </c>
      <c r="F2424" s="485"/>
      <c r="G2424" s="485">
        <v>3.5</v>
      </c>
      <c r="H2424" s="487">
        <f t="shared" si="374"/>
        <v>11.025</v>
      </c>
    </row>
    <row r="2425" spans="1:8" s="948" customFormat="1">
      <c r="A2425" s="485"/>
      <c r="B2425" s="486" t="s">
        <v>2014</v>
      </c>
      <c r="C2425" s="17" t="s">
        <v>10</v>
      </c>
      <c r="D2425" s="485">
        <v>2</v>
      </c>
      <c r="E2425" s="485">
        <v>1.34</v>
      </c>
      <c r="F2425" s="485"/>
      <c r="G2425" s="485">
        <v>3.5</v>
      </c>
      <c r="H2425" s="487">
        <f t="shared" si="361"/>
        <v>9.3800000000000008</v>
      </c>
    </row>
    <row r="2426" spans="1:8" s="948" customFormat="1">
      <c r="A2426" s="485"/>
      <c r="B2426" s="486" t="s">
        <v>1229</v>
      </c>
      <c r="C2426" s="17" t="s">
        <v>10</v>
      </c>
      <c r="D2426" s="485">
        <v>1</v>
      </c>
      <c r="E2426" s="485">
        <v>3.55</v>
      </c>
      <c r="F2426" s="485"/>
      <c r="G2426" s="485">
        <v>3.5</v>
      </c>
      <c r="H2426" s="487">
        <f t="shared" si="361"/>
        <v>12.424999999999999</v>
      </c>
    </row>
    <row r="2427" spans="1:8" s="948" customFormat="1">
      <c r="A2427" s="485"/>
      <c r="B2427" s="486"/>
      <c r="C2427" s="17" t="s">
        <v>10</v>
      </c>
      <c r="D2427" s="485">
        <v>1</v>
      </c>
      <c r="E2427" s="485">
        <v>3.55</v>
      </c>
      <c r="F2427" s="485"/>
      <c r="G2427" s="485">
        <v>1.1000000000000001</v>
      </c>
      <c r="H2427" s="487">
        <f t="shared" ref="H2427" si="375">PRODUCT(D2427:G2427)</f>
        <v>3.9050000000000002</v>
      </c>
    </row>
    <row r="2428" spans="1:8" s="948" customFormat="1">
      <c r="A2428" s="485"/>
      <c r="B2428" s="486"/>
      <c r="C2428" s="17" t="s">
        <v>10</v>
      </c>
      <c r="D2428" s="485">
        <v>2</v>
      </c>
      <c r="E2428" s="485">
        <v>1.575</v>
      </c>
      <c r="F2428" s="485"/>
      <c r="G2428" s="485">
        <v>3.5</v>
      </c>
      <c r="H2428" s="487">
        <f t="shared" ref="H2428" si="376">PRODUCT(D2428:G2428)</f>
        <v>11.025</v>
      </c>
    </row>
    <row r="2429" spans="1:8" s="948" customFormat="1">
      <c r="A2429" s="485"/>
      <c r="B2429" s="486"/>
      <c r="C2429" s="17" t="s">
        <v>10</v>
      </c>
      <c r="D2429" s="485">
        <v>8</v>
      </c>
      <c r="E2429" s="485">
        <v>0.15</v>
      </c>
      <c r="F2429" s="485"/>
      <c r="G2429" s="485">
        <v>3.5</v>
      </c>
      <c r="H2429" s="487">
        <f t="shared" si="361"/>
        <v>4.2</v>
      </c>
    </row>
    <row r="2430" spans="1:8" s="948" customFormat="1">
      <c r="A2430" s="485"/>
      <c r="B2430" s="486"/>
      <c r="C2430" s="17" t="s">
        <v>10</v>
      </c>
      <c r="D2430" s="485">
        <v>4</v>
      </c>
      <c r="E2430" s="485">
        <v>2.65</v>
      </c>
      <c r="F2430" s="485"/>
      <c r="G2430" s="485">
        <v>1.1000000000000001</v>
      </c>
      <c r="H2430" s="487">
        <f t="shared" si="361"/>
        <v>11.66</v>
      </c>
    </row>
    <row r="2431" spans="1:8" s="948" customFormat="1">
      <c r="A2431" s="485"/>
      <c r="B2431" s="486" t="s">
        <v>172</v>
      </c>
      <c r="C2431" s="17" t="s">
        <v>10</v>
      </c>
      <c r="D2431" s="485">
        <v>4</v>
      </c>
      <c r="E2431" s="485">
        <v>6.9249999999999998</v>
      </c>
      <c r="F2431" s="485"/>
      <c r="G2431" s="485">
        <v>1.05</v>
      </c>
      <c r="H2431" s="487">
        <f t="shared" si="361"/>
        <v>29.085000000000001</v>
      </c>
    </row>
    <row r="2432" spans="1:8" s="948" customFormat="1">
      <c r="A2432" s="485"/>
      <c r="B2432" s="486" t="s">
        <v>1339</v>
      </c>
      <c r="C2432" s="17" t="s">
        <v>10</v>
      </c>
      <c r="D2432" s="485">
        <v>2</v>
      </c>
      <c r="E2432" s="485">
        <v>6</v>
      </c>
      <c r="F2432" s="485"/>
      <c r="G2432" s="485">
        <v>3.5</v>
      </c>
      <c r="H2432" s="487">
        <f t="shared" si="361"/>
        <v>42</v>
      </c>
    </row>
    <row r="2433" spans="1:8" s="948" customFormat="1">
      <c r="A2433" s="485"/>
      <c r="B2433" s="486"/>
      <c r="C2433" s="17" t="s">
        <v>10</v>
      </c>
      <c r="D2433" s="485">
        <v>2</v>
      </c>
      <c r="E2433" s="485">
        <v>6</v>
      </c>
      <c r="F2433" s="485"/>
      <c r="G2433" s="485">
        <v>1.1000000000000001</v>
      </c>
      <c r="H2433" s="487">
        <f t="shared" ref="H2433" si="377">PRODUCT(D2433:G2433)</f>
        <v>13.200000000000001</v>
      </c>
    </row>
    <row r="2434" spans="1:8" s="948" customFormat="1">
      <c r="A2434" s="485"/>
      <c r="B2434" s="486" t="s">
        <v>1358</v>
      </c>
      <c r="C2434" s="17" t="s">
        <v>10</v>
      </c>
      <c r="D2434" s="485">
        <v>4</v>
      </c>
      <c r="E2434" s="485">
        <v>1.425</v>
      </c>
      <c r="F2434" s="485"/>
      <c r="G2434" s="485">
        <v>3.5</v>
      </c>
      <c r="H2434" s="487">
        <f t="shared" si="361"/>
        <v>19.95</v>
      </c>
    </row>
    <row r="2435" spans="1:8" s="948" customFormat="1">
      <c r="A2435" s="485"/>
      <c r="B2435" s="486" t="s">
        <v>1269</v>
      </c>
      <c r="C2435" s="17" t="s">
        <v>10</v>
      </c>
      <c r="D2435" s="485">
        <v>9</v>
      </c>
      <c r="E2435" s="485">
        <v>2.06</v>
      </c>
      <c r="F2435" s="485"/>
      <c r="G2435" s="485">
        <v>3.5</v>
      </c>
      <c r="H2435" s="487">
        <f t="shared" si="361"/>
        <v>64.89</v>
      </c>
    </row>
    <row r="2436" spans="1:8" s="948" customFormat="1">
      <c r="A2436" s="485"/>
      <c r="B2436" s="486"/>
      <c r="C2436" s="17" t="s">
        <v>10</v>
      </c>
      <c r="D2436" s="485">
        <v>7</v>
      </c>
      <c r="E2436" s="485">
        <v>2.06</v>
      </c>
      <c r="F2436" s="485"/>
      <c r="G2436" s="485">
        <v>1.1000000000000001</v>
      </c>
      <c r="H2436" s="487">
        <f t="shared" ref="H2436" si="378">PRODUCT(D2436:G2436)</f>
        <v>15.862000000000002</v>
      </c>
    </row>
    <row r="2437" spans="1:8" s="948" customFormat="1">
      <c r="A2437" s="485"/>
      <c r="B2437" s="486"/>
      <c r="C2437" s="17" t="s">
        <v>10</v>
      </c>
      <c r="D2437" s="485">
        <v>4</v>
      </c>
      <c r="E2437" s="485">
        <v>4.45</v>
      </c>
      <c r="F2437" s="485"/>
      <c r="G2437" s="485">
        <v>1.1000000000000001</v>
      </c>
      <c r="H2437" s="487">
        <f t="shared" si="361"/>
        <v>19.580000000000002</v>
      </c>
    </row>
    <row r="2438" spans="1:8" s="948" customFormat="1">
      <c r="A2438" s="485"/>
      <c r="B2438" s="486" t="s">
        <v>1207</v>
      </c>
      <c r="C2438" s="17" t="s">
        <v>10</v>
      </c>
      <c r="D2438" s="485">
        <v>2</v>
      </c>
      <c r="E2438" s="485">
        <v>3.9</v>
      </c>
      <c r="F2438" s="485"/>
      <c r="G2438" s="485">
        <v>3.5</v>
      </c>
      <c r="H2438" s="487">
        <f t="shared" si="361"/>
        <v>27.3</v>
      </c>
    </row>
    <row r="2439" spans="1:8" s="948" customFormat="1">
      <c r="A2439" s="485"/>
      <c r="B2439" s="486"/>
      <c r="C2439" s="17" t="s">
        <v>10</v>
      </c>
      <c r="D2439" s="485">
        <v>2</v>
      </c>
      <c r="E2439" s="485">
        <v>3.9</v>
      </c>
      <c r="F2439" s="485"/>
      <c r="G2439" s="485">
        <v>1.1000000000000001</v>
      </c>
      <c r="H2439" s="487">
        <f t="shared" ref="H2439" si="379">PRODUCT(D2439:G2439)</f>
        <v>8.58</v>
      </c>
    </row>
    <row r="2440" spans="1:8" s="948" customFormat="1">
      <c r="A2440" s="485"/>
      <c r="B2440" s="486"/>
      <c r="C2440" s="17" t="s">
        <v>10</v>
      </c>
      <c r="D2440" s="485">
        <v>8</v>
      </c>
      <c r="E2440" s="485">
        <v>0.15</v>
      </c>
      <c r="F2440" s="485"/>
      <c r="G2440" s="485">
        <v>3.5</v>
      </c>
      <c r="H2440" s="487">
        <f t="shared" si="361"/>
        <v>4.2</v>
      </c>
    </row>
    <row r="2441" spans="1:8" s="948" customFormat="1">
      <c r="A2441" s="485"/>
      <c r="B2441" s="486"/>
      <c r="C2441" s="17" t="s">
        <v>10</v>
      </c>
      <c r="D2441" s="485">
        <v>8</v>
      </c>
      <c r="E2441" s="485">
        <v>0.2</v>
      </c>
      <c r="F2441" s="485"/>
      <c r="G2441" s="485">
        <v>3.5</v>
      </c>
      <c r="H2441" s="487">
        <f t="shared" si="361"/>
        <v>5.6000000000000005</v>
      </c>
    </row>
    <row r="2442" spans="1:8" s="948" customFormat="1">
      <c r="A2442" s="485"/>
      <c r="B2442" s="486"/>
      <c r="C2442" s="17" t="s">
        <v>10</v>
      </c>
      <c r="D2442" s="485">
        <v>4</v>
      </c>
      <c r="E2442" s="485">
        <v>4.5999999999999996</v>
      </c>
      <c r="F2442" s="485"/>
      <c r="G2442" s="485">
        <v>1.1000000000000001</v>
      </c>
      <c r="H2442" s="487">
        <f t="shared" si="361"/>
        <v>20.239999999999998</v>
      </c>
    </row>
    <row r="2443" spans="1:8" s="948" customFormat="1">
      <c r="A2443" s="485"/>
      <c r="B2443" s="486"/>
      <c r="C2443" s="17" t="s">
        <v>10</v>
      </c>
      <c r="D2443" s="485">
        <v>4</v>
      </c>
      <c r="E2443" s="485">
        <v>3.55</v>
      </c>
      <c r="F2443" s="485"/>
      <c r="G2443" s="485">
        <v>1.1000000000000001</v>
      </c>
      <c r="H2443" s="487">
        <f t="shared" si="361"/>
        <v>15.620000000000001</v>
      </c>
    </row>
    <row r="2444" spans="1:8" s="948" customFormat="1">
      <c r="A2444" s="485"/>
      <c r="B2444" s="486"/>
      <c r="C2444" s="17" t="s">
        <v>10</v>
      </c>
      <c r="D2444" s="485">
        <v>4</v>
      </c>
      <c r="E2444" s="485">
        <v>5.2</v>
      </c>
      <c r="F2444" s="485"/>
      <c r="G2444" s="485">
        <v>3.5</v>
      </c>
      <c r="H2444" s="487">
        <f t="shared" si="361"/>
        <v>72.8</v>
      </c>
    </row>
    <row r="2445" spans="1:8" s="948" customFormat="1">
      <c r="A2445" s="485"/>
      <c r="B2445" s="486"/>
      <c r="C2445" s="17" t="s">
        <v>10</v>
      </c>
      <c r="D2445" s="485">
        <v>-1</v>
      </c>
      <c r="E2445" s="485">
        <v>5.05</v>
      </c>
      <c r="F2445" s="485"/>
      <c r="G2445" s="485">
        <v>2.6</v>
      </c>
      <c r="H2445" s="487">
        <f t="shared" ref="H2445" si="380">PRODUCT(D2445:G2445)</f>
        <v>-13.13</v>
      </c>
    </row>
    <row r="2446" spans="1:8" s="948" customFormat="1">
      <c r="A2446" s="485"/>
      <c r="B2446" s="486"/>
      <c r="C2446" s="17" t="s">
        <v>10</v>
      </c>
      <c r="D2446" s="485">
        <v>-4</v>
      </c>
      <c r="E2446" s="485">
        <v>1</v>
      </c>
      <c r="F2446" s="485"/>
      <c r="G2446" s="485">
        <v>2.4</v>
      </c>
      <c r="H2446" s="487">
        <f t="shared" ref="H2446:H2498" si="381">PRODUCT(D2446:G2446)</f>
        <v>-9.6</v>
      </c>
    </row>
    <row r="2447" spans="1:8" s="948" customFormat="1">
      <c r="A2447" s="485"/>
      <c r="B2447" s="486" t="s">
        <v>1195</v>
      </c>
      <c r="C2447" s="17" t="s">
        <v>10</v>
      </c>
      <c r="D2447" s="485">
        <v>1</v>
      </c>
      <c r="E2447" s="485">
        <v>3.7</v>
      </c>
      <c r="F2447" s="485"/>
      <c r="G2447" s="485">
        <v>3.5</v>
      </c>
      <c r="H2447" s="487">
        <f t="shared" si="381"/>
        <v>12.950000000000001</v>
      </c>
    </row>
    <row r="2448" spans="1:8" s="948" customFormat="1">
      <c r="A2448" s="485"/>
      <c r="B2448" s="486"/>
      <c r="C2448" s="17" t="s">
        <v>10</v>
      </c>
      <c r="D2448" s="485">
        <v>1</v>
      </c>
      <c r="E2448" s="485">
        <v>3.7</v>
      </c>
      <c r="F2448" s="485"/>
      <c r="G2448" s="485">
        <v>1.1000000000000001</v>
      </c>
      <c r="H2448" s="487">
        <f t="shared" ref="H2448" si="382">PRODUCT(D2448:G2448)</f>
        <v>4.07</v>
      </c>
    </row>
    <row r="2449" spans="1:8" s="948" customFormat="1">
      <c r="A2449" s="485"/>
      <c r="B2449" s="486"/>
      <c r="C2449" s="17" t="s">
        <v>10</v>
      </c>
      <c r="D2449" s="485">
        <v>2</v>
      </c>
      <c r="E2449" s="485">
        <v>6.95</v>
      </c>
      <c r="F2449" s="485"/>
      <c r="G2449" s="485">
        <v>3.5</v>
      </c>
      <c r="H2449" s="487">
        <f t="shared" si="381"/>
        <v>48.65</v>
      </c>
    </row>
    <row r="2450" spans="1:8" s="948" customFormat="1">
      <c r="A2450" s="485"/>
      <c r="B2450" s="486"/>
      <c r="C2450" s="17" t="s">
        <v>10</v>
      </c>
      <c r="D2450" s="485">
        <v>2</v>
      </c>
      <c r="E2450" s="485">
        <v>6.95</v>
      </c>
      <c r="F2450" s="485"/>
      <c r="G2450" s="485">
        <v>1.1000000000000001</v>
      </c>
      <c r="H2450" s="487">
        <f t="shared" ref="H2450" si="383">PRODUCT(D2450:G2450)</f>
        <v>15.290000000000001</v>
      </c>
    </row>
    <row r="2451" spans="1:8" s="948" customFormat="1">
      <c r="A2451" s="485"/>
      <c r="B2451" s="486"/>
      <c r="C2451" s="17" t="s">
        <v>10</v>
      </c>
      <c r="D2451" s="485">
        <v>2</v>
      </c>
      <c r="E2451" s="485">
        <v>3.67</v>
      </c>
      <c r="F2451" s="485"/>
      <c r="G2451" s="485">
        <v>3.5</v>
      </c>
      <c r="H2451" s="487">
        <f t="shared" si="381"/>
        <v>25.689999999999998</v>
      </c>
    </row>
    <row r="2452" spans="1:8" s="948" customFormat="1">
      <c r="A2452" s="485"/>
      <c r="B2452" s="486"/>
      <c r="C2452" s="17" t="s">
        <v>10</v>
      </c>
      <c r="D2452" s="485">
        <v>2</v>
      </c>
      <c r="E2452" s="485">
        <v>3.67</v>
      </c>
      <c r="F2452" s="485"/>
      <c r="G2452" s="485">
        <v>1.1000000000000001</v>
      </c>
      <c r="H2452" s="487">
        <f t="shared" ref="H2452" si="384">PRODUCT(D2452:G2452)</f>
        <v>8.0739999999999998</v>
      </c>
    </row>
    <row r="2453" spans="1:8" s="948" customFormat="1">
      <c r="A2453" s="485"/>
      <c r="B2453" s="486"/>
      <c r="C2453" s="17" t="s">
        <v>10</v>
      </c>
      <c r="D2453" s="485">
        <v>8</v>
      </c>
      <c r="E2453" s="485">
        <v>0.15</v>
      </c>
      <c r="F2453" s="485"/>
      <c r="G2453" s="485">
        <v>3.5</v>
      </c>
      <c r="H2453" s="487">
        <f t="shared" si="381"/>
        <v>4.2</v>
      </c>
    </row>
    <row r="2454" spans="1:8" s="948" customFormat="1">
      <c r="A2454" s="485"/>
      <c r="B2454" s="486"/>
      <c r="C2454" s="17" t="s">
        <v>10</v>
      </c>
      <c r="D2454" s="485">
        <v>4</v>
      </c>
      <c r="E2454" s="485">
        <v>2.85</v>
      </c>
      <c r="F2454" s="485"/>
      <c r="G2454" s="485">
        <v>1.1000000000000001</v>
      </c>
      <c r="H2454" s="487">
        <f t="shared" si="381"/>
        <v>12.540000000000001</v>
      </c>
    </row>
    <row r="2455" spans="1:8" s="948" customFormat="1">
      <c r="A2455" s="485"/>
      <c r="B2455" s="486" t="s">
        <v>2015</v>
      </c>
      <c r="C2455" s="17" t="s">
        <v>10</v>
      </c>
      <c r="D2455" s="485">
        <v>3</v>
      </c>
      <c r="E2455" s="485">
        <v>3.67</v>
      </c>
      <c r="F2455" s="485"/>
      <c r="G2455" s="485">
        <v>3.5</v>
      </c>
      <c r="H2455" s="487">
        <f t="shared" si="381"/>
        <v>38.534999999999997</v>
      </c>
    </row>
    <row r="2456" spans="1:8" s="948" customFormat="1">
      <c r="A2456" s="485"/>
      <c r="B2456" s="486"/>
      <c r="C2456" s="17" t="s">
        <v>10</v>
      </c>
      <c r="D2456" s="485">
        <v>2</v>
      </c>
      <c r="E2456" s="485">
        <v>3.67</v>
      </c>
      <c r="F2456" s="485"/>
      <c r="G2456" s="485">
        <v>1.1000000000000001</v>
      </c>
      <c r="H2456" s="487">
        <f t="shared" ref="H2456" si="385">PRODUCT(D2456:G2456)</f>
        <v>8.0739999999999998</v>
      </c>
    </row>
    <row r="2457" spans="1:8" s="948" customFormat="1">
      <c r="A2457" s="485"/>
      <c r="B2457" s="486"/>
      <c r="C2457" s="17" t="s">
        <v>10</v>
      </c>
      <c r="D2457" s="485">
        <v>8</v>
      </c>
      <c r="E2457" s="485">
        <v>0.15</v>
      </c>
      <c r="F2457" s="485"/>
      <c r="G2457" s="485">
        <v>3.5</v>
      </c>
      <c r="H2457" s="487">
        <f t="shared" si="381"/>
        <v>4.2</v>
      </c>
    </row>
    <row r="2458" spans="1:8" s="948" customFormat="1">
      <c r="A2458" s="485"/>
      <c r="B2458" s="486"/>
      <c r="C2458" s="17" t="s">
        <v>10</v>
      </c>
      <c r="D2458" s="485">
        <v>4</v>
      </c>
      <c r="E2458" s="485">
        <v>2.9</v>
      </c>
      <c r="F2458" s="485"/>
      <c r="G2458" s="485">
        <v>1.1000000000000001</v>
      </c>
      <c r="H2458" s="487">
        <f t="shared" si="381"/>
        <v>12.76</v>
      </c>
    </row>
    <row r="2459" spans="1:8" s="948" customFormat="1">
      <c r="A2459" s="485"/>
      <c r="B2459" s="486" t="s">
        <v>2014</v>
      </c>
      <c r="C2459" s="17" t="s">
        <v>10</v>
      </c>
      <c r="D2459" s="485">
        <v>2</v>
      </c>
      <c r="E2459" s="485">
        <v>1.1579999999999999</v>
      </c>
      <c r="F2459" s="485"/>
      <c r="G2459" s="485">
        <v>3.5</v>
      </c>
      <c r="H2459" s="487">
        <f t="shared" si="381"/>
        <v>8.1059999999999999</v>
      </c>
    </row>
    <row r="2460" spans="1:8" s="948" customFormat="1">
      <c r="A2460" s="485"/>
      <c r="B2460" s="486"/>
      <c r="C2460" s="17" t="s">
        <v>10</v>
      </c>
      <c r="D2460" s="485">
        <v>4</v>
      </c>
      <c r="E2460" s="485">
        <v>1.33</v>
      </c>
      <c r="F2460" s="485"/>
      <c r="G2460" s="485">
        <v>3.5</v>
      </c>
      <c r="H2460" s="487">
        <f t="shared" si="381"/>
        <v>18.62</v>
      </c>
    </row>
    <row r="2461" spans="1:8" s="948" customFormat="1">
      <c r="A2461" s="485"/>
      <c r="B2461" s="486"/>
      <c r="C2461" s="17" t="s">
        <v>10</v>
      </c>
      <c r="D2461" s="485">
        <v>2</v>
      </c>
      <c r="E2461" s="485">
        <v>1.46</v>
      </c>
      <c r="F2461" s="485"/>
      <c r="G2461" s="485">
        <v>3.5</v>
      </c>
      <c r="H2461" s="487">
        <f t="shared" ref="H2461" si="386">PRODUCT(D2461:G2461)</f>
        <v>10.219999999999999</v>
      </c>
    </row>
    <row r="2462" spans="1:8" s="948" customFormat="1">
      <c r="A2462" s="485"/>
      <c r="B2462" s="486" t="s">
        <v>2011</v>
      </c>
      <c r="C2462" s="17" t="s">
        <v>10</v>
      </c>
      <c r="D2462" s="485">
        <v>2</v>
      </c>
      <c r="E2462" s="485">
        <v>1.18</v>
      </c>
      <c r="F2462" s="485"/>
      <c r="G2462" s="485">
        <v>3.5</v>
      </c>
      <c r="H2462" s="487">
        <f t="shared" ref="H2462" si="387">PRODUCT(D2462:G2462)</f>
        <v>8.26</v>
      </c>
    </row>
    <row r="2463" spans="1:8" s="948" customFormat="1">
      <c r="A2463" s="485"/>
      <c r="B2463" s="486" t="s">
        <v>1293</v>
      </c>
      <c r="C2463" s="17" t="s">
        <v>10</v>
      </c>
      <c r="D2463" s="485">
        <v>4</v>
      </c>
      <c r="E2463" s="485">
        <v>2.14</v>
      </c>
      <c r="F2463" s="485"/>
      <c r="G2463" s="485">
        <v>3.5</v>
      </c>
      <c r="H2463" s="487">
        <f t="shared" si="381"/>
        <v>29.96</v>
      </c>
    </row>
    <row r="2464" spans="1:8" s="948" customFormat="1">
      <c r="A2464" s="485"/>
      <c r="B2464" s="486"/>
      <c r="C2464" s="17" t="s">
        <v>10</v>
      </c>
      <c r="D2464" s="485">
        <v>-4</v>
      </c>
      <c r="E2464" s="485">
        <v>1</v>
      </c>
      <c r="F2464" s="485"/>
      <c r="G2464" s="485">
        <v>2.4</v>
      </c>
      <c r="H2464" s="487">
        <f t="shared" si="381"/>
        <v>-9.6</v>
      </c>
    </row>
    <row r="2465" spans="1:8" s="948" customFormat="1">
      <c r="A2465" s="485"/>
      <c r="B2465" s="486"/>
      <c r="C2465" s="17" t="s">
        <v>10</v>
      </c>
      <c r="D2465" s="485">
        <v>4</v>
      </c>
      <c r="E2465" s="485">
        <v>1.4</v>
      </c>
      <c r="F2465" s="485"/>
      <c r="G2465" s="485">
        <v>3.5</v>
      </c>
      <c r="H2465" s="487">
        <f t="shared" si="381"/>
        <v>19.599999999999998</v>
      </c>
    </row>
    <row r="2466" spans="1:8" s="948" customFormat="1">
      <c r="A2466" s="485"/>
      <c r="B2466" s="486"/>
      <c r="C2466" s="17" t="s">
        <v>10</v>
      </c>
      <c r="D2466" s="485">
        <v>2</v>
      </c>
      <c r="E2466" s="485">
        <v>3.99</v>
      </c>
      <c r="F2466" s="485"/>
      <c r="G2466" s="485">
        <v>3.5</v>
      </c>
      <c r="H2466" s="487">
        <f t="shared" si="381"/>
        <v>27.93</v>
      </c>
    </row>
    <row r="2467" spans="1:8" s="948" customFormat="1">
      <c r="A2467" s="485"/>
      <c r="B2467" s="486"/>
      <c r="C2467" s="17" t="s">
        <v>10</v>
      </c>
      <c r="D2467" s="485">
        <v>3</v>
      </c>
      <c r="E2467" s="485">
        <v>5.05</v>
      </c>
      <c r="F2467" s="485"/>
      <c r="G2467" s="485">
        <v>3.5</v>
      </c>
      <c r="H2467" s="487">
        <f t="shared" si="381"/>
        <v>53.024999999999991</v>
      </c>
    </row>
    <row r="2468" spans="1:8" s="948" customFormat="1">
      <c r="A2468" s="485"/>
      <c r="B2468" s="486"/>
      <c r="C2468" s="17" t="s">
        <v>10</v>
      </c>
      <c r="D2468" s="485">
        <v>1</v>
      </c>
      <c r="E2468" s="485">
        <v>5.05</v>
      </c>
      <c r="F2468" s="485"/>
      <c r="G2468" s="485">
        <v>1.1000000000000001</v>
      </c>
      <c r="H2468" s="487">
        <f t="shared" si="381"/>
        <v>5.5550000000000006</v>
      </c>
    </row>
    <row r="2469" spans="1:8" s="948" customFormat="1">
      <c r="A2469" s="485"/>
      <c r="B2469" s="486"/>
      <c r="C2469" s="17" t="s">
        <v>10</v>
      </c>
      <c r="D2469" s="485">
        <v>2</v>
      </c>
      <c r="E2469" s="485">
        <v>0.93</v>
      </c>
      <c r="F2469" s="485"/>
      <c r="G2469" s="485">
        <v>3.5</v>
      </c>
      <c r="H2469" s="487">
        <f t="shared" ref="H2469:H2470" si="388">PRODUCT(D2469:G2469)</f>
        <v>6.5100000000000007</v>
      </c>
    </row>
    <row r="2470" spans="1:8" s="948" customFormat="1">
      <c r="A2470" s="485"/>
      <c r="B2470" s="486"/>
      <c r="C2470" s="17" t="s">
        <v>10</v>
      </c>
      <c r="D2470" s="485">
        <v>2</v>
      </c>
      <c r="E2470" s="485">
        <v>1.04</v>
      </c>
      <c r="F2470" s="485"/>
      <c r="G2470" s="485">
        <v>3.5</v>
      </c>
      <c r="H2470" s="487">
        <f t="shared" si="388"/>
        <v>7.28</v>
      </c>
    </row>
    <row r="2471" spans="1:8" s="948" customFormat="1">
      <c r="A2471" s="485"/>
      <c r="B2471" s="486" t="s">
        <v>1292</v>
      </c>
      <c r="C2471" s="17" t="s">
        <v>10</v>
      </c>
      <c r="D2471" s="485">
        <v>2</v>
      </c>
      <c r="E2471" s="485">
        <v>0.95199999999999996</v>
      </c>
      <c r="F2471" s="485"/>
      <c r="G2471" s="485">
        <v>3.5</v>
      </c>
      <c r="H2471" s="487">
        <f t="shared" si="381"/>
        <v>6.6639999999999997</v>
      </c>
    </row>
    <row r="2472" spans="1:8" s="948" customFormat="1">
      <c r="A2472" s="485"/>
      <c r="B2472" s="486"/>
      <c r="C2472" s="17" t="s">
        <v>10</v>
      </c>
      <c r="D2472" s="485">
        <v>2</v>
      </c>
      <c r="E2472" s="485">
        <v>2.68</v>
      </c>
      <c r="F2472" s="485"/>
      <c r="G2472" s="485">
        <v>3.5</v>
      </c>
      <c r="H2472" s="487">
        <f t="shared" si="381"/>
        <v>18.760000000000002</v>
      </c>
    </row>
    <row r="2473" spans="1:8" s="948" customFormat="1">
      <c r="A2473" s="485"/>
      <c r="B2473" s="486"/>
      <c r="C2473" s="17" t="s">
        <v>10</v>
      </c>
      <c r="D2473" s="485">
        <v>2</v>
      </c>
      <c r="E2473" s="485">
        <v>0.315</v>
      </c>
      <c r="F2473" s="485"/>
      <c r="G2473" s="485">
        <v>3.5</v>
      </c>
      <c r="H2473" s="487">
        <f t="shared" si="381"/>
        <v>2.2050000000000001</v>
      </c>
    </row>
    <row r="2474" spans="1:8" s="948" customFormat="1">
      <c r="A2474" s="485"/>
      <c r="B2474" s="486"/>
      <c r="C2474" s="17" t="s">
        <v>10</v>
      </c>
      <c r="D2474" s="485">
        <v>2</v>
      </c>
      <c r="E2474" s="485">
        <f>1.13+0.8</f>
        <v>1.93</v>
      </c>
      <c r="F2474" s="485"/>
      <c r="G2474" s="485">
        <v>3.5</v>
      </c>
      <c r="H2474" s="487">
        <f t="shared" si="381"/>
        <v>13.51</v>
      </c>
    </row>
    <row r="2475" spans="1:8" s="948" customFormat="1">
      <c r="A2475" s="485"/>
      <c r="B2475" s="486"/>
      <c r="C2475" s="17" t="s">
        <v>10</v>
      </c>
      <c r="D2475" s="485">
        <v>2</v>
      </c>
      <c r="E2475" s="485">
        <v>6.5</v>
      </c>
      <c r="F2475" s="485"/>
      <c r="G2475" s="485">
        <v>3.5</v>
      </c>
      <c r="H2475" s="487">
        <f t="shared" si="381"/>
        <v>45.5</v>
      </c>
    </row>
    <row r="2476" spans="1:8" s="948" customFormat="1">
      <c r="A2476" s="485"/>
      <c r="B2476" s="486"/>
      <c r="C2476" s="17" t="s">
        <v>10</v>
      </c>
      <c r="D2476" s="485">
        <v>2</v>
      </c>
      <c r="E2476" s="485">
        <v>6.5</v>
      </c>
      <c r="F2476" s="485"/>
      <c r="G2476" s="485">
        <v>1.1000000000000001</v>
      </c>
      <c r="H2476" s="487">
        <f t="shared" ref="H2476" si="389">PRODUCT(D2476:G2476)</f>
        <v>14.3</v>
      </c>
    </row>
    <row r="2477" spans="1:8" s="948" customFormat="1">
      <c r="A2477" s="485"/>
      <c r="B2477" s="486"/>
      <c r="C2477" s="17" t="s">
        <v>10</v>
      </c>
      <c r="D2477" s="485">
        <v>1</v>
      </c>
      <c r="E2477" s="485">
        <v>3.81</v>
      </c>
      <c r="F2477" s="485"/>
      <c r="G2477" s="485">
        <v>2.4</v>
      </c>
      <c r="H2477" s="487">
        <f t="shared" ref="H2477" si="390">PRODUCT(D2477:G2477)</f>
        <v>9.1440000000000001</v>
      </c>
    </row>
    <row r="2478" spans="1:8" s="948" customFormat="1">
      <c r="A2478" s="485"/>
      <c r="B2478" s="486" t="s">
        <v>1294</v>
      </c>
      <c r="C2478" s="17" t="s">
        <v>10</v>
      </c>
      <c r="D2478" s="485">
        <v>3</v>
      </c>
      <c r="E2478" s="485">
        <v>2.2999999999999998</v>
      </c>
      <c r="F2478" s="485"/>
      <c r="G2478" s="485">
        <v>3.5</v>
      </c>
      <c r="H2478" s="487">
        <f t="shared" si="381"/>
        <v>24.15</v>
      </c>
    </row>
    <row r="2479" spans="1:8" s="948" customFormat="1">
      <c r="A2479" s="485"/>
      <c r="B2479" s="486"/>
      <c r="C2479" s="17" t="s">
        <v>10</v>
      </c>
      <c r="D2479" s="485">
        <v>1</v>
      </c>
      <c r="E2479" s="485">
        <v>2.2999999999999998</v>
      </c>
      <c r="F2479" s="485"/>
      <c r="G2479" s="485">
        <v>1.1000000000000001</v>
      </c>
      <c r="H2479" s="487">
        <f t="shared" ref="H2479" si="391">PRODUCT(D2479:G2479)</f>
        <v>2.5299999999999998</v>
      </c>
    </row>
    <row r="2480" spans="1:8" s="948" customFormat="1">
      <c r="A2480" s="485"/>
      <c r="B2480" s="486"/>
      <c r="C2480" s="17" t="s">
        <v>10</v>
      </c>
      <c r="D2480" s="485">
        <v>-3</v>
      </c>
      <c r="E2480" s="485">
        <v>1</v>
      </c>
      <c r="F2480" s="485"/>
      <c r="G2480" s="485">
        <v>2.4</v>
      </c>
      <c r="H2480" s="487">
        <f t="shared" si="381"/>
        <v>-7.1999999999999993</v>
      </c>
    </row>
    <row r="2481" spans="1:8" s="948" customFormat="1">
      <c r="A2481" s="485"/>
      <c r="B2481" s="486" t="s">
        <v>2016</v>
      </c>
      <c r="C2481" s="17" t="s">
        <v>10</v>
      </c>
      <c r="D2481" s="485">
        <v>4</v>
      </c>
      <c r="E2481" s="485">
        <v>2.8</v>
      </c>
      <c r="F2481" s="485"/>
      <c r="G2481" s="485">
        <v>3.5</v>
      </c>
      <c r="H2481" s="487">
        <f t="shared" si="381"/>
        <v>39.199999999999996</v>
      </c>
    </row>
    <row r="2482" spans="1:8" s="948" customFormat="1">
      <c r="A2482" s="485"/>
      <c r="B2482" s="486"/>
      <c r="C2482" s="17" t="s">
        <v>10</v>
      </c>
      <c r="D2482" s="485">
        <v>-4</v>
      </c>
      <c r="E2482" s="485">
        <v>1</v>
      </c>
      <c r="F2482" s="485"/>
      <c r="G2482" s="485">
        <v>2.4</v>
      </c>
      <c r="H2482" s="487">
        <f t="shared" ref="H2482" si="392">PRODUCT(D2482:G2482)</f>
        <v>-9.6</v>
      </c>
    </row>
    <row r="2483" spans="1:8" s="948" customFormat="1">
      <c r="A2483" s="485"/>
      <c r="B2483" s="486"/>
      <c r="C2483" s="17" t="s">
        <v>10</v>
      </c>
      <c r="D2483" s="485">
        <v>-1</v>
      </c>
      <c r="E2483" s="485">
        <v>1.2</v>
      </c>
      <c r="F2483" s="485"/>
      <c r="G2483" s="485">
        <v>2.4</v>
      </c>
      <c r="H2483" s="487">
        <f t="shared" ref="H2483" si="393">PRODUCT(D2483:G2483)</f>
        <v>-2.88</v>
      </c>
    </row>
    <row r="2484" spans="1:8" s="948" customFormat="1">
      <c r="A2484" s="485"/>
      <c r="B2484" s="486"/>
      <c r="C2484" s="17" t="s">
        <v>10</v>
      </c>
      <c r="D2484" s="485">
        <v>4</v>
      </c>
      <c r="E2484" s="485">
        <v>3.9</v>
      </c>
      <c r="F2484" s="485"/>
      <c r="G2484" s="485">
        <v>1.1000000000000001</v>
      </c>
      <c r="H2484" s="487">
        <f t="shared" si="381"/>
        <v>17.16</v>
      </c>
    </row>
    <row r="2485" spans="1:8" s="948" customFormat="1">
      <c r="A2485" s="485"/>
      <c r="B2485" s="486"/>
      <c r="C2485" s="17" t="s">
        <v>10</v>
      </c>
      <c r="D2485" s="485">
        <v>1</v>
      </c>
      <c r="E2485" s="485">
        <v>4.0999999999999996</v>
      </c>
      <c r="F2485" s="485"/>
      <c r="G2485" s="485">
        <v>2.7</v>
      </c>
      <c r="H2485" s="487">
        <f t="shared" si="381"/>
        <v>11.07</v>
      </c>
    </row>
    <row r="2486" spans="1:8" s="948" customFormat="1">
      <c r="A2486" s="485"/>
      <c r="B2486" s="486"/>
      <c r="C2486" s="17" t="s">
        <v>10</v>
      </c>
      <c r="D2486" s="485">
        <v>5</v>
      </c>
      <c r="E2486" s="485">
        <v>1.3</v>
      </c>
      <c r="F2486" s="485"/>
      <c r="G2486" s="485">
        <v>3.5</v>
      </c>
      <c r="H2486" s="487">
        <f t="shared" si="381"/>
        <v>22.75</v>
      </c>
    </row>
    <row r="2487" spans="1:8" s="948" customFormat="1">
      <c r="A2487" s="485"/>
      <c r="B2487" s="486"/>
      <c r="C2487" s="17" t="s">
        <v>10</v>
      </c>
      <c r="D2487" s="485">
        <v>3</v>
      </c>
      <c r="E2487" s="485">
        <v>1.3</v>
      </c>
      <c r="F2487" s="485"/>
      <c r="G2487" s="485">
        <v>1.1000000000000001</v>
      </c>
      <c r="H2487" s="487">
        <f t="shared" ref="H2487" si="394">PRODUCT(D2487:G2487)</f>
        <v>4.2900000000000009</v>
      </c>
    </row>
    <row r="2488" spans="1:8" s="948" customFormat="1">
      <c r="A2488" s="485"/>
      <c r="B2488" s="486" t="s">
        <v>214</v>
      </c>
      <c r="C2488" s="17" t="s">
        <v>10</v>
      </c>
      <c r="D2488" s="485">
        <v>4</v>
      </c>
      <c r="E2488" s="485">
        <v>9.15</v>
      </c>
      <c r="F2488" s="485"/>
      <c r="G2488" s="485">
        <v>3.5</v>
      </c>
      <c r="H2488" s="487">
        <f t="shared" si="381"/>
        <v>128.1</v>
      </c>
    </row>
    <row r="2489" spans="1:8" s="948" customFormat="1">
      <c r="A2489" s="485"/>
      <c r="B2489" s="486"/>
      <c r="C2489" s="17" t="s">
        <v>10</v>
      </c>
      <c r="D2489" s="485">
        <v>-4</v>
      </c>
      <c r="E2489" s="485">
        <v>1</v>
      </c>
      <c r="F2489" s="485"/>
      <c r="G2489" s="485">
        <v>2.4</v>
      </c>
      <c r="H2489" s="487">
        <f t="shared" si="381"/>
        <v>-9.6</v>
      </c>
    </row>
    <row r="2490" spans="1:8" s="948" customFormat="1">
      <c r="A2490" s="485"/>
      <c r="B2490" s="486"/>
      <c r="C2490" s="17" t="s">
        <v>10</v>
      </c>
      <c r="D2490" s="485">
        <v>2</v>
      </c>
      <c r="E2490" s="485">
        <v>6.2850000000000001</v>
      </c>
      <c r="F2490" s="485"/>
      <c r="G2490" s="485">
        <v>3.5</v>
      </c>
      <c r="H2490" s="487">
        <f t="shared" si="381"/>
        <v>43.995000000000005</v>
      </c>
    </row>
    <row r="2491" spans="1:8" s="948" customFormat="1">
      <c r="A2491" s="485"/>
      <c r="B2491" s="486"/>
      <c r="C2491" s="17" t="s">
        <v>10</v>
      </c>
      <c r="D2491" s="485">
        <v>2</v>
      </c>
      <c r="E2491" s="485">
        <v>6.2850000000000001</v>
      </c>
      <c r="F2491" s="485"/>
      <c r="G2491" s="485">
        <v>1.1000000000000001</v>
      </c>
      <c r="H2491" s="487">
        <f t="shared" ref="H2491" si="395">PRODUCT(D2491:G2491)</f>
        <v>13.827000000000002</v>
      </c>
    </row>
    <row r="2492" spans="1:8" s="948" customFormat="1">
      <c r="A2492" s="485"/>
      <c r="B2492" s="486"/>
      <c r="C2492" s="17" t="s">
        <v>10</v>
      </c>
      <c r="D2492" s="485">
        <v>3</v>
      </c>
      <c r="E2492" s="485">
        <v>10.9</v>
      </c>
      <c r="F2492" s="485"/>
      <c r="G2492" s="485">
        <v>3.5</v>
      </c>
      <c r="H2492" s="487">
        <f t="shared" si="381"/>
        <v>114.45000000000002</v>
      </c>
    </row>
    <row r="2493" spans="1:8" s="948" customFormat="1">
      <c r="A2493" s="485"/>
      <c r="B2493" s="486"/>
      <c r="C2493" s="17" t="s">
        <v>10</v>
      </c>
      <c r="D2493" s="485">
        <v>1</v>
      </c>
      <c r="E2493" s="485">
        <v>10.9</v>
      </c>
      <c r="F2493" s="485"/>
      <c r="G2493" s="485">
        <v>1.1000000000000001</v>
      </c>
      <c r="H2493" s="487">
        <f t="shared" ref="H2493" si="396">PRODUCT(D2493:G2493)</f>
        <v>11.990000000000002</v>
      </c>
    </row>
    <row r="2494" spans="1:8" s="948" customFormat="1">
      <c r="A2494" s="485"/>
      <c r="B2494" s="486"/>
      <c r="C2494" s="17" t="s">
        <v>10</v>
      </c>
      <c r="D2494" s="485">
        <v>-3</v>
      </c>
      <c r="E2494" s="485">
        <v>1</v>
      </c>
      <c r="F2494" s="485"/>
      <c r="G2494" s="485">
        <v>2.4</v>
      </c>
      <c r="H2494" s="487">
        <f t="shared" si="381"/>
        <v>-7.1999999999999993</v>
      </c>
    </row>
    <row r="2495" spans="1:8" s="948" customFormat="1">
      <c r="A2495" s="485"/>
      <c r="B2495" s="486"/>
      <c r="C2495" s="17" t="s">
        <v>10</v>
      </c>
      <c r="D2495" s="485">
        <v>4</v>
      </c>
      <c r="E2495" s="485">
        <v>0.65</v>
      </c>
      <c r="F2495" s="485"/>
      <c r="G2495" s="485">
        <v>3.5</v>
      </c>
      <c r="H2495" s="487">
        <f t="shared" si="381"/>
        <v>9.1</v>
      </c>
    </row>
    <row r="2496" spans="1:8" s="948" customFormat="1">
      <c r="A2496" s="485"/>
      <c r="B2496" s="486"/>
      <c r="C2496" s="17" t="s">
        <v>10</v>
      </c>
      <c r="D2496" s="485">
        <v>4</v>
      </c>
      <c r="E2496" s="485">
        <v>0.15</v>
      </c>
      <c r="F2496" s="485"/>
      <c r="G2496" s="485">
        <v>3.5</v>
      </c>
      <c r="H2496" s="487">
        <f t="shared" si="381"/>
        <v>2.1</v>
      </c>
    </row>
    <row r="2497" spans="1:8" s="948" customFormat="1">
      <c r="A2497" s="485"/>
      <c r="B2497" s="486"/>
      <c r="C2497" s="17" t="s">
        <v>10</v>
      </c>
      <c r="D2497" s="485">
        <v>4</v>
      </c>
      <c r="E2497" s="485">
        <v>5.4</v>
      </c>
      <c r="F2497" s="485"/>
      <c r="G2497" s="485">
        <v>1.1000000000000001</v>
      </c>
      <c r="H2497" s="487">
        <f t="shared" si="381"/>
        <v>23.760000000000005</v>
      </c>
    </row>
    <row r="2498" spans="1:8" s="948" customFormat="1">
      <c r="A2498" s="485"/>
      <c r="B2498" s="486" t="s">
        <v>2017</v>
      </c>
      <c r="C2498" s="17" t="s">
        <v>10</v>
      </c>
      <c r="D2498" s="485">
        <v>4</v>
      </c>
      <c r="E2498" s="485">
        <v>1.9</v>
      </c>
      <c r="F2498" s="485"/>
      <c r="G2498" s="485">
        <v>3.5</v>
      </c>
      <c r="H2498" s="487">
        <f t="shared" si="381"/>
        <v>26.599999999999998</v>
      </c>
    </row>
    <row r="2499" spans="1:8" s="948" customFormat="1">
      <c r="A2499" s="17"/>
      <c r="B2499" s="15" t="s">
        <v>46</v>
      </c>
      <c r="C2499" s="17" t="s">
        <v>10</v>
      </c>
      <c r="D2499" s="17"/>
      <c r="E2499" s="17"/>
      <c r="F2499" s="17"/>
      <c r="G2499" s="17"/>
      <c r="H2499" s="18"/>
    </row>
    <row r="2500" spans="1:8" s="948" customFormat="1">
      <c r="A2500" s="17"/>
      <c r="B2500" s="17" t="s">
        <v>171</v>
      </c>
      <c r="C2500" s="73" t="s">
        <v>10</v>
      </c>
      <c r="D2500" s="17">
        <v>7</v>
      </c>
      <c r="E2500" s="17">
        <v>2.5499999999999998</v>
      </c>
      <c r="F2500" s="17"/>
      <c r="G2500" s="17">
        <v>3.5</v>
      </c>
      <c r="H2500" s="18">
        <f t="shared" ref="H2500:H2525" si="397">PRODUCT(D2500:G2500)</f>
        <v>62.474999999999994</v>
      </c>
    </row>
    <row r="2501" spans="1:8" s="948" customFormat="1">
      <c r="A2501" s="485"/>
      <c r="B2501" s="485"/>
      <c r="C2501" s="73" t="s">
        <v>10</v>
      </c>
      <c r="D2501" s="17">
        <v>7</v>
      </c>
      <c r="E2501" s="17">
        <v>2.5499999999999998</v>
      </c>
      <c r="F2501" s="17"/>
      <c r="G2501" s="17">
        <v>1.1000000000000001</v>
      </c>
      <c r="H2501" s="18">
        <f t="shared" ref="H2501" si="398">PRODUCT(D2501:G2501)</f>
        <v>19.634999999999998</v>
      </c>
    </row>
    <row r="2502" spans="1:8" s="948" customFormat="1">
      <c r="A2502" s="17"/>
      <c r="B2502" s="17"/>
      <c r="C2502" s="73" t="s">
        <v>10</v>
      </c>
      <c r="D2502" s="17">
        <v>4</v>
      </c>
      <c r="E2502" s="17">
        <v>2.41</v>
      </c>
      <c r="F2502" s="17"/>
      <c r="G2502" s="17">
        <v>3.5</v>
      </c>
      <c r="H2502" s="18">
        <f t="shared" si="397"/>
        <v>33.74</v>
      </c>
    </row>
    <row r="2503" spans="1:8" s="948" customFormat="1">
      <c r="A2503" s="485"/>
      <c r="B2503" s="485"/>
      <c r="C2503" s="73" t="s">
        <v>10</v>
      </c>
      <c r="D2503" s="17">
        <v>-4</v>
      </c>
      <c r="E2503" s="17">
        <v>1</v>
      </c>
      <c r="F2503" s="17"/>
      <c r="G2503" s="17">
        <v>2.4</v>
      </c>
      <c r="H2503" s="18">
        <f t="shared" si="397"/>
        <v>-9.6</v>
      </c>
    </row>
    <row r="2504" spans="1:8" s="948" customFormat="1">
      <c r="A2504" s="485"/>
      <c r="B2504" s="485" t="s">
        <v>171</v>
      </c>
      <c r="C2504" s="73" t="s">
        <v>10</v>
      </c>
      <c r="D2504" s="485">
        <v>4</v>
      </c>
      <c r="E2504" s="485">
        <v>3.15</v>
      </c>
      <c r="F2504" s="485"/>
      <c r="G2504" s="17">
        <v>3.5</v>
      </c>
      <c r="H2504" s="18">
        <f t="shared" si="397"/>
        <v>44.1</v>
      </c>
    </row>
    <row r="2505" spans="1:8" s="948" customFormat="1">
      <c r="A2505" s="485"/>
      <c r="B2505" s="485"/>
      <c r="C2505" s="73" t="s">
        <v>10</v>
      </c>
      <c r="D2505" s="485">
        <v>4</v>
      </c>
      <c r="E2505" s="485">
        <v>2.0499999999999998</v>
      </c>
      <c r="F2505" s="485"/>
      <c r="G2505" s="17">
        <v>3.5</v>
      </c>
      <c r="H2505" s="18">
        <f t="shared" si="397"/>
        <v>28.699999999999996</v>
      </c>
    </row>
    <row r="2506" spans="1:8" s="948" customFormat="1">
      <c r="A2506" s="485"/>
      <c r="B2506" s="485"/>
      <c r="C2506" s="73" t="s">
        <v>10</v>
      </c>
      <c r="D2506" s="485">
        <v>-4</v>
      </c>
      <c r="E2506" s="485">
        <v>1</v>
      </c>
      <c r="F2506" s="485"/>
      <c r="G2506" s="485">
        <v>2.4</v>
      </c>
      <c r="H2506" s="487">
        <f t="shared" si="397"/>
        <v>-9.6</v>
      </c>
    </row>
    <row r="2507" spans="1:8" s="948" customFormat="1">
      <c r="A2507" s="485"/>
      <c r="B2507" s="485" t="s">
        <v>1313</v>
      </c>
      <c r="C2507" s="73" t="s">
        <v>10</v>
      </c>
      <c r="D2507" s="485">
        <v>4</v>
      </c>
      <c r="E2507" s="485">
        <v>1.1000000000000001</v>
      </c>
      <c r="F2507" s="485"/>
      <c r="G2507" s="17">
        <v>3.5</v>
      </c>
      <c r="H2507" s="487">
        <f t="shared" si="397"/>
        <v>15.400000000000002</v>
      </c>
    </row>
    <row r="2508" spans="1:8" s="948" customFormat="1">
      <c r="A2508" s="485"/>
      <c r="B2508" s="485"/>
      <c r="C2508" s="73" t="s">
        <v>10</v>
      </c>
      <c r="D2508" s="485">
        <v>4</v>
      </c>
      <c r="E2508" s="485">
        <v>2.4500000000000002</v>
      </c>
      <c r="F2508" s="485"/>
      <c r="G2508" s="17">
        <v>3.5</v>
      </c>
      <c r="H2508" s="487">
        <f t="shared" si="397"/>
        <v>34.300000000000004</v>
      </c>
    </row>
    <row r="2509" spans="1:8" s="948" customFormat="1">
      <c r="A2509" s="485"/>
      <c r="B2509" s="485"/>
      <c r="C2509" s="73" t="s">
        <v>10</v>
      </c>
      <c r="D2509" s="485">
        <v>-4</v>
      </c>
      <c r="E2509" s="485">
        <v>1</v>
      </c>
      <c r="F2509" s="485"/>
      <c r="G2509" s="485">
        <v>2.4</v>
      </c>
      <c r="H2509" s="487">
        <f t="shared" si="397"/>
        <v>-9.6</v>
      </c>
    </row>
    <row r="2510" spans="1:8" s="948" customFormat="1">
      <c r="A2510" s="485"/>
      <c r="B2510" s="485"/>
      <c r="C2510" s="73" t="s">
        <v>10</v>
      </c>
      <c r="D2510" s="485">
        <v>4</v>
      </c>
      <c r="E2510" s="485">
        <v>9.3350000000000009</v>
      </c>
      <c r="F2510" s="485"/>
      <c r="G2510" s="17">
        <v>3.5</v>
      </c>
      <c r="H2510" s="487">
        <f t="shared" si="397"/>
        <v>130.69</v>
      </c>
    </row>
    <row r="2511" spans="1:8" s="948" customFormat="1">
      <c r="A2511" s="485"/>
      <c r="B2511" s="485" t="s">
        <v>114</v>
      </c>
      <c r="C2511" s="73" t="s">
        <v>10</v>
      </c>
      <c r="D2511" s="485">
        <v>2</v>
      </c>
      <c r="E2511" s="485">
        <f>1.075+1.075+1.05</f>
        <v>3.2</v>
      </c>
      <c r="F2511" s="485"/>
      <c r="G2511" s="17">
        <v>3.5</v>
      </c>
      <c r="H2511" s="487">
        <f t="shared" si="397"/>
        <v>22.400000000000002</v>
      </c>
    </row>
    <row r="2512" spans="1:8" s="948" customFormat="1">
      <c r="A2512" s="485"/>
      <c r="B2512" s="485"/>
      <c r="C2512" s="73" t="s">
        <v>10</v>
      </c>
      <c r="D2512" s="485">
        <v>8</v>
      </c>
      <c r="E2512" s="485">
        <v>2.5499999999999998</v>
      </c>
      <c r="F2512" s="485"/>
      <c r="G2512" s="17">
        <v>3.5</v>
      </c>
      <c r="H2512" s="487">
        <f t="shared" si="397"/>
        <v>71.399999999999991</v>
      </c>
    </row>
    <row r="2513" spans="1:8" s="948" customFormat="1">
      <c r="A2513" s="485"/>
      <c r="B2513" s="485"/>
      <c r="C2513" s="73" t="s">
        <v>10</v>
      </c>
      <c r="D2513" s="485">
        <v>-4</v>
      </c>
      <c r="E2513" s="485">
        <v>1</v>
      </c>
      <c r="F2513" s="485"/>
      <c r="G2513" s="17">
        <v>2.4</v>
      </c>
      <c r="H2513" s="487">
        <f t="shared" si="397"/>
        <v>-9.6</v>
      </c>
    </row>
    <row r="2514" spans="1:8" s="948" customFormat="1">
      <c r="A2514" s="485"/>
      <c r="B2514" s="485" t="s">
        <v>171</v>
      </c>
      <c r="C2514" s="73" t="s">
        <v>10</v>
      </c>
      <c r="D2514" s="485">
        <v>4</v>
      </c>
      <c r="E2514" s="485">
        <v>4.5999999999999996</v>
      </c>
      <c r="F2514" s="485"/>
      <c r="G2514" s="17">
        <v>3.5</v>
      </c>
      <c r="H2514" s="487">
        <f t="shared" si="397"/>
        <v>64.399999999999991</v>
      </c>
    </row>
    <row r="2515" spans="1:8" s="948" customFormat="1">
      <c r="A2515" s="485"/>
      <c r="B2515" s="485"/>
      <c r="C2515" s="73" t="s">
        <v>10</v>
      </c>
      <c r="D2515" s="485">
        <v>-4</v>
      </c>
      <c r="E2515" s="485">
        <v>1</v>
      </c>
      <c r="F2515" s="485"/>
      <c r="G2515" s="485">
        <v>2.4</v>
      </c>
      <c r="H2515" s="487">
        <f t="shared" si="397"/>
        <v>-9.6</v>
      </c>
    </row>
    <row r="2516" spans="1:8" s="948" customFormat="1">
      <c r="A2516" s="485"/>
      <c r="B2516" s="486" t="s">
        <v>2029</v>
      </c>
      <c r="C2516" s="17" t="s">
        <v>10</v>
      </c>
      <c r="D2516" s="485">
        <v>1</v>
      </c>
      <c r="E2516" s="485">
        <v>6.58</v>
      </c>
      <c r="F2516" s="485"/>
      <c r="G2516" s="485">
        <v>1.1000000000000001</v>
      </c>
      <c r="H2516" s="487">
        <f t="shared" si="397"/>
        <v>7.2380000000000004</v>
      </c>
    </row>
    <row r="2517" spans="1:8" s="948" customFormat="1">
      <c r="A2517" s="485"/>
      <c r="B2517" s="486"/>
      <c r="C2517" s="17" t="s">
        <v>10</v>
      </c>
      <c r="D2517" s="485">
        <v>1</v>
      </c>
      <c r="E2517" s="485">
        <v>2.1</v>
      </c>
      <c r="F2517" s="485"/>
      <c r="G2517" s="485">
        <v>1.1000000000000001</v>
      </c>
      <c r="H2517" s="487">
        <f t="shared" si="397"/>
        <v>2.3100000000000005</v>
      </c>
    </row>
    <row r="2518" spans="1:8" s="948" customFormat="1">
      <c r="A2518" s="485"/>
      <c r="B2518" s="486" t="s">
        <v>2033</v>
      </c>
      <c r="C2518" s="17" t="s">
        <v>10</v>
      </c>
      <c r="D2518" s="485">
        <v>1</v>
      </c>
      <c r="E2518" s="485">
        <f>1.41+1.325+1.05+1.2</f>
        <v>4.9850000000000003</v>
      </c>
      <c r="F2518" s="485"/>
      <c r="G2518" s="485">
        <v>1.1000000000000001</v>
      </c>
      <c r="H2518" s="487">
        <f t="shared" si="397"/>
        <v>5.4835000000000012</v>
      </c>
    </row>
    <row r="2519" spans="1:8" s="948" customFormat="1">
      <c r="A2519" s="485"/>
      <c r="B2519" s="486" t="s">
        <v>2033</v>
      </c>
      <c r="C2519" s="17" t="s">
        <v>10</v>
      </c>
      <c r="D2519" s="485">
        <v>1</v>
      </c>
      <c r="E2519" s="485">
        <f>1.2+0.975</f>
        <v>2.1749999999999998</v>
      </c>
      <c r="F2519" s="485"/>
      <c r="G2519" s="485">
        <v>1.1000000000000001</v>
      </c>
      <c r="H2519" s="487">
        <f t="shared" si="397"/>
        <v>2.3925000000000001</v>
      </c>
    </row>
    <row r="2520" spans="1:8" s="948" customFormat="1">
      <c r="A2520" s="485"/>
      <c r="B2520" s="486" t="s">
        <v>2033</v>
      </c>
      <c r="C2520" s="17" t="s">
        <v>10</v>
      </c>
      <c r="D2520" s="485">
        <v>1</v>
      </c>
      <c r="E2520" s="485">
        <f>1.05+1.05+1.1+1.1</f>
        <v>4.3000000000000007</v>
      </c>
      <c r="F2520" s="485"/>
      <c r="G2520" s="485">
        <v>1.1000000000000001</v>
      </c>
      <c r="H2520" s="487">
        <f t="shared" si="397"/>
        <v>4.7300000000000013</v>
      </c>
    </row>
    <row r="2521" spans="1:8" s="948" customFormat="1">
      <c r="A2521" s="485"/>
      <c r="B2521" s="486" t="s">
        <v>1241</v>
      </c>
      <c r="C2521" s="17" t="s">
        <v>10</v>
      </c>
      <c r="D2521" s="485">
        <v>2</v>
      </c>
      <c r="E2521" s="485">
        <v>1.425</v>
      </c>
      <c r="F2521" s="485"/>
      <c r="G2521" s="485">
        <v>3.5</v>
      </c>
      <c r="H2521" s="487">
        <f t="shared" si="397"/>
        <v>9.9749999999999996</v>
      </c>
    </row>
    <row r="2522" spans="1:8" s="948" customFormat="1">
      <c r="A2522" s="485"/>
      <c r="B2522" s="486" t="s">
        <v>2035</v>
      </c>
      <c r="C2522" s="17" t="s">
        <v>10</v>
      </c>
      <c r="D2522" s="485">
        <v>2</v>
      </c>
      <c r="E2522" s="485">
        <f>1.075+1.175+1.075+1.175</f>
        <v>4.5</v>
      </c>
      <c r="F2522" s="485"/>
      <c r="G2522" s="485">
        <v>1.1000000000000001</v>
      </c>
      <c r="H2522" s="487">
        <f t="shared" si="397"/>
        <v>9.9</v>
      </c>
    </row>
    <row r="2523" spans="1:8" s="948" customFormat="1">
      <c r="A2523" s="485"/>
      <c r="B2523" s="486" t="s">
        <v>2012</v>
      </c>
      <c r="C2523" s="17" t="s">
        <v>10</v>
      </c>
      <c r="D2523" s="485">
        <v>2</v>
      </c>
      <c r="E2523" s="485">
        <f>1.45+1.7+1.45</f>
        <v>4.5999999999999996</v>
      </c>
      <c r="F2523" s="485"/>
      <c r="G2523" s="485">
        <v>1.1000000000000001</v>
      </c>
      <c r="H2523" s="487">
        <f t="shared" si="397"/>
        <v>10.119999999999999</v>
      </c>
    </row>
    <row r="2524" spans="1:8" s="948" customFormat="1">
      <c r="A2524" s="485"/>
      <c r="B2524" s="486" t="s">
        <v>1358</v>
      </c>
      <c r="C2524" s="17" t="s">
        <v>10</v>
      </c>
      <c r="D2524" s="485">
        <v>2</v>
      </c>
      <c r="E2524" s="485">
        <f>1.2+1.05+1.2+1.05</f>
        <v>4.5</v>
      </c>
      <c r="F2524" s="485"/>
      <c r="G2524" s="485">
        <v>1.1000000000000001</v>
      </c>
      <c r="H2524" s="487">
        <f t="shared" si="397"/>
        <v>9.9</v>
      </c>
    </row>
    <row r="2525" spans="1:8" s="948" customFormat="1">
      <c r="A2525" s="485"/>
      <c r="B2525" s="485" t="s">
        <v>2032</v>
      </c>
      <c r="C2525" s="73" t="s">
        <v>10</v>
      </c>
      <c r="D2525" s="485">
        <v>4</v>
      </c>
      <c r="E2525" s="485">
        <f>3.14*1.72</f>
        <v>5.4008000000000003</v>
      </c>
      <c r="F2525" s="485"/>
      <c r="G2525" s="17">
        <v>3.5</v>
      </c>
      <c r="H2525" s="18">
        <f t="shared" si="397"/>
        <v>75.611199999999997</v>
      </c>
    </row>
    <row r="2526" spans="1:8" s="948" customFormat="1">
      <c r="A2526" s="485"/>
      <c r="B2526" s="485"/>
      <c r="C2526" s="486"/>
      <c r="D2526" s="485"/>
      <c r="E2526" s="485"/>
      <c r="F2526" s="485"/>
      <c r="G2526" s="485"/>
      <c r="H2526" s="487"/>
    </row>
    <row r="2527" spans="1:8" s="948" customFormat="1">
      <c r="A2527" s="17"/>
      <c r="B2527" s="17"/>
      <c r="C2527" s="17"/>
      <c r="D2527" s="17"/>
      <c r="E2527" s="17"/>
      <c r="F2527" s="17"/>
      <c r="G2527" s="17"/>
      <c r="H2527" s="18"/>
    </row>
    <row r="2528" spans="1:8" s="948" customFormat="1">
      <c r="A2528" s="15"/>
      <c r="B2528" s="15" t="s">
        <v>21</v>
      </c>
      <c r="C2528" s="15"/>
      <c r="D2528" s="15"/>
      <c r="E2528" s="15"/>
      <c r="F2528" s="15"/>
      <c r="G2528" s="15"/>
      <c r="H2528" s="20">
        <f>SUM(H2216:H2527)</f>
        <v>5256.4588999999969</v>
      </c>
    </row>
    <row r="2529" spans="1:8" s="948" customFormat="1">
      <c r="A2529" s="17"/>
      <c r="B2529" s="17" t="s">
        <v>22</v>
      </c>
      <c r="C2529" s="17"/>
      <c r="D2529" s="17"/>
      <c r="E2529" s="17"/>
      <c r="F2529" s="17"/>
      <c r="G2529" s="17"/>
      <c r="H2529" s="18"/>
    </row>
    <row r="2530" spans="1:8" s="948" customFormat="1">
      <c r="A2530" s="15"/>
      <c r="B2530" s="15" t="s">
        <v>23</v>
      </c>
      <c r="C2530" s="15"/>
      <c r="D2530" s="15"/>
      <c r="E2530" s="15"/>
      <c r="F2530" s="15"/>
      <c r="G2530" s="15"/>
      <c r="H2530" s="20">
        <f>ROUND(SUM(H2528:H2529),0)</f>
        <v>5256</v>
      </c>
    </row>
    <row r="2532" spans="1:8">
      <c r="A2532" s="17">
        <v>4</v>
      </c>
      <c r="B2532" s="15" t="s">
        <v>310</v>
      </c>
      <c r="C2532" s="17" t="s">
        <v>10</v>
      </c>
      <c r="D2532" s="17"/>
      <c r="E2532" s="17"/>
      <c r="F2532" s="17"/>
      <c r="G2532" s="17"/>
      <c r="H2532" s="18"/>
    </row>
    <row r="2533" spans="1:8">
      <c r="A2533" s="17"/>
      <c r="B2533" s="17" t="s">
        <v>196</v>
      </c>
      <c r="C2533" s="17" t="s">
        <v>31</v>
      </c>
      <c r="D2533" s="17">
        <v>1</v>
      </c>
      <c r="E2533" s="17">
        <f>4.858+0.471+9.83+0.314+2.935</f>
        <v>18.407999999999998</v>
      </c>
      <c r="F2533" s="17"/>
      <c r="G2533" s="17">
        <v>0.9</v>
      </c>
      <c r="H2533" s="18">
        <f t="shared" ref="H2533:H2538" si="399">PRODUCT(D2533:G2533)</f>
        <v>16.5672</v>
      </c>
    </row>
    <row r="2534" spans="1:8">
      <c r="A2534" s="485"/>
      <c r="B2534" s="485" t="s">
        <v>1393</v>
      </c>
      <c r="C2534" s="17" t="s">
        <v>31</v>
      </c>
      <c r="D2534" s="17">
        <v>1</v>
      </c>
      <c r="E2534" s="17">
        <f>0.343+9.546+0.471+3.119</f>
        <v>13.478999999999999</v>
      </c>
      <c r="F2534" s="17"/>
      <c r="G2534" s="17">
        <v>0.9</v>
      </c>
      <c r="H2534" s="18">
        <f t="shared" ref="H2534" si="400">PRODUCT(D2534:G2534)</f>
        <v>12.1311</v>
      </c>
    </row>
    <row r="2535" spans="1:8">
      <c r="A2535" s="485"/>
      <c r="B2535" s="485" t="s">
        <v>1193</v>
      </c>
      <c r="C2535" s="17" t="s">
        <v>31</v>
      </c>
      <c r="D2535" s="17">
        <v>1</v>
      </c>
      <c r="E2535" s="17">
        <v>1.556</v>
      </c>
      <c r="F2535" s="17"/>
      <c r="G2535" s="17">
        <v>1.1000000000000001</v>
      </c>
      <c r="H2535" s="18">
        <f t="shared" ref="H2535:H2536" si="401">PRODUCT(D2535:G2535)</f>
        <v>1.7116000000000002</v>
      </c>
    </row>
    <row r="2536" spans="1:8">
      <c r="A2536" s="485"/>
      <c r="B2536" s="485" t="s">
        <v>1193</v>
      </c>
      <c r="C2536" s="17" t="s">
        <v>31</v>
      </c>
      <c r="D2536" s="485">
        <v>1</v>
      </c>
      <c r="E2536" s="485">
        <v>1.87</v>
      </c>
      <c r="F2536" s="485"/>
      <c r="G2536" s="17">
        <v>1.1000000000000001</v>
      </c>
      <c r="H2536" s="18">
        <f t="shared" si="401"/>
        <v>2.0570000000000004</v>
      </c>
    </row>
    <row r="2537" spans="1:8">
      <c r="A2537" s="485"/>
      <c r="B2537" s="485" t="s">
        <v>2055</v>
      </c>
      <c r="C2537" s="17" t="s">
        <v>31</v>
      </c>
      <c r="D2537" s="485">
        <v>1</v>
      </c>
      <c r="E2537" s="485">
        <v>2.5299999999999998</v>
      </c>
      <c r="F2537" s="485"/>
      <c r="G2537" s="17">
        <v>1.1000000000000001</v>
      </c>
      <c r="H2537" s="18">
        <f t="shared" ref="H2537" si="402">PRODUCT(D2537:G2537)</f>
        <v>2.7829999999999999</v>
      </c>
    </row>
    <row r="2538" spans="1:8">
      <c r="A2538" s="17"/>
      <c r="B2538" s="17" t="s">
        <v>1200</v>
      </c>
      <c r="C2538" s="17" t="s">
        <v>31</v>
      </c>
      <c r="D2538" s="17">
        <v>1</v>
      </c>
      <c r="E2538" s="17">
        <f>10.99+0.314+6.713+0.314+10.99</f>
        <v>29.320999999999998</v>
      </c>
      <c r="F2538" s="17"/>
      <c r="G2538" s="17">
        <f t="shared" ref="G2538:G2555" si="403">3.5-2.4</f>
        <v>1.1000000000000001</v>
      </c>
      <c r="H2538" s="18">
        <f t="shared" si="399"/>
        <v>32.253100000000003</v>
      </c>
    </row>
    <row r="2539" spans="1:8">
      <c r="A2539" s="485"/>
      <c r="B2539" s="485" t="s">
        <v>1304</v>
      </c>
      <c r="C2539" s="17" t="s">
        <v>31</v>
      </c>
      <c r="D2539" s="17">
        <v>1</v>
      </c>
      <c r="E2539" s="17">
        <v>3.15</v>
      </c>
      <c r="F2539" s="17"/>
      <c r="G2539" s="17">
        <f t="shared" si="403"/>
        <v>1.1000000000000001</v>
      </c>
      <c r="H2539" s="18">
        <f t="shared" ref="H2539:H2541" si="404">PRODUCT(D2539:G2539)</f>
        <v>3.4650000000000003</v>
      </c>
    </row>
    <row r="2540" spans="1:8">
      <c r="A2540" s="485"/>
      <c r="B2540" s="485" t="s">
        <v>1316</v>
      </c>
      <c r="C2540" s="17" t="s">
        <v>31</v>
      </c>
      <c r="D2540" s="485">
        <v>1</v>
      </c>
      <c r="E2540" s="485">
        <f>21.326+0.314+7.11+0.157+13.8+0.314+16.36+0.397+5.303+0.314+19.15</f>
        <v>84.544999999999987</v>
      </c>
      <c r="F2540" s="485"/>
      <c r="G2540" s="17">
        <v>0.9</v>
      </c>
      <c r="H2540" s="18">
        <f t="shared" si="404"/>
        <v>76.090499999999992</v>
      </c>
    </row>
    <row r="2541" spans="1:8">
      <c r="A2541" s="485"/>
      <c r="B2541" s="485" t="s">
        <v>1296</v>
      </c>
      <c r="C2541" s="17" t="s">
        <v>31</v>
      </c>
      <c r="D2541" s="485">
        <v>1</v>
      </c>
      <c r="E2541" s="485">
        <f>16.15+0.314+5.55+16.25+0.314+6.35+0.314</f>
        <v>45.241999999999997</v>
      </c>
      <c r="F2541" s="485"/>
      <c r="G2541" s="17">
        <v>0.9</v>
      </c>
      <c r="H2541" s="18">
        <f t="shared" si="404"/>
        <v>40.717799999999997</v>
      </c>
    </row>
    <row r="2542" spans="1:8">
      <c r="A2542" s="485"/>
      <c r="B2542" s="485" t="s">
        <v>201</v>
      </c>
      <c r="C2542" s="17" t="s">
        <v>31</v>
      </c>
      <c r="D2542" s="485">
        <v>1</v>
      </c>
      <c r="E2542" s="485">
        <v>4.5</v>
      </c>
      <c r="F2542" s="485"/>
      <c r="G2542" s="17">
        <v>1.1000000000000001</v>
      </c>
      <c r="H2542" s="18">
        <f t="shared" ref="H2542" si="405">PRODUCT(D2542:G2542)</f>
        <v>4.95</v>
      </c>
    </row>
    <row r="2543" spans="1:8">
      <c r="A2543" s="485"/>
      <c r="B2543" s="485" t="s">
        <v>2087</v>
      </c>
      <c r="C2543" s="17" t="s">
        <v>31</v>
      </c>
      <c r="D2543" s="485">
        <v>1</v>
      </c>
      <c r="E2543" s="485">
        <v>1.05</v>
      </c>
      <c r="F2543" s="485"/>
      <c r="G2543" s="17">
        <v>1.1000000000000001</v>
      </c>
      <c r="H2543" s="18">
        <f t="shared" ref="H2543" si="406">PRODUCT(D2543:G2543)</f>
        <v>1.1550000000000002</v>
      </c>
    </row>
    <row r="2544" spans="1:8">
      <c r="A2544" s="485"/>
      <c r="B2544" s="485" t="s">
        <v>123</v>
      </c>
      <c r="C2544" s="17" t="s">
        <v>31</v>
      </c>
      <c r="D2544" s="485">
        <v>1</v>
      </c>
      <c r="E2544" s="485">
        <f>5.8-1.8</f>
        <v>4</v>
      </c>
      <c r="F2544" s="485"/>
      <c r="G2544" s="17">
        <v>1.1000000000000001</v>
      </c>
      <c r="H2544" s="18">
        <f t="shared" ref="H2544" si="407">PRODUCT(D2544:G2544)</f>
        <v>4.4000000000000004</v>
      </c>
    </row>
    <row r="2545" spans="1:8">
      <c r="A2545" s="485"/>
      <c r="B2545" s="485" t="s">
        <v>297</v>
      </c>
      <c r="C2545" s="17" t="s">
        <v>31</v>
      </c>
      <c r="D2545" s="485">
        <v>1</v>
      </c>
      <c r="E2545" s="485">
        <v>5.73</v>
      </c>
      <c r="F2545" s="485"/>
      <c r="G2545" s="17">
        <v>1.1000000000000001</v>
      </c>
      <c r="H2545" s="18">
        <f t="shared" ref="H2545" si="408">PRODUCT(D2545:G2545)</f>
        <v>6.3030000000000008</v>
      </c>
    </row>
    <row r="2546" spans="1:8">
      <c r="A2546" s="485"/>
      <c r="B2546" s="485" t="s">
        <v>1249</v>
      </c>
      <c r="C2546" s="17" t="s">
        <v>31</v>
      </c>
      <c r="D2546" s="485">
        <v>1</v>
      </c>
      <c r="E2546" s="485">
        <f>4.975+0.715+10.05</f>
        <v>15.74</v>
      </c>
      <c r="F2546" s="485"/>
      <c r="G2546" s="17">
        <v>0.9</v>
      </c>
      <c r="H2546" s="18">
        <f t="shared" ref="H2546" si="409">PRODUCT(D2546:G2546)</f>
        <v>14.166</v>
      </c>
    </row>
    <row r="2547" spans="1:8">
      <c r="A2547" s="485"/>
      <c r="B2547" s="485" t="s">
        <v>1231</v>
      </c>
      <c r="C2547" s="17" t="s">
        <v>31</v>
      </c>
      <c r="D2547" s="485">
        <v>1</v>
      </c>
      <c r="E2547" s="485">
        <f>5.705+0.157+8.867</f>
        <v>14.729000000000001</v>
      </c>
      <c r="F2547" s="485"/>
      <c r="G2547" s="17">
        <v>0.9</v>
      </c>
      <c r="H2547" s="18">
        <f t="shared" ref="H2547:H2552" si="410">PRODUCT(D2547:G2547)</f>
        <v>13.256100000000002</v>
      </c>
    </row>
    <row r="2548" spans="1:8">
      <c r="A2548" s="485"/>
      <c r="B2548" s="485"/>
      <c r="C2548" s="17" t="s">
        <v>31</v>
      </c>
      <c r="D2548" s="485">
        <v>1</v>
      </c>
      <c r="E2548" s="485">
        <v>8.4</v>
      </c>
      <c r="F2548" s="485"/>
      <c r="G2548" s="485">
        <v>1.1000000000000001</v>
      </c>
      <c r="H2548" s="18">
        <f t="shared" si="410"/>
        <v>9.240000000000002</v>
      </c>
    </row>
    <row r="2549" spans="1:8">
      <c r="A2549" s="485"/>
      <c r="B2549" s="485" t="s">
        <v>196</v>
      </c>
      <c r="C2549" s="17" t="s">
        <v>31</v>
      </c>
      <c r="D2549" s="485">
        <v>1</v>
      </c>
      <c r="E2549" s="485">
        <v>9.4</v>
      </c>
      <c r="F2549" s="485"/>
      <c r="G2549" s="485">
        <v>1.1000000000000001</v>
      </c>
      <c r="H2549" s="18">
        <f t="shared" ref="H2549" si="411">PRODUCT(D2549:G2549)</f>
        <v>10.340000000000002</v>
      </c>
    </row>
    <row r="2550" spans="1:8">
      <c r="A2550" s="485"/>
      <c r="B2550" s="485" t="s">
        <v>1296</v>
      </c>
      <c r="C2550" s="17" t="s">
        <v>31</v>
      </c>
      <c r="D2550" s="485">
        <v>1</v>
      </c>
      <c r="E2550" s="485">
        <f>16.122+0.314+6.524+0.314+22.63+0.471+9.201+0.157</f>
        <v>55.73299999999999</v>
      </c>
      <c r="F2550" s="485"/>
      <c r="G2550" s="17">
        <v>0.9</v>
      </c>
      <c r="H2550" s="18">
        <f t="shared" si="410"/>
        <v>50.159699999999994</v>
      </c>
    </row>
    <row r="2551" spans="1:8">
      <c r="A2551" s="485"/>
      <c r="B2551" s="485" t="s">
        <v>329</v>
      </c>
      <c r="C2551" s="17" t="s">
        <v>31</v>
      </c>
      <c r="D2551" s="485">
        <v>1</v>
      </c>
      <c r="E2551" s="485">
        <f>1.535+0.157+4.34+0.353+1.51</f>
        <v>7.8949999999999996</v>
      </c>
      <c r="F2551" s="485"/>
      <c r="G2551" s="17">
        <v>0.9</v>
      </c>
      <c r="H2551" s="18">
        <f t="shared" si="410"/>
        <v>7.1055000000000001</v>
      </c>
    </row>
    <row r="2552" spans="1:8">
      <c r="A2552" s="485"/>
      <c r="B2552" s="485" t="s">
        <v>2087</v>
      </c>
      <c r="C2552" s="17" t="s">
        <v>31</v>
      </c>
      <c r="D2552" s="485">
        <v>1</v>
      </c>
      <c r="E2552" s="485">
        <v>3.415</v>
      </c>
      <c r="F2552" s="485"/>
      <c r="G2552" s="17">
        <v>0.9</v>
      </c>
      <c r="H2552" s="18">
        <f t="shared" si="410"/>
        <v>3.0735000000000001</v>
      </c>
    </row>
    <row r="2553" spans="1:8">
      <c r="A2553" s="485"/>
      <c r="B2553" s="485" t="s">
        <v>2087</v>
      </c>
      <c r="C2553" s="17" t="s">
        <v>31</v>
      </c>
      <c r="D2553" s="485">
        <v>1</v>
      </c>
      <c r="E2553" s="485">
        <v>1.258</v>
      </c>
      <c r="F2553" s="485"/>
      <c r="G2553" s="17">
        <v>1.1000000000000001</v>
      </c>
      <c r="H2553" s="18">
        <f t="shared" ref="H2553" si="412">PRODUCT(D2553:G2553)</f>
        <v>1.3838000000000001</v>
      </c>
    </row>
    <row r="2554" spans="1:8">
      <c r="A2554" s="485"/>
      <c r="B2554" s="485" t="s">
        <v>2088</v>
      </c>
      <c r="C2554" s="17" t="s">
        <v>31</v>
      </c>
      <c r="D2554" s="485">
        <v>1</v>
      </c>
      <c r="E2554" s="485">
        <v>2.2000000000000002</v>
      </c>
      <c r="F2554" s="485"/>
      <c r="G2554" s="17">
        <f t="shared" si="403"/>
        <v>1.1000000000000001</v>
      </c>
      <c r="H2554" s="18">
        <f t="shared" ref="H2554" si="413">PRODUCT(D2554:G2554)</f>
        <v>2.4200000000000004</v>
      </c>
    </row>
    <row r="2555" spans="1:8">
      <c r="A2555" s="485"/>
      <c r="B2555" s="485" t="s">
        <v>2087</v>
      </c>
      <c r="C2555" s="17" t="s">
        <v>31</v>
      </c>
      <c r="D2555" s="485">
        <v>1</v>
      </c>
      <c r="E2555" s="485">
        <v>1.4</v>
      </c>
      <c r="F2555" s="485"/>
      <c r="G2555" s="17">
        <f t="shared" si="403"/>
        <v>1.1000000000000001</v>
      </c>
      <c r="H2555" s="18">
        <f t="shared" ref="H2555" si="414">PRODUCT(D2555:G2555)</f>
        <v>1.54</v>
      </c>
    </row>
    <row r="2556" spans="1:8">
      <c r="A2556" s="17"/>
      <c r="B2556" s="17"/>
      <c r="C2556" s="73"/>
      <c r="D2556" s="17"/>
      <c r="E2556" s="17"/>
      <c r="F2556" s="17"/>
      <c r="G2556" s="17"/>
      <c r="H2556" s="18"/>
    </row>
    <row r="2557" spans="1:8">
      <c r="A2557" s="15"/>
      <c r="B2557" s="15" t="s">
        <v>21</v>
      </c>
      <c r="C2557" s="15"/>
      <c r="D2557" s="15"/>
      <c r="E2557" s="15"/>
      <c r="F2557" s="15"/>
      <c r="G2557" s="15"/>
      <c r="H2557" s="20">
        <f>SUM(H2533:H2556)</f>
        <v>317.26890000000009</v>
      </c>
    </row>
    <row r="2558" spans="1:8">
      <c r="A2558" s="17"/>
      <c r="B2558" s="17" t="s">
        <v>22</v>
      </c>
      <c r="C2558" s="17"/>
      <c r="D2558" s="17"/>
      <c r="E2558" s="17"/>
      <c r="F2558" s="17"/>
      <c r="G2558" s="17"/>
      <c r="H2558" s="18"/>
    </row>
    <row r="2559" spans="1:8">
      <c r="A2559" s="15"/>
      <c r="B2559" s="15" t="s">
        <v>23</v>
      </c>
      <c r="C2559" s="15"/>
      <c r="D2559" s="15"/>
      <c r="E2559" s="15"/>
      <c r="F2559" s="15"/>
      <c r="G2559" s="15"/>
      <c r="H2559" s="20">
        <f>ROUND(SUM(H2557:H2558),0)</f>
        <v>317</v>
      </c>
    </row>
    <row r="2561" spans="1:8">
      <c r="A2561" s="17">
        <v>4</v>
      </c>
      <c r="B2561" s="15" t="s">
        <v>1395</v>
      </c>
      <c r="C2561" s="17" t="s">
        <v>10</v>
      </c>
      <c r="D2561" s="17"/>
      <c r="E2561" s="17"/>
      <c r="F2561" s="17"/>
      <c r="G2561" s="17"/>
      <c r="H2561" s="18"/>
    </row>
    <row r="2562" spans="1:8">
      <c r="A2562" s="17"/>
      <c r="B2562" s="17" t="s">
        <v>197</v>
      </c>
      <c r="C2562" s="17" t="s">
        <v>10</v>
      </c>
      <c r="D2562" s="17">
        <v>1</v>
      </c>
      <c r="E2562" s="17">
        <v>3.55</v>
      </c>
      <c r="F2562" s="17"/>
      <c r="G2562" s="17">
        <v>3.5</v>
      </c>
      <c r="H2562" s="18">
        <f t="shared" ref="H2562:H2586" si="415">PRODUCT(D2562:G2562)</f>
        <v>12.424999999999999</v>
      </c>
    </row>
    <row r="2563" spans="1:8">
      <c r="A2563" s="17"/>
      <c r="B2563" s="17" t="s">
        <v>1199</v>
      </c>
      <c r="C2563" s="73" t="s">
        <v>10</v>
      </c>
      <c r="D2563" s="17">
        <v>1</v>
      </c>
      <c r="E2563" s="17">
        <v>3.55</v>
      </c>
      <c r="F2563" s="17"/>
      <c r="G2563" s="17">
        <v>3.5</v>
      </c>
      <c r="H2563" s="18">
        <f t="shared" si="415"/>
        <v>12.424999999999999</v>
      </c>
    </row>
    <row r="2564" spans="1:8">
      <c r="A2564" s="17"/>
      <c r="B2564" s="17" t="s">
        <v>1327</v>
      </c>
      <c r="C2564" s="73" t="s">
        <v>10</v>
      </c>
      <c r="D2564" s="17">
        <v>1</v>
      </c>
      <c r="E2564" s="17">
        <v>3.55</v>
      </c>
      <c r="F2564" s="17"/>
      <c r="G2564" s="17">
        <v>3.5</v>
      </c>
      <c r="H2564" s="18">
        <f t="shared" si="415"/>
        <v>12.424999999999999</v>
      </c>
    </row>
    <row r="2565" spans="1:8">
      <c r="A2565" s="485"/>
      <c r="B2565" s="485" t="s">
        <v>1196</v>
      </c>
      <c r="C2565" s="73" t="s">
        <v>10</v>
      </c>
      <c r="D2565" s="17">
        <v>1</v>
      </c>
      <c r="E2565" s="17">
        <v>3.5</v>
      </c>
      <c r="F2565" s="17"/>
      <c r="G2565" s="17">
        <v>3.5</v>
      </c>
      <c r="H2565" s="18">
        <f t="shared" ref="H2565" si="416">PRODUCT(D2565:G2565)</f>
        <v>12.25</v>
      </c>
    </row>
    <row r="2566" spans="1:8">
      <c r="A2566" s="485"/>
      <c r="B2566" s="485" t="s">
        <v>1299</v>
      </c>
      <c r="C2566" s="73" t="s">
        <v>10</v>
      </c>
      <c r="D2566" s="17">
        <v>1</v>
      </c>
      <c r="E2566" s="17">
        <v>3.5</v>
      </c>
      <c r="F2566" s="17"/>
      <c r="G2566" s="17">
        <v>3.5</v>
      </c>
      <c r="H2566" s="18">
        <f t="shared" ref="H2566:H2567" si="417">PRODUCT(D2566:G2566)</f>
        <v>12.25</v>
      </c>
    </row>
    <row r="2567" spans="1:8">
      <c r="A2567" s="485"/>
      <c r="B2567" s="485" t="s">
        <v>1300</v>
      </c>
      <c r="C2567" s="73" t="s">
        <v>10</v>
      </c>
      <c r="D2567" s="485">
        <v>1</v>
      </c>
      <c r="E2567" s="17">
        <v>3.5</v>
      </c>
      <c r="F2567" s="485"/>
      <c r="G2567" s="17">
        <v>3.5</v>
      </c>
      <c r="H2567" s="18">
        <f t="shared" si="417"/>
        <v>12.25</v>
      </c>
    </row>
    <row r="2568" spans="1:8">
      <c r="A2568" s="485"/>
      <c r="B2568" s="485" t="s">
        <v>1301</v>
      </c>
      <c r="C2568" s="73" t="s">
        <v>10</v>
      </c>
      <c r="D2568" s="485">
        <v>1</v>
      </c>
      <c r="E2568" s="17">
        <v>3.5</v>
      </c>
      <c r="F2568" s="485"/>
      <c r="G2568" s="17">
        <v>3.5</v>
      </c>
      <c r="H2568" s="18">
        <f t="shared" ref="H2568" si="418">PRODUCT(D2568:G2568)</f>
        <v>12.25</v>
      </c>
    </row>
    <row r="2569" spans="1:8">
      <c r="A2569" s="485"/>
      <c r="B2569" s="485" t="s">
        <v>1201</v>
      </c>
      <c r="C2569" s="73" t="s">
        <v>10</v>
      </c>
      <c r="D2569" s="485">
        <v>1</v>
      </c>
      <c r="E2569" s="17">
        <v>3.8</v>
      </c>
      <c r="F2569" s="485"/>
      <c r="G2569" s="17">
        <v>3.5</v>
      </c>
      <c r="H2569" s="18">
        <f t="shared" ref="H2569" si="419">PRODUCT(D2569:G2569)</f>
        <v>13.299999999999999</v>
      </c>
    </row>
    <row r="2570" spans="1:8">
      <c r="A2570" s="485"/>
      <c r="B2570" s="485" t="s">
        <v>1202</v>
      </c>
      <c r="C2570" s="73" t="s">
        <v>10</v>
      </c>
      <c r="D2570" s="485">
        <v>1</v>
      </c>
      <c r="E2570" s="17">
        <v>3.8</v>
      </c>
      <c r="F2570" s="485"/>
      <c r="G2570" s="17">
        <v>3.5</v>
      </c>
      <c r="H2570" s="18">
        <f t="shared" ref="H2570" si="420">PRODUCT(D2570:G2570)</f>
        <v>13.299999999999999</v>
      </c>
    </row>
    <row r="2571" spans="1:8">
      <c r="A2571" s="17"/>
      <c r="B2571" s="17" t="s">
        <v>195</v>
      </c>
      <c r="C2571" s="73" t="s">
        <v>10</v>
      </c>
      <c r="D2571" s="17">
        <v>1</v>
      </c>
      <c r="E2571" s="17">
        <v>3.7</v>
      </c>
      <c r="F2571" s="17"/>
      <c r="G2571" s="17">
        <v>3.5</v>
      </c>
      <c r="H2571" s="18">
        <f t="shared" si="415"/>
        <v>12.950000000000001</v>
      </c>
    </row>
    <row r="2572" spans="1:8">
      <c r="A2572" s="17"/>
      <c r="B2572" s="17" t="s">
        <v>1242</v>
      </c>
      <c r="C2572" s="73" t="s">
        <v>10</v>
      </c>
      <c r="D2572" s="17">
        <v>1</v>
      </c>
      <c r="E2572" s="17">
        <v>3.9</v>
      </c>
      <c r="F2572" s="17"/>
      <c r="G2572" s="17">
        <v>3.5</v>
      </c>
      <c r="H2572" s="18">
        <f t="shared" si="415"/>
        <v>13.65</v>
      </c>
    </row>
    <row r="2573" spans="1:8">
      <c r="A2573" s="17"/>
      <c r="B2573" s="17" t="s">
        <v>1243</v>
      </c>
      <c r="C2573" s="73" t="s">
        <v>10</v>
      </c>
      <c r="D2573" s="17">
        <v>1</v>
      </c>
      <c r="E2573" s="17">
        <v>3.9</v>
      </c>
      <c r="F2573" s="17"/>
      <c r="G2573" s="17">
        <v>3.5</v>
      </c>
      <c r="H2573" s="18">
        <f t="shared" si="415"/>
        <v>13.65</v>
      </c>
    </row>
    <row r="2574" spans="1:8">
      <c r="A2574" s="485"/>
      <c r="B2574" s="485" t="s">
        <v>1244</v>
      </c>
      <c r="C2574" s="73" t="s">
        <v>10</v>
      </c>
      <c r="D2574" s="17">
        <v>1</v>
      </c>
      <c r="E2574" s="17">
        <f>4.45</f>
        <v>4.45</v>
      </c>
      <c r="F2574" s="17"/>
      <c r="G2574" s="17">
        <v>3.5</v>
      </c>
      <c r="H2574" s="18">
        <f t="shared" ref="H2574:H2575" si="421">PRODUCT(D2574:G2574)</f>
        <v>15.575000000000001</v>
      </c>
    </row>
    <row r="2575" spans="1:8">
      <c r="A2575" s="485"/>
      <c r="B2575" s="485"/>
      <c r="C2575" s="73" t="s">
        <v>10</v>
      </c>
      <c r="D2575" s="485">
        <v>-1</v>
      </c>
      <c r="E2575" s="485">
        <v>1</v>
      </c>
      <c r="F2575" s="485"/>
      <c r="G2575" s="485">
        <v>2.4</v>
      </c>
      <c r="H2575" s="18">
        <f t="shared" si="421"/>
        <v>-2.4</v>
      </c>
    </row>
    <row r="2576" spans="1:8">
      <c r="A2576" s="485"/>
      <c r="B2576" s="485" t="s">
        <v>195</v>
      </c>
      <c r="C2576" s="73" t="s">
        <v>10</v>
      </c>
      <c r="D2576" s="485">
        <v>1</v>
      </c>
      <c r="E2576" s="485">
        <v>3.7</v>
      </c>
      <c r="F2576" s="485"/>
      <c r="G2576" s="485">
        <v>3.5</v>
      </c>
      <c r="H2576" s="18">
        <f t="shared" ref="H2576" si="422">PRODUCT(D2576:G2576)</f>
        <v>12.950000000000001</v>
      </c>
    </row>
    <row r="2577" spans="1:8">
      <c r="A2577" s="485"/>
      <c r="B2577" s="485" t="s">
        <v>1328</v>
      </c>
      <c r="C2577" s="73" t="s">
        <v>10</v>
      </c>
      <c r="D2577" s="485">
        <v>1</v>
      </c>
      <c r="E2577" s="485">
        <v>3.7</v>
      </c>
      <c r="F2577" s="485"/>
      <c r="G2577" s="485">
        <v>3.5</v>
      </c>
      <c r="H2577" s="18">
        <f t="shared" ref="H2577" si="423">PRODUCT(D2577:G2577)</f>
        <v>12.950000000000001</v>
      </c>
    </row>
    <row r="2578" spans="1:8">
      <c r="A2578" s="17"/>
      <c r="B2578" s="17" t="s">
        <v>2018</v>
      </c>
      <c r="C2578" s="73" t="s">
        <v>10</v>
      </c>
      <c r="D2578" s="17">
        <v>1</v>
      </c>
      <c r="E2578" s="17">
        <v>3.65</v>
      </c>
      <c r="F2578" s="17"/>
      <c r="G2578" s="17">
        <v>3.5</v>
      </c>
      <c r="H2578" s="18">
        <f>PRODUCT(D2578:G2578)</f>
        <v>12.775</v>
      </c>
    </row>
    <row r="2579" spans="1:8">
      <c r="A2579" s="17"/>
      <c r="B2579" s="17" t="s">
        <v>2019</v>
      </c>
      <c r="C2579" s="73" t="s">
        <v>10</v>
      </c>
      <c r="D2579" s="17">
        <v>1</v>
      </c>
      <c r="E2579" s="17">
        <v>3.65</v>
      </c>
      <c r="F2579" s="17"/>
      <c r="G2579" s="17">
        <v>3.5</v>
      </c>
      <c r="H2579" s="18">
        <f t="shared" si="415"/>
        <v>12.775</v>
      </c>
    </row>
    <row r="2580" spans="1:8">
      <c r="A2580" s="17"/>
      <c r="B2580" s="17" t="s">
        <v>1219</v>
      </c>
      <c r="C2580" s="73" t="s">
        <v>10</v>
      </c>
      <c r="D2580" s="17">
        <v>1</v>
      </c>
      <c r="E2580" s="17">
        <v>2.5499999999999998</v>
      </c>
      <c r="F2580" s="17"/>
      <c r="G2580" s="17">
        <v>3.5</v>
      </c>
      <c r="H2580" s="18">
        <f t="shared" si="415"/>
        <v>8.9249999999999989</v>
      </c>
    </row>
    <row r="2581" spans="1:8">
      <c r="A2581" s="17"/>
      <c r="B2581" s="17" t="s">
        <v>286</v>
      </c>
      <c r="C2581" s="73" t="s">
        <v>10</v>
      </c>
      <c r="D2581" s="17">
        <v>1</v>
      </c>
      <c r="E2581" s="17">
        <v>2.5499999999999998</v>
      </c>
      <c r="F2581" s="17"/>
      <c r="G2581" s="17">
        <v>3.5</v>
      </c>
      <c r="H2581" s="18">
        <f t="shared" si="415"/>
        <v>8.9249999999999989</v>
      </c>
    </row>
    <row r="2582" spans="1:8">
      <c r="A2582" s="17"/>
      <c r="B2582" s="17" t="s">
        <v>1399</v>
      </c>
      <c r="C2582" s="73" t="s">
        <v>10</v>
      </c>
      <c r="D2582" s="17">
        <v>1</v>
      </c>
      <c r="E2582" s="17">
        <v>11</v>
      </c>
      <c r="F2582" s="17"/>
      <c r="G2582" s="17">
        <v>3.5</v>
      </c>
      <c r="H2582" s="18">
        <f t="shared" si="415"/>
        <v>38.5</v>
      </c>
    </row>
    <row r="2583" spans="1:8">
      <c r="A2583" s="17"/>
      <c r="B2583" s="17" t="s">
        <v>286</v>
      </c>
      <c r="C2583" s="73" t="s">
        <v>10</v>
      </c>
      <c r="D2583" s="17">
        <v>1</v>
      </c>
      <c r="E2583" s="17">
        <v>2.5499999999999998</v>
      </c>
      <c r="F2583" s="17"/>
      <c r="G2583" s="17">
        <v>3.5</v>
      </c>
      <c r="H2583" s="18">
        <f t="shared" si="415"/>
        <v>8.9249999999999989</v>
      </c>
    </row>
    <row r="2584" spans="1:8">
      <c r="A2584" s="17"/>
      <c r="B2584" s="17" t="s">
        <v>1249</v>
      </c>
      <c r="C2584" s="73" t="s">
        <v>10</v>
      </c>
      <c r="D2584" s="17">
        <v>1</v>
      </c>
      <c r="E2584" s="17">
        <f>3.83+0.43+4.71+0.47</f>
        <v>9.44</v>
      </c>
      <c r="F2584" s="17"/>
      <c r="G2584" s="17">
        <v>3.5</v>
      </c>
      <c r="H2584" s="18">
        <f t="shared" si="415"/>
        <v>33.04</v>
      </c>
    </row>
    <row r="2585" spans="1:8">
      <c r="A2585" s="485"/>
      <c r="B2585" s="485" t="s">
        <v>1917</v>
      </c>
      <c r="C2585" s="73" t="s">
        <v>10</v>
      </c>
      <c r="D2585" s="17">
        <v>1</v>
      </c>
      <c r="E2585" s="17">
        <v>5.6</v>
      </c>
      <c r="F2585" s="17"/>
      <c r="G2585" s="17">
        <v>3.5</v>
      </c>
      <c r="H2585" s="18">
        <f t="shared" ref="H2585" si="424">PRODUCT(D2585:G2585)</f>
        <v>19.599999999999998</v>
      </c>
    </row>
    <row r="2586" spans="1:8">
      <c r="A2586" s="17"/>
      <c r="B2586" s="17" t="s">
        <v>195</v>
      </c>
      <c r="C2586" s="73" t="s">
        <v>10</v>
      </c>
      <c r="D2586" s="17">
        <v>1</v>
      </c>
      <c r="E2586" s="17">
        <v>3.55</v>
      </c>
      <c r="F2586" s="17"/>
      <c r="G2586" s="17">
        <v>3.5</v>
      </c>
      <c r="H2586" s="18">
        <f t="shared" si="415"/>
        <v>12.424999999999999</v>
      </c>
    </row>
    <row r="2587" spans="1:8">
      <c r="A2587" s="17"/>
      <c r="B2587" s="17" t="s">
        <v>1229</v>
      </c>
      <c r="C2587" s="73" t="s">
        <v>10</v>
      </c>
      <c r="D2587" s="17">
        <v>1</v>
      </c>
      <c r="E2587" s="17">
        <v>3.55</v>
      </c>
      <c r="F2587" s="17"/>
      <c r="G2587" s="17">
        <v>3.5</v>
      </c>
      <c r="H2587" s="18">
        <f t="shared" ref="H2587:H2591" si="425">PRODUCT(D2587:G2587)</f>
        <v>12.424999999999999</v>
      </c>
    </row>
    <row r="2588" spans="1:8">
      <c r="A2588" s="485"/>
      <c r="B2588" s="17" t="s">
        <v>1230</v>
      </c>
      <c r="C2588" s="73" t="s">
        <v>10</v>
      </c>
      <c r="D2588" s="17">
        <v>1</v>
      </c>
      <c r="E2588" s="17">
        <v>3.55</v>
      </c>
      <c r="F2588" s="17"/>
      <c r="G2588" s="17">
        <v>3.5</v>
      </c>
      <c r="H2588" s="18">
        <f t="shared" ref="H2588" si="426">PRODUCT(D2588:G2588)</f>
        <v>12.424999999999999</v>
      </c>
    </row>
    <row r="2589" spans="1:8">
      <c r="A2589" s="17"/>
      <c r="B2589" s="17" t="s">
        <v>1398</v>
      </c>
      <c r="C2589" s="73" t="s">
        <v>10</v>
      </c>
      <c r="D2589" s="17">
        <v>1</v>
      </c>
      <c r="E2589" s="17">
        <v>3.9</v>
      </c>
      <c r="F2589" s="17"/>
      <c r="G2589" s="17">
        <v>3.5</v>
      </c>
      <c r="H2589" s="18">
        <f t="shared" si="425"/>
        <v>13.65</v>
      </c>
    </row>
    <row r="2590" spans="1:8">
      <c r="A2590" s="17"/>
      <c r="B2590" s="17" t="s">
        <v>1195</v>
      </c>
      <c r="C2590" s="73" t="s">
        <v>10</v>
      </c>
      <c r="D2590" s="17">
        <v>1</v>
      </c>
      <c r="E2590" s="17">
        <v>3.75</v>
      </c>
      <c r="F2590" s="17"/>
      <c r="G2590" s="17">
        <v>3.5</v>
      </c>
      <c r="H2590" s="18">
        <f t="shared" si="425"/>
        <v>13.125</v>
      </c>
    </row>
    <row r="2591" spans="1:8">
      <c r="A2591" s="17"/>
      <c r="B2591" s="17" t="s">
        <v>197</v>
      </c>
      <c r="C2591" s="73" t="s">
        <v>10</v>
      </c>
      <c r="D2591" s="17">
        <v>1</v>
      </c>
      <c r="E2591" s="17">
        <v>3.75</v>
      </c>
      <c r="F2591" s="17"/>
      <c r="G2591" s="17">
        <v>3.5</v>
      </c>
      <c r="H2591" s="18">
        <f t="shared" si="425"/>
        <v>13.125</v>
      </c>
    </row>
    <row r="2592" spans="1:8">
      <c r="A2592" s="485"/>
      <c r="B2592" s="485" t="s">
        <v>1219</v>
      </c>
      <c r="C2592" s="73" t="s">
        <v>10</v>
      </c>
      <c r="D2592" s="17">
        <v>1</v>
      </c>
      <c r="E2592" s="17">
        <v>2.7250000000000001</v>
      </c>
      <c r="F2592" s="17"/>
      <c r="G2592" s="17">
        <v>3.5</v>
      </c>
      <c r="H2592" s="18">
        <f t="shared" ref="H2592" si="427">PRODUCT(D2592:G2592)</f>
        <v>9.5374999999999996</v>
      </c>
    </row>
    <row r="2593" spans="1:8">
      <c r="A2593" s="17"/>
      <c r="B2593" s="17"/>
      <c r="C2593" s="17"/>
      <c r="D2593" s="17"/>
      <c r="E2593" s="17"/>
      <c r="F2593" s="17"/>
      <c r="G2593" s="17"/>
      <c r="H2593" s="18"/>
    </row>
    <row r="2594" spans="1:8">
      <c r="A2594" s="15"/>
      <c r="B2594" s="15" t="s">
        <v>21</v>
      </c>
      <c r="C2594" s="15"/>
      <c r="D2594" s="15"/>
      <c r="E2594" s="15"/>
      <c r="F2594" s="15"/>
      <c r="G2594" s="15"/>
      <c r="H2594" s="20">
        <f>SUM(H2561:H2593)</f>
        <v>422.37750000000011</v>
      </c>
    </row>
    <row r="2595" spans="1:8">
      <c r="A2595" s="17"/>
      <c r="B2595" s="17" t="s">
        <v>22</v>
      </c>
      <c r="C2595" s="17"/>
      <c r="D2595" s="17"/>
      <c r="E2595" s="17"/>
      <c r="F2595" s="17"/>
      <c r="G2595" s="17"/>
      <c r="H2595" s="18"/>
    </row>
    <row r="2596" spans="1:8">
      <c r="A2596" s="15"/>
      <c r="B2596" s="15" t="s">
        <v>23</v>
      </c>
      <c r="C2596" s="15"/>
      <c r="D2596" s="15"/>
      <c r="E2596" s="15"/>
      <c r="F2596" s="15"/>
      <c r="G2596" s="15"/>
      <c r="H2596" s="20">
        <f>ROUND(SUM(H2594:H2595),0)</f>
        <v>422</v>
      </c>
    </row>
    <row r="2598" spans="1:8">
      <c r="A2598" s="17">
        <v>4</v>
      </c>
      <c r="B2598" s="15" t="s">
        <v>49</v>
      </c>
      <c r="C2598" s="17" t="s">
        <v>10</v>
      </c>
      <c r="D2598" s="17"/>
      <c r="E2598" s="17"/>
      <c r="F2598" s="17"/>
      <c r="G2598" s="17"/>
      <c r="H2598" s="18"/>
    </row>
    <row r="2599" spans="1:8">
      <c r="A2599" s="17"/>
      <c r="B2599" s="17"/>
      <c r="C2599" s="17" t="s">
        <v>10</v>
      </c>
      <c r="D2599" s="17"/>
      <c r="E2599" s="17"/>
      <c r="F2599" s="17"/>
      <c r="G2599" s="17"/>
      <c r="H2599" s="18"/>
    </row>
    <row r="2600" spans="1:8">
      <c r="A2600" s="17"/>
      <c r="B2600" s="17" t="s">
        <v>2147</v>
      </c>
      <c r="C2600" s="17" t="s">
        <v>10</v>
      </c>
      <c r="D2600" s="17">
        <v>1</v>
      </c>
      <c r="E2600" s="17">
        <v>4.8</v>
      </c>
      <c r="F2600" s="17"/>
      <c r="G2600" s="17">
        <v>2.1</v>
      </c>
      <c r="H2600" s="18">
        <f t="shared" ref="H2600" si="428">PRODUCT(D2600:G2600)</f>
        <v>10.08</v>
      </c>
    </row>
    <row r="2601" spans="1:8">
      <c r="A2601" s="485"/>
      <c r="B2601" s="485" t="s">
        <v>172</v>
      </c>
      <c r="C2601" s="17" t="s">
        <v>10</v>
      </c>
      <c r="D2601" s="485">
        <v>1</v>
      </c>
      <c r="E2601" s="485">
        <v>4.8</v>
      </c>
      <c r="F2601" s="485"/>
      <c r="G2601" s="485">
        <v>1.2</v>
      </c>
      <c r="H2601" s="487">
        <f t="shared" ref="H2601:H2607" si="429">PRODUCT(D2601:G2601)</f>
        <v>5.76</v>
      </c>
    </row>
    <row r="2602" spans="1:8">
      <c r="A2602" s="485"/>
      <c r="B2602" s="485" t="s">
        <v>172</v>
      </c>
      <c r="C2602" s="17" t="s">
        <v>10</v>
      </c>
      <c r="D2602" s="485">
        <v>1</v>
      </c>
      <c r="E2602" s="485">
        <v>7.2</v>
      </c>
      <c r="F2602" s="485"/>
      <c r="G2602" s="485">
        <v>1.2</v>
      </c>
      <c r="H2602" s="487">
        <f t="shared" si="429"/>
        <v>8.64</v>
      </c>
    </row>
    <row r="2603" spans="1:8">
      <c r="A2603" s="485"/>
      <c r="B2603" s="485" t="s">
        <v>172</v>
      </c>
      <c r="C2603" s="17" t="s">
        <v>10</v>
      </c>
      <c r="D2603" s="485">
        <v>1</v>
      </c>
      <c r="E2603" s="485">
        <v>4.8</v>
      </c>
      <c r="F2603" s="485"/>
      <c r="G2603" s="485">
        <v>2.1</v>
      </c>
      <c r="H2603" s="487">
        <f t="shared" si="429"/>
        <v>10.08</v>
      </c>
    </row>
    <row r="2604" spans="1:8">
      <c r="A2604" s="485"/>
      <c r="B2604" s="485" t="s">
        <v>196</v>
      </c>
      <c r="C2604" s="17" t="s">
        <v>10</v>
      </c>
      <c r="D2604" s="485">
        <v>1</v>
      </c>
      <c r="E2604" s="485">
        <v>3.6</v>
      </c>
      <c r="F2604" s="485"/>
      <c r="G2604" s="485">
        <v>1.2</v>
      </c>
      <c r="H2604" s="487">
        <f t="shared" si="429"/>
        <v>4.32</v>
      </c>
    </row>
    <row r="2605" spans="1:8">
      <c r="A2605" s="485"/>
      <c r="B2605" s="485" t="s">
        <v>196</v>
      </c>
      <c r="C2605" s="17" t="s">
        <v>10</v>
      </c>
      <c r="D2605" s="485">
        <v>1</v>
      </c>
      <c r="E2605" s="485">
        <v>1.2</v>
      </c>
      <c r="F2605" s="485"/>
      <c r="G2605" s="485">
        <v>2.1</v>
      </c>
      <c r="H2605" s="487">
        <f t="shared" si="429"/>
        <v>2.52</v>
      </c>
    </row>
    <row r="2606" spans="1:8">
      <c r="A2606" s="485"/>
      <c r="B2606" s="485" t="s">
        <v>196</v>
      </c>
      <c r="C2606" s="17" t="s">
        <v>10</v>
      </c>
      <c r="D2606" s="485">
        <v>1</v>
      </c>
      <c r="E2606" s="485">
        <v>4.8</v>
      </c>
      <c r="F2606" s="485"/>
      <c r="G2606" s="485">
        <v>2.1</v>
      </c>
      <c r="H2606" s="487">
        <f t="shared" si="429"/>
        <v>10.08</v>
      </c>
    </row>
    <row r="2607" spans="1:8">
      <c r="A2607" s="485"/>
      <c r="B2607" s="485" t="s">
        <v>196</v>
      </c>
      <c r="C2607" s="17" t="s">
        <v>10</v>
      </c>
      <c r="D2607" s="485">
        <v>1</v>
      </c>
      <c r="E2607" s="485">
        <v>1.2</v>
      </c>
      <c r="F2607" s="485"/>
      <c r="G2607" s="485">
        <v>2.1</v>
      </c>
      <c r="H2607" s="487">
        <f t="shared" si="429"/>
        <v>2.52</v>
      </c>
    </row>
    <row r="2608" spans="1:8">
      <c r="A2608" s="17"/>
      <c r="B2608" s="17"/>
      <c r="C2608" s="17"/>
      <c r="D2608" s="17"/>
      <c r="E2608" s="17"/>
      <c r="F2608" s="17"/>
      <c r="G2608" s="17"/>
      <c r="H2608" s="18"/>
    </row>
    <row r="2609" spans="1:8">
      <c r="A2609" s="15"/>
      <c r="B2609" s="15" t="s">
        <v>21</v>
      </c>
      <c r="C2609" s="15"/>
      <c r="D2609" s="15"/>
      <c r="E2609" s="15"/>
      <c r="F2609" s="15"/>
      <c r="G2609" s="15"/>
      <c r="H2609" s="20">
        <f>SUM(H2598:H2608)</f>
        <v>54.000000000000007</v>
      </c>
    </row>
    <row r="2610" spans="1:8">
      <c r="A2610" s="17"/>
      <c r="B2610" s="17" t="s">
        <v>22</v>
      </c>
      <c r="C2610" s="17"/>
      <c r="D2610" s="17"/>
      <c r="E2610" s="17"/>
      <c r="F2610" s="17"/>
      <c r="G2610" s="17"/>
      <c r="H2610" s="18"/>
    </row>
    <row r="2611" spans="1:8">
      <c r="A2611" s="15"/>
      <c r="B2611" s="15" t="s">
        <v>23</v>
      </c>
      <c r="C2611" s="15"/>
      <c r="D2611" s="15"/>
      <c r="E2611" s="15"/>
      <c r="F2611" s="15"/>
      <c r="G2611" s="15"/>
      <c r="H2611" s="20">
        <f>ROUND(SUM(H2609:H2610),0)</f>
        <v>54</v>
      </c>
    </row>
    <row r="2612" spans="1:8" s="948" customFormat="1">
      <c r="H2612" s="21"/>
    </row>
    <row r="2613" spans="1:8" s="948" customFormat="1">
      <c r="A2613" s="17">
        <v>4</v>
      </c>
      <c r="B2613" s="15" t="s">
        <v>49</v>
      </c>
      <c r="C2613" s="17" t="s">
        <v>10</v>
      </c>
      <c r="D2613" s="17"/>
      <c r="E2613" s="17"/>
      <c r="F2613" s="17"/>
      <c r="G2613" s="17"/>
      <c r="H2613" s="18"/>
    </row>
    <row r="2614" spans="1:8" s="948" customFormat="1">
      <c r="A2614" s="17"/>
      <c r="B2614" s="17"/>
      <c r="C2614" s="17" t="s">
        <v>10</v>
      </c>
      <c r="D2614" s="17"/>
      <c r="E2614" s="17"/>
      <c r="F2614" s="17"/>
      <c r="G2614" s="17"/>
      <c r="H2614" s="18"/>
    </row>
    <row r="2615" spans="1:8" s="948" customFormat="1">
      <c r="A2615" s="17"/>
      <c r="B2615" s="17" t="s">
        <v>2147</v>
      </c>
      <c r="C2615" s="17" t="s">
        <v>10</v>
      </c>
      <c r="D2615" s="17">
        <v>1</v>
      </c>
      <c r="E2615" s="17">
        <v>4.8</v>
      </c>
      <c r="F2615" s="17"/>
      <c r="G2615" s="17">
        <v>2.1</v>
      </c>
      <c r="H2615" s="18">
        <f t="shared" ref="H2615:H2622" si="430">PRODUCT(D2615:G2615)</f>
        <v>10.08</v>
      </c>
    </row>
    <row r="2616" spans="1:8" s="948" customFormat="1">
      <c r="A2616" s="485"/>
      <c r="B2616" s="485" t="s">
        <v>172</v>
      </c>
      <c r="C2616" s="17" t="s">
        <v>10</v>
      </c>
      <c r="D2616" s="485">
        <v>1</v>
      </c>
      <c r="E2616" s="485">
        <v>4.8</v>
      </c>
      <c r="F2616" s="485"/>
      <c r="G2616" s="485">
        <v>1.2</v>
      </c>
      <c r="H2616" s="487">
        <f t="shared" si="430"/>
        <v>5.76</v>
      </c>
    </row>
    <row r="2617" spans="1:8" s="948" customFormat="1">
      <c r="A2617" s="485"/>
      <c r="B2617" s="485" t="s">
        <v>172</v>
      </c>
      <c r="C2617" s="17" t="s">
        <v>10</v>
      </c>
      <c r="D2617" s="485">
        <v>1</v>
      </c>
      <c r="E2617" s="485">
        <v>7.2</v>
      </c>
      <c r="F2617" s="485"/>
      <c r="G2617" s="485">
        <v>1.2</v>
      </c>
      <c r="H2617" s="487">
        <f t="shared" si="430"/>
        <v>8.64</v>
      </c>
    </row>
    <row r="2618" spans="1:8" s="948" customFormat="1">
      <c r="A2618" s="485"/>
      <c r="B2618" s="485" t="s">
        <v>172</v>
      </c>
      <c r="C2618" s="17" t="s">
        <v>10</v>
      </c>
      <c r="D2618" s="485">
        <v>1</v>
      </c>
      <c r="E2618" s="485">
        <v>4.8</v>
      </c>
      <c r="F2618" s="485"/>
      <c r="G2618" s="485">
        <v>2.1</v>
      </c>
      <c r="H2618" s="487">
        <f t="shared" si="430"/>
        <v>10.08</v>
      </c>
    </row>
    <row r="2619" spans="1:8" s="948" customFormat="1">
      <c r="A2619" s="485"/>
      <c r="B2619" s="485" t="s">
        <v>196</v>
      </c>
      <c r="C2619" s="17" t="s">
        <v>10</v>
      </c>
      <c r="D2619" s="485">
        <v>1</v>
      </c>
      <c r="E2619" s="485">
        <v>3.6</v>
      </c>
      <c r="F2619" s="485"/>
      <c r="G2619" s="485">
        <v>1.2</v>
      </c>
      <c r="H2619" s="487">
        <f t="shared" si="430"/>
        <v>4.32</v>
      </c>
    </row>
    <row r="2620" spans="1:8" s="948" customFormat="1">
      <c r="A2620" s="485"/>
      <c r="B2620" s="485" t="s">
        <v>196</v>
      </c>
      <c r="C2620" s="17" t="s">
        <v>10</v>
      </c>
      <c r="D2620" s="485">
        <v>1</v>
      </c>
      <c r="E2620" s="485">
        <v>1.2</v>
      </c>
      <c r="F2620" s="485"/>
      <c r="G2620" s="485">
        <v>2.1</v>
      </c>
      <c r="H2620" s="487">
        <f t="shared" si="430"/>
        <v>2.52</v>
      </c>
    </row>
    <row r="2621" spans="1:8" s="948" customFormat="1">
      <c r="A2621" s="485"/>
      <c r="B2621" s="485" t="s">
        <v>196</v>
      </c>
      <c r="C2621" s="17" t="s">
        <v>10</v>
      </c>
      <c r="D2621" s="485">
        <v>1</v>
      </c>
      <c r="E2621" s="485">
        <v>4.8</v>
      </c>
      <c r="F2621" s="485"/>
      <c r="G2621" s="485">
        <v>2.1</v>
      </c>
      <c r="H2621" s="487">
        <f t="shared" si="430"/>
        <v>10.08</v>
      </c>
    </row>
    <row r="2622" spans="1:8" s="948" customFormat="1">
      <c r="A2622" s="485"/>
      <c r="B2622" s="485" t="s">
        <v>196</v>
      </c>
      <c r="C2622" s="17" t="s">
        <v>10</v>
      </c>
      <c r="D2622" s="485">
        <v>1</v>
      </c>
      <c r="E2622" s="485">
        <v>1.2</v>
      </c>
      <c r="F2622" s="485"/>
      <c r="G2622" s="485">
        <v>2.1</v>
      </c>
      <c r="H2622" s="487">
        <f t="shared" si="430"/>
        <v>2.52</v>
      </c>
    </row>
    <row r="2623" spans="1:8" s="948" customFormat="1">
      <c r="A2623" s="17"/>
      <c r="B2623" s="17"/>
      <c r="C2623" s="17"/>
      <c r="D2623" s="17"/>
      <c r="E2623" s="17"/>
      <c r="F2623" s="17"/>
      <c r="G2623" s="17"/>
      <c r="H2623" s="18"/>
    </row>
    <row r="2624" spans="1:8" s="948" customFormat="1">
      <c r="A2624" s="15"/>
      <c r="B2624" s="15" t="s">
        <v>21</v>
      </c>
      <c r="C2624" s="15"/>
      <c r="D2624" s="15"/>
      <c r="E2624" s="15"/>
      <c r="F2624" s="15"/>
      <c r="G2624" s="15"/>
      <c r="H2624" s="20">
        <f>SUM(H2613:H2623)</f>
        <v>54.000000000000007</v>
      </c>
    </row>
    <row r="2625" spans="1:8" s="948" customFormat="1">
      <c r="A2625" s="17"/>
      <c r="B2625" s="17" t="s">
        <v>22</v>
      </c>
      <c r="C2625" s="17"/>
      <c r="D2625" s="17"/>
      <c r="E2625" s="17"/>
      <c r="F2625" s="17"/>
      <c r="G2625" s="17"/>
      <c r="H2625" s="18"/>
    </row>
    <row r="2626" spans="1:8" s="948" customFormat="1">
      <c r="A2626" s="15"/>
      <c r="B2626" s="15" t="s">
        <v>23</v>
      </c>
      <c r="C2626" s="15"/>
      <c r="D2626" s="15"/>
      <c r="E2626" s="15"/>
      <c r="F2626" s="15"/>
      <c r="G2626" s="15"/>
      <c r="H2626" s="20">
        <f>ROUND(SUM(H2624:H2625),0)</f>
        <v>54</v>
      </c>
    </row>
    <row r="2628" spans="1:8">
      <c r="A2628" s="17">
        <v>4</v>
      </c>
      <c r="B2628" s="15" t="s">
        <v>129</v>
      </c>
      <c r="C2628" s="17" t="s">
        <v>10</v>
      </c>
      <c r="D2628" s="17"/>
      <c r="E2628" s="17"/>
      <c r="F2628" s="17"/>
      <c r="G2628" s="17"/>
      <c r="H2628" s="18"/>
    </row>
    <row r="2629" spans="1:8">
      <c r="A2629" s="17"/>
      <c r="B2629" s="15" t="s">
        <v>45</v>
      </c>
      <c r="C2629" s="17" t="s">
        <v>10</v>
      </c>
      <c r="D2629" s="17"/>
      <c r="E2629" s="17"/>
      <c r="F2629" s="17"/>
      <c r="G2629" s="17"/>
      <c r="H2629" s="18"/>
    </row>
    <row r="2630" spans="1:8">
      <c r="A2630" s="485"/>
      <c r="B2630" s="486" t="s">
        <v>156</v>
      </c>
      <c r="C2630" s="17" t="s">
        <v>10</v>
      </c>
      <c r="D2630" s="485">
        <v>4</v>
      </c>
      <c r="E2630" s="485">
        <v>1.8</v>
      </c>
      <c r="F2630" s="485"/>
      <c r="G2630" s="485">
        <v>3.5</v>
      </c>
      <c r="H2630" s="18">
        <f t="shared" ref="H2630:H2693" si="431">PRODUCT(D2630:G2630)</f>
        <v>25.2</v>
      </c>
    </row>
    <row r="2631" spans="1:8">
      <c r="A2631" s="485"/>
      <c r="B2631" s="486"/>
      <c r="C2631" s="17" t="s">
        <v>10</v>
      </c>
      <c r="D2631" s="485">
        <v>-4</v>
      </c>
      <c r="E2631" s="485">
        <v>1.5</v>
      </c>
      <c r="F2631" s="485"/>
      <c r="G2631" s="485">
        <v>2.4</v>
      </c>
      <c r="H2631" s="18">
        <f t="shared" si="431"/>
        <v>-14.399999999999999</v>
      </c>
    </row>
    <row r="2632" spans="1:8">
      <c r="A2632" s="485"/>
      <c r="B2632" s="486"/>
      <c r="C2632" s="17" t="s">
        <v>10</v>
      </c>
      <c r="D2632" s="485">
        <v>2</v>
      </c>
      <c r="E2632" s="485">
        <v>0.875</v>
      </c>
      <c r="F2632" s="485"/>
      <c r="G2632" s="485">
        <v>3.5</v>
      </c>
      <c r="H2632" s="18">
        <f t="shared" si="431"/>
        <v>6.125</v>
      </c>
    </row>
    <row r="2633" spans="1:8">
      <c r="A2633" s="485"/>
      <c r="B2633" s="486"/>
      <c r="C2633" s="17" t="s">
        <v>10</v>
      </c>
      <c r="D2633" s="485">
        <v>1</v>
      </c>
      <c r="E2633" s="485">
        <v>4</v>
      </c>
      <c r="F2633" s="485"/>
      <c r="G2633" s="485">
        <v>3.5</v>
      </c>
      <c r="H2633" s="18">
        <f t="shared" si="431"/>
        <v>14</v>
      </c>
    </row>
    <row r="2634" spans="1:8">
      <c r="A2634" s="485"/>
      <c r="B2634" s="486" t="s">
        <v>1343</v>
      </c>
      <c r="C2634" s="17" t="s">
        <v>10</v>
      </c>
      <c r="D2634" s="485">
        <v>0</v>
      </c>
      <c r="E2634" s="485">
        <v>0.75</v>
      </c>
      <c r="F2634" s="485"/>
      <c r="G2634" s="485">
        <v>3.5</v>
      </c>
      <c r="H2634" s="18">
        <f t="shared" si="431"/>
        <v>0</v>
      </c>
    </row>
    <row r="2635" spans="1:8">
      <c r="A2635" s="485"/>
      <c r="B2635" s="486" t="s">
        <v>1343</v>
      </c>
      <c r="C2635" s="17" t="s">
        <v>10</v>
      </c>
      <c r="D2635" s="485">
        <v>0</v>
      </c>
      <c r="E2635" s="485">
        <v>0.31</v>
      </c>
      <c r="F2635" s="485"/>
      <c r="G2635" s="485">
        <v>3.5</v>
      </c>
      <c r="H2635" s="18">
        <f t="shared" si="431"/>
        <v>0</v>
      </c>
    </row>
    <row r="2636" spans="1:8">
      <c r="A2636" s="485"/>
      <c r="B2636" s="486" t="s">
        <v>1343</v>
      </c>
      <c r="C2636" s="17" t="s">
        <v>10</v>
      </c>
      <c r="D2636" s="485">
        <v>0</v>
      </c>
      <c r="E2636" s="485">
        <v>2.48</v>
      </c>
      <c r="F2636" s="485"/>
      <c r="G2636" s="485">
        <v>3.5</v>
      </c>
      <c r="H2636" s="18">
        <f t="shared" si="431"/>
        <v>0</v>
      </c>
    </row>
    <row r="2637" spans="1:8">
      <c r="A2637" s="485"/>
      <c r="B2637" s="486"/>
      <c r="C2637" s="17" t="s">
        <v>10</v>
      </c>
      <c r="D2637" s="485">
        <v>3</v>
      </c>
      <c r="E2637" s="485">
        <v>0.5</v>
      </c>
      <c r="F2637" s="485"/>
      <c r="G2637" s="485">
        <v>3.5</v>
      </c>
      <c r="H2637" s="18">
        <f t="shared" si="431"/>
        <v>5.25</v>
      </c>
    </row>
    <row r="2638" spans="1:8">
      <c r="A2638" s="485"/>
      <c r="B2638" s="486"/>
      <c r="C2638" s="17" t="s">
        <v>10</v>
      </c>
      <c r="D2638" s="485">
        <v>3</v>
      </c>
      <c r="E2638" s="485">
        <v>9.1</v>
      </c>
      <c r="F2638" s="485"/>
      <c r="G2638" s="485">
        <v>3.5</v>
      </c>
      <c r="H2638" s="487">
        <f t="shared" si="431"/>
        <v>95.549999999999983</v>
      </c>
    </row>
    <row r="2639" spans="1:8">
      <c r="A2639" s="485"/>
      <c r="B2639" s="486"/>
      <c r="C2639" s="17" t="s">
        <v>10</v>
      </c>
      <c r="D2639" s="485">
        <v>1</v>
      </c>
      <c r="E2639" s="485">
        <v>2.75</v>
      </c>
      <c r="F2639" s="485"/>
      <c r="G2639" s="485">
        <v>3.5</v>
      </c>
      <c r="H2639" s="487">
        <f t="shared" si="431"/>
        <v>9.625</v>
      </c>
    </row>
    <row r="2640" spans="1:8">
      <c r="A2640" s="485"/>
      <c r="B2640" s="486"/>
      <c r="C2640" s="17" t="s">
        <v>10</v>
      </c>
      <c r="D2640" s="485">
        <v>1</v>
      </c>
      <c r="E2640" s="485">
        <v>1.7549999999999999</v>
      </c>
      <c r="F2640" s="485"/>
      <c r="G2640" s="485">
        <v>3.5</v>
      </c>
      <c r="H2640" s="487">
        <f t="shared" si="431"/>
        <v>6.1425000000000001</v>
      </c>
    </row>
    <row r="2641" spans="1:8">
      <c r="A2641" s="485"/>
      <c r="B2641" s="486"/>
      <c r="C2641" s="17" t="s">
        <v>10</v>
      </c>
      <c r="D2641" s="485">
        <v>2</v>
      </c>
      <c r="E2641" s="485">
        <v>5.0999999999999996</v>
      </c>
      <c r="F2641" s="485"/>
      <c r="G2641" s="485">
        <v>3.5</v>
      </c>
      <c r="H2641" s="487">
        <f t="shared" si="431"/>
        <v>35.699999999999996</v>
      </c>
    </row>
    <row r="2642" spans="1:8">
      <c r="A2642" s="485"/>
      <c r="B2642" s="486"/>
      <c r="C2642" s="17" t="s">
        <v>10</v>
      </c>
      <c r="D2642" s="485">
        <v>2</v>
      </c>
      <c r="E2642" s="485">
        <v>1.63</v>
      </c>
      <c r="F2642" s="485"/>
      <c r="G2642" s="485">
        <v>3.5</v>
      </c>
      <c r="H2642" s="487">
        <f t="shared" si="431"/>
        <v>11.41</v>
      </c>
    </row>
    <row r="2643" spans="1:8">
      <c r="A2643" s="485"/>
      <c r="B2643" s="486" t="s">
        <v>1252</v>
      </c>
      <c r="C2643" s="17" t="s">
        <v>10</v>
      </c>
      <c r="D2643" s="485">
        <v>3</v>
      </c>
      <c r="E2643" s="485">
        <v>5.3</v>
      </c>
      <c r="F2643" s="485"/>
      <c r="G2643" s="485">
        <v>3.5</v>
      </c>
      <c r="H2643" s="487">
        <f t="shared" si="431"/>
        <v>55.649999999999991</v>
      </c>
    </row>
    <row r="2644" spans="1:8">
      <c r="A2644" s="485"/>
      <c r="B2644" s="486"/>
      <c r="C2644" s="17" t="s">
        <v>10</v>
      </c>
      <c r="D2644" s="485">
        <v>1</v>
      </c>
      <c r="E2644" s="485">
        <v>1.1299999999999999</v>
      </c>
      <c r="F2644" s="485"/>
      <c r="G2644" s="485">
        <v>3.5</v>
      </c>
      <c r="H2644" s="487">
        <f t="shared" si="431"/>
        <v>3.9549999999999996</v>
      </c>
    </row>
    <row r="2645" spans="1:8">
      <c r="A2645" s="485"/>
      <c r="B2645" s="486"/>
      <c r="C2645" s="17" t="s">
        <v>10</v>
      </c>
      <c r="D2645" s="485">
        <v>1</v>
      </c>
      <c r="E2645" s="485">
        <v>5.91</v>
      </c>
      <c r="F2645" s="485"/>
      <c r="G2645" s="485">
        <v>3.5</v>
      </c>
      <c r="H2645" s="487">
        <f t="shared" si="431"/>
        <v>20.685000000000002</v>
      </c>
    </row>
    <row r="2646" spans="1:8">
      <c r="A2646" s="485"/>
      <c r="B2646" s="486" t="s">
        <v>1343</v>
      </c>
      <c r="C2646" s="17" t="s">
        <v>10</v>
      </c>
      <c r="D2646" s="485">
        <v>1</v>
      </c>
      <c r="E2646" s="485">
        <v>1.69</v>
      </c>
      <c r="F2646" s="485"/>
      <c r="G2646" s="485">
        <v>3.5</v>
      </c>
      <c r="H2646" s="487">
        <f t="shared" si="431"/>
        <v>5.915</v>
      </c>
    </row>
    <row r="2647" spans="1:8">
      <c r="A2647" s="485"/>
      <c r="B2647" s="486"/>
      <c r="C2647" s="17" t="s">
        <v>10</v>
      </c>
      <c r="D2647" s="485">
        <v>1</v>
      </c>
      <c r="E2647" s="485">
        <v>0.84</v>
      </c>
      <c r="F2647" s="485"/>
      <c r="G2647" s="485">
        <v>3.5</v>
      </c>
      <c r="H2647" s="487">
        <f t="shared" si="431"/>
        <v>2.94</v>
      </c>
    </row>
    <row r="2648" spans="1:8">
      <c r="A2648" s="485"/>
      <c r="B2648" s="486"/>
      <c r="C2648" s="17" t="s">
        <v>10</v>
      </c>
      <c r="D2648" s="485">
        <v>1</v>
      </c>
      <c r="E2648" s="485">
        <v>1.65</v>
      </c>
      <c r="F2648" s="485"/>
      <c r="G2648" s="485">
        <v>3.5</v>
      </c>
      <c r="H2648" s="487">
        <f t="shared" si="431"/>
        <v>5.7749999999999995</v>
      </c>
    </row>
    <row r="2649" spans="1:8">
      <c r="A2649" s="485"/>
      <c r="B2649" s="486"/>
      <c r="C2649" s="17" t="s">
        <v>10</v>
      </c>
      <c r="D2649" s="485">
        <v>1</v>
      </c>
      <c r="E2649" s="485">
        <v>3.78</v>
      </c>
      <c r="F2649" s="485"/>
      <c r="G2649" s="485">
        <v>3.5</v>
      </c>
      <c r="H2649" s="487">
        <f t="shared" si="431"/>
        <v>13.229999999999999</v>
      </c>
    </row>
    <row r="2650" spans="1:8">
      <c r="A2650" s="485"/>
      <c r="B2650" s="486" t="s">
        <v>1215</v>
      </c>
      <c r="C2650" s="17" t="s">
        <v>10</v>
      </c>
      <c r="D2650" s="485">
        <v>1</v>
      </c>
      <c r="E2650" s="485">
        <v>3.45</v>
      </c>
      <c r="F2650" s="485"/>
      <c r="G2650" s="485">
        <v>3.5</v>
      </c>
      <c r="H2650" s="487">
        <f t="shared" si="431"/>
        <v>12.075000000000001</v>
      </c>
    </row>
    <row r="2651" spans="1:8">
      <c r="A2651" s="485"/>
      <c r="B2651" s="486"/>
      <c r="C2651" s="17" t="s">
        <v>10</v>
      </c>
      <c r="D2651" s="485">
        <v>1</v>
      </c>
      <c r="E2651" s="485">
        <v>15.64</v>
      </c>
      <c r="F2651" s="485"/>
      <c r="G2651" s="485">
        <v>3.5</v>
      </c>
      <c r="H2651" s="487">
        <f t="shared" si="431"/>
        <v>54.74</v>
      </c>
    </row>
    <row r="2652" spans="1:8">
      <c r="A2652" s="485"/>
      <c r="B2652" s="486"/>
      <c r="C2652" s="17" t="s">
        <v>10</v>
      </c>
      <c r="D2652" s="485">
        <v>1</v>
      </c>
      <c r="E2652" s="485">
        <v>0.2</v>
      </c>
      <c r="F2652" s="485"/>
      <c r="G2652" s="485">
        <v>3.5</v>
      </c>
      <c r="H2652" s="487">
        <f t="shared" si="431"/>
        <v>0.70000000000000007</v>
      </c>
    </row>
    <row r="2653" spans="1:8">
      <c r="A2653" s="485"/>
      <c r="B2653" s="486"/>
      <c r="C2653" s="17" t="s">
        <v>10</v>
      </c>
      <c r="D2653" s="485">
        <v>1</v>
      </c>
      <c r="E2653" s="485">
        <v>2.9</v>
      </c>
      <c r="F2653" s="485"/>
      <c r="G2653" s="485">
        <f>3.5-2.4</f>
        <v>1.1000000000000001</v>
      </c>
      <c r="H2653" s="487">
        <f t="shared" si="431"/>
        <v>3.19</v>
      </c>
    </row>
    <row r="2654" spans="1:8">
      <c r="A2654" s="485"/>
      <c r="B2654" s="486"/>
      <c r="C2654" s="17" t="s">
        <v>10</v>
      </c>
      <c r="D2654" s="485">
        <v>1</v>
      </c>
      <c r="E2654" s="485">
        <v>0.15</v>
      </c>
      <c r="F2654" s="485"/>
      <c r="G2654" s="485">
        <v>3.5</v>
      </c>
      <c r="H2654" s="487">
        <f t="shared" si="431"/>
        <v>0.52500000000000002</v>
      </c>
    </row>
    <row r="2655" spans="1:8">
      <c r="A2655" s="485"/>
      <c r="B2655" s="486"/>
      <c r="C2655" s="17" t="s">
        <v>10</v>
      </c>
      <c r="D2655" s="485">
        <v>2</v>
      </c>
      <c r="E2655" s="485">
        <v>3.55</v>
      </c>
      <c r="F2655" s="485"/>
      <c r="G2655" s="485">
        <v>3.5</v>
      </c>
      <c r="H2655" s="487">
        <f t="shared" si="431"/>
        <v>24.849999999999998</v>
      </c>
    </row>
    <row r="2656" spans="1:8">
      <c r="A2656" s="485"/>
      <c r="B2656" s="486" t="s">
        <v>2004</v>
      </c>
      <c r="C2656" s="17" t="s">
        <v>10</v>
      </c>
      <c r="D2656" s="485">
        <v>1</v>
      </c>
      <c r="E2656" s="485">
        <v>1.556</v>
      </c>
      <c r="F2656" s="485"/>
      <c r="G2656" s="485">
        <v>3.5</v>
      </c>
      <c r="H2656" s="487">
        <f t="shared" si="431"/>
        <v>5.4459999999999997</v>
      </c>
    </row>
    <row r="2657" spans="1:8">
      <c r="A2657" s="485"/>
      <c r="B2657" s="486" t="s">
        <v>1199</v>
      </c>
      <c r="C2657" s="17" t="s">
        <v>10</v>
      </c>
      <c r="D2657" s="485">
        <v>4</v>
      </c>
      <c r="E2657" s="485">
        <v>3.55</v>
      </c>
      <c r="F2657" s="485"/>
      <c r="G2657" s="485">
        <v>3.5</v>
      </c>
      <c r="H2657" s="487">
        <f t="shared" si="431"/>
        <v>49.699999999999996</v>
      </c>
    </row>
    <row r="2658" spans="1:8">
      <c r="A2658" s="485"/>
      <c r="B2658" s="486"/>
      <c r="C2658" s="17" t="s">
        <v>10</v>
      </c>
      <c r="D2658" s="485">
        <v>2</v>
      </c>
      <c r="E2658" s="485">
        <v>0.15</v>
      </c>
      <c r="F2658" s="485"/>
      <c r="G2658" s="485">
        <v>3.5</v>
      </c>
      <c r="H2658" s="487">
        <f t="shared" si="431"/>
        <v>1.05</v>
      </c>
    </row>
    <row r="2659" spans="1:8">
      <c r="A2659" s="485"/>
      <c r="B2659" s="486"/>
      <c r="C2659" s="17" t="s">
        <v>10</v>
      </c>
      <c r="D2659" s="485">
        <v>1</v>
      </c>
      <c r="E2659" s="485">
        <v>2.77</v>
      </c>
      <c r="F2659" s="485"/>
      <c r="G2659" s="485">
        <v>1.1000000000000001</v>
      </c>
      <c r="H2659" s="487">
        <f t="shared" si="431"/>
        <v>3.0470000000000002</v>
      </c>
    </row>
    <row r="2660" spans="1:8">
      <c r="A2660" s="485"/>
      <c r="B2660" s="486" t="s">
        <v>1327</v>
      </c>
      <c r="C2660" s="17" t="s">
        <v>10</v>
      </c>
      <c r="D2660" s="485">
        <v>2</v>
      </c>
      <c r="E2660" s="485">
        <v>0.15</v>
      </c>
      <c r="F2660" s="485"/>
      <c r="G2660" s="485">
        <v>3.5</v>
      </c>
      <c r="H2660" s="487">
        <f t="shared" si="431"/>
        <v>1.05</v>
      </c>
    </row>
    <row r="2661" spans="1:8">
      <c r="A2661" s="485"/>
      <c r="B2661" s="486"/>
      <c r="C2661" s="17" t="s">
        <v>10</v>
      </c>
      <c r="D2661" s="485">
        <v>1</v>
      </c>
      <c r="E2661" s="485">
        <v>3.45</v>
      </c>
      <c r="F2661" s="485"/>
      <c r="G2661" s="485">
        <v>3.5</v>
      </c>
      <c r="H2661" s="487">
        <f t="shared" si="431"/>
        <v>12.075000000000001</v>
      </c>
    </row>
    <row r="2662" spans="1:8">
      <c r="A2662" s="485"/>
      <c r="B2662" s="486"/>
      <c r="C2662" s="17" t="s">
        <v>10</v>
      </c>
      <c r="D2662" s="485">
        <v>1</v>
      </c>
      <c r="E2662" s="485">
        <v>2.62</v>
      </c>
      <c r="F2662" s="485"/>
      <c r="G2662" s="485">
        <v>1.1000000000000001</v>
      </c>
      <c r="H2662" s="487">
        <f t="shared" si="431"/>
        <v>2.8820000000000006</v>
      </c>
    </row>
    <row r="2663" spans="1:8">
      <c r="A2663" s="485"/>
      <c r="B2663" s="486" t="s">
        <v>1207</v>
      </c>
      <c r="C2663" s="17" t="s">
        <v>10</v>
      </c>
      <c r="D2663" s="485">
        <v>1</v>
      </c>
      <c r="E2663" s="485">
        <v>3.4</v>
      </c>
      <c r="F2663" s="485"/>
      <c r="G2663" s="485">
        <v>3.5</v>
      </c>
      <c r="H2663" s="487">
        <f t="shared" si="431"/>
        <v>11.9</v>
      </c>
    </row>
    <row r="2664" spans="1:8">
      <c r="A2664" s="485"/>
      <c r="B2664" s="486"/>
      <c r="C2664" s="17" t="s">
        <v>10</v>
      </c>
      <c r="D2664" s="485">
        <v>2</v>
      </c>
      <c r="E2664" s="485">
        <v>0.15</v>
      </c>
      <c r="F2664" s="485"/>
      <c r="G2664" s="485">
        <v>3.5</v>
      </c>
      <c r="H2664" s="487">
        <f t="shared" si="431"/>
        <v>1.05</v>
      </c>
    </row>
    <row r="2665" spans="1:8">
      <c r="A2665" s="485"/>
      <c r="B2665" s="486"/>
      <c r="C2665" s="17" t="s">
        <v>10</v>
      </c>
      <c r="D2665" s="485">
        <v>1</v>
      </c>
      <c r="E2665" s="485">
        <v>4.8</v>
      </c>
      <c r="F2665" s="485"/>
      <c r="G2665" s="485">
        <v>1.1000000000000001</v>
      </c>
      <c r="H2665" s="487">
        <f t="shared" si="431"/>
        <v>5.28</v>
      </c>
    </row>
    <row r="2666" spans="1:8">
      <c r="A2666" s="485"/>
      <c r="B2666" s="486"/>
      <c r="C2666" s="17" t="s">
        <v>10</v>
      </c>
      <c r="D2666" s="485">
        <v>2</v>
      </c>
      <c r="E2666" s="485">
        <v>3.5</v>
      </c>
      <c r="F2666" s="485"/>
      <c r="G2666" s="485">
        <v>3.5</v>
      </c>
      <c r="H2666" s="487">
        <f t="shared" si="431"/>
        <v>24.5</v>
      </c>
    </row>
    <row r="2667" spans="1:8">
      <c r="A2667" s="485"/>
      <c r="B2667" s="486" t="s">
        <v>1299</v>
      </c>
      <c r="C2667" s="17" t="s">
        <v>10</v>
      </c>
      <c r="D2667" s="485">
        <v>2</v>
      </c>
      <c r="E2667" s="485">
        <v>0.15</v>
      </c>
      <c r="F2667" s="485"/>
      <c r="G2667" s="485">
        <v>3.5</v>
      </c>
      <c r="H2667" s="487">
        <f t="shared" si="431"/>
        <v>1.05</v>
      </c>
    </row>
    <row r="2668" spans="1:8">
      <c r="A2668" s="485"/>
      <c r="B2668" s="486"/>
      <c r="C2668" s="17" t="s">
        <v>10</v>
      </c>
      <c r="D2668" s="485">
        <v>1</v>
      </c>
      <c r="E2668" s="485">
        <v>2.8</v>
      </c>
      <c r="F2668" s="485"/>
      <c r="G2668" s="485">
        <v>1.1000000000000001</v>
      </c>
      <c r="H2668" s="487">
        <f t="shared" si="431"/>
        <v>3.08</v>
      </c>
    </row>
    <row r="2669" spans="1:8">
      <c r="A2669" s="485"/>
      <c r="B2669" s="486"/>
      <c r="C2669" s="17" t="s">
        <v>10</v>
      </c>
      <c r="D2669" s="485">
        <v>2</v>
      </c>
      <c r="E2669" s="485">
        <v>3.55</v>
      </c>
      <c r="F2669" s="485"/>
      <c r="G2669" s="485">
        <v>3.5</v>
      </c>
      <c r="H2669" s="487">
        <f t="shared" si="431"/>
        <v>24.849999999999998</v>
      </c>
    </row>
    <row r="2670" spans="1:8">
      <c r="A2670" s="485"/>
      <c r="B2670" s="486" t="s">
        <v>1300</v>
      </c>
      <c r="C2670" s="17" t="s">
        <v>10</v>
      </c>
      <c r="D2670" s="485">
        <v>2</v>
      </c>
      <c r="E2670" s="485">
        <v>0.15</v>
      </c>
      <c r="F2670" s="485"/>
      <c r="G2670" s="485">
        <v>3.5</v>
      </c>
      <c r="H2670" s="487">
        <f t="shared" si="431"/>
        <v>1.05</v>
      </c>
    </row>
    <row r="2671" spans="1:8">
      <c r="A2671" s="485"/>
      <c r="B2671" s="486"/>
      <c r="C2671" s="17" t="s">
        <v>10</v>
      </c>
      <c r="D2671" s="485">
        <v>1</v>
      </c>
      <c r="E2671" s="485">
        <v>2.8</v>
      </c>
      <c r="F2671" s="485"/>
      <c r="G2671" s="485">
        <v>1.1000000000000001</v>
      </c>
      <c r="H2671" s="487">
        <f t="shared" si="431"/>
        <v>3.08</v>
      </c>
    </row>
    <row r="2672" spans="1:8">
      <c r="A2672" s="485"/>
      <c r="B2672" s="486"/>
      <c r="C2672" s="17" t="s">
        <v>10</v>
      </c>
      <c r="D2672" s="485">
        <v>2</v>
      </c>
      <c r="E2672" s="485">
        <v>3.55</v>
      </c>
      <c r="F2672" s="485"/>
      <c r="G2672" s="485">
        <v>3.5</v>
      </c>
      <c r="H2672" s="487">
        <f t="shared" si="431"/>
        <v>24.849999999999998</v>
      </c>
    </row>
    <row r="2673" spans="1:8">
      <c r="A2673" s="485"/>
      <c r="B2673" s="486" t="s">
        <v>1301</v>
      </c>
      <c r="C2673" s="17" t="s">
        <v>10</v>
      </c>
      <c r="D2673" s="485">
        <v>2</v>
      </c>
      <c r="E2673" s="485">
        <v>0.15</v>
      </c>
      <c r="F2673" s="485"/>
      <c r="G2673" s="485">
        <v>3.5</v>
      </c>
      <c r="H2673" s="487">
        <f t="shared" si="431"/>
        <v>1.05</v>
      </c>
    </row>
    <row r="2674" spans="1:8">
      <c r="A2674" s="485"/>
      <c r="B2674" s="486"/>
      <c r="C2674" s="17" t="s">
        <v>10</v>
      </c>
      <c r="D2674" s="485">
        <v>1</v>
      </c>
      <c r="E2674" s="485">
        <v>2.8</v>
      </c>
      <c r="F2674" s="485"/>
      <c r="G2674" s="485">
        <v>1.1000000000000001</v>
      </c>
      <c r="H2674" s="487">
        <f t="shared" si="431"/>
        <v>3.08</v>
      </c>
    </row>
    <row r="2675" spans="1:8">
      <c r="A2675" s="485"/>
      <c r="B2675" s="486"/>
      <c r="C2675" s="17" t="s">
        <v>10</v>
      </c>
      <c r="D2675" s="485">
        <v>2</v>
      </c>
      <c r="E2675" s="485">
        <v>3.55</v>
      </c>
      <c r="F2675" s="485"/>
      <c r="G2675" s="485">
        <v>3.5</v>
      </c>
      <c r="H2675" s="487">
        <f t="shared" si="431"/>
        <v>24.849999999999998</v>
      </c>
    </row>
    <row r="2676" spans="1:8">
      <c r="A2676" s="485"/>
      <c r="B2676" s="486" t="s">
        <v>1269</v>
      </c>
      <c r="C2676" s="17" t="s">
        <v>10</v>
      </c>
      <c r="D2676" s="485">
        <v>1</v>
      </c>
      <c r="E2676" s="485">
        <v>5.9</v>
      </c>
      <c r="F2676" s="485"/>
      <c r="G2676" s="485">
        <v>3.5</v>
      </c>
      <c r="H2676" s="487">
        <f t="shared" si="431"/>
        <v>20.650000000000002</v>
      </c>
    </row>
    <row r="2677" spans="1:8">
      <c r="A2677" s="485"/>
      <c r="B2677" s="486"/>
      <c r="C2677" s="17" t="s">
        <v>10</v>
      </c>
      <c r="D2677" s="485">
        <v>1</v>
      </c>
      <c r="E2677" s="485">
        <v>3.7</v>
      </c>
      <c r="F2677" s="485"/>
      <c r="G2677" s="485">
        <v>3.5</v>
      </c>
      <c r="H2677" s="487">
        <f t="shared" si="431"/>
        <v>12.950000000000001</v>
      </c>
    </row>
    <row r="2678" spans="1:8">
      <c r="A2678" s="485"/>
      <c r="B2678" s="486"/>
      <c r="C2678" s="17" t="s">
        <v>10</v>
      </c>
      <c r="D2678" s="485">
        <v>-3</v>
      </c>
      <c r="E2678" s="485">
        <v>0.75</v>
      </c>
      <c r="F2678" s="485"/>
      <c r="G2678" s="485">
        <v>2.4</v>
      </c>
      <c r="H2678" s="487">
        <f t="shared" si="431"/>
        <v>-5.3999999999999995</v>
      </c>
    </row>
    <row r="2679" spans="1:8">
      <c r="A2679" s="485"/>
      <c r="B2679" s="486"/>
      <c r="C2679" s="17" t="s">
        <v>10</v>
      </c>
      <c r="D2679" s="485">
        <v>1</v>
      </c>
      <c r="E2679" s="485">
        <v>1.88</v>
      </c>
      <c r="F2679" s="485"/>
      <c r="G2679" s="485">
        <v>3.5</v>
      </c>
      <c r="H2679" s="487">
        <f t="shared" si="431"/>
        <v>6.58</v>
      </c>
    </row>
    <row r="2680" spans="1:8">
      <c r="A2680" s="485"/>
      <c r="B2680" s="486"/>
      <c r="C2680" s="17" t="s">
        <v>10</v>
      </c>
      <c r="D2680" s="485">
        <v>2</v>
      </c>
      <c r="E2680" s="485">
        <v>1.98</v>
      </c>
      <c r="F2680" s="485"/>
      <c r="G2680" s="485">
        <v>3.5</v>
      </c>
      <c r="H2680" s="487">
        <f t="shared" si="431"/>
        <v>13.86</v>
      </c>
    </row>
    <row r="2681" spans="1:8">
      <c r="A2681" s="485"/>
      <c r="B2681" s="486" t="s">
        <v>1343</v>
      </c>
      <c r="C2681" s="17" t="s">
        <v>10</v>
      </c>
      <c r="D2681" s="485">
        <v>1</v>
      </c>
      <c r="E2681" s="485">
        <v>2.2000000000000002</v>
      </c>
      <c r="F2681" s="485"/>
      <c r="G2681" s="485">
        <v>3.5</v>
      </c>
      <c r="H2681" s="487">
        <f t="shared" si="431"/>
        <v>7.7000000000000011</v>
      </c>
    </row>
    <row r="2682" spans="1:8">
      <c r="A2682" s="485"/>
      <c r="B2682" s="486"/>
      <c r="C2682" s="17" t="s">
        <v>10</v>
      </c>
      <c r="D2682" s="485">
        <v>1</v>
      </c>
      <c r="E2682" s="485">
        <v>1.6850000000000001</v>
      </c>
      <c r="F2682" s="485"/>
      <c r="G2682" s="485">
        <v>3.5</v>
      </c>
      <c r="H2682" s="487">
        <f t="shared" si="431"/>
        <v>5.8975</v>
      </c>
    </row>
    <row r="2683" spans="1:8">
      <c r="A2683" s="485"/>
      <c r="B2683" s="486"/>
      <c r="C2683" s="17" t="s">
        <v>10</v>
      </c>
      <c r="D2683" s="485">
        <v>1</v>
      </c>
      <c r="E2683" s="485">
        <v>1.9</v>
      </c>
      <c r="F2683" s="485"/>
      <c r="G2683" s="485">
        <v>3.5</v>
      </c>
      <c r="H2683" s="487">
        <f t="shared" si="431"/>
        <v>6.6499999999999995</v>
      </c>
    </row>
    <row r="2684" spans="1:8">
      <c r="A2684" s="485"/>
      <c r="B2684" s="486"/>
      <c r="C2684" s="17" t="s">
        <v>10</v>
      </c>
      <c r="D2684" s="485">
        <v>1</v>
      </c>
      <c r="E2684" s="485">
        <v>1.4850000000000001</v>
      </c>
      <c r="F2684" s="485"/>
      <c r="G2684" s="485">
        <v>3.5</v>
      </c>
      <c r="H2684" s="487">
        <f t="shared" si="431"/>
        <v>5.1975000000000007</v>
      </c>
    </row>
    <row r="2685" spans="1:8">
      <c r="A2685" s="485"/>
      <c r="B2685" s="486" t="s">
        <v>312</v>
      </c>
      <c r="C2685" s="17" t="s">
        <v>10</v>
      </c>
      <c r="D2685" s="485">
        <v>1</v>
      </c>
      <c r="E2685" s="485">
        <v>7.66</v>
      </c>
      <c r="F2685" s="485"/>
      <c r="G2685" s="485">
        <v>1.05</v>
      </c>
      <c r="H2685" s="487">
        <f t="shared" si="431"/>
        <v>8.043000000000001</v>
      </c>
    </row>
    <row r="2686" spans="1:8">
      <c r="A2686" s="485"/>
      <c r="B2686" s="486" t="s">
        <v>2004</v>
      </c>
      <c r="C2686" s="17" t="s">
        <v>10</v>
      </c>
      <c r="D2686" s="485">
        <v>1</v>
      </c>
      <c r="E2686" s="485">
        <v>1.31</v>
      </c>
      <c r="F2686" s="485"/>
      <c r="G2686" s="485">
        <v>3.5</v>
      </c>
      <c r="H2686" s="487">
        <f t="shared" si="431"/>
        <v>4.585</v>
      </c>
    </row>
    <row r="2687" spans="1:8">
      <c r="A2687" s="485"/>
      <c r="B2687" s="486" t="s">
        <v>1201</v>
      </c>
      <c r="C2687" s="17" t="s">
        <v>10</v>
      </c>
      <c r="D2687" s="485">
        <v>1</v>
      </c>
      <c r="E2687" s="485">
        <v>1.9</v>
      </c>
      <c r="F2687" s="485"/>
      <c r="G2687" s="485">
        <v>3.5</v>
      </c>
      <c r="H2687" s="487">
        <f t="shared" si="431"/>
        <v>6.6499999999999995</v>
      </c>
    </row>
    <row r="2688" spans="1:8">
      <c r="A2688" s="485"/>
      <c r="B2688" s="486"/>
      <c r="C2688" s="17" t="s">
        <v>10</v>
      </c>
      <c r="D2688" s="485">
        <v>1</v>
      </c>
      <c r="E2688" s="485">
        <v>3.7</v>
      </c>
      <c r="F2688" s="485"/>
      <c r="G2688" s="485">
        <v>3.5</v>
      </c>
      <c r="H2688" s="487">
        <f t="shared" si="431"/>
        <v>12.950000000000001</v>
      </c>
    </row>
    <row r="2689" spans="1:8">
      <c r="A2689" s="485"/>
      <c r="B2689" s="486"/>
      <c r="C2689" s="17" t="s">
        <v>10</v>
      </c>
      <c r="D2689" s="485">
        <v>2</v>
      </c>
      <c r="E2689" s="485">
        <v>0.15</v>
      </c>
      <c r="F2689" s="485"/>
      <c r="G2689" s="485">
        <v>3.5</v>
      </c>
      <c r="H2689" s="487">
        <f t="shared" si="431"/>
        <v>1.05</v>
      </c>
    </row>
    <row r="2690" spans="1:8">
      <c r="A2690" s="485"/>
      <c r="B2690" s="486"/>
      <c r="C2690" s="17" t="s">
        <v>10</v>
      </c>
      <c r="D2690" s="485">
        <v>1</v>
      </c>
      <c r="E2690" s="485">
        <v>2.81</v>
      </c>
      <c r="F2690" s="485"/>
      <c r="G2690" s="485">
        <v>1.1000000000000001</v>
      </c>
      <c r="H2690" s="487">
        <f t="shared" si="431"/>
        <v>3.0910000000000002</v>
      </c>
    </row>
    <row r="2691" spans="1:8">
      <c r="A2691" s="485"/>
      <c r="B2691" s="486" t="s">
        <v>1202</v>
      </c>
      <c r="C2691" s="17" t="s">
        <v>10</v>
      </c>
      <c r="D2691" s="485">
        <v>2</v>
      </c>
      <c r="E2691" s="485">
        <v>3.7</v>
      </c>
      <c r="F2691" s="485"/>
      <c r="G2691" s="485">
        <v>3.5</v>
      </c>
      <c r="H2691" s="487">
        <f t="shared" si="431"/>
        <v>25.900000000000002</v>
      </c>
    </row>
    <row r="2692" spans="1:8">
      <c r="A2692" s="485"/>
      <c r="B2692" s="486"/>
      <c r="C2692" s="17" t="s">
        <v>10</v>
      </c>
      <c r="D2692" s="485">
        <v>2</v>
      </c>
      <c r="E2692" s="485">
        <v>0.15</v>
      </c>
      <c r="F2692" s="485"/>
      <c r="G2692" s="485">
        <v>3.5</v>
      </c>
      <c r="H2692" s="487">
        <f t="shared" si="431"/>
        <v>1.05</v>
      </c>
    </row>
    <row r="2693" spans="1:8">
      <c r="A2693" s="485"/>
      <c r="B2693" s="486"/>
      <c r="C2693" s="17" t="s">
        <v>10</v>
      </c>
      <c r="D2693" s="485">
        <v>1</v>
      </c>
      <c r="E2693" s="485">
        <v>2.8</v>
      </c>
      <c r="F2693" s="485"/>
      <c r="G2693" s="485">
        <v>1.1000000000000001</v>
      </c>
      <c r="H2693" s="487">
        <f t="shared" si="431"/>
        <v>3.08</v>
      </c>
    </row>
    <row r="2694" spans="1:8">
      <c r="A2694" s="485"/>
      <c r="B2694" s="486"/>
      <c r="C2694" s="17" t="s">
        <v>10</v>
      </c>
      <c r="D2694" s="485">
        <v>1</v>
      </c>
      <c r="E2694" s="485">
        <v>1.25</v>
      </c>
      <c r="F2694" s="485"/>
      <c r="G2694" s="485">
        <v>3.5</v>
      </c>
      <c r="H2694" s="487">
        <f t="shared" ref="H2694:H2757" si="432">PRODUCT(D2694:G2694)</f>
        <v>4.375</v>
      </c>
    </row>
    <row r="2695" spans="1:8">
      <c r="A2695" s="485"/>
      <c r="B2695" s="486" t="s">
        <v>1343</v>
      </c>
      <c r="C2695" s="17" t="s">
        <v>10</v>
      </c>
      <c r="D2695" s="485">
        <v>1</v>
      </c>
      <c r="E2695" s="485">
        <v>2.35</v>
      </c>
      <c r="F2695" s="485"/>
      <c r="G2695" s="485">
        <v>3.5</v>
      </c>
      <c r="H2695" s="487">
        <f t="shared" si="432"/>
        <v>8.2249999999999996</v>
      </c>
    </row>
    <row r="2696" spans="1:8">
      <c r="A2696" s="485"/>
      <c r="B2696" s="486"/>
      <c r="C2696" s="17" t="s">
        <v>10</v>
      </c>
      <c r="D2696" s="485">
        <v>1</v>
      </c>
      <c r="E2696" s="485">
        <v>1.47</v>
      </c>
      <c r="F2696" s="485"/>
      <c r="G2696" s="485">
        <v>3.5</v>
      </c>
      <c r="H2696" s="487">
        <f t="shared" si="432"/>
        <v>5.1449999999999996</v>
      </c>
    </row>
    <row r="2697" spans="1:8">
      <c r="A2697" s="485"/>
      <c r="B2697" s="486"/>
      <c r="C2697" s="17" t="s">
        <v>10</v>
      </c>
      <c r="D2697" s="485">
        <v>1</v>
      </c>
      <c r="E2697" s="485">
        <v>1.56</v>
      </c>
      <c r="F2697" s="485"/>
      <c r="G2697" s="485">
        <v>3.5</v>
      </c>
      <c r="H2697" s="487">
        <f t="shared" si="432"/>
        <v>5.46</v>
      </c>
    </row>
    <row r="2698" spans="1:8">
      <c r="A2698" s="485"/>
      <c r="B2698" s="486" t="s">
        <v>1262</v>
      </c>
      <c r="C2698" s="17" t="s">
        <v>10</v>
      </c>
      <c r="D2698" s="485">
        <v>2</v>
      </c>
      <c r="E2698" s="485">
        <v>3.7</v>
      </c>
      <c r="F2698" s="485"/>
      <c r="G2698" s="485">
        <v>3.5</v>
      </c>
      <c r="H2698" s="487">
        <f t="shared" si="432"/>
        <v>25.900000000000002</v>
      </c>
    </row>
    <row r="2699" spans="1:8">
      <c r="A2699" s="485"/>
      <c r="B2699" s="486"/>
      <c r="C2699" s="17" t="s">
        <v>10</v>
      </c>
      <c r="D2699" s="485">
        <v>2</v>
      </c>
      <c r="E2699" s="485">
        <v>0.15</v>
      </c>
      <c r="F2699" s="485"/>
      <c r="G2699" s="485">
        <v>3.5</v>
      </c>
      <c r="H2699" s="487">
        <f t="shared" si="432"/>
        <v>1.05</v>
      </c>
    </row>
    <row r="2700" spans="1:8">
      <c r="A2700" s="485"/>
      <c r="B2700" s="486"/>
      <c r="C2700" s="17" t="s">
        <v>10</v>
      </c>
      <c r="D2700" s="485">
        <v>1</v>
      </c>
      <c r="E2700" s="485">
        <v>3.9</v>
      </c>
      <c r="F2700" s="485"/>
      <c r="G2700" s="485">
        <v>3.5</v>
      </c>
      <c r="H2700" s="487">
        <f t="shared" si="432"/>
        <v>13.65</v>
      </c>
    </row>
    <row r="2701" spans="1:8">
      <c r="A2701" s="485"/>
      <c r="B2701" s="486" t="s">
        <v>1343</v>
      </c>
      <c r="C2701" s="17" t="s">
        <v>10</v>
      </c>
      <c r="D2701" s="485">
        <v>1</v>
      </c>
      <c r="E2701" s="485">
        <v>2.8</v>
      </c>
      <c r="F2701" s="485"/>
      <c r="G2701" s="485">
        <v>2.7</v>
      </c>
      <c r="H2701" s="487">
        <f t="shared" si="432"/>
        <v>7.56</v>
      </c>
    </row>
    <row r="2702" spans="1:8">
      <c r="A2702" s="485"/>
      <c r="B2702" s="486"/>
      <c r="C2702" s="17" t="s">
        <v>10</v>
      </c>
      <c r="D2702" s="485">
        <v>-1</v>
      </c>
      <c r="E2702" s="485">
        <v>1.1000000000000001</v>
      </c>
      <c r="F2702" s="485"/>
      <c r="G2702" s="485">
        <v>2.4</v>
      </c>
      <c r="H2702" s="487">
        <f t="shared" si="432"/>
        <v>-2.64</v>
      </c>
    </row>
    <row r="2703" spans="1:8">
      <c r="A2703" s="485"/>
      <c r="B2703" s="486" t="s">
        <v>1242</v>
      </c>
      <c r="C2703" s="17" t="s">
        <v>10</v>
      </c>
      <c r="D2703" s="485">
        <v>2</v>
      </c>
      <c r="E2703" s="485">
        <v>0.15</v>
      </c>
      <c r="F2703" s="485"/>
      <c r="G2703" s="485">
        <v>3.5</v>
      </c>
      <c r="H2703" s="487">
        <f t="shared" si="432"/>
        <v>1.05</v>
      </c>
    </row>
    <row r="2704" spans="1:8">
      <c r="A2704" s="485"/>
      <c r="B2704" s="486"/>
      <c r="C2704" s="17" t="s">
        <v>10</v>
      </c>
      <c r="D2704" s="485">
        <v>1</v>
      </c>
      <c r="E2704" s="485">
        <v>6.2</v>
      </c>
      <c r="F2704" s="485"/>
      <c r="G2704" s="485">
        <v>1.1000000000000001</v>
      </c>
      <c r="H2704" s="487">
        <f t="shared" si="432"/>
        <v>6.8200000000000012</v>
      </c>
    </row>
    <row r="2705" spans="1:8">
      <c r="A2705" s="485"/>
      <c r="B2705" s="486"/>
      <c r="C2705" s="17" t="s">
        <v>10</v>
      </c>
      <c r="D2705" s="485">
        <v>2</v>
      </c>
      <c r="E2705" s="485">
        <v>3.9</v>
      </c>
      <c r="F2705" s="485"/>
      <c r="G2705" s="485">
        <v>3.5</v>
      </c>
      <c r="H2705" s="487">
        <f t="shared" si="432"/>
        <v>27.3</v>
      </c>
    </row>
    <row r="2706" spans="1:8">
      <c r="A2706" s="485"/>
      <c r="B2706" s="486" t="s">
        <v>1343</v>
      </c>
      <c r="C2706" s="17" t="s">
        <v>10</v>
      </c>
      <c r="D2706" s="485">
        <v>1</v>
      </c>
      <c r="E2706" s="485">
        <v>3.8</v>
      </c>
      <c r="F2706" s="485"/>
      <c r="G2706" s="485">
        <v>2.7</v>
      </c>
      <c r="H2706" s="487">
        <f t="shared" si="432"/>
        <v>10.26</v>
      </c>
    </row>
    <row r="2707" spans="1:8">
      <c r="A2707" s="485"/>
      <c r="B2707" s="486"/>
      <c r="C2707" s="17" t="s">
        <v>10</v>
      </c>
      <c r="D2707" s="485">
        <v>1</v>
      </c>
      <c r="E2707" s="485">
        <v>2.0499999999999998</v>
      </c>
      <c r="F2707" s="485"/>
      <c r="G2707" s="485">
        <v>2.7</v>
      </c>
      <c r="H2707" s="487">
        <f t="shared" si="432"/>
        <v>5.5350000000000001</v>
      </c>
    </row>
    <row r="2708" spans="1:8">
      <c r="A2708" s="485"/>
      <c r="B2708" s="486"/>
      <c r="C2708" s="17" t="s">
        <v>10</v>
      </c>
      <c r="D2708" s="485">
        <v>1</v>
      </c>
      <c r="E2708" s="485">
        <v>4.45</v>
      </c>
      <c r="F2708" s="485"/>
      <c r="G2708" s="485">
        <v>1.1000000000000001</v>
      </c>
      <c r="H2708" s="487">
        <f t="shared" si="432"/>
        <v>4.8950000000000005</v>
      </c>
    </row>
    <row r="2709" spans="1:8">
      <c r="A2709" s="485"/>
      <c r="B2709" s="486" t="s">
        <v>1243</v>
      </c>
      <c r="C2709" s="17" t="s">
        <v>10</v>
      </c>
      <c r="D2709" s="485">
        <v>2</v>
      </c>
      <c r="E2709" s="485">
        <v>0.15</v>
      </c>
      <c r="F2709" s="485"/>
      <c r="G2709" s="485">
        <v>3.5</v>
      </c>
      <c r="H2709" s="487">
        <f t="shared" si="432"/>
        <v>1.05</v>
      </c>
    </row>
    <row r="2710" spans="1:8">
      <c r="A2710" s="485"/>
      <c r="B2710" s="486"/>
      <c r="C2710" s="17" t="s">
        <v>10</v>
      </c>
      <c r="D2710" s="485">
        <v>2</v>
      </c>
      <c r="E2710" s="485">
        <v>3.9</v>
      </c>
      <c r="F2710" s="485"/>
      <c r="G2710" s="485">
        <v>3.5</v>
      </c>
      <c r="H2710" s="487">
        <f t="shared" si="432"/>
        <v>27.3</v>
      </c>
    </row>
    <row r="2711" spans="1:8">
      <c r="A2711" s="485"/>
      <c r="B2711" s="486"/>
      <c r="C2711" s="17" t="s">
        <v>10</v>
      </c>
      <c r="D2711" s="485">
        <v>1</v>
      </c>
      <c r="E2711" s="485">
        <v>4.7</v>
      </c>
      <c r="F2711" s="485"/>
      <c r="G2711" s="485">
        <v>1.1000000000000001</v>
      </c>
      <c r="H2711" s="487">
        <f t="shared" si="432"/>
        <v>5.1700000000000008</v>
      </c>
    </row>
    <row r="2712" spans="1:8">
      <c r="A2712" s="485"/>
      <c r="B2712" s="486" t="s">
        <v>1343</v>
      </c>
      <c r="C2712" s="17" t="s">
        <v>10</v>
      </c>
      <c r="D2712" s="485">
        <v>1</v>
      </c>
      <c r="E2712" s="485">
        <v>3.8</v>
      </c>
      <c r="F2712" s="485"/>
      <c r="G2712" s="485">
        <v>2.7</v>
      </c>
      <c r="H2712" s="487">
        <f t="shared" si="432"/>
        <v>10.26</v>
      </c>
    </row>
    <row r="2713" spans="1:8">
      <c r="A2713" s="485"/>
      <c r="B2713" s="486"/>
      <c r="C2713" s="17" t="s">
        <v>10</v>
      </c>
      <c r="D2713" s="485">
        <v>1</v>
      </c>
      <c r="E2713" s="485">
        <v>0.65</v>
      </c>
      <c r="F2713" s="485"/>
      <c r="G2713" s="485">
        <v>2.7</v>
      </c>
      <c r="H2713" s="487">
        <f t="shared" si="432"/>
        <v>1.7550000000000001</v>
      </c>
    </row>
    <row r="2714" spans="1:8">
      <c r="A2714" s="485"/>
      <c r="B2714" s="486"/>
      <c r="C2714" s="17" t="s">
        <v>10</v>
      </c>
      <c r="D2714" s="485">
        <v>1</v>
      </c>
      <c r="E2714" s="485">
        <v>4.3650000000000002</v>
      </c>
      <c r="F2714" s="485"/>
      <c r="G2714" s="485">
        <v>1.1000000000000001</v>
      </c>
      <c r="H2714" s="487">
        <f t="shared" si="432"/>
        <v>4.8015000000000008</v>
      </c>
    </row>
    <row r="2715" spans="1:8">
      <c r="A2715" s="485"/>
      <c r="B2715" s="486" t="s">
        <v>1404</v>
      </c>
      <c r="C2715" s="17" t="s">
        <v>10</v>
      </c>
      <c r="D2715" s="485">
        <v>2</v>
      </c>
      <c r="E2715" s="485">
        <v>4.45</v>
      </c>
      <c r="F2715" s="485"/>
      <c r="G2715" s="485">
        <v>3.5</v>
      </c>
      <c r="H2715" s="487">
        <f t="shared" si="432"/>
        <v>31.150000000000002</v>
      </c>
    </row>
    <row r="2716" spans="1:8">
      <c r="A2716" s="485"/>
      <c r="B2716" s="486" t="s">
        <v>2005</v>
      </c>
      <c r="C2716" s="17" t="s">
        <v>10</v>
      </c>
      <c r="D2716" s="485">
        <v>1</v>
      </c>
      <c r="E2716" s="485">
        <v>3.8</v>
      </c>
      <c r="F2716" s="485"/>
      <c r="G2716" s="485">
        <v>2.7</v>
      </c>
      <c r="H2716" s="487">
        <f t="shared" si="432"/>
        <v>10.26</v>
      </c>
    </row>
    <row r="2717" spans="1:8">
      <c r="A2717" s="485"/>
      <c r="B2717" s="486" t="s">
        <v>2005</v>
      </c>
      <c r="C2717" s="17" t="s">
        <v>10</v>
      </c>
      <c r="D2717" s="485">
        <v>1</v>
      </c>
      <c r="E2717" s="485">
        <v>4.45</v>
      </c>
      <c r="F2717" s="485"/>
      <c r="G2717" s="485">
        <v>2.7</v>
      </c>
      <c r="H2717" s="487">
        <f t="shared" si="432"/>
        <v>12.015000000000001</v>
      </c>
    </row>
    <row r="2718" spans="1:8">
      <c r="A2718" s="485"/>
      <c r="B2718" s="486" t="s">
        <v>172</v>
      </c>
      <c r="C2718" s="17" t="s">
        <v>10</v>
      </c>
      <c r="D2718" s="485">
        <v>1</v>
      </c>
      <c r="E2718" s="485">
        <v>6.75</v>
      </c>
      <c r="F2718" s="485"/>
      <c r="G2718" s="485">
        <v>1.05</v>
      </c>
      <c r="H2718" s="487">
        <f t="shared" si="432"/>
        <v>7.0875000000000004</v>
      </c>
    </row>
    <row r="2719" spans="1:8">
      <c r="A2719" s="485"/>
      <c r="B2719" s="486" t="s">
        <v>2006</v>
      </c>
      <c r="C2719" s="17" t="s">
        <v>10</v>
      </c>
      <c r="D2719" s="485">
        <v>1</v>
      </c>
      <c r="E2719" s="485">
        <v>3.5</v>
      </c>
      <c r="F2719" s="485"/>
      <c r="G2719" s="485">
        <v>3.5</v>
      </c>
      <c r="H2719" s="487">
        <f t="shared" si="432"/>
        <v>12.25</v>
      </c>
    </row>
    <row r="2720" spans="1:8">
      <c r="A2720" s="485"/>
      <c r="B2720" s="486"/>
      <c r="C2720" s="17" t="s">
        <v>10</v>
      </c>
      <c r="D2720" s="485">
        <v>2</v>
      </c>
      <c r="E2720" s="485">
        <v>0.15</v>
      </c>
      <c r="F2720" s="485"/>
      <c r="G2720" s="485">
        <v>3.5</v>
      </c>
      <c r="H2720" s="487">
        <f t="shared" si="432"/>
        <v>1.05</v>
      </c>
    </row>
    <row r="2721" spans="1:8">
      <c r="A2721" s="485"/>
      <c r="B2721" s="486"/>
      <c r="C2721" s="17" t="s">
        <v>10</v>
      </c>
      <c r="D2721" s="485">
        <v>1</v>
      </c>
      <c r="E2721" s="485">
        <v>3.9</v>
      </c>
      <c r="F2721" s="485"/>
      <c r="G2721" s="485">
        <v>1.1000000000000001</v>
      </c>
      <c r="H2721" s="487">
        <f t="shared" si="432"/>
        <v>4.29</v>
      </c>
    </row>
    <row r="2722" spans="1:8">
      <c r="A2722" s="485"/>
      <c r="B2722" s="486"/>
      <c r="C2722" s="17" t="s">
        <v>10</v>
      </c>
      <c r="D2722" s="485">
        <v>2</v>
      </c>
      <c r="E2722" s="485">
        <v>3.7</v>
      </c>
      <c r="F2722" s="485"/>
      <c r="G2722" s="485">
        <v>3.5</v>
      </c>
      <c r="H2722" s="487">
        <f t="shared" si="432"/>
        <v>25.900000000000002</v>
      </c>
    </row>
    <row r="2723" spans="1:8">
      <c r="A2723" s="485"/>
      <c r="B2723" s="486" t="s">
        <v>1343</v>
      </c>
      <c r="C2723" s="17" t="s">
        <v>10</v>
      </c>
      <c r="D2723" s="485">
        <v>1</v>
      </c>
      <c r="E2723" s="485">
        <v>4.3499999999999996</v>
      </c>
      <c r="F2723" s="485"/>
      <c r="G2723" s="485">
        <v>2.7</v>
      </c>
      <c r="H2723" s="487">
        <f t="shared" si="432"/>
        <v>11.744999999999999</v>
      </c>
    </row>
    <row r="2724" spans="1:8">
      <c r="A2724" s="485"/>
      <c r="B2724" s="486" t="s">
        <v>1310</v>
      </c>
      <c r="C2724" s="17" t="s">
        <v>10</v>
      </c>
      <c r="D2724" s="485">
        <v>2</v>
      </c>
      <c r="E2724" s="485">
        <v>0.15</v>
      </c>
      <c r="F2724" s="485"/>
      <c r="G2724" s="485">
        <v>3.5</v>
      </c>
      <c r="H2724" s="487">
        <f t="shared" si="432"/>
        <v>1.05</v>
      </c>
    </row>
    <row r="2725" spans="1:8">
      <c r="A2725" s="485"/>
      <c r="B2725" s="486"/>
      <c r="C2725" s="17" t="s">
        <v>10</v>
      </c>
      <c r="D2725" s="485">
        <v>1</v>
      </c>
      <c r="E2725" s="485">
        <v>3.26</v>
      </c>
      <c r="F2725" s="485"/>
      <c r="G2725" s="485">
        <v>1.1000000000000001</v>
      </c>
      <c r="H2725" s="487">
        <f t="shared" si="432"/>
        <v>3.5859999999999999</v>
      </c>
    </row>
    <row r="2726" spans="1:8">
      <c r="A2726" s="485"/>
      <c r="B2726" s="486"/>
      <c r="C2726" s="17" t="s">
        <v>10</v>
      </c>
      <c r="D2726" s="485">
        <v>2</v>
      </c>
      <c r="E2726" s="485">
        <v>3.7</v>
      </c>
      <c r="F2726" s="485"/>
      <c r="G2726" s="485">
        <v>3.5</v>
      </c>
      <c r="H2726" s="487">
        <f t="shared" si="432"/>
        <v>25.900000000000002</v>
      </c>
    </row>
    <row r="2727" spans="1:8">
      <c r="A2727" s="485"/>
      <c r="B2727" s="486"/>
      <c r="C2727" s="17" t="s">
        <v>10</v>
      </c>
      <c r="D2727" s="485">
        <v>1</v>
      </c>
      <c r="E2727" s="485">
        <v>3.56</v>
      </c>
      <c r="F2727" s="485"/>
      <c r="G2727" s="485">
        <v>2.7</v>
      </c>
      <c r="H2727" s="487">
        <f t="shared" si="432"/>
        <v>9.6120000000000001</v>
      </c>
    </row>
    <row r="2728" spans="1:8">
      <c r="A2728" s="485"/>
      <c r="B2728" s="486" t="s">
        <v>2007</v>
      </c>
      <c r="C2728" s="17" t="s">
        <v>10</v>
      </c>
      <c r="D2728" s="485">
        <v>1</v>
      </c>
      <c r="E2728" s="485">
        <v>6.67</v>
      </c>
      <c r="F2728" s="485"/>
      <c r="G2728" s="485">
        <v>3.5</v>
      </c>
      <c r="H2728" s="487">
        <f t="shared" si="432"/>
        <v>23.344999999999999</v>
      </c>
    </row>
    <row r="2729" spans="1:8">
      <c r="A2729" s="485"/>
      <c r="B2729" s="486"/>
      <c r="C2729" s="17" t="s">
        <v>10</v>
      </c>
      <c r="D2729" s="485">
        <v>1</v>
      </c>
      <c r="E2729" s="485">
        <v>0.15</v>
      </c>
      <c r="F2729" s="485"/>
      <c r="G2729" s="485">
        <v>3.5</v>
      </c>
      <c r="H2729" s="487">
        <f t="shared" si="432"/>
        <v>0.52500000000000002</v>
      </c>
    </row>
    <row r="2730" spans="1:8">
      <c r="A2730" s="485"/>
      <c r="B2730" s="486"/>
      <c r="C2730" s="17" t="s">
        <v>10</v>
      </c>
      <c r="D2730" s="485">
        <v>1</v>
      </c>
      <c r="E2730" s="485">
        <v>3</v>
      </c>
      <c r="F2730" s="485"/>
      <c r="G2730" s="485">
        <v>1.1000000000000001</v>
      </c>
      <c r="H2730" s="487">
        <f t="shared" si="432"/>
        <v>3.3000000000000003</v>
      </c>
    </row>
    <row r="2731" spans="1:8">
      <c r="A2731" s="485"/>
      <c r="B2731" s="486"/>
      <c r="C2731" s="17" t="s">
        <v>10</v>
      </c>
      <c r="D2731" s="485">
        <v>1</v>
      </c>
      <c r="E2731" s="485">
        <v>4.3</v>
      </c>
      <c r="F2731" s="485"/>
      <c r="G2731" s="485">
        <v>3.5</v>
      </c>
      <c r="H2731" s="487">
        <f t="shared" si="432"/>
        <v>15.049999999999999</v>
      </c>
    </row>
    <row r="2732" spans="1:8">
      <c r="A2732" s="485"/>
      <c r="B2732" s="486" t="s">
        <v>2008</v>
      </c>
      <c r="C2732" s="17" t="s">
        <v>10</v>
      </c>
      <c r="D2732" s="485">
        <v>1</v>
      </c>
      <c r="E2732" s="485">
        <v>3</v>
      </c>
      <c r="F2732" s="485"/>
      <c r="G2732" s="485">
        <v>1.1000000000000001</v>
      </c>
      <c r="H2732" s="487">
        <f t="shared" si="432"/>
        <v>3.3000000000000003</v>
      </c>
    </row>
    <row r="2733" spans="1:8">
      <c r="A2733" s="485"/>
      <c r="B2733" s="486"/>
      <c r="C2733" s="17" t="s">
        <v>10</v>
      </c>
      <c r="D2733" s="485">
        <v>1</v>
      </c>
      <c r="E2733" s="485">
        <v>6.67</v>
      </c>
      <c r="F2733" s="485"/>
      <c r="G2733" s="485">
        <v>3.5</v>
      </c>
      <c r="H2733" s="487">
        <f t="shared" si="432"/>
        <v>23.344999999999999</v>
      </c>
    </row>
    <row r="2734" spans="1:8">
      <c r="A2734" s="485"/>
      <c r="B2734" s="486"/>
      <c r="C2734" s="17" t="s">
        <v>10</v>
      </c>
      <c r="D2734" s="485">
        <v>1</v>
      </c>
      <c r="E2734" s="485">
        <v>0.15</v>
      </c>
      <c r="F2734" s="485"/>
      <c r="G2734" s="485">
        <v>3.5</v>
      </c>
      <c r="H2734" s="487">
        <f t="shared" si="432"/>
        <v>0.52500000000000002</v>
      </c>
    </row>
    <row r="2735" spans="1:8">
      <c r="A2735" s="485"/>
      <c r="B2735" s="486" t="s">
        <v>201</v>
      </c>
      <c r="C2735" s="17" t="s">
        <v>10</v>
      </c>
      <c r="D2735" s="485">
        <v>1</v>
      </c>
      <c r="E2735" s="485">
        <v>1.4419999999999999</v>
      </c>
      <c r="F2735" s="485"/>
      <c r="G2735" s="485">
        <v>3.5</v>
      </c>
      <c r="H2735" s="487">
        <f t="shared" si="432"/>
        <v>5.0469999999999997</v>
      </c>
    </row>
    <row r="2736" spans="1:8">
      <c r="A2736" s="485"/>
      <c r="B2736" s="486" t="s">
        <v>1343</v>
      </c>
      <c r="C2736" s="17" t="s">
        <v>10</v>
      </c>
      <c r="D2736" s="485">
        <v>2</v>
      </c>
      <c r="E2736" s="485">
        <v>1.47</v>
      </c>
      <c r="F2736" s="485"/>
      <c r="G2736" s="485">
        <v>3.5</v>
      </c>
      <c r="H2736" s="487">
        <f t="shared" si="432"/>
        <v>10.29</v>
      </c>
    </row>
    <row r="2737" spans="1:8">
      <c r="A2737" s="485"/>
      <c r="B2737" s="486"/>
      <c r="C2737" s="17" t="s">
        <v>10</v>
      </c>
      <c r="D2737" s="485">
        <v>1</v>
      </c>
      <c r="E2737" s="485">
        <v>1.05</v>
      </c>
      <c r="F2737" s="485"/>
      <c r="G2737" s="485">
        <v>3.5</v>
      </c>
      <c r="H2737" s="487">
        <f t="shared" si="432"/>
        <v>3.6750000000000003</v>
      </c>
    </row>
    <row r="2738" spans="1:8">
      <c r="A2738" s="485"/>
      <c r="B2738" s="486" t="s">
        <v>2009</v>
      </c>
      <c r="C2738" s="17" t="s">
        <v>10</v>
      </c>
      <c r="D2738" s="485">
        <v>1</v>
      </c>
      <c r="E2738" s="485">
        <v>1.05</v>
      </c>
      <c r="F2738" s="485"/>
      <c r="G2738" s="485">
        <v>3.5</v>
      </c>
      <c r="H2738" s="487">
        <f t="shared" si="432"/>
        <v>3.6750000000000003</v>
      </c>
    </row>
    <row r="2739" spans="1:8">
      <c r="A2739" s="485"/>
      <c r="B2739" s="486" t="s">
        <v>1213</v>
      </c>
      <c r="C2739" s="17" t="s">
        <v>10</v>
      </c>
      <c r="D2739" s="485">
        <v>1</v>
      </c>
      <c r="E2739" s="485">
        <v>6.78</v>
      </c>
      <c r="F2739" s="485"/>
      <c r="G2739" s="485">
        <v>3.5</v>
      </c>
      <c r="H2739" s="487">
        <f t="shared" si="432"/>
        <v>23.73</v>
      </c>
    </row>
    <row r="2740" spans="1:8">
      <c r="A2740" s="485"/>
      <c r="B2740" s="486"/>
      <c r="C2740" s="17" t="s">
        <v>10</v>
      </c>
      <c r="D2740" s="485">
        <v>2</v>
      </c>
      <c r="E2740" s="485">
        <v>3.55</v>
      </c>
      <c r="F2740" s="485"/>
      <c r="G2740" s="485">
        <v>3.5</v>
      </c>
      <c r="H2740" s="487">
        <f t="shared" si="432"/>
        <v>24.849999999999998</v>
      </c>
    </row>
    <row r="2741" spans="1:8">
      <c r="A2741" s="485"/>
      <c r="B2741" s="486"/>
      <c r="C2741" s="17" t="s">
        <v>10</v>
      </c>
      <c r="D2741" s="485">
        <v>2</v>
      </c>
      <c r="E2741" s="485">
        <v>0.15</v>
      </c>
      <c r="F2741" s="485"/>
      <c r="G2741" s="485">
        <v>3.5</v>
      </c>
      <c r="H2741" s="487">
        <f t="shared" si="432"/>
        <v>1.05</v>
      </c>
    </row>
    <row r="2742" spans="1:8">
      <c r="A2742" s="485"/>
      <c r="B2742" s="486"/>
      <c r="C2742" s="17" t="s">
        <v>10</v>
      </c>
      <c r="D2742" s="485">
        <v>1</v>
      </c>
      <c r="E2742" s="485">
        <v>2.8</v>
      </c>
      <c r="F2742" s="485"/>
      <c r="G2742" s="485">
        <v>1.1000000000000001</v>
      </c>
      <c r="H2742" s="487">
        <f t="shared" si="432"/>
        <v>3.08</v>
      </c>
    </row>
    <row r="2743" spans="1:8">
      <c r="A2743" s="485"/>
      <c r="B2743" s="486" t="s">
        <v>1214</v>
      </c>
      <c r="C2743" s="17" t="s">
        <v>10</v>
      </c>
      <c r="D2743" s="485">
        <v>2</v>
      </c>
      <c r="E2743" s="485">
        <v>0.15</v>
      </c>
      <c r="F2743" s="485"/>
      <c r="G2743" s="485">
        <v>3.5</v>
      </c>
      <c r="H2743" s="487">
        <f t="shared" si="432"/>
        <v>1.05</v>
      </c>
    </row>
    <row r="2744" spans="1:8">
      <c r="A2744" s="485"/>
      <c r="B2744" s="486"/>
      <c r="C2744" s="17" t="s">
        <v>10</v>
      </c>
      <c r="D2744" s="485">
        <v>1</v>
      </c>
      <c r="E2744" s="485">
        <v>2.6</v>
      </c>
      <c r="F2744" s="485"/>
      <c r="G2744" s="485">
        <v>1.1000000000000001</v>
      </c>
      <c r="H2744" s="487">
        <f t="shared" si="432"/>
        <v>2.8600000000000003</v>
      </c>
    </row>
    <row r="2745" spans="1:8">
      <c r="A2745" s="485"/>
      <c r="B2745" s="486"/>
      <c r="C2745" s="17" t="s">
        <v>10</v>
      </c>
      <c r="D2745" s="485">
        <v>2</v>
      </c>
      <c r="E2745" s="485">
        <v>3.55</v>
      </c>
      <c r="F2745" s="485"/>
      <c r="G2745" s="485">
        <v>3.5</v>
      </c>
      <c r="H2745" s="487">
        <f t="shared" si="432"/>
        <v>24.849999999999998</v>
      </c>
    </row>
    <row r="2746" spans="1:8">
      <c r="A2746" s="485"/>
      <c r="B2746" s="486"/>
      <c r="C2746" s="17" t="s">
        <v>10</v>
      </c>
      <c r="D2746" s="485">
        <v>1</v>
      </c>
      <c r="E2746" s="485">
        <v>3.35</v>
      </c>
      <c r="F2746" s="485"/>
      <c r="G2746" s="485">
        <v>3.5</v>
      </c>
      <c r="H2746" s="487">
        <f t="shared" si="432"/>
        <v>11.725</v>
      </c>
    </row>
    <row r="2747" spans="1:8">
      <c r="A2747" s="485"/>
      <c r="B2747" s="486" t="s">
        <v>1217</v>
      </c>
      <c r="C2747" s="17" t="s">
        <v>10</v>
      </c>
      <c r="D2747" s="485">
        <v>2</v>
      </c>
      <c r="E2747" s="485">
        <v>0.15</v>
      </c>
      <c r="F2747" s="485"/>
      <c r="G2747" s="485">
        <v>3.5</v>
      </c>
      <c r="H2747" s="487">
        <f t="shared" si="432"/>
        <v>1.05</v>
      </c>
    </row>
    <row r="2748" spans="1:8">
      <c r="A2748" s="485"/>
      <c r="B2748" s="486"/>
      <c r="C2748" s="17" t="s">
        <v>10</v>
      </c>
      <c r="D2748" s="485">
        <v>1</v>
      </c>
      <c r="E2748" s="485">
        <v>1.4</v>
      </c>
      <c r="F2748" s="485"/>
      <c r="G2748" s="485">
        <v>3.5</v>
      </c>
      <c r="H2748" s="487">
        <f t="shared" si="432"/>
        <v>4.8999999999999995</v>
      </c>
    </row>
    <row r="2749" spans="1:8">
      <c r="A2749" s="485"/>
      <c r="B2749" s="486"/>
      <c r="C2749" s="17" t="s">
        <v>10</v>
      </c>
      <c r="D2749" s="485">
        <v>2</v>
      </c>
      <c r="E2749" s="485">
        <v>1</v>
      </c>
      <c r="F2749" s="485"/>
      <c r="G2749" s="485">
        <v>3.5</v>
      </c>
      <c r="H2749" s="487">
        <f t="shared" si="432"/>
        <v>7</v>
      </c>
    </row>
    <row r="2750" spans="1:8">
      <c r="A2750" s="485"/>
      <c r="B2750" s="486"/>
      <c r="C2750" s="17" t="s">
        <v>10</v>
      </c>
      <c r="D2750" s="485">
        <v>2</v>
      </c>
      <c r="E2750" s="485">
        <v>4.3499999999999996</v>
      </c>
      <c r="F2750" s="485"/>
      <c r="G2750" s="485">
        <v>1.1000000000000001</v>
      </c>
      <c r="H2750" s="487">
        <f t="shared" si="432"/>
        <v>9.57</v>
      </c>
    </row>
    <row r="2751" spans="1:8">
      <c r="A2751" s="485"/>
      <c r="B2751" s="486" t="s">
        <v>1343</v>
      </c>
      <c r="C2751" s="17" t="s">
        <v>10</v>
      </c>
      <c r="D2751" s="485">
        <v>1</v>
      </c>
      <c r="E2751" s="485">
        <v>6.6</v>
      </c>
      <c r="F2751" s="485"/>
      <c r="G2751" s="485">
        <v>2.7</v>
      </c>
      <c r="H2751" s="487">
        <f t="shared" si="432"/>
        <v>17.82</v>
      </c>
    </row>
    <row r="2752" spans="1:8">
      <c r="A2752" s="485"/>
      <c r="B2752" s="486"/>
      <c r="C2752" s="17" t="s">
        <v>10</v>
      </c>
      <c r="D2752" s="485">
        <v>1</v>
      </c>
      <c r="E2752" s="485">
        <v>0.6</v>
      </c>
      <c r="F2752" s="485"/>
      <c r="G2752" s="485">
        <v>2.7</v>
      </c>
      <c r="H2752" s="487">
        <f t="shared" si="432"/>
        <v>1.62</v>
      </c>
    </row>
    <row r="2753" spans="1:8">
      <c r="A2753" s="485"/>
      <c r="B2753" s="486"/>
      <c r="C2753" s="17" t="s">
        <v>10</v>
      </c>
      <c r="D2753" s="485">
        <v>1</v>
      </c>
      <c r="E2753" s="485">
        <v>11</v>
      </c>
      <c r="F2753" s="485"/>
      <c r="G2753" s="485">
        <v>3.5</v>
      </c>
      <c r="H2753" s="487">
        <f t="shared" si="432"/>
        <v>38.5</v>
      </c>
    </row>
    <row r="2754" spans="1:8">
      <c r="A2754" s="485"/>
      <c r="B2754" s="486" t="s">
        <v>1219</v>
      </c>
      <c r="C2754" s="17" t="s">
        <v>10</v>
      </c>
      <c r="D2754" s="485">
        <v>1</v>
      </c>
      <c r="E2754" s="485">
        <v>1.3</v>
      </c>
      <c r="F2754" s="485"/>
      <c r="G2754" s="485">
        <v>3.5</v>
      </c>
      <c r="H2754" s="487">
        <f t="shared" si="432"/>
        <v>4.55</v>
      </c>
    </row>
    <row r="2755" spans="1:8">
      <c r="A2755" s="485"/>
      <c r="B2755" s="486"/>
      <c r="C2755" s="17" t="s">
        <v>10</v>
      </c>
      <c r="D2755" s="485">
        <v>1</v>
      </c>
      <c r="E2755" s="485">
        <v>1.4750000000000001</v>
      </c>
      <c r="F2755" s="485"/>
      <c r="G2755" s="485">
        <v>3.5</v>
      </c>
      <c r="H2755" s="487">
        <f t="shared" si="432"/>
        <v>5.1625000000000005</v>
      </c>
    </row>
    <row r="2756" spans="1:8">
      <c r="A2756" s="485"/>
      <c r="B2756" s="486"/>
      <c r="C2756" s="17" t="s">
        <v>10</v>
      </c>
      <c r="D2756" s="485">
        <v>-1</v>
      </c>
      <c r="E2756" s="485">
        <v>1</v>
      </c>
      <c r="F2756" s="485"/>
      <c r="G2756" s="485">
        <v>2.4</v>
      </c>
      <c r="H2756" s="487">
        <f t="shared" si="432"/>
        <v>-2.4</v>
      </c>
    </row>
    <row r="2757" spans="1:8">
      <c r="A2757" s="485"/>
      <c r="B2757" s="486" t="s">
        <v>1343</v>
      </c>
      <c r="C2757" s="17" t="s">
        <v>10</v>
      </c>
      <c r="D2757" s="485">
        <v>1</v>
      </c>
      <c r="E2757" s="485">
        <v>1.075</v>
      </c>
      <c r="F2757" s="485"/>
      <c r="G2757" s="485">
        <v>3.5</v>
      </c>
      <c r="H2757" s="487">
        <f t="shared" si="432"/>
        <v>3.7624999999999997</v>
      </c>
    </row>
    <row r="2758" spans="1:8">
      <c r="A2758" s="485"/>
      <c r="B2758" s="486" t="s">
        <v>1343</v>
      </c>
      <c r="C2758" s="17" t="s">
        <v>10</v>
      </c>
      <c r="D2758" s="485">
        <v>1</v>
      </c>
      <c r="E2758" s="485">
        <v>1.175</v>
      </c>
      <c r="F2758" s="485"/>
      <c r="G2758" s="485">
        <v>3.5</v>
      </c>
      <c r="H2758" s="487">
        <f t="shared" ref="H2758:H2821" si="433">PRODUCT(D2758:G2758)</f>
        <v>4.1124999999999998</v>
      </c>
    </row>
    <row r="2759" spans="1:8">
      <c r="A2759" s="485"/>
      <c r="B2759" s="486" t="s">
        <v>1343</v>
      </c>
      <c r="C2759" s="17" t="s">
        <v>10</v>
      </c>
      <c r="D2759" s="485">
        <v>1</v>
      </c>
      <c r="E2759" s="485">
        <v>0.97499999999999998</v>
      </c>
      <c r="F2759" s="485"/>
      <c r="G2759" s="485">
        <v>2.7</v>
      </c>
      <c r="H2759" s="487">
        <f t="shared" si="433"/>
        <v>2.6325000000000003</v>
      </c>
    </row>
    <row r="2760" spans="1:8">
      <c r="A2760" s="485"/>
      <c r="B2760" s="486" t="s">
        <v>1343</v>
      </c>
      <c r="C2760" s="17" t="s">
        <v>10</v>
      </c>
      <c r="D2760" s="485">
        <v>1</v>
      </c>
      <c r="E2760" s="485">
        <v>0.875</v>
      </c>
      <c r="F2760" s="485"/>
      <c r="G2760" s="485">
        <v>2.7</v>
      </c>
      <c r="H2760" s="487">
        <f t="shared" si="433"/>
        <v>2.3625000000000003</v>
      </c>
    </row>
    <row r="2761" spans="1:8">
      <c r="A2761" s="485"/>
      <c r="B2761" s="486"/>
      <c r="C2761" s="17" t="s">
        <v>10</v>
      </c>
      <c r="D2761" s="485">
        <v>1</v>
      </c>
      <c r="E2761" s="485">
        <v>0.15</v>
      </c>
      <c r="F2761" s="485"/>
      <c r="G2761" s="485">
        <v>3.5</v>
      </c>
      <c r="H2761" s="487">
        <f t="shared" si="433"/>
        <v>0.52500000000000002</v>
      </c>
    </row>
    <row r="2762" spans="1:8">
      <c r="A2762" s="485"/>
      <c r="B2762" s="486"/>
      <c r="C2762" s="17" t="s">
        <v>10</v>
      </c>
      <c r="D2762" s="485">
        <v>1</v>
      </c>
      <c r="E2762" s="485">
        <v>3.1</v>
      </c>
      <c r="F2762" s="485"/>
      <c r="G2762" s="485">
        <v>1.1000000000000001</v>
      </c>
      <c r="H2762" s="487">
        <f t="shared" si="433"/>
        <v>3.4100000000000006</v>
      </c>
    </row>
    <row r="2763" spans="1:8">
      <c r="A2763" s="485"/>
      <c r="B2763" s="486"/>
      <c r="C2763" s="17" t="s">
        <v>10</v>
      </c>
      <c r="D2763" s="485">
        <v>2</v>
      </c>
      <c r="E2763" s="485">
        <v>2.5499999999999998</v>
      </c>
      <c r="F2763" s="485"/>
      <c r="G2763" s="485">
        <v>3.5</v>
      </c>
      <c r="H2763" s="487">
        <f t="shared" si="433"/>
        <v>17.849999999999998</v>
      </c>
    </row>
    <row r="2764" spans="1:8">
      <c r="A2764" s="485"/>
      <c r="B2764" s="486" t="s">
        <v>1343</v>
      </c>
      <c r="C2764" s="17" t="s">
        <v>10</v>
      </c>
      <c r="D2764" s="485">
        <v>1</v>
      </c>
      <c r="E2764" s="485">
        <v>3.03</v>
      </c>
      <c r="F2764" s="485"/>
      <c r="G2764" s="485">
        <v>2.7</v>
      </c>
      <c r="H2764" s="487">
        <f t="shared" si="433"/>
        <v>8.1809999999999992</v>
      </c>
    </row>
    <row r="2765" spans="1:8">
      <c r="A2765" s="485"/>
      <c r="B2765" s="486" t="s">
        <v>1354</v>
      </c>
      <c r="C2765" s="17" t="s">
        <v>10</v>
      </c>
      <c r="D2765" s="485">
        <v>2</v>
      </c>
      <c r="E2765" s="485">
        <v>2.5499999999999998</v>
      </c>
      <c r="F2765" s="485"/>
      <c r="G2765" s="485">
        <v>3.5</v>
      </c>
      <c r="H2765" s="487">
        <f t="shared" si="433"/>
        <v>17.849999999999998</v>
      </c>
    </row>
    <row r="2766" spans="1:8">
      <c r="A2766" s="485"/>
      <c r="B2766" s="486"/>
      <c r="C2766" s="17" t="s">
        <v>10</v>
      </c>
      <c r="D2766" s="485">
        <v>2</v>
      </c>
      <c r="E2766" s="485">
        <v>0.15</v>
      </c>
      <c r="F2766" s="485"/>
      <c r="G2766" s="485">
        <v>3.5</v>
      </c>
      <c r="H2766" s="487">
        <f t="shared" si="433"/>
        <v>1.05</v>
      </c>
    </row>
    <row r="2767" spans="1:8">
      <c r="A2767" s="485"/>
      <c r="B2767" s="486"/>
      <c r="C2767" s="17" t="s">
        <v>10</v>
      </c>
      <c r="D2767" s="485">
        <v>1</v>
      </c>
      <c r="E2767" s="485">
        <v>2.75</v>
      </c>
      <c r="F2767" s="485"/>
      <c r="G2767" s="485">
        <v>1.1000000000000001</v>
      </c>
      <c r="H2767" s="487">
        <f t="shared" si="433"/>
        <v>3.0250000000000004</v>
      </c>
    </row>
    <row r="2768" spans="1:8">
      <c r="A2768" s="485"/>
      <c r="B2768" s="486" t="s">
        <v>1343</v>
      </c>
      <c r="C2768" s="17" t="s">
        <v>10</v>
      </c>
      <c r="D2768" s="485">
        <v>1</v>
      </c>
      <c r="E2768" s="485">
        <v>3.05</v>
      </c>
      <c r="F2768" s="485"/>
      <c r="G2768" s="485">
        <v>2.7</v>
      </c>
      <c r="H2768" s="487">
        <f t="shared" si="433"/>
        <v>8.2349999999999994</v>
      </c>
    </row>
    <row r="2769" spans="1:8">
      <c r="A2769" s="485"/>
      <c r="B2769" s="486" t="s">
        <v>329</v>
      </c>
      <c r="C2769" s="17" t="s">
        <v>10</v>
      </c>
      <c r="D2769" s="485">
        <v>1</v>
      </c>
      <c r="E2769" s="485">
        <v>1.4</v>
      </c>
      <c r="F2769" s="485"/>
      <c r="G2769" s="485">
        <v>3.5</v>
      </c>
      <c r="H2769" s="487">
        <f t="shared" si="433"/>
        <v>4.8999999999999995</v>
      </c>
    </row>
    <row r="2770" spans="1:8">
      <c r="A2770" s="485"/>
      <c r="B2770" s="486"/>
      <c r="C2770" s="17" t="s">
        <v>10</v>
      </c>
      <c r="D2770" s="485">
        <v>1</v>
      </c>
      <c r="E2770" s="485">
        <v>2.35</v>
      </c>
      <c r="F2770" s="485"/>
      <c r="G2770" s="485">
        <v>3.5</v>
      </c>
      <c r="H2770" s="487">
        <f t="shared" si="433"/>
        <v>8.2249999999999996</v>
      </c>
    </row>
    <row r="2771" spans="1:8">
      <c r="A2771" s="485"/>
      <c r="B2771" s="486"/>
      <c r="C2771" s="17" t="s">
        <v>10</v>
      </c>
      <c r="D2771" s="485">
        <v>-1</v>
      </c>
      <c r="E2771" s="485">
        <v>2.2000000000000002</v>
      </c>
      <c r="F2771" s="485"/>
      <c r="G2771" s="485">
        <v>2.4</v>
      </c>
      <c r="H2771" s="487">
        <f t="shared" si="433"/>
        <v>-5.28</v>
      </c>
    </row>
    <row r="2772" spans="1:8">
      <c r="A2772" s="485"/>
      <c r="B2772" s="486" t="s">
        <v>2010</v>
      </c>
      <c r="C2772" s="17" t="s">
        <v>10</v>
      </c>
      <c r="D2772" s="485">
        <v>2</v>
      </c>
      <c r="E2772" s="485">
        <v>4</v>
      </c>
      <c r="F2772" s="485"/>
      <c r="G2772" s="485">
        <v>3.5</v>
      </c>
      <c r="H2772" s="487">
        <f t="shared" si="433"/>
        <v>28</v>
      </c>
    </row>
    <row r="2773" spans="1:8">
      <c r="A2773" s="485"/>
      <c r="B2773" s="486"/>
      <c r="C2773" s="17" t="s">
        <v>10</v>
      </c>
      <c r="D2773" s="485">
        <v>-1</v>
      </c>
      <c r="E2773" s="485">
        <v>1.85</v>
      </c>
      <c r="F2773" s="485"/>
      <c r="G2773" s="485">
        <v>2.4</v>
      </c>
      <c r="H2773" s="487">
        <f t="shared" si="433"/>
        <v>-4.4400000000000004</v>
      </c>
    </row>
    <row r="2774" spans="1:8">
      <c r="A2774" s="485"/>
      <c r="B2774" s="486" t="s">
        <v>2011</v>
      </c>
      <c r="C2774" s="17" t="s">
        <v>10</v>
      </c>
      <c r="D2774" s="485">
        <v>1</v>
      </c>
      <c r="E2774" s="485">
        <v>4</v>
      </c>
      <c r="F2774" s="485"/>
      <c r="G2774" s="485">
        <v>3.5</v>
      </c>
      <c r="H2774" s="487">
        <f t="shared" si="433"/>
        <v>14</v>
      </c>
    </row>
    <row r="2775" spans="1:8">
      <c r="A2775" s="485"/>
      <c r="B2775" s="486"/>
      <c r="C2775" s="17" t="s">
        <v>10</v>
      </c>
      <c r="D2775" s="485">
        <v>-2</v>
      </c>
      <c r="E2775" s="485">
        <v>0.75</v>
      </c>
      <c r="F2775" s="485"/>
      <c r="G2775" s="485">
        <v>2.4</v>
      </c>
      <c r="H2775" s="487">
        <f t="shared" si="433"/>
        <v>-3.5999999999999996</v>
      </c>
    </row>
    <row r="2776" spans="1:8">
      <c r="A2776" s="485"/>
      <c r="B2776" s="486"/>
      <c r="C2776" s="17" t="s">
        <v>10</v>
      </c>
      <c r="D2776" s="485">
        <v>1</v>
      </c>
      <c r="E2776" s="485">
        <v>2.5</v>
      </c>
      <c r="F2776" s="485"/>
      <c r="G2776" s="485">
        <v>3.5</v>
      </c>
      <c r="H2776" s="487">
        <f t="shared" si="433"/>
        <v>8.75</v>
      </c>
    </row>
    <row r="2777" spans="1:8">
      <c r="A2777" s="485"/>
      <c r="B2777" s="486" t="s">
        <v>1354</v>
      </c>
      <c r="C2777" s="17" t="s">
        <v>10</v>
      </c>
      <c r="D2777" s="485">
        <v>2</v>
      </c>
      <c r="E2777" s="485">
        <v>2.5499999999999998</v>
      </c>
      <c r="F2777" s="485"/>
      <c r="G2777" s="485">
        <v>3.5</v>
      </c>
      <c r="H2777" s="487">
        <f t="shared" si="433"/>
        <v>17.849999999999998</v>
      </c>
    </row>
    <row r="2778" spans="1:8">
      <c r="A2778" s="485"/>
      <c r="B2778" s="486"/>
      <c r="C2778" s="17" t="s">
        <v>10</v>
      </c>
      <c r="D2778" s="485">
        <v>2</v>
      </c>
      <c r="E2778" s="485">
        <v>0.15</v>
      </c>
      <c r="F2778" s="485"/>
      <c r="G2778" s="485">
        <v>3.5</v>
      </c>
      <c r="H2778" s="487">
        <f t="shared" si="433"/>
        <v>1.05</v>
      </c>
    </row>
    <row r="2779" spans="1:8">
      <c r="A2779" s="485"/>
      <c r="B2779" s="486"/>
      <c r="C2779" s="17" t="s">
        <v>10</v>
      </c>
      <c r="D2779" s="485">
        <v>1</v>
      </c>
      <c r="E2779" s="485">
        <v>2.75</v>
      </c>
      <c r="F2779" s="485"/>
      <c r="G2779" s="485">
        <v>1.1000000000000001</v>
      </c>
      <c r="H2779" s="487">
        <f t="shared" si="433"/>
        <v>3.0250000000000004</v>
      </c>
    </row>
    <row r="2780" spans="1:8">
      <c r="A2780" s="485"/>
      <c r="B2780" s="486"/>
      <c r="C2780" s="17" t="s">
        <v>10</v>
      </c>
      <c r="D2780" s="485">
        <v>1</v>
      </c>
      <c r="E2780" s="485">
        <v>2.5499999999999998</v>
      </c>
      <c r="F2780" s="485"/>
      <c r="G2780" s="485">
        <v>3.5</v>
      </c>
      <c r="H2780" s="487">
        <f t="shared" si="433"/>
        <v>8.9249999999999989</v>
      </c>
    </row>
    <row r="2781" spans="1:8">
      <c r="A2781" s="485"/>
      <c r="B2781" s="486" t="s">
        <v>1917</v>
      </c>
      <c r="C2781" s="17" t="s">
        <v>10</v>
      </c>
      <c r="D2781" s="485">
        <v>1</v>
      </c>
      <c r="E2781" s="485">
        <v>6.1</v>
      </c>
      <c r="F2781" s="485"/>
      <c r="G2781" s="485">
        <v>3.5</v>
      </c>
      <c r="H2781" s="487">
        <f t="shared" si="433"/>
        <v>21.349999999999998</v>
      </c>
    </row>
    <row r="2782" spans="1:8">
      <c r="A2782" s="485"/>
      <c r="B2782" s="486"/>
      <c r="C2782" s="17" t="s">
        <v>10</v>
      </c>
      <c r="D2782" s="485">
        <v>1</v>
      </c>
      <c r="E2782" s="485">
        <v>2.1800000000000002</v>
      </c>
      <c r="F2782" s="485"/>
      <c r="G2782" s="485">
        <v>3.5</v>
      </c>
      <c r="H2782" s="487">
        <f t="shared" si="433"/>
        <v>7.6300000000000008</v>
      </c>
    </row>
    <row r="2783" spans="1:8">
      <c r="A2783" s="485"/>
      <c r="B2783" s="486"/>
      <c r="C2783" s="17" t="s">
        <v>10</v>
      </c>
      <c r="D2783" s="485">
        <v>2</v>
      </c>
      <c r="E2783" s="485">
        <v>5.6</v>
      </c>
      <c r="F2783" s="485"/>
      <c r="G2783" s="485">
        <v>3.5</v>
      </c>
      <c r="H2783" s="487">
        <f t="shared" si="433"/>
        <v>39.199999999999996</v>
      </c>
    </row>
    <row r="2784" spans="1:8">
      <c r="A2784" s="485"/>
      <c r="B2784" s="486"/>
      <c r="C2784" s="17" t="s">
        <v>10</v>
      </c>
      <c r="D2784" s="485">
        <v>1</v>
      </c>
      <c r="E2784" s="485">
        <v>8.77</v>
      </c>
      <c r="F2784" s="485"/>
      <c r="G2784" s="485">
        <v>3.5</v>
      </c>
      <c r="H2784" s="487">
        <f t="shared" si="433"/>
        <v>30.695</v>
      </c>
    </row>
    <row r="2785" spans="1:8">
      <c r="A2785" s="485"/>
      <c r="B2785" s="486" t="s">
        <v>1343</v>
      </c>
      <c r="C2785" s="17" t="s">
        <v>10</v>
      </c>
      <c r="D2785" s="485">
        <v>1</v>
      </c>
      <c r="E2785" s="485">
        <v>6.6</v>
      </c>
      <c r="F2785" s="485"/>
      <c r="G2785" s="485">
        <v>3.5</v>
      </c>
      <c r="H2785" s="487">
        <f t="shared" si="433"/>
        <v>23.099999999999998</v>
      </c>
    </row>
    <row r="2786" spans="1:8">
      <c r="A2786" s="485"/>
      <c r="B2786" s="486" t="s">
        <v>2012</v>
      </c>
      <c r="C2786" s="17" t="s">
        <v>10</v>
      </c>
      <c r="D2786" s="485">
        <v>2</v>
      </c>
      <c r="E2786" s="485">
        <v>3.85</v>
      </c>
      <c r="F2786" s="485"/>
      <c r="G2786" s="485">
        <v>3.5</v>
      </c>
      <c r="H2786" s="487">
        <f t="shared" si="433"/>
        <v>26.95</v>
      </c>
    </row>
    <row r="2787" spans="1:8">
      <c r="A2787" s="485"/>
      <c r="B2787" s="486"/>
      <c r="C2787" s="17" t="s">
        <v>10</v>
      </c>
      <c r="D2787" s="485">
        <v>-2</v>
      </c>
      <c r="E2787" s="485">
        <v>1.6</v>
      </c>
      <c r="F2787" s="485"/>
      <c r="G2787" s="485">
        <v>2.4</v>
      </c>
      <c r="H2787" s="487">
        <f t="shared" si="433"/>
        <v>-7.68</v>
      </c>
    </row>
    <row r="2788" spans="1:8">
      <c r="A2788" s="485"/>
      <c r="B2788" s="486"/>
      <c r="C2788" s="17" t="s">
        <v>10</v>
      </c>
      <c r="D2788" s="485">
        <v>2</v>
      </c>
      <c r="E2788" s="485">
        <v>4.8499999999999996</v>
      </c>
      <c r="F2788" s="485"/>
      <c r="G2788" s="485">
        <v>3.5</v>
      </c>
      <c r="H2788" s="487">
        <f t="shared" si="433"/>
        <v>33.949999999999996</v>
      </c>
    </row>
    <row r="2789" spans="1:8">
      <c r="A2789" s="485"/>
      <c r="B2789" s="486"/>
      <c r="C2789" s="17" t="s">
        <v>10</v>
      </c>
      <c r="D2789" s="485">
        <v>2</v>
      </c>
      <c r="E2789" s="485">
        <v>3.93</v>
      </c>
      <c r="F2789" s="485"/>
      <c r="G2789" s="485">
        <v>3.5</v>
      </c>
      <c r="H2789" s="487">
        <f t="shared" si="433"/>
        <v>27.51</v>
      </c>
    </row>
    <row r="2790" spans="1:8">
      <c r="A2790" s="485"/>
      <c r="B2790" s="486"/>
      <c r="C2790" s="17" t="s">
        <v>10</v>
      </c>
      <c r="D2790" s="485">
        <v>1</v>
      </c>
      <c r="E2790" s="485">
        <v>4.18</v>
      </c>
      <c r="F2790" s="485"/>
      <c r="G2790" s="485">
        <v>3.5</v>
      </c>
      <c r="H2790" s="487">
        <f t="shared" si="433"/>
        <v>14.629999999999999</v>
      </c>
    </row>
    <row r="2791" spans="1:8">
      <c r="A2791" s="485"/>
      <c r="B2791" s="486"/>
      <c r="C2791" s="17" t="s">
        <v>10</v>
      </c>
      <c r="D2791" s="485">
        <v>1</v>
      </c>
      <c r="E2791" s="485">
        <v>13.34</v>
      </c>
      <c r="F2791" s="485"/>
      <c r="G2791" s="485">
        <v>3.5</v>
      </c>
      <c r="H2791" s="487">
        <f t="shared" si="433"/>
        <v>46.69</v>
      </c>
    </row>
    <row r="2792" spans="1:8">
      <c r="A2792" s="485"/>
      <c r="B2792" s="486"/>
      <c r="C2792" s="17" t="s">
        <v>10</v>
      </c>
      <c r="D2792" s="485">
        <v>1</v>
      </c>
      <c r="E2792" s="485">
        <v>1.1000000000000001</v>
      </c>
      <c r="F2792" s="485"/>
      <c r="G2792" s="485">
        <v>3.5</v>
      </c>
      <c r="H2792" s="487">
        <f t="shared" si="433"/>
        <v>3.8500000000000005</v>
      </c>
    </row>
    <row r="2793" spans="1:8">
      <c r="A2793" s="485"/>
      <c r="B2793" s="486"/>
      <c r="C2793" s="17" t="s">
        <v>10</v>
      </c>
      <c r="D2793" s="485">
        <v>1</v>
      </c>
      <c r="E2793" s="485">
        <v>0.55200000000000005</v>
      </c>
      <c r="F2793" s="485"/>
      <c r="G2793" s="485">
        <v>3.5</v>
      </c>
      <c r="H2793" s="487">
        <f t="shared" si="433"/>
        <v>1.9320000000000002</v>
      </c>
    </row>
    <row r="2794" spans="1:8">
      <c r="A2794" s="485"/>
      <c r="B2794" s="486"/>
      <c r="C2794" s="17" t="s">
        <v>10</v>
      </c>
      <c r="D2794" s="485">
        <v>1</v>
      </c>
      <c r="E2794" s="485">
        <v>6.23</v>
      </c>
      <c r="F2794" s="485"/>
      <c r="G2794" s="485">
        <v>3.5</v>
      </c>
      <c r="H2794" s="487">
        <f t="shared" si="433"/>
        <v>21.805</v>
      </c>
    </row>
    <row r="2795" spans="1:8">
      <c r="A2795" s="485"/>
      <c r="B2795" s="486" t="s">
        <v>2013</v>
      </c>
      <c r="C2795" s="17" t="s">
        <v>10</v>
      </c>
      <c r="D2795" s="485">
        <v>2</v>
      </c>
      <c r="E2795" s="485">
        <v>3.55</v>
      </c>
      <c r="F2795" s="485"/>
      <c r="G2795" s="485">
        <v>3.5</v>
      </c>
      <c r="H2795" s="487">
        <f t="shared" si="433"/>
        <v>24.849999999999998</v>
      </c>
    </row>
    <row r="2796" spans="1:8">
      <c r="A2796" s="485"/>
      <c r="B2796" s="486"/>
      <c r="C2796" s="17" t="s">
        <v>10</v>
      </c>
      <c r="D2796" s="485">
        <v>1</v>
      </c>
      <c r="E2796" s="485">
        <v>0.4</v>
      </c>
      <c r="F2796" s="485"/>
      <c r="G2796" s="485">
        <v>3.5</v>
      </c>
      <c r="H2796" s="487">
        <f t="shared" si="433"/>
        <v>1.4000000000000001</v>
      </c>
    </row>
    <row r="2797" spans="1:8">
      <c r="A2797" s="485"/>
      <c r="B2797" s="486"/>
      <c r="C2797" s="17" t="s">
        <v>10</v>
      </c>
      <c r="D2797" s="485">
        <v>1</v>
      </c>
      <c r="E2797" s="485">
        <v>0.3</v>
      </c>
      <c r="F2797" s="485"/>
      <c r="G2797" s="485">
        <v>3.5</v>
      </c>
      <c r="H2797" s="487">
        <f t="shared" si="433"/>
        <v>1.05</v>
      </c>
    </row>
    <row r="2798" spans="1:8">
      <c r="A2798" s="485"/>
      <c r="B2798" s="486" t="s">
        <v>216</v>
      </c>
      <c r="C2798" s="17" t="s">
        <v>10</v>
      </c>
      <c r="D2798" s="485">
        <v>2</v>
      </c>
      <c r="E2798" s="485">
        <v>0.15</v>
      </c>
      <c r="F2798" s="485"/>
      <c r="G2798" s="485">
        <v>3.5</v>
      </c>
      <c r="H2798" s="487">
        <f t="shared" si="433"/>
        <v>1.05</v>
      </c>
    </row>
    <row r="2799" spans="1:8">
      <c r="A2799" s="485"/>
      <c r="B2799" s="486"/>
      <c r="C2799" s="17" t="s">
        <v>10</v>
      </c>
      <c r="D2799" s="485">
        <v>1</v>
      </c>
      <c r="E2799" s="485">
        <v>3.8250000000000002</v>
      </c>
      <c r="F2799" s="485"/>
      <c r="G2799" s="485">
        <v>1.1000000000000001</v>
      </c>
      <c r="H2799" s="487">
        <f t="shared" si="433"/>
        <v>4.2075000000000005</v>
      </c>
    </row>
    <row r="2800" spans="1:8">
      <c r="A2800" s="485"/>
      <c r="B2800" s="486" t="s">
        <v>1230</v>
      </c>
      <c r="C2800" s="17" t="s">
        <v>10</v>
      </c>
      <c r="D2800" s="485">
        <v>2</v>
      </c>
      <c r="E2800" s="485">
        <v>3.55</v>
      </c>
      <c r="F2800" s="485"/>
      <c r="G2800" s="485">
        <v>3.5</v>
      </c>
      <c r="H2800" s="487">
        <f t="shared" si="433"/>
        <v>24.849999999999998</v>
      </c>
    </row>
    <row r="2801" spans="1:8">
      <c r="A2801" s="485"/>
      <c r="B2801" s="486"/>
      <c r="C2801" s="17" t="s">
        <v>10</v>
      </c>
      <c r="D2801" s="485">
        <v>2</v>
      </c>
      <c r="E2801" s="485">
        <v>0.15</v>
      </c>
      <c r="F2801" s="485"/>
      <c r="G2801" s="485">
        <v>3.5</v>
      </c>
      <c r="H2801" s="487">
        <f t="shared" si="433"/>
        <v>1.05</v>
      </c>
    </row>
    <row r="2802" spans="1:8">
      <c r="A2802" s="485"/>
      <c r="B2802" s="486"/>
      <c r="C2802" s="17" t="s">
        <v>10</v>
      </c>
      <c r="D2802" s="485">
        <v>1</v>
      </c>
      <c r="E2802" s="485">
        <v>2.9249999999999998</v>
      </c>
      <c r="F2802" s="485"/>
      <c r="G2802" s="485">
        <v>1.1000000000000001</v>
      </c>
      <c r="H2802" s="487">
        <f t="shared" si="433"/>
        <v>3.2175000000000002</v>
      </c>
    </row>
    <row r="2803" spans="1:8">
      <c r="A2803" s="485"/>
      <c r="B2803" s="486"/>
      <c r="C2803" s="17" t="s">
        <v>10</v>
      </c>
      <c r="D2803" s="485">
        <v>1</v>
      </c>
      <c r="E2803" s="485">
        <v>3.55</v>
      </c>
      <c r="F2803" s="485"/>
      <c r="G2803" s="485">
        <v>3.5</v>
      </c>
      <c r="H2803" s="487">
        <f t="shared" si="433"/>
        <v>12.424999999999999</v>
      </c>
    </row>
    <row r="2804" spans="1:8">
      <c r="A2804" s="485"/>
      <c r="B2804" s="486" t="s">
        <v>2014</v>
      </c>
      <c r="C2804" s="17" t="s">
        <v>10</v>
      </c>
      <c r="D2804" s="485">
        <v>1</v>
      </c>
      <c r="E2804" s="485">
        <v>1.34</v>
      </c>
      <c r="F2804" s="485"/>
      <c r="G2804" s="485">
        <v>3.5</v>
      </c>
      <c r="H2804" s="487">
        <f t="shared" si="433"/>
        <v>4.6900000000000004</v>
      </c>
    </row>
    <row r="2805" spans="1:8">
      <c r="A2805" s="485"/>
      <c r="B2805" s="486" t="s">
        <v>1229</v>
      </c>
      <c r="C2805" s="17" t="s">
        <v>10</v>
      </c>
      <c r="D2805" s="485">
        <v>2</v>
      </c>
      <c r="E2805" s="485">
        <v>3.55</v>
      </c>
      <c r="F2805" s="485"/>
      <c r="G2805" s="485">
        <v>3.5</v>
      </c>
      <c r="H2805" s="487">
        <f t="shared" si="433"/>
        <v>24.849999999999998</v>
      </c>
    </row>
    <row r="2806" spans="1:8">
      <c r="A2806" s="485"/>
      <c r="B2806" s="486"/>
      <c r="C2806" s="17" t="s">
        <v>10</v>
      </c>
      <c r="D2806" s="485">
        <v>2</v>
      </c>
      <c r="E2806" s="485">
        <v>0.15</v>
      </c>
      <c r="F2806" s="485"/>
      <c r="G2806" s="485">
        <v>3.5</v>
      </c>
      <c r="H2806" s="487">
        <f t="shared" si="433"/>
        <v>1.05</v>
      </c>
    </row>
    <row r="2807" spans="1:8">
      <c r="A2807" s="485"/>
      <c r="B2807" s="486"/>
      <c r="C2807" s="17" t="s">
        <v>10</v>
      </c>
      <c r="D2807" s="485">
        <v>1</v>
      </c>
      <c r="E2807" s="485">
        <v>2.65</v>
      </c>
      <c r="F2807" s="485"/>
      <c r="G2807" s="485">
        <v>1.1000000000000001</v>
      </c>
      <c r="H2807" s="487">
        <f t="shared" si="433"/>
        <v>2.915</v>
      </c>
    </row>
    <row r="2808" spans="1:8">
      <c r="A2808" s="485"/>
      <c r="B2808" s="486" t="s">
        <v>172</v>
      </c>
      <c r="C2808" s="17" t="s">
        <v>10</v>
      </c>
      <c r="D2808" s="485">
        <v>1</v>
      </c>
      <c r="E2808" s="485">
        <v>6.9249999999999998</v>
      </c>
      <c r="F2808" s="485"/>
      <c r="G2808" s="485">
        <v>1.05</v>
      </c>
      <c r="H2808" s="487">
        <f t="shared" si="433"/>
        <v>7.2712500000000002</v>
      </c>
    </row>
    <row r="2809" spans="1:8">
      <c r="A2809" s="485"/>
      <c r="B2809" s="486" t="s">
        <v>1339</v>
      </c>
      <c r="C2809" s="17" t="s">
        <v>10</v>
      </c>
      <c r="D2809" s="485">
        <v>1</v>
      </c>
      <c r="E2809" s="485">
        <v>6</v>
      </c>
      <c r="F2809" s="485"/>
      <c r="G2809" s="485">
        <v>3.5</v>
      </c>
      <c r="H2809" s="487">
        <f t="shared" si="433"/>
        <v>21</v>
      </c>
    </row>
    <row r="2810" spans="1:8">
      <c r="A2810" s="485"/>
      <c r="B2810" s="486" t="s">
        <v>1358</v>
      </c>
      <c r="C2810" s="17" t="s">
        <v>10</v>
      </c>
      <c r="D2810" s="485">
        <v>2</v>
      </c>
      <c r="E2810" s="485">
        <v>1.425</v>
      </c>
      <c r="F2810" s="485"/>
      <c r="G2810" s="485">
        <v>3.5</v>
      </c>
      <c r="H2810" s="487">
        <f t="shared" si="433"/>
        <v>9.9749999999999996</v>
      </c>
    </row>
    <row r="2811" spans="1:8">
      <c r="A2811" s="485"/>
      <c r="B2811" s="486"/>
      <c r="C2811" s="17" t="s">
        <v>10</v>
      </c>
      <c r="D2811" s="485">
        <v>1</v>
      </c>
      <c r="E2811" s="485">
        <v>0.8</v>
      </c>
      <c r="F2811" s="485"/>
      <c r="G2811" s="485">
        <v>3.5</v>
      </c>
      <c r="H2811" s="487">
        <f t="shared" si="433"/>
        <v>2.8000000000000003</v>
      </c>
    </row>
    <row r="2812" spans="1:8">
      <c r="A2812" s="485"/>
      <c r="B2812" s="486"/>
      <c r="C2812" s="17" t="s">
        <v>10</v>
      </c>
      <c r="D2812" s="485">
        <v>-1</v>
      </c>
      <c r="E2812" s="485">
        <v>1.2250000000000001</v>
      </c>
      <c r="F2812" s="485"/>
      <c r="G2812" s="485">
        <v>2.4</v>
      </c>
      <c r="H2812" s="487">
        <f t="shared" si="433"/>
        <v>-2.94</v>
      </c>
    </row>
    <row r="2813" spans="1:8">
      <c r="A2813" s="485"/>
      <c r="B2813" s="486" t="s">
        <v>1269</v>
      </c>
      <c r="C2813" s="17" t="s">
        <v>10</v>
      </c>
      <c r="D2813" s="485">
        <v>3</v>
      </c>
      <c r="E2813" s="485">
        <v>2.06</v>
      </c>
      <c r="F2813" s="485"/>
      <c r="G2813" s="485">
        <v>3.5</v>
      </c>
      <c r="H2813" s="487">
        <f t="shared" si="433"/>
        <v>21.63</v>
      </c>
    </row>
    <row r="2814" spans="1:8">
      <c r="A2814" s="485"/>
      <c r="B2814" s="486"/>
      <c r="C2814" s="17" t="s">
        <v>10</v>
      </c>
      <c r="D2814" s="485">
        <v>1</v>
      </c>
      <c r="E2814" s="485">
        <v>3.8</v>
      </c>
      <c r="F2814" s="485"/>
      <c r="G2814" s="485">
        <v>3.5</v>
      </c>
      <c r="H2814" s="487">
        <f t="shared" si="433"/>
        <v>13.299999999999999</v>
      </c>
    </row>
    <row r="2815" spans="1:8">
      <c r="A2815" s="485"/>
      <c r="B2815" s="486"/>
      <c r="C2815" s="17" t="s">
        <v>10</v>
      </c>
      <c r="D2815" s="485">
        <v>-3</v>
      </c>
      <c r="E2815" s="485">
        <v>0.75</v>
      </c>
      <c r="F2815" s="485"/>
      <c r="G2815" s="485">
        <v>2.4</v>
      </c>
      <c r="H2815" s="487">
        <f t="shared" si="433"/>
        <v>-5.3999999999999995</v>
      </c>
    </row>
    <row r="2816" spans="1:8">
      <c r="A2816" s="485"/>
      <c r="B2816" s="486" t="s">
        <v>1207</v>
      </c>
      <c r="C2816" s="17" t="s">
        <v>10</v>
      </c>
      <c r="D2816" s="485">
        <v>2</v>
      </c>
      <c r="E2816" s="485">
        <v>3.9</v>
      </c>
      <c r="F2816" s="485"/>
      <c r="G2816" s="485">
        <v>3.5</v>
      </c>
      <c r="H2816" s="487">
        <f t="shared" si="433"/>
        <v>27.3</v>
      </c>
    </row>
    <row r="2817" spans="1:8">
      <c r="A2817" s="485"/>
      <c r="B2817" s="486"/>
      <c r="C2817" s="17" t="s">
        <v>10</v>
      </c>
      <c r="D2817" s="485">
        <v>2</v>
      </c>
      <c r="E2817" s="485">
        <v>0.15</v>
      </c>
      <c r="F2817" s="485"/>
      <c r="G2817" s="485">
        <v>3.5</v>
      </c>
      <c r="H2817" s="487">
        <f t="shared" si="433"/>
        <v>1.05</v>
      </c>
    </row>
    <row r="2818" spans="1:8">
      <c r="A2818" s="485"/>
      <c r="B2818" s="486"/>
      <c r="C2818" s="17" t="s">
        <v>10</v>
      </c>
      <c r="D2818" s="485">
        <v>2</v>
      </c>
      <c r="E2818" s="485">
        <v>0.2</v>
      </c>
      <c r="F2818" s="485"/>
      <c r="G2818" s="485">
        <v>3.5</v>
      </c>
      <c r="H2818" s="487">
        <f t="shared" si="433"/>
        <v>1.4000000000000001</v>
      </c>
    </row>
    <row r="2819" spans="1:8">
      <c r="A2819" s="485"/>
      <c r="B2819" s="486"/>
      <c r="C2819" s="17" t="s">
        <v>10</v>
      </c>
      <c r="D2819" s="485">
        <v>1</v>
      </c>
      <c r="E2819" s="485">
        <v>4.5999999999999996</v>
      </c>
      <c r="F2819" s="485"/>
      <c r="G2819" s="485">
        <v>1.1000000000000001</v>
      </c>
      <c r="H2819" s="487">
        <f t="shared" si="433"/>
        <v>5.0599999999999996</v>
      </c>
    </row>
    <row r="2820" spans="1:8">
      <c r="A2820" s="485"/>
      <c r="B2820" s="486"/>
      <c r="C2820" s="17" t="s">
        <v>10</v>
      </c>
      <c r="D2820" s="485">
        <v>1</v>
      </c>
      <c r="E2820" s="485">
        <v>3.55</v>
      </c>
      <c r="F2820" s="485"/>
      <c r="G2820" s="485">
        <v>1.1000000000000001</v>
      </c>
      <c r="H2820" s="487">
        <f t="shared" si="433"/>
        <v>3.9050000000000002</v>
      </c>
    </row>
    <row r="2821" spans="1:8">
      <c r="A2821" s="485"/>
      <c r="B2821" s="486"/>
      <c r="C2821" s="17" t="s">
        <v>10</v>
      </c>
      <c r="D2821" s="485">
        <v>1</v>
      </c>
      <c r="E2821" s="485">
        <v>5.2</v>
      </c>
      <c r="F2821" s="485"/>
      <c r="G2821" s="485">
        <v>3.5</v>
      </c>
      <c r="H2821" s="487">
        <f t="shared" si="433"/>
        <v>18.2</v>
      </c>
    </row>
    <row r="2822" spans="1:8">
      <c r="A2822" s="485"/>
      <c r="B2822" s="486"/>
      <c r="C2822" s="17" t="s">
        <v>10</v>
      </c>
      <c r="D2822" s="485">
        <v>-1</v>
      </c>
      <c r="E2822" s="485">
        <v>1</v>
      </c>
      <c r="F2822" s="485"/>
      <c r="G2822" s="485">
        <v>2.4</v>
      </c>
      <c r="H2822" s="487">
        <f t="shared" ref="H2822:H2871" si="434">PRODUCT(D2822:G2822)</f>
        <v>-2.4</v>
      </c>
    </row>
    <row r="2823" spans="1:8">
      <c r="A2823" s="485"/>
      <c r="B2823" s="486" t="s">
        <v>1195</v>
      </c>
      <c r="C2823" s="17" t="s">
        <v>10</v>
      </c>
      <c r="D2823" s="485">
        <v>2</v>
      </c>
      <c r="E2823" s="485">
        <v>3.7</v>
      </c>
      <c r="F2823" s="485"/>
      <c r="G2823" s="485">
        <v>3.5</v>
      </c>
      <c r="H2823" s="487">
        <f t="shared" si="434"/>
        <v>25.900000000000002</v>
      </c>
    </row>
    <row r="2824" spans="1:8">
      <c r="A2824" s="485"/>
      <c r="B2824" s="486"/>
      <c r="C2824" s="17" t="s">
        <v>10</v>
      </c>
      <c r="D2824" s="485">
        <v>1</v>
      </c>
      <c r="E2824" s="485">
        <v>6.95</v>
      </c>
      <c r="F2824" s="485"/>
      <c r="G2824" s="485">
        <v>3.5</v>
      </c>
      <c r="H2824" s="487">
        <f t="shared" si="434"/>
        <v>24.324999999999999</v>
      </c>
    </row>
    <row r="2825" spans="1:8">
      <c r="A2825" s="485"/>
      <c r="B2825" s="486"/>
      <c r="C2825" s="17" t="s">
        <v>10</v>
      </c>
      <c r="D2825" s="485">
        <v>1</v>
      </c>
      <c r="E2825" s="485">
        <v>3.67</v>
      </c>
      <c r="F2825" s="485"/>
      <c r="G2825" s="485">
        <v>3.5</v>
      </c>
      <c r="H2825" s="487">
        <f t="shared" si="434"/>
        <v>12.844999999999999</v>
      </c>
    </row>
    <row r="2826" spans="1:8">
      <c r="A2826" s="485"/>
      <c r="B2826" s="486"/>
      <c r="C2826" s="17" t="s">
        <v>10</v>
      </c>
      <c r="D2826" s="485">
        <v>2</v>
      </c>
      <c r="E2826" s="485">
        <v>0.15</v>
      </c>
      <c r="F2826" s="485"/>
      <c r="G2826" s="485">
        <v>3.5</v>
      </c>
      <c r="H2826" s="487">
        <f t="shared" si="434"/>
        <v>1.05</v>
      </c>
    </row>
    <row r="2827" spans="1:8">
      <c r="A2827" s="485"/>
      <c r="B2827" s="486"/>
      <c r="C2827" s="17" t="s">
        <v>10</v>
      </c>
      <c r="D2827" s="485">
        <v>1</v>
      </c>
      <c r="E2827" s="485">
        <v>2.85</v>
      </c>
      <c r="F2827" s="485"/>
      <c r="G2827" s="485">
        <v>1.1000000000000001</v>
      </c>
      <c r="H2827" s="487">
        <f t="shared" si="434"/>
        <v>3.1350000000000002</v>
      </c>
    </row>
    <row r="2828" spans="1:8">
      <c r="A2828" s="485"/>
      <c r="B2828" s="486" t="s">
        <v>2015</v>
      </c>
      <c r="C2828" s="17" t="s">
        <v>10</v>
      </c>
      <c r="D2828" s="485">
        <v>2</v>
      </c>
      <c r="E2828" s="485">
        <v>3.67</v>
      </c>
      <c r="F2828" s="485"/>
      <c r="G2828" s="485">
        <v>3.5</v>
      </c>
      <c r="H2828" s="487">
        <f t="shared" si="434"/>
        <v>25.689999999999998</v>
      </c>
    </row>
    <row r="2829" spans="1:8">
      <c r="A2829" s="485"/>
      <c r="B2829" s="486"/>
      <c r="C2829" s="17" t="s">
        <v>10</v>
      </c>
      <c r="D2829" s="485">
        <v>2</v>
      </c>
      <c r="E2829" s="485">
        <v>0.15</v>
      </c>
      <c r="F2829" s="485"/>
      <c r="G2829" s="485">
        <v>3.5</v>
      </c>
      <c r="H2829" s="487">
        <f t="shared" si="434"/>
        <v>1.05</v>
      </c>
    </row>
    <row r="2830" spans="1:8">
      <c r="A2830" s="485"/>
      <c r="B2830" s="486"/>
      <c r="C2830" s="17" t="s">
        <v>10</v>
      </c>
      <c r="D2830" s="485">
        <v>1</v>
      </c>
      <c r="E2830" s="485">
        <v>2.9</v>
      </c>
      <c r="F2830" s="485"/>
      <c r="G2830" s="485">
        <v>1.1000000000000001</v>
      </c>
      <c r="H2830" s="487">
        <f t="shared" si="434"/>
        <v>3.19</v>
      </c>
    </row>
    <row r="2831" spans="1:8">
      <c r="A2831" s="485"/>
      <c r="B2831" s="486" t="s">
        <v>2014</v>
      </c>
      <c r="C2831" s="17" t="s">
        <v>10</v>
      </c>
      <c r="D2831" s="485">
        <v>1</v>
      </c>
      <c r="E2831" s="485">
        <v>1.1579999999999999</v>
      </c>
      <c r="F2831" s="485"/>
      <c r="G2831" s="485">
        <v>3.5</v>
      </c>
      <c r="H2831" s="487">
        <f t="shared" si="434"/>
        <v>4.0529999999999999</v>
      </c>
    </row>
    <row r="2832" spans="1:8">
      <c r="A2832" s="485"/>
      <c r="B2832" s="486"/>
      <c r="C2832" s="17" t="s">
        <v>10</v>
      </c>
      <c r="D2832" s="485">
        <v>-1</v>
      </c>
      <c r="E2832" s="485">
        <v>0.94</v>
      </c>
      <c r="F2832" s="485"/>
      <c r="G2832" s="485">
        <v>2.4</v>
      </c>
      <c r="H2832" s="487">
        <f t="shared" si="434"/>
        <v>-2.2559999999999998</v>
      </c>
    </row>
    <row r="2833" spans="1:8">
      <c r="A2833" s="485"/>
      <c r="B2833" s="486"/>
      <c r="C2833" s="17" t="s">
        <v>10</v>
      </c>
      <c r="D2833" s="485">
        <v>1</v>
      </c>
      <c r="E2833" s="485">
        <v>2.58</v>
      </c>
      <c r="F2833" s="485"/>
      <c r="G2833" s="485">
        <v>3.5</v>
      </c>
      <c r="H2833" s="487">
        <f t="shared" si="434"/>
        <v>9.0300000000000011</v>
      </c>
    </row>
    <row r="2834" spans="1:8">
      <c r="A2834" s="485"/>
      <c r="B2834" s="486" t="s">
        <v>1343</v>
      </c>
      <c r="C2834" s="17" t="s">
        <v>10</v>
      </c>
      <c r="D2834" s="485">
        <v>2</v>
      </c>
      <c r="E2834" s="485">
        <v>1.36</v>
      </c>
      <c r="F2834" s="485"/>
      <c r="G2834" s="485">
        <v>3.5</v>
      </c>
      <c r="H2834" s="487">
        <f t="shared" si="434"/>
        <v>9.5200000000000014</v>
      </c>
    </row>
    <row r="2835" spans="1:8">
      <c r="A2835" s="485"/>
      <c r="B2835" s="486" t="s">
        <v>1293</v>
      </c>
      <c r="C2835" s="17" t="s">
        <v>10</v>
      </c>
      <c r="D2835" s="485">
        <v>1</v>
      </c>
      <c r="E2835" s="485">
        <v>1.94</v>
      </c>
      <c r="F2835" s="485"/>
      <c r="G2835" s="485">
        <v>3.5</v>
      </c>
      <c r="H2835" s="487">
        <f t="shared" si="434"/>
        <v>6.79</v>
      </c>
    </row>
    <row r="2836" spans="1:8">
      <c r="A2836" s="485"/>
      <c r="B2836" s="486"/>
      <c r="C2836" s="17" t="s">
        <v>10</v>
      </c>
      <c r="D2836" s="485">
        <v>-1</v>
      </c>
      <c r="E2836" s="485">
        <v>1</v>
      </c>
      <c r="F2836" s="485"/>
      <c r="G2836" s="485">
        <v>2.4</v>
      </c>
      <c r="H2836" s="487">
        <f t="shared" si="434"/>
        <v>-2.4</v>
      </c>
    </row>
    <row r="2837" spans="1:8">
      <c r="A2837" s="485"/>
      <c r="B2837" s="486"/>
      <c r="C2837" s="17" t="s">
        <v>10</v>
      </c>
      <c r="D2837" s="485">
        <v>1</v>
      </c>
      <c r="E2837" s="485">
        <v>1.4</v>
      </c>
      <c r="F2837" s="485"/>
      <c r="G2837" s="485">
        <v>3.5</v>
      </c>
      <c r="H2837" s="487">
        <f t="shared" si="434"/>
        <v>4.8999999999999995</v>
      </c>
    </row>
    <row r="2838" spans="1:8">
      <c r="A2838" s="485"/>
      <c r="B2838" s="486"/>
      <c r="C2838" s="17" t="s">
        <v>10</v>
      </c>
      <c r="D2838" s="485">
        <v>1</v>
      </c>
      <c r="E2838" s="485">
        <v>1.34</v>
      </c>
      <c r="F2838" s="485"/>
      <c r="G2838" s="485">
        <v>3.5</v>
      </c>
      <c r="H2838" s="487">
        <f t="shared" si="434"/>
        <v>4.6900000000000004</v>
      </c>
    </row>
    <row r="2839" spans="1:8">
      <c r="A2839" s="485"/>
      <c r="B2839" s="486"/>
      <c r="C2839" s="17" t="s">
        <v>10</v>
      </c>
      <c r="D2839" s="485">
        <v>1</v>
      </c>
      <c r="E2839" s="485">
        <v>4.0999999999999996</v>
      </c>
      <c r="F2839" s="485"/>
      <c r="G2839" s="485">
        <v>3.5</v>
      </c>
      <c r="H2839" s="487">
        <f t="shared" si="434"/>
        <v>14.349999999999998</v>
      </c>
    </row>
    <row r="2840" spans="1:8">
      <c r="A2840" s="485"/>
      <c r="B2840" s="486" t="s">
        <v>1292</v>
      </c>
      <c r="C2840" s="17" t="s">
        <v>10</v>
      </c>
      <c r="D2840" s="485">
        <v>1</v>
      </c>
      <c r="E2840" s="485">
        <v>0.95199999999999996</v>
      </c>
      <c r="F2840" s="485"/>
      <c r="G2840" s="485">
        <v>3.5</v>
      </c>
      <c r="H2840" s="487">
        <f t="shared" si="434"/>
        <v>3.3319999999999999</v>
      </c>
    </row>
    <row r="2841" spans="1:8">
      <c r="A2841" s="485"/>
      <c r="B2841" s="486"/>
      <c r="C2841" s="17" t="s">
        <v>10</v>
      </c>
      <c r="D2841" s="485">
        <v>1</v>
      </c>
      <c r="E2841" s="485">
        <v>2.68</v>
      </c>
      <c r="F2841" s="485"/>
      <c r="G2841" s="485">
        <v>3.5</v>
      </c>
      <c r="H2841" s="487">
        <f t="shared" si="434"/>
        <v>9.3800000000000008</v>
      </c>
    </row>
    <row r="2842" spans="1:8">
      <c r="A2842" s="485"/>
      <c r="B2842" s="486"/>
      <c r="C2842" s="17" t="s">
        <v>10</v>
      </c>
      <c r="D2842" s="485">
        <v>1</v>
      </c>
      <c r="E2842" s="485">
        <v>0.315</v>
      </c>
      <c r="F2842" s="485"/>
      <c r="G2842" s="485">
        <v>3.5</v>
      </c>
      <c r="H2842" s="487">
        <f t="shared" si="434"/>
        <v>1.1025</v>
      </c>
    </row>
    <row r="2843" spans="1:8">
      <c r="A2843" s="485"/>
      <c r="B2843" s="486"/>
      <c r="C2843" s="17" t="s">
        <v>10</v>
      </c>
      <c r="D2843" s="485">
        <v>1</v>
      </c>
      <c r="E2843" s="485">
        <v>2.2999999999999998</v>
      </c>
      <c r="F2843" s="485"/>
      <c r="G2843" s="485">
        <v>3.5</v>
      </c>
      <c r="H2843" s="487">
        <f t="shared" si="434"/>
        <v>8.0499999999999989</v>
      </c>
    </row>
    <row r="2844" spans="1:8">
      <c r="A2844" s="485"/>
      <c r="B2844" s="486"/>
      <c r="C2844" s="17" t="s">
        <v>10</v>
      </c>
      <c r="D2844" s="485">
        <v>1</v>
      </c>
      <c r="E2844" s="485">
        <v>6.5</v>
      </c>
      <c r="F2844" s="485"/>
      <c r="G2844" s="485">
        <v>3.5</v>
      </c>
      <c r="H2844" s="487">
        <f t="shared" si="434"/>
        <v>22.75</v>
      </c>
    </row>
    <row r="2845" spans="1:8">
      <c r="A2845" s="485"/>
      <c r="B2845" s="486" t="s">
        <v>1294</v>
      </c>
      <c r="C2845" s="17" t="s">
        <v>10</v>
      </c>
      <c r="D2845" s="485">
        <v>1</v>
      </c>
      <c r="E2845" s="485">
        <v>2.11</v>
      </c>
      <c r="F2845" s="485"/>
      <c r="G2845" s="485">
        <v>3.5</v>
      </c>
      <c r="H2845" s="487">
        <f t="shared" si="434"/>
        <v>7.3849999999999998</v>
      </c>
    </row>
    <row r="2846" spans="1:8">
      <c r="A2846" s="485"/>
      <c r="B2846" s="486"/>
      <c r="C2846" s="17" t="s">
        <v>10</v>
      </c>
      <c r="D2846" s="485">
        <v>-1</v>
      </c>
      <c r="E2846" s="485">
        <v>1</v>
      </c>
      <c r="F2846" s="485"/>
      <c r="G2846" s="485">
        <v>2.4</v>
      </c>
      <c r="H2846" s="487">
        <f t="shared" si="434"/>
        <v>-2.4</v>
      </c>
    </row>
    <row r="2847" spans="1:8">
      <c r="A2847" s="485"/>
      <c r="B2847" s="486" t="s">
        <v>2016</v>
      </c>
      <c r="C2847" s="17" t="s">
        <v>10</v>
      </c>
      <c r="D2847" s="485">
        <v>1</v>
      </c>
      <c r="E2847" s="485">
        <v>2.8</v>
      </c>
      <c r="F2847" s="485"/>
      <c r="G2847" s="485">
        <v>3.5</v>
      </c>
      <c r="H2847" s="487">
        <f t="shared" si="434"/>
        <v>9.7999999999999989</v>
      </c>
    </row>
    <row r="2848" spans="1:8">
      <c r="A2848" s="485"/>
      <c r="B2848" s="486"/>
      <c r="C2848" s="17" t="s">
        <v>10</v>
      </c>
      <c r="D2848" s="485">
        <v>-1</v>
      </c>
      <c r="E2848" s="485">
        <v>1</v>
      </c>
      <c r="F2848" s="485"/>
      <c r="G2848" s="485">
        <v>2.4</v>
      </c>
      <c r="H2848" s="487">
        <f t="shared" si="434"/>
        <v>-2.4</v>
      </c>
    </row>
    <row r="2849" spans="1:8">
      <c r="A2849" s="485"/>
      <c r="B2849" s="486"/>
      <c r="C2849" s="17" t="s">
        <v>10</v>
      </c>
      <c r="D2849" s="485">
        <v>1</v>
      </c>
      <c r="E2849" s="485">
        <v>3.9</v>
      </c>
      <c r="F2849" s="485"/>
      <c r="G2849" s="485">
        <v>3.5</v>
      </c>
      <c r="H2849" s="487">
        <f t="shared" si="434"/>
        <v>13.65</v>
      </c>
    </row>
    <row r="2850" spans="1:8">
      <c r="A2850" s="485"/>
      <c r="B2850" s="486"/>
      <c r="C2850" s="17" t="s">
        <v>10</v>
      </c>
      <c r="D2850" s="485">
        <v>-2</v>
      </c>
      <c r="E2850" s="485">
        <v>0.75</v>
      </c>
      <c r="F2850" s="485"/>
      <c r="G2850" s="485">
        <v>2.4</v>
      </c>
      <c r="H2850" s="487">
        <f t="shared" si="434"/>
        <v>-3.5999999999999996</v>
      </c>
    </row>
    <row r="2851" spans="1:8">
      <c r="A2851" s="485"/>
      <c r="B2851" s="486"/>
      <c r="C2851" s="17" t="s">
        <v>10</v>
      </c>
      <c r="D2851" s="485">
        <v>1</v>
      </c>
      <c r="E2851" s="485">
        <v>4.0999999999999996</v>
      </c>
      <c r="F2851" s="485"/>
      <c r="G2851" s="485">
        <v>2.7</v>
      </c>
      <c r="H2851" s="487">
        <f t="shared" si="434"/>
        <v>11.07</v>
      </c>
    </row>
    <row r="2852" spans="1:8">
      <c r="A2852" s="485"/>
      <c r="B2852" s="486"/>
      <c r="C2852" s="17" t="s">
        <v>10</v>
      </c>
      <c r="D2852" s="485">
        <v>1</v>
      </c>
      <c r="E2852" s="485">
        <v>1.3</v>
      </c>
      <c r="F2852" s="485"/>
      <c r="G2852" s="485">
        <v>3.5</v>
      </c>
      <c r="H2852" s="487">
        <f t="shared" si="434"/>
        <v>4.55</v>
      </c>
    </row>
    <row r="2853" spans="1:8">
      <c r="A2853" s="485"/>
      <c r="B2853" s="486"/>
      <c r="C2853" s="17" t="s">
        <v>10</v>
      </c>
      <c r="D2853" s="485">
        <v>1</v>
      </c>
      <c r="E2853" s="485">
        <v>1</v>
      </c>
      <c r="F2853" s="485"/>
      <c r="G2853" s="485">
        <v>3.5</v>
      </c>
      <c r="H2853" s="487">
        <f t="shared" si="434"/>
        <v>3.5</v>
      </c>
    </row>
    <row r="2854" spans="1:8">
      <c r="A2854" s="485"/>
      <c r="B2854" s="486" t="s">
        <v>214</v>
      </c>
      <c r="C2854" s="17" t="s">
        <v>10</v>
      </c>
      <c r="D2854" s="485">
        <v>1</v>
      </c>
      <c r="E2854" s="485">
        <v>9.15</v>
      </c>
      <c r="F2854" s="485"/>
      <c r="G2854" s="485">
        <v>3.5</v>
      </c>
      <c r="H2854" s="487">
        <f t="shared" si="434"/>
        <v>32.024999999999999</v>
      </c>
    </row>
    <row r="2855" spans="1:8">
      <c r="A2855" s="485"/>
      <c r="B2855" s="486"/>
      <c r="C2855" s="17" t="s">
        <v>10</v>
      </c>
      <c r="D2855" s="485">
        <v>-1</v>
      </c>
      <c r="E2855" s="485">
        <v>1</v>
      </c>
      <c r="F2855" s="485"/>
      <c r="G2855" s="485">
        <v>2.4</v>
      </c>
      <c r="H2855" s="487">
        <f t="shared" si="434"/>
        <v>-2.4</v>
      </c>
    </row>
    <row r="2856" spans="1:8">
      <c r="A2856" s="485"/>
      <c r="B2856" s="486"/>
      <c r="C2856" s="17" t="s">
        <v>10</v>
      </c>
      <c r="D2856" s="485">
        <v>1</v>
      </c>
      <c r="E2856" s="485">
        <v>6.2850000000000001</v>
      </c>
      <c r="F2856" s="485"/>
      <c r="G2856" s="485">
        <v>3.5</v>
      </c>
      <c r="H2856" s="487">
        <f t="shared" si="434"/>
        <v>21.997500000000002</v>
      </c>
    </row>
    <row r="2857" spans="1:8">
      <c r="A2857" s="485"/>
      <c r="B2857" s="486"/>
      <c r="C2857" s="17" t="s">
        <v>10</v>
      </c>
      <c r="D2857" s="485">
        <v>1</v>
      </c>
      <c r="E2857" s="485">
        <v>10.9</v>
      </c>
      <c r="F2857" s="485"/>
      <c r="G2857" s="485">
        <v>3.5</v>
      </c>
      <c r="H2857" s="487">
        <f t="shared" si="434"/>
        <v>38.15</v>
      </c>
    </row>
    <row r="2858" spans="1:8">
      <c r="A2858" s="485"/>
      <c r="B2858" s="486"/>
      <c r="C2858" s="17" t="s">
        <v>10</v>
      </c>
      <c r="D2858" s="485">
        <v>-1</v>
      </c>
      <c r="E2858" s="485">
        <v>1</v>
      </c>
      <c r="F2858" s="485"/>
      <c r="G2858" s="485">
        <v>2.4</v>
      </c>
      <c r="H2858" s="487">
        <f t="shared" si="434"/>
        <v>-2.4</v>
      </c>
    </row>
    <row r="2859" spans="1:8">
      <c r="A2859" s="485"/>
      <c r="B2859" s="486"/>
      <c r="C2859" s="17" t="s">
        <v>10</v>
      </c>
      <c r="D2859" s="485">
        <v>1</v>
      </c>
      <c r="E2859" s="485">
        <v>0.65</v>
      </c>
      <c r="F2859" s="485"/>
      <c r="G2859" s="485">
        <v>3.5</v>
      </c>
      <c r="H2859" s="487">
        <f t="shared" si="434"/>
        <v>2.2749999999999999</v>
      </c>
    </row>
    <row r="2860" spans="1:8">
      <c r="A2860" s="485"/>
      <c r="B2860" s="486"/>
      <c r="C2860" s="17" t="s">
        <v>10</v>
      </c>
      <c r="D2860" s="485">
        <v>1</v>
      </c>
      <c r="E2860" s="485">
        <v>0.15</v>
      </c>
      <c r="F2860" s="485"/>
      <c r="G2860" s="485">
        <v>3.5</v>
      </c>
      <c r="H2860" s="487">
        <f t="shared" si="434"/>
        <v>0.52500000000000002</v>
      </c>
    </row>
    <row r="2861" spans="1:8">
      <c r="A2861" s="485"/>
      <c r="B2861" s="486"/>
      <c r="C2861" s="17" t="s">
        <v>10</v>
      </c>
      <c r="D2861" s="485">
        <v>1</v>
      </c>
      <c r="E2861" s="485">
        <v>5.4</v>
      </c>
      <c r="F2861" s="485"/>
      <c r="G2861" s="485">
        <v>1.1000000000000001</v>
      </c>
      <c r="H2861" s="487">
        <f t="shared" si="434"/>
        <v>5.9400000000000013</v>
      </c>
    </row>
    <row r="2862" spans="1:8">
      <c r="A2862" s="485"/>
      <c r="B2862" s="486" t="s">
        <v>2017</v>
      </c>
      <c r="C2862" s="17" t="s">
        <v>10</v>
      </c>
      <c r="D2862" s="485">
        <v>1</v>
      </c>
      <c r="E2862" s="485">
        <v>1.9</v>
      </c>
      <c r="F2862" s="485"/>
      <c r="G2862" s="485">
        <v>3.5</v>
      </c>
      <c r="H2862" s="487">
        <f t="shared" si="434"/>
        <v>6.6499999999999995</v>
      </c>
    </row>
    <row r="2863" spans="1:8">
      <c r="A2863" s="485"/>
      <c r="B2863" s="486" t="s">
        <v>2029</v>
      </c>
      <c r="C2863" s="17" t="s">
        <v>10</v>
      </c>
      <c r="D2863" s="485">
        <v>1</v>
      </c>
      <c r="E2863" s="485">
        <v>6.58</v>
      </c>
      <c r="F2863" s="485"/>
      <c r="G2863" s="485">
        <v>3.5</v>
      </c>
      <c r="H2863" s="487">
        <f t="shared" si="434"/>
        <v>23.03</v>
      </c>
    </row>
    <row r="2864" spans="1:8">
      <c r="A2864" s="485"/>
      <c r="B2864" s="486"/>
      <c r="C2864" s="17" t="s">
        <v>10</v>
      </c>
      <c r="D2864" s="485">
        <v>1</v>
      </c>
      <c r="E2864" s="485">
        <v>2.1</v>
      </c>
      <c r="F2864" s="485"/>
      <c r="G2864" s="485">
        <v>3.5</v>
      </c>
      <c r="H2864" s="487">
        <f t="shared" si="434"/>
        <v>7.3500000000000005</v>
      </c>
    </row>
    <row r="2865" spans="1:8">
      <c r="A2865" s="485"/>
      <c r="B2865" s="486" t="s">
        <v>2033</v>
      </c>
      <c r="C2865" s="17" t="s">
        <v>10</v>
      </c>
      <c r="D2865" s="485">
        <v>1</v>
      </c>
      <c r="E2865" s="485">
        <f>1.41+1.325+1.05+1.2</f>
        <v>4.9850000000000003</v>
      </c>
      <c r="F2865" s="485"/>
      <c r="G2865" s="485">
        <v>3.5</v>
      </c>
      <c r="H2865" s="487">
        <f t="shared" si="434"/>
        <v>17.447500000000002</v>
      </c>
    </row>
    <row r="2866" spans="1:8">
      <c r="A2866" s="485"/>
      <c r="B2866" s="486" t="s">
        <v>2033</v>
      </c>
      <c r="C2866" s="17" t="s">
        <v>10</v>
      </c>
      <c r="D2866" s="485">
        <v>1</v>
      </c>
      <c r="E2866" s="485">
        <f>1.2+0.975</f>
        <v>2.1749999999999998</v>
      </c>
      <c r="F2866" s="485"/>
      <c r="G2866" s="485">
        <v>3.5</v>
      </c>
      <c r="H2866" s="487">
        <f t="shared" si="434"/>
        <v>7.6124999999999989</v>
      </c>
    </row>
    <row r="2867" spans="1:8">
      <c r="A2867" s="485"/>
      <c r="B2867" s="486" t="s">
        <v>2033</v>
      </c>
      <c r="C2867" s="17" t="s">
        <v>10</v>
      </c>
      <c r="D2867" s="485">
        <v>1</v>
      </c>
      <c r="E2867" s="485">
        <f>1.05+1.05+1.1+1.1</f>
        <v>4.3000000000000007</v>
      </c>
      <c r="F2867" s="485"/>
      <c r="G2867" s="485">
        <v>3.5</v>
      </c>
      <c r="H2867" s="487">
        <f t="shared" si="434"/>
        <v>15.050000000000002</v>
      </c>
    </row>
    <row r="2868" spans="1:8">
      <c r="A2868" s="485"/>
      <c r="B2868" s="486" t="s">
        <v>1241</v>
      </c>
      <c r="C2868" s="17" t="s">
        <v>10</v>
      </c>
      <c r="D2868" s="485">
        <v>1</v>
      </c>
      <c r="E2868" s="485">
        <v>1.425</v>
      </c>
      <c r="F2868" s="485"/>
      <c r="G2868" s="485">
        <v>3.5</v>
      </c>
      <c r="H2868" s="487">
        <f t="shared" si="434"/>
        <v>4.9874999999999998</v>
      </c>
    </row>
    <row r="2869" spans="1:8">
      <c r="A2869" s="485"/>
      <c r="B2869" s="486" t="s">
        <v>2035</v>
      </c>
      <c r="C2869" s="17" t="s">
        <v>10</v>
      </c>
      <c r="D2869" s="485">
        <v>1</v>
      </c>
      <c r="E2869" s="485">
        <f>1.075+0.975+0.875</f>
        <v>2.9249999999999998</v>
      </c>
      <c r="F2869" s="485"/>
      <c r="G2869" s="485">
        <v>3.5</v>
      </c>
      <c r="H2869" s="487">
        <f t="shared" si="434"/>
        <v>10.237499999999999</v>
      </c>
    </row>
    <row r="2870" spans="1:8">
      <c r="A2870" s="485"/>
      <c r="B2870" s="486" t="s">
        <v>2012</v>
      </c>
      <c r="C2870" s="17" t="s">
        <v>10</v>
      </c>
      <c r="D2870" s="485">
        <v>2</v>
      </c>
      <c r="E2870" s="485">
        <v>1</v>
      </c>
      <c r="F2870" s="485"/>
      <c r="G2870" s="485">
        <v>3.5</v>
      </c>
      <c r="H2870" s="487">
        <f t="shared" si="434"/>
        <v>7</v>
      </c>
    </row>
    <row r="2871" spans="1:8">
      <c r="A2871" s="485"/>
      <c r="B2871" s="486" t="s">
        <v>1358</v>
      </c>
      <c r="C2871" s="17" t="s">
        <v>10</v>
      </c>
      <c r="D2871" s="485">
        <v>1</v>
      </c>
      <c r="E2871" s="485">
        <f>1.2+1.05+1.2</f>
        <v>3.45</v>
      </c>
      <c r="F2871" s="485"/>
      <c r="G2871" s="485">
        <v>3.5</v>
      </c>
      <c r="H2871" s="487">
        <f t="shared" si="434"/>
        <v>12.075000000000001</v>
      </c>
    </row>
    <row r="2872" spans="1:8">
      <c r="A2872" s="485"/>
      <c r="B2872" s="486"/>
      <c r="C2872" s="485"/>
      <c r="D2872" s="485"/>
      <c r="E2872" s="485"/>
      <c r="F2872" s="485"/>
      <c r="G2872" s="485"/>
      <c r="H2872" s="487"/>
    </row>
    <row r="2873" spans="1:8">
      <c r="A2873" s="485"/>
      <c r="B2873" s="486"/>
      <c r="C2873" s="485"/>
      <c r="D2873" s="485"/>
      <c r="E2873" s="485"/>
      <c r="F2873" s="485"/>
      <c r="G2873" s="485"/>
      <c r="H2873" s="487"/>
    </row>
    <row r="2874" spans="1:8">
      <c r="A2874" s="15"/>
      <c r="B2874" s="15" t="s">
        <v>21</v>
      </c>
      <c r="C2874" s="15"/>
      <c r="D2874" s="15"/>
      <c r="E2874" s="15"/>
      <c r="F2874" s="15"/>
      <c r="G2874" s="15"/>
      <c r="H2874" s="20">
        <f>SUM(H2630:H2873)</f>
        <v>2463.4512500000005</v>
      </c>
    </row>
    <row r="2875" spans="1:8">
      <c r="A2875" s="17"/>
      <c r="B2875" s="17" t="s">
        <v>22</v>
      </c>
      <c r="C2875" s="17"/>
      <c r="D2875" s="17"/>
      <c r="E2875" s="17"/>
      <c r="F2875" s="17"/>
      <c r="G2875" s="17"/>
      <c r="H2875" s="18"/>
    </row>
    <row r="2876" spans="1:8">
      <c r="A2876" s="15"/>
      <c r="B2876" s="15" t="s">
        <v>23</v>
      </c>
      <c r="C2876" s="15"/>
      <c r="D2876" s="15"/>
      <c r="E2876" s="15"/>
      <c r="F2876" s="15"/>
      <c r="G2876" s="15"/>
      <c r="H2876" s="20">
        <f>ROUND(SUM(H2874:H2875),0)</f>
        <v>2463</v>
      </c>
    </row>
    <row r="2878" spans="1:8">
      <c r="A2878" s="17">
        <v>4</v>
      </c>
      <c r="B2878" s="15" t="s">
        <v>46</v>
      </c>
      <c r="C2878" s="17" t="s">
        <v>10</v>
      </c>
      <c r="D2878" s="17"/>
      <c r="E2878" s="17"/>
      <c r="F2878" s="17"/>
      <c r="G2878" s="17"/>
      <c r="H2878" s="18"/>
    </row>
    <row r="2879" spans="1:8">
      <c r="A2879" s="17"/>
      <c r="B2879" s="17" t="s">
        <v>171</v>
      </c>
      <c r="C2879" s="73" t="s">
        <v>10</v>
      </c>
      <c r="D2879" s="17">
        <v>2</v>
      </c>
      <c r="E2879" s="17">
        <v>2.5499999999999998</v>
      </c>
      <c r="F2879" s="17"/>
      <c r="G2879" s="17">
        <v>3.5</v>
      </c>
      <c r="H2879" s="18">
        <f t="shared" ref="H2879:H2897" si="435">PRODUCT(D2879:G2879)</f>
        <v>17.849999999999998</v>
      </c>
    </row>
    <row r="2880" spans="1:8">
      <c r="A2880" s="17"/>
      <c r="B2880" s="17"/>
      <c r="C2880" s="73" t="s">
        <v>10</v>
      </c>
      <c r="D2880" s="17">
        <v>1</v>
      </c>
      <c r="E2880" s="17">
        <v>4</v>
      </c>
      <c r="F2880" s="17"/>
      <c r="G2880" s="17">
        <v>3.5</v>
      </c>
      <c r="H2880" s="18">
        <f t="shared" si="435"/>
        <v>14</v>
      </c>
    </row>
    <row r="2881" spans="1:8">
      <c r="A2881" s="17"/>
      <c r="B2881" s="17" t="s">
        <v>1218</v>
      </c>
      <c r="C2881" s="73" t="s">
        <v>10</v>
      </c>
      <c r="D2881" s="17">
        <v>1</v>
      </c>
      <c r="E2881" s="17">
        <v>3.05</v>
      </c>
      <c r="F2881" s="17"/>
      <c r="G2881" s="17">
        <v>3.5</v>
      </c>
      <c r="H2881" s="18">
        <f t="shared" si="435"/>
        <v>10.674999999999999</v>
      </c>
    </row>
    <row r="2882" spans="1:8">
      <c r="A2882" s="485"/>
      <c r="B2882" s="485"/>
      <c r="C2882" s="73" t="s">
        <v>10</v>
      </c>
      <c r="D2882" s="17">
        <v>2</v>
      </c>
      <c r="E2882" s="17">
        <v>2.4500000000000002</v>
      </c>
      <c r="F2882" s="17"/>
      <c r="G2882" s="17">
        <v>3.5</v>
      </c>
      <c r="H2882" s="18">
        <f t="shared" si="435"/>
        <v>17.150000000000002</v>
      </c>
    </row>
    <row r="2883" spans="1:8">
      <c r="A2883" s="485"/>
      <c r="B2883" s="485"/>
      <c r="C2883" s="73" t="s">
        <v>10</v>
      </c>
      <c r="D2883" s="485">
        <v>1</v>
      </c>
      <c r="E2883" s="485">
        <v>0.75</v>
      </c>
      <c r="F2883" s="485"/>
      <c r="G2883" s="17">
        <v>3.5</v>
      </c>
      <c r="H2883" s="18">
        <f t="shared" si="435"/>
        <v>2.625</v>
      </c>
    </row>
    <row r="2884" spans="1:8">
      <c r="A2884" s="485"/>
      <c r="B2884" s="485" t="s">
        <v>171</v>
      </c>
      <c r="C2884" s="73" t="s">
        <v>10</v>
      </c>
      <c r="D2884" s="485">
        <v>1</v>
      </c>
      <c r="E2884" s="485">
        <v>3.05</v>
      </c>
      <c r="F2884" s="485"/>
      <c r="G2884" s="17">
        <v>3.5</v>
      </c>
      <c r="H2884" s="18">
        <f t="shared" si="435"/>
        <v>10.674999999999999</v>
      </c>
    </row>
    <row r="2885" spans="1:8">
      <c r="A2885" s="485"/>
      <c r="B2885" s="485"/>
      <c r="C2885" s="73" t="s">
        <v>10</v>
      </c>
      <c r="D2885" s="485">
        <v>1</v>
      </c>
      <c r="E2885" s="485">
        <v>1.98</v>
      </c>
      <c r="F2885" s="485"/>
      <c r="G2885" s="17">
        <v>3.5</v>
      </c>
      <c r="H2885" s="18">
        <f t="shared" si="435"/>
        <v>6.93</v>
      </c>
    </row>
    <row r="2886" spans="1:8">
      <c r="A2886" s="485"/>
      <c r="B2886" s="485"/>
      <c r="C2886" s="73" t="s">
        <v>10</v>
      </c>
      <c r="D2886" s="485">
        <v>-1</v>
      </c>
      <c r="E2886" s="485">
        <v>1</v>
      </c>
      <c r="F2886" s="485"/>
      <c r="G2886" s="485">
        <v>2.4</v>
      </c>
      <c r="H2886" s="487">
        <f t="shared" si="435"/>
        <v>-2.4</v>
      </c>
    </row>
    <row r="2887" spans="1:8">
      <c r="A2887" s="485"/>
      <c r="B2887" s="485" t="s">
        <v>1313</v>
      </c>
      <c r="C2887" s="73" t="s">
        <v>10</v>
      </c>
      <c r="D2887" s="485">
        <v>1</v>
      </c>
      <c r="E2887" s="485">
        <v>1.1000000000000001</v>
      </c>
      <c r="F2887" s="485"/>
      <c r="G2887" s="17">
        <v>3.5</v>
      </c>
      <c r="H2887" s="487">
        <f t="shared" si="435"/>
        <v>3.8500000000000005</v>
      </c>
    </row>
    <row r="2888" spans="1:8">
      <c r="A2888" s="485"/>
      <c r="B2888" s="485"/>
      <c r="C2888" s="73" t="s">
        <v>10</v>
      </c>
      <c r="D2888" s="485">
        <v>1</v>
      </c>
      <c r="E2888" s="485">
        <v>2.35</v>
      </c>
      <c r="F2888" s="485"/>
      <c r="G2888" s="17">
        <v>3.5</v>
      </c>
      <c r="H2888" s="487">
        <f t="shared" si="435"/>
        <v>8.2249999999999996</v>
      </c>
    </row>
    <row r="2889" spans="1:8">
      <c r="A2889" s="485"/>
      <c r="B2889" s="485"/>
      <c r="C2889" s="73" t="s">
        <v>10</v>
      </c>
      <c r="D2889" s="485">
        <v>-1</v>
      </c>
      <c r="E2889" s="485">
        <v>1</v>
      </c>
      <c r="F2889" s="485"/>
      <c r="G2889" s="485">
        <v>2.4</v>
      </c>
      <c r="H2889" s="487">
        <f t="shared" si="435"/>
        <v>-2.4</v>
      </c>
    </row>
    <row r="2890" spans="1:8">
      <c r="A2890" s="485"/>
      <c r="B2890" s="485"/>
      <c r="C2890" s="73" t="s">
        <v>10</v>
      </c>
      <c r="D2890" s="485">
        <v>1</v>
      </c>
      <c r="E2890" s="485">
        <v>8.9499999999999993</v>
      </c>
      <c r="F2890" s="485"/>
      <c r="G2890" s="17">
        <v>3.5</v>
      </c>
      <c r="H2890" s="487">
        <f t="shared" si="435"/>
        <v>31.324999999999996</v>
      </c>
    </row>
    <row r="2891" spans="1:8">
      <c r="A2891" s="485"/>
      <c r="B2891" s="485" t="s">
        <v>114</v>
      </c>
      <c r="C2891" s="73" t="s">
        <v>10</v>
      </c>
      <c r="D2891" s="485">
        <v>1</v>
      </c>
      <c r="E2891" s="485">
        <f>1.075+1.075+1.05</f>
        <v>3.2</v>
      </c>
      <c r="F2891" s="485"/>
      <c r="G2891" s="17">
        <v>3.5</v>
      </c>
      <c r="H2891" s="487">
        <f t="shared" si="435"/>
        <v>11.200000000000001</v>
      </c>
    </row>
    <row r="2892" spans="1:8">
      <c r="A2892" s="485"/>
      <c r="B2892" s="485"/>
      <c r="C2892" s="73" t="s">
        <v>10</v>
      </c>
      <c r="D2892" s="485">
        <v>1</v>
      </c>
      <c r="E2892" s="485">
        <v>2.5499999999999998</v>
      </c>
      <c r="F2892" s="485"/>
      <c r="G2892" s="17">
        <v>3.5</v>
      </c>
      <c r="H2892" s="487">
        <f t="shared" si="435"/>
        <v>8.9249999999999989</v>
      </c>
    </row>
    <row r="2893" spans="1:8">
      <c r="A2893" s="485"/>
      <c r="B2893" s="485"/>
      <c r="C2893" s="73" t="s">
        <v>10</v>
      </c>
      <c r="D2893" s="485">
        <v>-1</v>
      </c>
      <c r="E2893" s="485">
        <v>1</v>
      </c>
      <c r="F2893" s="485"/>
      <c r="G2893" s="17">
        <v>2.4</v>
      </c>
      <c r="H2893" s="487">
        <f t="shared" si="435"/>
        <v>-2.4</v>
      </c>
    </row>
    <row r="2894" spans="1:8">
      <c r="A2894" s="485"/>
      <c r="B2894" s="485" t="s">
        <v>171</v>
      </c>
      <c r="C2894" s="73" t="s">
        <v>10</v>
      </c>
      <c r="D2894" s="485">
        <v>1</v>
      </c>
      <c r="E2894" s="485">
        <v>4.5999999999999996</v>
      </c>
      <c r="F2894" s="485"/>
      <c r="G2894" s="17">
        <v>3.5</v>
      </c>
      <c r="H2894" s="487">
        <f t="shared" si="435"/>
        <v>16.099999999999998</v>
      </c>
    </row>
    <row r="2895" spans="1:8">
      <c r="A2895" s="485"/>
      <c r="B2895" s="485"/>
      <c r="C2895" s="73" t="s">
        <v>10</v>
      </c>
      <c r="D2895" s="485">
        <v>1</v>
      </c>
      <c r="E2895" s="485">
        <v>2.2999999999999998</v>
      </c>
      <c r="F2895" s="485"/>
      <c r="G2895" s="17">
        <v>3.5</v>
      </c>
      <c r="H2895" s="487">
        <f t="shared" si="435"/>
        <v>8.0499999999999989</v>
      </c>
    </row>
    <row r="2896" spans="1:8">
      <c r="A2896" s="485"/>
      <c r="B2896" s="485"/>
      <c r="C2896" s="73" t="s">
        <v>10</v>
      </c>
      <c r="D2896" s="485">
        <v>-1</v>
      </c>
      <c r="E2896" s="485">
        <v>1</v>
      </c>
      <c r="F2896" s="485"/>
      <c r="G2896" s="485">
        <v>2.4</v>
      </c>
      <c r="H2896" s="487">
        <f t="shared" si="435"/>
        <v>-2.4</v>
      </c>
    </row>
    <row r="2897" spans="1:8">
      <c r="A2897" s="485"/>
      <c r="B2897" s="485" t="s">
        <v>2034</v>
      </c>
      <c r="C2897" s="73" t="s">
        <v>10</v>
      </c>
      <c r="D2897" s="485">
        <v>1</v>
      </c>
      <c r="E2897" s="485">
        <f>1.815+1.175+1.175+1.815</f>
        <v>5.98</v>
      </c>
      <c r="F2897" s="485"/>
      <c r="G2897" s="485">
        <v>2.4</v>
      </c>
      <c r="H2897" s="487">
        <f t="shared" si="435"/>
        <v>14.352</v>
      </c>
    </row>
    <row r="2898" spans="1:8">
      <c r="A2898" s="17"/>
      <c r="B2898" s="17"/>
      <c r="C2898" s="17"/>
      <c r="D2898" s="17"/>
      <c r="E2898" s="17"/>
      <c r="F2898" s="17"/>
      <c r="G2898" s="17"/>
      <c r="H2898" s="18"/>
    </row>
    <row r="2899" spans="1:8">
      <c r="A2899" s="15"/>
      <c r="B2899" s="15" t="s">
        <v>21</v>
      </c>
      <c r="C2899" s="15"/>
      <c r="D2899" s="15"/>
      <c r="E2899" s="15"/>
      <c r="F2899" s="15"/>
      <c r="G2899" s="15"/>
      <c r="H2899" s="20">
        <f>SUM(H2879:H2898)</f>
        <v>172.33199999999997</v>
      </c>
    </row>
    <row r="2900" spans="1:8">
      <c r="A2900" s="17"/>
      <c r="B2900" s="17" t="s">
        <v>22</v>
      </c>
      <c r="C2900" s="17"/>
      <c r="D2900" s="17"/>
      <c r="E2900" s="17"/>
      <c r="F2900" s="17"/>
      <c r="G2900" s="17"/>
      <c r="H2900" s="18">
        <f>H2899*5%</f>
        <v>8.6165999999999983</v>
      </c>
    </row>
    <row r="2901" spans="1:8">
      <c r="A2901" s="15"/>
      <c r="B2901" s="15" t="s">
        <v>23</v>
      </c>
      <c r="C2901" s="15"/>
      <c r="D2901" s="15"/>
      <c r="E2901" s="15"/>
      <c r="F2901" s="15"/>
      <c r="G2901" s="15"/>
      <c r="H2901" s="20">
        <f>ROUND(SUM(H2899:H2900),0)</f>
        <v>181</v>
      </c>
    </row>
    <row r="2903" spans="1:8">
      <c r="A2903" s="17">
        <v>4</v>
      </c>
      <c r="B2903" s="15" t="s">
        <v>1361</v>
      </c>
      <c r="C2903" s="17" t="s">
        <v>10</v>
      </c>
      <c r="D2903" s="17"/>
      <c r="E2903" s="17"/>
      <c r="F2903" s="17"/>
      <c r="G2903" s="17"/>
      <c r="H2903" s="18"/>
    </row>
    <row r="2904" spans="1:8">
      <c r="A2904" s="17"/>
      <c r="B2904" s="17" t="s">
        <v>2022</v>
      </c>
      <c r="C2904" s="73" t="s">
        <v>10</v>
      </c>
      <c r="D2904" s="17">
        <v>1</v>
      </c>
      <c r="E2904" s="17">
        <v>0.32</v>
      </c>
      <c r="F2904" s="17"/>
      <c r="G2904" s="17">
        <v>3.5</v>
      </c>
      <c r="H2904" s="18">
        <f t="shared" ref="H2904:H2921" si="436">PRODUCT(D2904:G2904)</f>
        <v>1.1200000000000001</v>
      </c>
    </row>
    <row r="2905" spans="1:8">
      <c r="A2905" s="17"/>
      <c r="B2905" s="17" t="s">
        <v>1327</v>
      </c>
      <c r="C2905" s="73" t="s">
        <v>10</v>
      </c>
      <c r="D2905" s="17">
        <v>1</v>
      </c>
      <c r="E2905" s="17">
        <v>0.32</v>
      </c>
      <c r="F2905" s="17"/>
      <c r="G2905" s="17">
        <v>3.5</v>
      </c>
      <c r="H2905" s="18">
        <f t="shared" si="436"/>
        <v>1.1200000000000001</v>
      </c>
    </row>
    <row r="2906" spans="1:8">
      <c r="A2906" s="17"/>
      <c r="B2906" s="17" t="s">
        <v>2023</v>
      </c>
      <c r="C2906" s="73" t="s">
        <v>10</v>
      </c>
      <c r="D2906" s="17">
        <v>1</v>
      </c>
      <c r="E2906" s="17">
        <v>0.32</v>
      </c>
      <c r="F2906" s="17"/>
      <c r="G2906" s="17">
        <v>3.5</v>
      </c>
      <c r="H2906" s="18">
        <f t="shared" si="436"/>
        <v>1.1200000000000001</v>
      </c>
    </row>
    <row r="2907" spans="1:8">
      <c r="A2907" s="485"/>
      <c r="B2907" s="485" t="s">
        <v>191</v>
      </c>
      <c r="C2907" s="73" t="s">
        <v>10</v>
      </c>
      <c r="D2907" s="485">
        <v>2</v>
      </c>
      <c r="E2907" s="485">
        <v>0.32</v>
      </c>
      <c r="F2907" s="485"/>
      <c r="G2907" s="17">
        <v>3.5</v>
      </c>
      <c r="H2907" s="18">
        <f t="shared" si="436"/>
        <v>2.2400000000000002</v>
      </c>
    </row>
    <row r="2908" spans="1:8">
      <c r="A2908" s="17"/>
      <c r="B2908" s="17" t="s">
        <v>2024</v>
      </c>
      <c r="C2908" s="73" t="s">
        <v>10</v>
      </c>
      <c r="D2908" s="17">
        <v>1</v>
      </c>
      <c r="E2908" s="17">
        <v>0.32</v>
      </c>
      <c r="F2908" s="17"/>
      <c r="G2908" s="17">
        <v>3.5</v>
      </c>
      <c r="H2908" s="18">
        <f t="shared" si="436"/>
        <v>1.1200000000000001</v>
      </c>
    </row>
    <row r="2909" spans="1:8">
      <c r="A2909" s="485"/>
      <c r="B2909" s="485" t="s">
        <v>1214</v>
      </c>
      <c r="C2909" s="73" t="s">
        <v>10</v>
      </c>
      <c r="D2909" s="485">
        <v>1</v>
      </c>
      <c r="E2909" s="17">
        <v>0.32</v>
      </c>
      <c r="F2909" s="485"/>
      <c r="G2909" s="17">
        <v>3.5</v>
      </c>
      <c r="H2909" s="18">
        <f t="shared" si="436"/>
        <v>1.1200000000000001</v>
      </c>
    </row>
    <row r="2910" spans="1:8">
      <c r="A2910" s="17"/>
      <c r="B2910" s="17" t="s">
        <v>214</v>
      </c>
      <c r="C2910" s="73" t="s">
        <v>10</v>
      </c>
      <c r="D2910" s="17">
        <v>1</v>
      </c>
      <c r="E2910" s="17">
        <v>0.32</v>
      </c>
      <c r="F2910" s="17"/>
      <c r="G2910" s="17">
        <v>3.5</v>
      </c>
      <c r="H2910" s="18">
        <f t="shared" si="436"/>
        <v>1.1200000000000001</v>
      </c>
    </row>
    <row r="2911" spans="1:8">
      <c r="A2911" s="485"/>
      <c r="B2911" s="485" t="s">
        <v>2025</v>
      </c>
      <c r="C2911" s="73" t="s">
        <v>10</v>
      </c>
      <c r="D2911" s="17">
        <v>1</v>
      </c>
      <c r="E2911" s="17">
        <v>0.47499999999999998</v>
      </c>
      <c r="F2911" s="17"/>
      <c r="G2911" s="17">
        <v>3.5</v>
      </c>
      <c r="H2911" s="18">
        <f t="shared" si="436"/>
        <v>1.6624999999999999</v>
      </c>
    </row>
    <row r="2912" spans="1:8">
      <c r="A2912" s="485"/>
      <c r="B2912" s="485" t="s">
        <v>329</v>
      </c>
      <c r="C2912" s="73" t="s">
        <v>10</v>
      </c>
      <c r="D2912" s="485">
        <v>1</v>
      </c>
      <c r="E2912" s="485">
        <v>0.32</v>
      </c>
      <c r="F2912" s="485"/>
      <c r="G2912" s="17">
        <v>3.5</v>
      </c>
      <c r="H2912" s="18">
        <f t="shared" si="436"/>
        <v>1.1200000000000001</v>
      </c>
    </row>
    <row r="2913" spans="1:8">
      <c r="A2913" s="485"/>
      <c r="B2913" s="485" t="s">
        <v>1917</v>
      </c>
      <c r="C2913" s="73" t="s">
        <v>10</v>
      </c>
      <c r="D2913" s="485">
        <v>1</v>
      </c>
      <c r="E2913" s="485">
        <v>0.32</v>
      </c>
      <c r="F2913" s="485"/>
      <c r="G2913" s="17">
        <v>3.5</v>
      </c>
      <c r="H2913" s="18">
        <f t="shared" si="436"/>
        <v>1.1200000000000001</v>
      </c>
    </row>
    <row r="2914" spans="1:8">
      <c r="A2914" s="485"/>
      <c r="B2914" s="485" t="s">
        <v>2012</v>
      </c>
      <c r="C2914" s="73" t="s">
        <v>10</v>
      </c>
      <c r="D2914" s="485">
        <v>1</v>
      </c>
      <c r="E2914" s="485">
        <v>0.16</v>
      </c>
      <c r="F2914" s="485"/>
      <c r="G2914" s="17">
        <v>3.5</v>
      </c>
      <c r="H2914" s="18">
        <f t="shared" si="436"/>
        <v>0.56000000000000005</v>
      </c>
    </row>
    <row r="2915" spans="1:8">
      <c r="A2915" s="485"/>
      <c r="B2915" s="485" t="s">
        <v>2026</v>
      </c>
      <c r="C2915" s="73" t="s">
        <v>10</v>
      </c>
      <c r="D2915" s="485">
        <v>1</v>
      </c>
      <c r="E2915" s="485">
        <v>0.32</v>
      </c>
      <c r="F2915" s="485"/>
      <c r="G2915" s="17">
        <v>3.5</v>
      </c>
      <c r="H2915" s="18">
        <f t="shared" si="436"/>
        <v>1.1200000000000001</v>
      </c>
    </row>
    <row r="2916" spans="1:8">
      <c r="A2916" s="485"/>
      <c r="B2916" s="485" t="s">
        <v>1280</v>
      </c>
      <c r="C2916" s="73" t="s">
        <v>10</v>
      </c>
      <c r="D2916" s="485">
        <v>1</v>
      </c>
      <c r="E2916" s="485">
        <v>0.32</v>
      </c>
      <c r="F2916" s="485"/>
      <c r="G2916" s="17">
        <v>3.5</v>
      </c>
      <c r="H2916" s="18">
        <f t="shared" si="436"/>
        <v>1.1200000000000001</v>
      </c>
    </row>
    <row r="2917" spans="1:8">
      <c r="A2917" s="485"/>
      <c r="B2917" s="485" t="s">
        <v>2025</v>
      </c>
      <c r="C2917" s="73" t="s">
        <v>10</v>
      </c>
      <c r="D2917" s="485">
        <v>2</v>
      </c>
      <c r="E2917" s="485">
        <v>0.32</v>
      </c>
      <c r="F2917" s="485"/>
      <c r="G2917" s="17">
        <v>3.5</v>
      </c>
      <c r="H2917" s="18">
        <f t="shared" si="436"/>
        <v>2.2400000000000002</v>
      </c>
    </row>
    <row r="2918" spans="1:8">
      <c r="A2918" s="485"/>
      <c r="B2918" s="485" t="s">
        <v>1229</v>
      </c>
      <c r="C2918" s="73" t="s">
        <v>10</v>
      </c>
      <c r="D2918" s="485">
        <v>1</v>
      </c>
      <c r="E2918" s="485">
        <v>0.32</v>
      </c>
      <c r="F2918" s="485"/>
      <c r="G2918" s="17">
        <v>3.5</v>
      </c>
      <c r="H2918" s="18">
        <f t="shared" si="436"/>
        <v>1.1200000000000001</v>
      </c>
    </row>
    <row r="2919" spans="1:8">
      <c r="A2919" s="485"/>
      <c r="B2919" s="485" t="s">
        <v>1362</v>
      </c>
      <c r="C2919" s="73" t="s">
        <v>10</v>
      </c>
      <c r="D2919" s="485">
        <v>1</v>
      </c>
      <c r="E2919" s="485">
        <v>0.32</v>
      </c>
      <c r="F2919" s="485"/>
      <c r="G2919" s="17">
        <v>3.5</v>
      </c>
      <c r="H2919" s="18">
        <f t="shared" si="436"/>
        <v>1.1200000000000001</v>
      </c>
    </row>
    <row r="2920" spans="1:8">
      <c r="A2920" s="485"/>
      <c r="B2920" s="485" t="s">
        <v>1196</v>
      </c>
      <c r="C2920" s="73" t="s">
        <v>10</v>
      </c>
      <c r="D2920" s="485">
        <v>1</v>
      </c>
      <c r="E2920" s="485">
        <v>0.32</v>
      </c>
      <c r="F2920" s="485"/>
      <c r="G2920" s="17">
        <v>3.5</v>
      </c>
      <c r="H2920" s="18">
        <f t="shared" si="436"/>
        <v>1.1200000000000001</v>
      </c>
    </row>
    <row r="2921" spans="1:8">
      <c r="A2921" s="485"/>
      <c r="B2921" s="485" t="s">
        <v>204</v>
      </c>
      <c r="C2921" s="73" t="s">
        <v>10</v>
      </c>
      <c r="D2921" s="485">
        <v>1</v>
      </c>
      <c r="E2921" s="485">
        <v>0.32</v>
      </c>
      <c r="F2921" s="485"/>
      <c r="G2921" s="17">
        <v>3.5</v>
      </c>
      <c r="H2921" s="18">
        <f t="shared" si="436"/>
        <v>1.1200000000000001</v>
      </c>
    </row>
    <row r="2922" spans="1:8">
      <c r="A2922" s="17"/>
      <c r="B2922" s="17"/>
      <c r="C2922" s="17"/>
      <c r="D2922" s="17"/>
      <c r="E2922" s="17"/>
      <c r="F2922" s="17"/>
      <c r="G2922" s="17"/>
      <c r="H2922" s="18"/>
    </row>
    <row r="2923" spans="1:8">
      <c r="A2923" s="15"/>
      <c r="B2923" s="15" t="s">
        <v>21</v>
      </c>
      <c r="C2923" s="15"/>
      <c r="D2923" s="15"/>
      <c r="E2923" s="15"/>
      <c r="F2923" s="15"/>
      <c r="G2923" s="15"/>
      <c r="H2923" s="20">
        <f>SUM(H2904:H2922)</f>
        <v>22.382500000000007</v>
      </c>
    </row>
    <row r="2924" spans="1:8">
      <c r="A2924" s="17"/>
      <c r="B2924" s="17" t="s">
        <v>22</v>
      </c>
      <c r="C2924" s="17"/>
      <c r="D2924" s="17"/>
      <c r="E2924" s="17"/>
      <c r="F2924" s="17"/>
      <c r="G2924" s="17"/>
      <c r="H2924" s="18">
        <f>H2923*5%</f>
        <v>1.1191250000000004</v>
      </c>
    </row>
    <row r="2925" spans="1:8">
      <c r="A2925" s="15"/>
      <c r="B2925" s="15" t="s">
        <v>23</v>
      </c>
      <c r="C2925" s="15"/>
      <c r="D2925" s="15"/>
      <c r="E2925" s="15"/>
      <c r="F2925" s="15"/>
      <c r="G2925" s="15"/>
      <c r="H2925" s="20">
        <f>ROUND(SUM(H2923:H2924),0)</f>
        <v>24</v>
      </c>
    </row>
    <row r="2927" spans="1:8">
      <c r="A2927" s="17">
        <v>4</v>
      </c>
      <c r="B2927" s="15" t="s">
        <v>1361</v>
      </c>
      <c r="C2927" s="17" t="s">
        <v>10</v>
      </c>
      <c r="D2927" s="17"/>
      <c r="E2927" s="17"/>
      <c r="F2927" s="17"/>
      <c r="G2927" s="17"/>
      <c r="H2927" s="18"/>
    </row>
    <row r="2928" spans="1:8">
      <c r="A2928" s="17"/>
      <c r="B2928" s="17" t="s">
        <v>1313</v>
      </c>
      <c r="C2928" s="73" t="s">
        <v>10</v>
      </c>
      <c r="D2928" s="17">
        <v>2</v>
      </c>
      <c r="E2928" s="17">
        <v>0.32</v>
      </c>
      <c r="F2928" s="17"/>
      <c r="G2928" s="17">
        <v>3.5</v>
      </c>
      <c r="H2928" s="18">
        <f t="shared" ref="H2928:H2929" si="437">PRODUCT(D2928:G2928)</f>
        <v>2.2400000000000002</v>
      </c>
    </row>
    <row r="2929" spans="1:8">
      <c r="A2929" s="485"/>
      <c r="B2929" s="485" t="s">
        <v>171</v>
      </c>
      <c r="C2929" s="73" t="s">
        <v>10</v>
      </c>
      <c r="D2929" s="17">
        <v>1</v>
      </c>
      <c r="E2929" s="17">
        <v>0.32</v>
      </c>
      <c r="F2929" s="17"/>
      <c r="G2929" s="17">
        <v>3.5</v>
      </c>
      <c r="H2929" s="18">
        <f t="shared" si="437"/>
        <v>1.1200000000000001</v>
      </c>
    </row>
    <row r="2930" spans="1:8">
      <c r="A2930" s="17"/>
      <c r="B2930" s="17"/>
      <c r="C2930" s="17"/>
      <c r="D2930" s="17"/>
      <c r="E2930" s="17"/>
      <c r="F2930" s="17"/>
      <c r="G2930" s="17"/>
      <c r="H2930" s="18"/>
    </row>
    <row r="2931" spans="1:8">
      <c r="A2931" s="15"/>
      <c r="B2931" s="15" t="s">
        <v>21</v>
      </c>
      <c r="C2931" s="15"/>
      <c r="D2931" s="15"/>
      <c r="E2931" s="15"/>
      <c r="F2931" s="15"/>
      <c r="G2931" s="15"/>
      <c r="H2931" s="20">
        <f>SUM(H2928:H2930)</f>
        <v>3.3600000000000003</v>
      </c>
    </row>
    <row r="2932" spans="1:8">
      <c r="A2932" s="17"/>
      <c r="B2932" s="17" t="s">
        <v>22</v>
      </c>
      <c r="C2932" s="17"/>
      <c r="D2932" s="17"/>
      <c r="E2932" s="17"/>
      <c r="F2932" s="17"/>
      <c r="G2932" s="17"/>
      <c r="H2932" s="18">
        <f>H2931*5%</f>
        <v>0.16800000000000004</v>
      </c>
    </row>
    <row r="2933" spans="1:8">
      <c r="A2933" s="15"/>
      <c r="B2933" s="15" t="s">
        <v>23</v>
      </c>
      <c r="C2933" s="15"/>
      <c r="D2933" s="15"/>
      <c r="E2933" s="15"/>
      <c r="F2933" s="15"/>
      <c r="G2933" s="15"/>
      <c r="H2933" s="20">
        <f>ROUND(SUM(H2931:H2932),0)</f>
        <v>4</v>
      </c>
    </row>
    <row r="2935" spans="1:8">
      <c r="A2935" s="17">
        <v>4</v>
      </c>
      <c r="B2935" s="15" t="s">
        <v>1361</v>
      </c>
      <c r="C2935" s="17" t="s">
        <v>10</v>
      </c>
      <c r="D2935" s="17"/>
      <c r="E2935" s="17"/>
      <c r="F2935" s="17"/>
      <c r="G2935" s="17"/>
      <c r="H2935" s="18"/>
    </row>
    <row r="2936" spans="1:8">
      <c r="A2936" s="17"/>
      <c r="B2936" s="17" t="s">
        <v>1252</v>
      </c>
      <c r="C2936" s="73" t="s">
        <v>10</v>
      </c>
      <c r="D2936" s="17">
        <v>1</v>
      </c>
      <c r="E2936" s="17">
        <v>0.1</v>
      </c>
      <c r="F2936" s="17"/>
      <c r="G2936" s="17">
        <v>3.5</v>
      </c>
      <c r="H2936" s="18">
        <f t="shared" ref="H2936:H2943" si="438">PRODUCT(D2936:G2936)</f>
        <v>0.35000000000000003</v>
      </c>
    </row>
    <row r="2937" spans="1:8">
      <c r="A2937" s="17"/>
      <c r="B2937" s="17" t="s">
        <v>191</v>
      </c>
      <c r="C2937" s="73" t="s">
        <v>10</v>
      </c>
      <c r="D2937" s="17">
        <v>1</v>
      </c>
      <c r="E2937" s="17">
        <v>0.32</v>
      </c>
      <c r="F2937" s="17"/>
      <c r="G2937" s="17">
        <v>3.5</v>
      </c>
      <c r="H2937" s="18">
        <f t="shared" si="438"/>
        <v>1.1200000000000001</v>
      </c>
    </row>
    <row r="2938" spans="1:8">
      <c r="A2938" s="17"/>
      <c r="B2938" s="17" t="s">
        <v>280</v>
      </c>
      <c r="C2938" s="73" t="s">
        <v>10</v>
      </c>
      <c r="D2938" s="17">
        <v>1</v>
      </c>
      <c r="E2938" s="17">
        <v>0.32</v>
      </c>
      <c r="F2938" s="17"/>
      <c r="G2938" s="17">
        <v>3.5</v>
      </c>
      <c r="H2938" s="18">
        <f t="shared" si="438"/>
        <v>1.1200000000000001</v>
      </c>
    </row>
    <row r="2939" spans="1:8">
      <c r="A2939" s="485"/>
      <c r="B2939" s="485" t="s">
        <v>1219</v>
      </c>
      <c r="C2939" s="73" t="s">
        <v>10</v>
      </c>
      <c r="D2939" s="17">
        <v>1</v>
      </c>
      <c r="E2939" s="17">
        <v>0.32</v>
      </c>
      <c r="F2939" s="17"/>
      <c r="G2939" s="17">
        <v>3.5</v>
      </c>
      <c r="H2939" s="18">
        <f t="shared" si="438"/>
        <v>1.1200000000000001</v>
      </c>
    </row>
    <row r="2940" spans="1:8">
      <c r="A2940" s="485"/>
      <c r="B2940" s="485" t="s">
        <v>2027</v>
      </c>
      <c r="C2940" s="73" t="s">
        <v>10</v>
      </c>
      <c r="D2940" s="17">
        <v>1</v>
      </c>
      <c r="E2940" s="17">
        <v>0.32</v>
      </c>
      <c r="F2940" s="17"/>
      <c r="G2940" s="17">
        <v>3.5</v>
      </c>
      <c r="H2940" s="18">
        <f t="shared" si="438"/>
        <v>1.1200000000000001</v>
      </c>
    </row>
    <row r="2941" spans="1:8">
      <c r="A2941" s="485"/>
      <c r="B2941" s="485" t="s">
        <v>2028</v>
      </c>
      <c r="C2941" s="73" t="s">
        <v>10</v>
      </c>
      <c r="D2941" s="17">
        <v>1</v>
      </c>
      <c r="E2941" s="17">
        <v>0.32</v>
      </c>
      <c r="F2941" s="17"/>
      <c r="G2941" s="17">
        <v>3.5</v>
      </c>
      <c r="H2941" s="18">
        <f t="shared" si="438"/>
        <v>1.1200000000000001</v>
      </c>
    </row>
    <row r="2942" spans="1:8">
      <c r="A2942" s="485"/>
      <c r="B2942" s="485" t="s">
        <v>2012</v>
      </c>
      <c r="C2942" s="73" t="s">
        <v>10</v>
      </c>
      <c r="D2942" s="485">
        <v>1</v>
      </c>
      <c r="E2942" s="485">
        <v>2.25</v>
      </c>
      <c r="F2942" s="485"/>
      <c r="G2942" s="17">
        <v>3.5</v>
      </c>
      <c r="H2942" s="18">
        <f t="shared" si="438"/>
        <v>7.875</v>
      </c>
    </row>
    <row r="2943" spans="1:8">
      <c r="A2943" s="485"/>
      <c r="B2943" s="485" t="s">
        <v>2032</v>
      </c>
      <c r="C2943" s="73" t="s">
        <v>10</v>
      </c>
      <c r="D2943" s="485">
        <v>4</v>
      </c>
      <c r="E2943" s="485">
        <f>3.14*1.72</f>
        <v>5.4008000000000003</v>
      </c>
      <c r="F2943" s="485"/>
      <c r="G2943" s="17">
        <v>3.5</v>
      </c>
      <c r="H2943" s="18">
        <f t="shared" si="438"/>
        <v>75.611199999999997</v>
      </c>
    </row>
    <row r="2944" spans="1:8">
      <c r="A2944" s="485"/>
      <c r="B2944" s="485"/>
      <c r="C2944" s="486"/>
      <c r="D2944" s="485"/>
      <c r="E2944" s="485"/>
      <c r="F2944" s="485"/>
      <c r="G2944" s="485"/>
      <c r="H2944" s="487"/>
    </row>
    <row r="2945" spans="1:8">
      <c r="A2945" s="485"/>
      <c r="B2945" s="485"/>
      <c r="C2945" s="486"/>
      <c r="D2945" s="485"/>
      <c r="E2945" s="485"/>
      <c r="F2945" s="485"/>
      <c r="G2945" s="485"/>
      <c r="H2945" s="487"/>
    </row>
    <row r="2946" spans="1:8">
      <c r="A2946" s="17"/>
      <c r="B2946" s="17"/>
      <c r="C2946" s="17"/>
      <c r="D2946" s="17"/>
      <c r="E2946" s="17"/>
      <c r="F2946" s="17"/>
      <c r="G2946" s="17"/>
      <c r="H2946" s="18"/>
    </row>
    <row r="2947" spans="1:8">
      <c r="A2947" s="15"/>
      <c r="B2947" s="15" t="s">
        <v>21</v>
      </c>
      <c r="C2947" s="15"/>
      <c r="D2947" s="15"/>
      <c r="E2947" s="15"/>
      <c r="F2947" s="15"/>
      <c r="G2947" s="15"/>
      <c r="H2947" s="20">
        <f>SUM(H2936:H2946)</f>
        <v>89.436199999999999</v>
      </c>
    </row>
    <row r="2948" spans="1:8">
      <c r="A2948" s="17"/>
      <c r="B2948" s="17" t="s">
        <v>22</v>
      </c>
      <c r="C2948" s="17"/>
      <c r="D2948" s="17"/>
      <c r="E2948" s="17"/>
      <c r="F2948" s="17"/>
      <c r="G2948" s="17"/>
      <c r="H2948" s="18"/>
    </row>
    <row r="2949" spans="1:8">
      <c r="A2949" s="15"/>
      <c r="B2949" s="15" t="s">
        <v>23</v>
      </c>
      <c r="C2949" s="15"/>
      <c r="D2949" s="15"/>
      <c r="E2949" s="15"/>
      <c r="F2949" s="15"/>
      <c r="G2949" s="15"/>
      <c r="H2949" s="20">
        <f>ROUND(SUM(H2947:H2948),0)</f>
        <v>89</v>
      </c>
    </row>
    <row r="2950" spans="1:8">
      <c r="A2950" s="17"/>
      <c r="B2950" s="17"/>
      <c r="C2950" s="17"/>
      <c r="D2950" s="17"/>
      <c r="E2950" s="17"/>
      <c r="F2950" s="17"/>
      <c r="G2950" s="17"/>
      <c r="H2950" s="18"/>
    </row>
    <row r="2951" spans="1:8" s="948" customFormat="1">
      <c r="A2951" s="485"/>
      <c r="B2951" s="931" t="s">
        <v>2139</v>
      </c>
      <c r="C2951" s="485"/>
      <c r="D2951" s="485"/>
      <c r="E2951" s="485"/>
      <c r="F2951" s="485"/>
      <c r="G2951" s="485"/>
      <c r="H2951" s="487"/>
    </row>
    <row r="2952" spans="1:8" s="948" customFormat="1">
      <c r="A2952" s="485"/>
      <c r="B2952" s="485"/>
      <c r="C2952" s="485"/>
      <c r="D2952" s="485"/>
      <c r="E2952" s="485"/>
      <c r="F2952" s="485"/>
      <c r="G2952" s="485"/>
      <c r="H2952" s="487"/>
    </row>
    <row r="2953" spans="1:8">
      <c r="A2953" s="17"/>
      <c r="B2953" s="17" t="s">
        <v>156</v>
      </c>
      <c r="C2953" s="73" t="s">
        <v>10</v>
      </c>
      <c r="D2953" s="17">
        <v>4</v>
      </c>
      <c r="E2953" s="17">
        <v>1.8</v>
      </c>
      <c r="F2953" s="17"/>
      <c r="G2953" s="17">
        <v>3.5</v>
      </c>
      <c r="H2953" s="18">
        <f t="shared" ref="H2953:H2985" si="439">PRODUCT(D2953:G2953)</f>
        <v>25.2</v>
      </c>
    </row>
    <row r="2954" spans="1:8" s="948" customFormat="1">
      <c r="A2954" s="485"/>
      <c r="B2954" s="485"/>
      <c r="C2954" s="73" t="s">
        <v>10</v>
      </c>
      <c r="D2954" s="485">
        <v>-4</v>
      </c>
      <c r="E2954" s="485">
        <v>1.5</v>
      </c>
      <c r="F2954" s="485"/>
      <c r="G2954" s="485">
        <v>3.5</v>
      </c>
      <c r="H2954" s="18">
        <f t="shared" si="439"/>
        <v>-21</v>
      </c>
    </row>
    <row r="2955" spans="1:8">
      <c r="A2955" s="485"/>
      <c r="B2955" s="485"/>
      <c r="C2955" s="73" t="s">
        <v>10</v>
      </c>
      <c r="D2955" s="17">
        <v>4</v>
      </c>
      <c r="E2955" s="17">
        <v>0.995</v>
      </c>
      <c r="F2955" s="17"/>
      <c r="G2955" s="17">
        <v>3.5</v>
      </c>
      <c r="H2955" s="18">
        <f t="shared" si="439"/>
        <v>13.93</v>
      </c>
    </row>
    <row r="2956" spans="1:8">
      <c r="A2956" s="485"/>
      <c r="B2956" s="485"/>
      <c r="C2956" s="73" t="s">
        <v>10</v>
      </c>
      <c r="D2956" s="485">
        <v>3</v>
      </c>
      <c r="E2956" s="485">
        <v>12.4</v>
      </c>
      <c r="F2956" s="485"/>
      <c r="G2956" s="17">
        <v>3.5</v>
      </c>
      <c r="H2956" s="18">
        <f t="shared" si="439"/>
        <v>130.20000000000002</v>
      </c>
    </row>
    <row r="2957" spans="1:8">
      <c r="A2957" s="485"/>
      <c r="B2957" s="485"/>
      <c r="C2957" s="73" t="s">
        <v>10</v>
      </c>
      <c r="D2957" s="485">
        <v>1</v>
      </c>
      <c r="E2957" s="485">
        <v>12.4</v>
      </c>
      <c r="F2957" s="485"/>
      <c r="G2957" s="17">
        <f>3.5-2.65</f>
        <v>0.85000000000000009</v>
      </c>
      <c r="H2957" s="18">
        <f t="shared" si="439"/>
        <v>10.540000000000001</v>
      </c>
    </row>
    <row r="2958" spans="1:8">
      <c r="A2958" s="485"/>
      <c r="B2958" s="485"/>
      <c r="C2958" s="73" t="s">
        <v>10</v>
      </c>
      <c r="D2958" s="485">
        <v>4</v>
      </c>
      <c r="E2958" s="485">
        <v>6.77</v>
      </c>
      <c r="F2958" s="485"/>
      <c r="G2958" s="17">
        <v>3.5</v>
      </c>
      <c r="H2958" s="18">
        <f t="shared" si="439"/>
        <v>94.78</v>
      </c>
    </row>
    <row r="2959" spans="1:8">
      <c r="A2959" s="485"/>
      <c r="B2959" s="485"/>
      <c r="C2959" s="73" t="s">
        <v>10</v>
      </c>
      <c r="D2959" s="485">
        <v>4</v>
      </c>
      <c r="E2959" s="485">
        <v>1.585</v>
      </c>
      <c r="F2959" s="485"/>
      <c r="G2959" s="17">
        <v>3.5</v>
      </c>
      <c r="H2959" s="18">
        <f t="shared" si="439"/>
        <v>22.189999999999998</v>
      </c>
    </row>
    <row r="2960" spans="1:8">
      <c r="A2960" s="485"/>
      <c r="B2960" s="485" t="s">
        <v>119</v>
      </c>
      <c r="C2960" s="73" t="s">
        <v>10</v>
      </c>
      <c r="D2960" s="485">
        <v>-4</v>
      </c>
      <c r="E2960" s="485">
        <v>1.5</v>
      </c>
      <c r="F2960" s="485"/>
      <c r="G2960" s="17">
        <v>2.4</v>
      </c>
      <c r="H2960" s="18">
        <f t="shared" si="439"/>
        <v>-14.399999999999999</v>
      </c>
    </row>
    <row r="2961" spans="1:8">
      <c r="A2961" s="485"/>
      <c r="B2961" s="485" t="s">
        <v>1342</v>
      </c>
      <c r="C2961" s="73" t="s">
        <v>10</v>
      </c>
      <c r="D2961" s="485">
        <v>4</v>
      </c>
      <c r="E2961" s="485">
        <v>4.9749999999999996</v>
      </c>
      <c r="F2961" s="485"/>
      <c r="G2961" s="17">
        <v>3.5</v>
      </c>
      <c r="H2961" s="18">
        <f t="shared" si="439"/>
        <v>69.649999999999991</v>
      </c>
    </row>
    <row r="2962" spans="1:8">
      <c r="A2962" s="485"/>
      <c r="B2962" s="485"/>
      <c r="C2962" s="73" t="s">
        <v>10</v>
      </c>
      <c r="D2962" s="485">
        <v>-4</v>
      </c>
      <c r="E2962" s="485">
        <v>1</v>
      </c>
      <c r="F2962" s="485"/>
      <c r="G2962" s="485">
        <v>2.4</v>
      </c>
      <c r="H2962" s="487">
        <f t="shared" si="439"/>
        <v>-9.6</v>
      </c>
    </row>
    <row r="2963" spans="1:8">
      <c r="A2963" s="485"/>
      <c r="B2963" s="485"/>
      <c r="C2963" s="73" t="s">
        <v>10</v>
      </c>
      <c r="D2963" s="485">
        <v>4</v>
      </c>
      <c r="E2963" s="485">
        <v>0.96499999999999997</v>
      </c>
      <c r="F2963" s="485"/>
      <c r="G2963" s="485">
        <v>3.5</v>
      </c>
      <c r="H2963" s="487">
        <f t="shared" si="439"/>
        <v>13.51</v>
      </c>
    </row>
    <row r="2964" spans="1:8">
      <c r="A2964" s="485"/>
      <c r="B2964" s="485"/>
      <c r="C2964" s="73" t="s">
        <v>10</v>
      </c>
      <c r="D2964" s="485">
        <v>3</v>
      </c>
      <c r="E2964" s="485">
        <v>5.4749999999999996</v>
      </c>
      <c r="F2964" s="485"/>
      <c r="G2964" s="485">
        <v>3.5</v>
      </c>
      <c r="H2964" s="487">
        <f t="shared" si="439"/>
        <v>57.48749999999999</v>
      </c>
    </row>
    <row r="2965" spans="1:8">
      <c r="A2965" s="485"/>
      <c r="B2965" s="485"/>
      <c r="C2965" s="73" t="s">
        <v>10</v>
      </c>
      <c r="D2965" s="485">
        <v>1</v>
      </c>
      <c r="E2965" s="485">
        <v>5.4749999999999996</v>
      </c>
      <c r="F2965" s="485"/>
      <c r="G2965" s="17">
        <f>3.5-2.65</f>
        <v>0.85000000000000009</v>
      </c>
      <c r="H2965" s="487">
        <f t="shared" si="439"/>
        <v>4.6537500000000005</v>
      </c>
    </row>
    <row r="2966" spans="1:8">
      <c r="A2966" s="485"/>
      <c r="B2966" s="485" t="s">
        <v>1343</v>
      </c>
      <c r="C2966" s="73" t="s">
        <v>10</v>
      </c>
      <c r="D2966" s="485">
        <v>2</v>
      </c>
      <c r="E2966" s="485">
        <v>0.76500000000000001</v>
      </c>
      <c r="F2966" s="485"/>
      <c r="G2966" s="485">
        <v>2.7</v>
      </c>
      <c r="H2966" s="487">
        <f t="shared" si="439"/>
        <v>4.1310000000000002</v>
      </c>
    </row>
    <row r="2967" spans="1:8">
      <c r="A2967" s="485"/>
      <c r="B2967" s="485" t="s">
        <v>1343</v>
      </c>
      <c r="C2967" s="73" t="s">
        <v>10</v>
      </c>
      <c r="D2967" s="485">
        <v>2</v>
      </c>
      <c r="E2967" s="485">
        <v>0.81599999999999995</v>
      </c>
      <c r="F2967" s="485"/>
      <c r="G2967" s="485">
        <v>2.7</v>
      </c>
      <c r="H2967" s="487">
        <f t="shared" si="439"/>
        <v>4.4063999999999997</v>
      </c>
    </row>
    <row r="2968" spans="1:8">
      <c r="A2968" s="485"/>
      <c r="B2968" s="485"/>
      <c r="C2968" s="73" t="s">
        <v>10</v>
      </c>
      <c r="D2968" s="485">
        <v>1</v>
      </c>
      <c r="E2968" s="485">
        <v>1.1000000000000001</v>
      </c>
      <c r="F2968" s="485"/>
      <c r="G2968" s="485">
        <v>3.5</v>
      </c>
      <c r="H2968" s="487">
        <f t="shared" si="439"/>
        <v>3.8500000000000005</v>
      </c>
    </row>
    <row r="2969" spans="1:8">
      <c r="A2969" s="485"/>
      <c r="B2969" s="485" t="s">
        <v>1344</v>
      </c>
      <c r="C2969" s="73" t="s">
        <v>10</v>
      </c>
      <c r="D2969" s="485">
        <v>3</v>
      </c>
      <c r="E2969" s="485">
        <v>3.8919999999999999</v>
      </c>
      <c r="F2969" s="485"/>
      <c r="G2969" s="485">
        <v>3.5</v>
      </c>
      <c r="H2969" s="487">
        <f t="shared" si="439"/>
        <v>40.866</v>
      </c>
    </row>
    <row r="2970" spans="1:8">
      <c r="A2970" s="485"/>
      <c r="B2970" s="485"/>
      <c r="C2970" s="73" t="s">
        <v>10</v>
      </c>
      <c r="D2970" s="485">
        <v>1</v>
      </c>
      <c r="E2970" s="485">
        <v>3.8919999999999999</v>
      </c>
      <c r="F2970" s="485"/>
      <c r="G2970" s="17">
        <f>3.5-2.65</f>
        <v>0.85000000000000009</v>
      </c>
      <c r="H2970" s="487">
        <f t="shared" si="439"/>
        <v>3.3082000000000003</v>
      </c>
    </row>
    <row r="2971" spans="1:8">
      <c r="A2971" s="485"/>
      <c r="B2971" s="485"/>
      <c r="C2971" s="73" t="s">
        <v>10</v>
      </c>
      <c r="D2971" s="485">
        <v>3</v>
      </c>
      <c r="E2971" s="485">
        <v>0.3</v>
      </c>
      <c r="F2971" s="485"/>
      <c r="G2971" s="485">
        <v>3.5</v>
      </c>
      <c r="H2971" s="487">
        <f t="shared" si="439"/>
        <v>3.1499999999999995</v>
      </c>
    </row>
    <row r="2972" spans="1:8">
      <c r="A2972" s="485"/>
      <c r="B2972" s="485"/>
      <c r="C2972" s="73" t="s">
        <v>10</v>
      </c>
      <c r="D2972" s="485">
        <v>1</v>
      </c>
      <c r="E2972" s="485">
        <v>0.3</v>
      </c>
      <c r="F2972" s="485"/>
      <c r="G2972" s="17">
        <f>3.5-2.65</f>
        <v>0.85000000000000009</v>
      </c>
      <c r="H2972" s="487">
        <f t="shared" si="439"/>
        <v>0.255</v>
      </c>
    </row>
    <row r="2973" spans="1:8">
      <c r="A2973" s="485"/>
      <c r="B2973" s="485"/>
      <c r="C2973" s="73" t="s">
        <v>10</v>
      </c>
      <c r="D2973" s="485">
        <v>1</v>
      </c>
      <c r="E2973" s="485">
        <v>1.22</v>
      </c>
      <c r="F2973" s="485"/>
      <c r="G2973" s="485">
        <v>3.5</v>
      </c>
      <c r="H2973" s="487">
        <f t="shared" si="439"/>
        <v>4.2699999999999996</v>
      </c>
    </row>
    <row r="2974" spans="1:8">
      <c r="A2974" s="485"/>
      <c r="B2974" s="485"/>
      <c r="C2974" s="73" t="s">
        <v>10</v>
      </c>
      <c r="D2974" s="485">
        <v>1</v>
      </c>
      <c r="E2974" s="485">
        <v>1.22</v>
      </c>
      <c r="F2974" s="485"/>
      <c r="G2974" s="17">
        <f>3.5-2.65</f>
        <v>0.85000000000000009</v>
      </c>
      <c r="H2974" s="487">
        <f t="shared" si="439"/>
        <v>1.0370000000000001</v>
      </c>
    </row>
    <row r="2975" spans="1:8">
      <c r="A2975" s="485"/>
      <c r="B2975" s="485"/>
      <c r="C2975" s="73" t="s">
        <v>10</v>
      </c>
      <c r="D2975" s="485">
        <v>2</v>
      </c>
      <c r="E2975" s="485">
        <v>3.55</v>
      </c>
      <c r="F2975" s="485"/>
      <c r="G2975" s="485">
        <v>3.5</v>
      </c>
      <c r="H2975" s="487">
        <f t="shared" si="439"/>
        <v>24.849999999999998</v>
      </c>
    </row>
    <row r="2976" spans="1:8">
      <c r="A2976" s="485"/>
      <c r="B2976" s="485"/>
      <c r="C2976" s="73" t="s">
        <v>10</v>
      </c>
      <c r="D2976" s="485">
        <v>2</v>
      </c>
      <c r="E2976" s="485">
        <v>3.55</v>
      </c>
      <c r="F2976" s="485"/>
      <c r="G2976" s="17">
        <f>3.5-2.65</f>
        <v>0.85000000000000009</v>
      </c>
      <c r="H2976" s="487">
        <f t="shared" si="439"/>
        <v>6.0350000000000001</v>
      </c>
    </row>
    <row r="2977" spans="1:8">
      <c r="A2977" s="485"/>
      <c r="B2977" s="485" t="s">
        <v>1346</v>
      </c>
      <c r="C2977" s="73" t="s">
        <v>10</v>
      </c>
      <c r="D2977" s="485">
        <v>4</v>
      </c>
      <c r="E2977" s="485">
        <v>2.65</v>
      </c>
      <c r="F2977" s="485"/>
      <c r="G2977" s="485">
        <f>3.5-2.4</f>
        <v>1.1000000000000001</v>
      </c>
      <c r="H2977" s="487">
        <f t="shared" si="439"/>
        <v>11.66</v>
      </c>
    </row>
    <row r="2978" spans="1:8">
      <c r="A2978" s="485"/>
      <c r="B2978" s="485" t="s">
        <v>1345</v>
      </c>
      <c r="C2978" s="73" t="s">
        <v>10</v>
      </c>
      <c r="D2978" s="485">
        <v>3</v>
      </c>
      <c r="E2978" s="485">
        <v>3.25</v>
      </c>
      <c r="F2978" s="485"/>
      <c r="G2978" s="485">
        <v>3.5</v>
      </c>
      <c r="H2978" s="487">
        <f t="shared" si="439"/>
        <v>34.125</v>
      </c>
    </row>
    <row r="2979" spans="1:8">
      <c r="A2979" s="485"/>
      <c r="B2979" s="485"/>
      <c r="C2979" s="73" t="s">
        <v>10</v>
      </c>
      <c r="D2979" s="485">
        <v>1</v>
      </c>
      <c r="E2979" s="485">
        <v>3.25</v>
      </c>
      <c r="F2979" s="485"/>
      <c r="G2979" s="17">
        <f>3.5-2.65</f>
        <v>0.85000000000000009</v>
      </c>
      <c r="H2979" s="487">
        <f t="shared" si="439"/>
        <v>2.7625000000000002</v>
      </c>
    </row>
    <row r="2980" spans="1:8">
      <c r="A2980" s="485"/>
      <c r="B2980" s="485"/>
      <c r="C2980" s="73" t="s">
        <v>10</v>
      </c>
      <c r="D2980" s="485">
        <v>3</v>
      </c>
      <c r="E2980" s="485">
        <v>0.3</v>
      </c>
      <c r="F2980" s="485"/>
      <c r="G2980" s="485">
        <v>3.5</v>
      </c>
      <c r="H2980" s="487">
        <f t="shared" si="439"/>
        <v>3.1499999999999995</v>
      </c>
    </row>
    <row r="2981" spans="1:8">
      <c r="A2981" s="485"/>
      <c r="B2981" s="485"/>
      <c r="C2981" s="73" t="s">
        <v>10</v>
      </c>
      <c r="D2981" s="485">
        <v>1</v>
      </c>
      <c r="E2981" s="485">
        <v>0.3</v>
      </c>
      <c r="F2981" s="485"/>
      <c r="G2981" s="17">
        <f>3.5-2.65</f>
        <v>0.85000000000000009</v>
      </c>
      <c r="H2981" s="487">
        <f t="shared" si="439"/>
        <v>0.255</v>
      </c>
    </row>
    <row r="2982" spans="1:8">
      <c r="A2982" s="485"/>
      <c r="B2982" s="485" t="s">
        <v>1346</v>
      </c>
      <c r="C2982" s="73" t="s">
        <v>10</v>
      </c>
      <c r="D2982" s="485">
        <v>4</v>
      </c>
      <c r="E2982" s="485">
        <v>2.65</v>
      </c>
      <c r="F2982" s="485"/>
      <c r="G2982" s="485">
        <f>3.5-2.4</f>
        <v>1.1000000000000001</v>
      </c>
      <c r="H2982" s="487">
        <f t="shared" si="439"/>
        <v>11.66</v>
      </c>
    </row>
    <row r="2983" spans="1:8">
      <c r="A2983" s="485"/>
      <c r="B2983" s="485" t="s">
        <v>329</v>
      </c>
      <c r="C2983" s="73" t="s">
        <v>10</v>
      </c>
      <c r="D2983" s="485">
        <v>3</v>
      </c>
      <c r="E2983" s="485">
        <v>1.3</v>
      </c>
      <c r="F2983" s="485"/>
      <c r="G2983" s="485">
        <v>3.5</v>
      </c>
      <c r="H2983" s="487">
        <f t="shared" si="439"/>
        <v>13.650000000000002</v>
      </c>
    </row>
    <row r="2984" spans="1:8">
      <c r="A2984" s="485"/>
      <c r="B2984" s="485"/>
      <c r="C2984" s="73" t="s">
        <v>10</v>
      </c>
      <c r="D2984" s="485">
        <v>1</v>
      </c>
      <c r="E2984" s="485">
        <v>1.3</v>
      </c>
      <c r="F2984" s="485"/>
      <c r="G2984" s="17">
        <f>3.5-2.65</f>
        <v>0.85000000000000009</v>
      </c>
      <c r="H2984" s="487">
        <f t="shared" si="439"/>
        <v>1.1050000000000002</v>
      </c>
    </row>
    <row r="2985" spans="1:8">
      <c r="A2985" s="485"/>
      <c r="B2985" s="485"/>
      <c r="C2985" s="73" t="s">
        <v>10</v>
      </c>
      <c r="D2985" s="485">
        <v>2</v>
      </c>
      <c r="E2985" s="485">
        <v>3.6</v>
      </c>
      <c r="F2985" s="485"/>
      <c r="G2985" s="485">
        <v>3.5</v>
      </c>
      <c r="H2985" s="487">
        <f t="shared" si="439"/>
        <v>25.2</v>
      </c>
    </row>
    <row r="2986" spans="1:8">
      <c r="A2986" s="485"/>
      <c r="B2986" s="485"/>
      <c r="C2986" s="73" t="s">
        <v>10</v>
      </c>
      <c r="D2986" s="485">
        <v>2</v>
      </c>
      <c r="E2986" s="485">
        <v>3.6</v>
      </c>
      <c r="F2986" s="485"/>
      <c r="G2986" s="17">
        <f>3.5-2.65</f>
        <v>0.85000000000000009</v>
      </c>
      <c r="H2986" s="487">
        <f t="shared" ref="H2986:H3017" si="440">PRODUCT(D2986:G2986)</f>
        <v>6.120000000000001</v>
      </c>
    </row>
    <row r="2987" spans="1:8">
      <c r="A2987" s="485"/>
      <c r="B2987" s="485"/>
      <c r="C2987" s="73" t="s">
        <v>10</v>
      </c>
      <c r="D2987" s="485">
        <v>4</v>
      </c>
      <c r="E2987" s="485">
        <v>1.8</v>
      </c>
      <c r="F2987" s="485"/>
      <c r="G2987" s="485">
        <v>3.5</v>
      </c>
      <c r="H2987" s="487">
        <f t="shared" si="440"/>
        <v>25.2</v>
      </c>
    </row>
    <row r="2988" spans="1:8">
      <c r="A2988" s="485"/>
      <c r="B2988" s="485"/>
      <c r="C2988" s="73" t="s">
        <v>10</v>
      </c>
      <c r="D2988" s="485">
        <v>-4</v>
      </c>
      <c r="E2988" s="485">
        <v>1.75</v>
      </c>
      <c r="F2988" s="485"/>
      <c r="G2988" s="485">
        <v>2.4</v>
      </c>
      <c r="H2988" s="487">
        <f t="shared" si="440"/>
        <v>-16.8</v>
      </c>
    </row>
    <row r="2989" spans="1:8">
      <c r="A2989" s="485"/>
      <c r="B2989" s="485" t="s">
        <v>1301</v>
      </c>
      <c r="C2989" s="73" t="s">
        <v>10</v>
      </c>
      <c r="D2989" s="485">
        <v>2</v>
      </c>
      <c r="E2989" s="485">
        <v>3.2</v>
      </c>
      <c r="F2989" s="485"/>
      <c r="G2989" s="485">
        <v>3.5</v>
      </c>
      <c r="H2989" s="487">
        <f t="shared" si="440"/>
        <v>22.400000000000002</v>
      </c>
    </row>
    <row r="2990" spans="1:8">
      <c r="A2990" s="485"/>
      <c r="B2990" s="485"/>
      <c r="C2990" s="73" t="s">
        <v>10</v>
      </c>
      <c r="D2990" s="485">
        <v>2</v>
      </c>
      <c r="E2990" s="485">
        <v>3.2</v>
      </c>
      <c r="F2990" s="485"/>
      <c r="G2990" s="17">
        <f>3.5-2.65</f>
        <v>0.85000000000000009</v>
      </c>
      <c r="H2990" s="487">
        <f t="shared" si="440"/>
        <v>5.4400000000000013</v>
      </c>
    </row>
    <row r="2991" spans="1:8">
      <c r="A2991" s="485"/>
      <c r="B2991" s="485"/>
      <c r="C2991" s="73" t="s">
        <v>10</v>
      </c>
      <c r="D2991" s="485">
        <v>2</v>
      </c>
      <c r="E2991" s="485">
        <v>3.65</v>
      </c>
      <c r="F2991" s="485"/>
      <c r="G2991" s="485">
        <v>3.5</v>
      </c>
      <c r="H2991" s="487">
        <f t="shared" si="440"/>
        <v>25.55</v>
      </c>
    </row>
    <row r="2992" spans="1:8">
      <c r="A2992" s="485"/>
      <c r="B2992" s="485"/>
      <c r="C2992" s="73" t="s">
        <v>10</v>
      </c>
      <c r="D2992" s="485">
        <v>2</v>
      </c>
      <c r="E2992" s="485">
        <v>3.65</v>
      </c>
      <c r="F2992" s="485"/>
      <c r="G2992" s="17">
        <f>3.5-2.65</f>
        <v>0.85000000000000009</v>
      </c>
      <c r="H2992" s="487">
        <f t="shared" si="440"/>
        <v>6.2050000000000001</v>
      </c>
    </row>
    <row r="2993" spans="1:8">
      <c r="A2993" s="485"/>
      <c r="B2993" s="485" t="s">
        <v>1346</v>
      </c>
      <c r="C2993" s="73" t="s">
        <v>10</v>
      </c>
      <c r="D2993" s="485">
        <v>4</v>
      </c>
      <c r="E2993" s="485">
        <v>3.2</v>
      </c>
      <c r="F2993" s="485"/>
      <c r="G2993" s="485">
        <f>3.5-2.4</f>
        <v>1.1000000000000001</v>
      </c>
      <c r="H2993" s="487">
        <f t="shared" si="440"/>
        <v>14.080000000000002</v>
      </c>
    </row>
    <row r="2994" spans="1:8">
      <c r="A2994" s="485"/>
      <c r="B2994" s="485" t="s">
        <v>1300</v>
      </c>
      <c r="C2994" s="73" t="s">
        <v>10</v>
      </c>
      <c r="D2994" s="485">
        <v>2</v>
      </c>
      <c r="E2994" s="485">
        <v>3.2</v>
      </c>
      <c r="F2994" s="485"/>
      <c r="G2994" s="485">
        <v>3.5</v>
      </c>
      <c r="H2994" s="487">
        <f t="shared" si="440"/>
        <v>22.400000000000002</v>
      </c>
    </row>
    <row r="2995" spans="1:8">
      <c r="A2995" s="485"/>
      <c r="B2995" s="485"/>
      <c r="C2995" s="73" t="s">
        <v>10</v>
      </c>
      <c r="D2995" s="485">
        <v>2</v>
      </c>
      <c r="E2995" s="485">
        <v>3.2</v>
      </c>
      <c r="F2995" s="485"/>
      <c r="G2995" s="17">
        <f>3.5-2.65</f>
        <v>0.85000000000000009</v>
      </c>
      <c r="H2995" s="487">
        <f t="shared" si="440"/>
        <v>5.4400000000000013</v>
      </c>
    </row>
    <row r="2996" spans="1:8">
      <c r="A2996" s="485"/>
      <c r="B2996" s="485"/>
      <c r="C2996" s="73" t="s">
        <v>10</v>
      </c>
      <c r="D2996" s="485">
        <v>2</v>
      </c>
      <c r="E2996" s="485">
        <v>3.65</v>
      </c>
      <c r="F2996" s="485"/>
      <c r="G2996" s="485">
        <v>3.5</v>
      </c>
      <c r="H2996" s="487">
        <f t="shared" si="440"/>
        <v>25.55</v>
      </c>
    </row>
    <row r="2997" spans="1:8">
      <c r="A2997" s="485"/>
      <c r="B2997" s="485"/>
      <c r="C2997" s="73" t="s">
        <v>10</v>
      </c>
      <c r="D2997" s="485">
        <v>2</v>
      </c>
      <c r="E2997" s="485">
        <v>3.65</v>
      </c>
      <c r="F2997" s="485"/>
      <c r="G2997" s="17">
        <f>3.5-2.65</f>
        <v>0.85000000000000009</v>
      </c>
      <c r="H2997" s="487">
        <f t="shared" si="440"/>
        <v>6.2050000000000001</v>
      </c>
    </row>
    <row r="2998" spans="1:8">
      <c r="A2998" s="485"/>
      <c r="B2998" s="485" t="s">
        <v>1346</v>
      </c>
      <c r="C2998" s="73" t="s">
        <v>10</v>
      </c>
      <c r="D2998" s="485">
        <v>4</v>
      </c>
      <c r="E2998" s="485">
        <v>3.2</v>
      </c>
      <c r="F2998" s="485"/>
      <c r="G2998" s="485">
        <f>3.5-2.4</f>
        <v>1.1000000000000001</v>
      </c>
      <c r="H2998" s="487">
        <f t="shared" si="440"/>
        <v>14.080000000000002</v>
      </c>
    </row>
    <row r="2999" spans="1:8">
      <c r="A2999" s="485"/>
      <c r="B2999" s="485" t="s">
        <v>1299</v>
      </c>
      <c r="C2999" s="73" t="s">
        <v>10</v>
      </c>
      <c r="D2999" s="485">
        <v>3</v>
      </c>
      <c r="E2999" s="485">
        <v>3.2</v>
      </c>
      <c r="F2999" s="485"/>
      <c r="G2999" s="485">
        <v>3.5</v>
      </c>
      <c r="H2999" s="487">
        <f t="shared" si="440"/>
        <v>33.600000000000009</v>
      </c>
    </row>
    <row r="3000" spans="1:8">
      <c r="A3000" s="485"/>
      <c r="B3000" s="485"/>
      <c r="C3000" s="73" t="s">
        <v>10</v>
      </c>
      <c r="D3000" s="485">
        <v>1</v>
      </c>
      <c r="E3000" s="485">
        <v>3.2</v>
      </c>
      <c r="F3000" s="485"/>
      <c r="G3000" s="17">
        <f>3.5-2.65</f>
        <v>0.85000000000000009</v>
      </c>
      <c r="H3000" s="487">
        <f t="shared" si="440"/>
        <v>2.7200000000000006</v>
      </c>
    </row>
    <row r="3001" spans="1:8">
      <c r="A3001" s="485"/>
      <c r="B3001" s="485"/>
      <c r="C3001" s="73" t="s">
        <v>10</v>
      </c>
      <c r="D3001" s="485">
        <v>2</v>
      </c>
      <c r="E3001" s="485">
        <v>3.65</v>
      </c>
      <c r="F3001" s="485"/>
      <c r="G3001" s="485">
        <v>3.5</v>
      </c>
      <c r="H3001" s="487">
        <f t="shared" si="440"/>
        <v>25.55</v>
      </c>
    </row>
    <row r="3002" spans="1:8">
      <c r="A3002" s="485"/>
      <c r="B3002" s="485"/>
      <c r="C3002" s="73" t="s">
        <v>10</v>
      </c>
      <c r="D3002" s="485">
        <v>2</v>
      </c>
      <c r="E3002" s="485">
        <v>3.65</v>
      </c>
      <c r="F3002" s="485"/>
      <c r="G3002" s="17">
        <f>3.5-2.65</f>
        <v>0.85000000000000009</v>
      </c>
      <c r="H3002" s="487">
        <f t="shared" si="440"/>
        <v>6.2050000000000001</v>
      </c>
    </row>
    <row r="3003" spans="1:8">
      <c r="A3003" s="485"/>
      <c r="B3003" s="485" t="s">
        <v>1346</v>
      </c>
      <c r="C3003" s="73" t="s">
        <v>10</v>
      </c>
      <c r="D3003" s="485">
        <v>4</v>
      </c>
      <c r="E3003" s="485">
        <v>3.2</v>
      </c>
      <c r="F3003" s="485"/>
      <c r="G3003" s="485">
        <f>3.5-2.4</f>
        <v>1.1000000000000001</v>
      </c>
      <c r="H3003" s="487">
        <f t="shared" si="440"/>
        <v>14.080000000000002</v>
      </c>
    </row>
    <row r="3004" spans="1:8">
      <c r="A3004" s="485"/>
      <c r="B3004" s="485" t="s">
        <v>1207</v>
      </c>
      <c r="C3004" s="73" t="s">
        <v>10</v>
      </c>
      <c r="D3004" s="485">
        <v>3</v>
      </c>
      <c r="E3004" s="485">
        <v>5.32</v>
      </c>
      <c r="F3004" s="485"/>
      <c r="G3004" s="485">
        <v>3.5</v>
      </c>
      <c r="H3004" s="487">
        <f t="shared" si="440"/>
        <v>55.86</v>
      </c>
    </row>
    <row r="3005" spans="1:8">
      <c r="A3005" s="485"/>
      <c r="B3005" s="485"/>
      <c r="C3005" s="73" t="s">
        <v>10</v>
      </c>
      <c r="D3005" s="485">
        <v>1</v>
      </c>
      <c r="E3005" s="485">
        <v>5.32</v>
      </c>
      <c r="F3005" s="485"/>
      <c r="G3005" s="17">
        <f>3.5-2.65</f>
        <v>0.85000000000000009</v>
      </c>
      <c r="H3005" s="487">
        <f t="shared" si="440"/>
        <v>4.5220000000000011</v>
      </c>
    </row>
    <row r="3006" spans="1:8">
      <c r="A3006" s="485"/>
      <c r="B3006" s="485"/>
      <c r="C3006" s="73" t="s">
        <v>10</v>
      </c>
      <c r="D3006" s="485">
        <v>3</v>
      </c>
      <c r="E3006" s="485">
        <v>0.3</v>
      </c>
      <c r="F3006" s="485"/>
      <c r="G3006" s="485">
        <v>3.5</v>
      </c>
      <c r="H3006" s="487">
        <f t="shared" si="440"/>
        <v>3.1499999999999995</v>
      </c>
    </row>
    <row r="3007" spans="1:8">
      <c r="A3007" s="485"/>
      <c r="B3007" s="485"/>
      <c r="C3007" s="73" t="s">
        <v>10</v>
      </c>
      <c r="D3007" s="485">
        <v>1</v>
      </c>
      <c r="E3007" s="485">
        <v>0.3</v>
      </c>
      <c r="F3007" s="485"/>
      <c r="G3007" s="485">
        <v>1.1000000000000001</v>
      </c>
      <c r="H3007" s="487">
        <f t="shared" si="440"/>
        <v>0.33</v>
      </c>
    </row>
    <row r="3008" spans="1:8">
      <c r="A3008" s="485"/>
      <c r="B3008" s="485"/>
      <c r="C3008" s="73" t="s">
        <v>10</v>
      </c>
      <c r="D3008" s="485">
        <v>3</v>
      </c>
      <c r="E3008" s="485">
        <v>3.05</v>
      </c>
      <c r="F3008" s="485"/>
      <c r="G3008" s="485">
        <v>3.5</v>
      </c>
      <c r="H3008" s="487">
        <f t="shared" si="440"/>
        <v>32.024999999999991</v>
      </c>
    </row>
    <row r="3009" spans="1:8">
      <c r="A3009" s="485"/>
      <c r="B3009" s="485"/>
      <c r="C3009" s="73" t="s">
        <v>10</v>
      </c>
      <c r="D3009" s="485">
        <v>1</v>
      </c>
      <c r="E3009" s="485">
        <v>3.05</v>
      </c>
      <c r="F3009" s="485"/>
      <c r="G3009" s="485">
        <v>1.1000000000000001</v>
      </c>
      <c r="H3009" s="487">
        <f t="shared" si="440"/>
        <v>3.355</v>
      </c>
    </row>
    <row r="3010" spans="1:8">
      <c r="A3010" s="485"/>
      <c r="B3010" s="485" t="s">
        <v>1346</v>
      </c>
      <c r="C3010" s="73" t="s">
        <v>10</v>
      </c>
      <c r="D3010" s="485">
        <v>4</v>
      </c>
      <c r="E3010" s="485">
        <v>4.74</v>
      </c>
      <c r="F3010" s="485"/>
      <c r="G3010" s="485">
        <f>3.5-2.4</f>
        <v>1.1000000000000001</v>
      </c>
      <c r="H3010" s="487">
        <f t="shared" si="440"/>
        <v>20.856000000000002</v>
      </c>
    </row>
    <row r="3011" spans="1:8">
      <c r="A3011" s="485"/>
      <c r="B3011" s="485" t="s">
        <v>1347</v>
      </c>
      <c r="C3011" s="73" t="s">
        <v>10</v>
      </c>
      <c r="D3011" s="485">
        <v>3</v>
      </c>
      <c r="E3011" s="485">
        <v>2.8250000000000002</v>
      </c>
      <c r="F3011" s="485"/>
      <c r="G3011" s="485">
        <v>3.5</v>
      </c>
      <c r="H3011" s="487">
        <f t="shared" si="440"/>
        <v>29.662500000000005</v>
      </c>
    </row>
    <row r="3012" spans="1:8">
      <c r="A3012" s="485"/>
      <c r="B3012" s="485"/>
      <c r="C3012" s="73" t="s">
        <v>10</v>
      </c>
      <c r="D3012" s="485">
        <v>1</v>
      </c>
      <c r="E3012" s="485">
        <v>2.8250000000000002</v>
      </c>
      <c r="F3012" s="485"/>
      <c r="G3012" s="485">
        <v>1.1000000000000001</v>
      </c>
      <c r="H3012" s="487">
        <f t="shared" si="440"/>
        <v>3.1075000000000004</v>
      </c>
    </row>
    <row r="3013" spans="1:8">
      <c r="A3013" s="485"/>
      <c r="B3013" s="485"/>
      <c r="C3013" s="73" t="s">
        <v>10</v>
      </c>
      <c r="D3013" s="485">
        <v>3</v>
      </c>
      <c r="E3013" s="485">
        <v>0.4</v>
      </c>
      <c r="F3013" s="485"/>
      <c r="G3013" s="485">
        <v>3.5</v>
      </c>
      <c r="H3013" s="487">
        <f t="shared" si="440"/>
        <v>4.2000000000000011</v>
      </c>
    </row>
    <row r="3014" spans="1:8">
      <c r="A3014" s="485"/>
      <c r="B3014" s="485"/>
      <c r="C3014" s="73" t="s">
        <v>10</v>
      </c>
      <c r="D3014" s="485">
        <v>1</v>
      </c>
      <c r="E3014" s="485">
        <v>0.4</v>
      </c>
      <c r="F3014" s="485"/>
      <c r="G3014" s="485">
        <v>1.1000000000000001</v>
      </c>
      <c r="H3014" s="487">
        <f t="shared" si="440"/>
        <v>0.44000000000000006</v>
      </c>
    </row>
    <row r="3015" spans="1:8">
      <c r="A3015" s="485"/>
      <c r="B3015" s="485"/>
      <c r="C3015" s="73" t="s">
        <v>10</v>
      </c>
      <c r="D3015" s="485">
        <v>2</v>
      </c>
      <c r="E3015" s="485">
        <v>3.1339999999999999</v>
      </c>
      <c r="F3015" s="485"/>
      <c r="G3015" s="485">
        <v>3.5</v>
      </c>
      <c r="H3015" s="487">
        <f t="shared" si="440"/>
        <v>21.937999999999999</v>
      </c>
    </row>
    <row r="3016" spans="1:8">
      <c r="A3016" s="485"/>
      <c r="B3016" s="485"/>
      <c r="C3016" s="73" t="s">
        <v>10</v>
      </c>
      <c r="D3016" s="485">
        <v>2</v>
      </c>
      <c r="E3016" s="485">
        <v>3.1339999999999999</v>
      </c>
      <c r="F3016" s="485"/>
      <c r="G3016" s="485">
        <v>1.1000000000000001</v>
      </c>
      <c r="H3016" s="487">
        <f t="shared" si="440"/>
        <v>6.8948</v>
      </c>
    </row>
    <row r="3017" spans="1:8">
      <c r="A3017" s="485"/>
      <c r="B3017" s="485" t="s">
        <v>1346</v>
      </c>
      <c r="C3017" s="73" t="s">
        <v>10</v>
      </c>
      <c r="D3017" s="485">
        <v>4</v>
      </c>
      <c r="E3017" s="485">
        <v>2.9</v>
      </c>
      <c r="F3017" s="485"/>
      <c r="G3017" s="485">
        <f>3.5-2.4</f>
        <v>1.1000000000000001</v>
      </c>
      <c r="H3017" s="487">
        <f t="shared" si="440"/>
        <v>12.76</v>
      </c>
    </row>
    <row r="3018" spans="1:8">
      <c r="A3018" s="485"/>
      <c r="B3018" s="485" t="s">
        <v>114</v>
      </c>
      <c r="C3018" s="73" t="s">
        <v>10</v>
      </c>
      <c r="D3018" s="485">
        <v>1</v>
      </c>
      <c r="E3018" s="485">
        <v>1.57</v>
      </c>
      <c r="F3018" s="485"/>
      <c r="G3018" s="485">
        <v>3.5</v>
      </c>
      <c r="H3018" s="487">
        <f t="shared" ref="H3018:H3035" si="441">PRODUCT(D3018:G3018)</f>
        <v>5.4950000000000001</v>
      </c>
    </row>
    <row r="3019" spans="1:8">
      <c r="A3019" s="485"/>
      <c r="B3019" s="485"/>
      <c r="C3019" s="73" t="s">
        <v>10</v>
      </c>
      <c r="D3019" s="485">
        <v>1</v>
      </c>
      <c r="E3019" s="485">
        <v>1.57</v>
      </c>
      <c r="F3019" s="485"/>
      <c r="G3019" s="485">
        <v>1.1000000000000001</v>
      </c>
      <c r="H3019" s="487">
        <f t="shared" si="441"/>
        <v>1.7270000000000003</v>
      </c>
    </row>
    <row r="3020" spans="1:8">
      <c r="A3020" s="485"/>
      <c r="B3020" s="485"/>
      <c r="C3020" s="73" t="s">
        <v>10</v>
      </c>
      <c r="D3020" s="485">
        <v>2</v>
      </c>
      <c r="E3020" s="485">
        <v>3.1349999999999998</v>
      </c>
      <c r="F3020" s="485"/>
      <c r="G3020" s="485">
        <v>3.5</v>
      </c>
      <c r="H3020" s="487">
        <f t="shared" si="441"/>
        <v>21.945</v>
      </c>
    </row>
    <row r="3021" spans="1:8">
      <c r="A3021" s="485"/>
      <c r="B3021" s="485"/>
      <c r="C3021" s="73" t="s">
        <v>10</v>
      </c>
      <c r="D3021" s="485">
        <v>2</v>
      </c>
      <c r="E3021" s="485">
        <v>3.1349999999999998</v>
      </c>
      <c r="F3021" s="485"/>
      <c r="G3021" s="485">
        <v>1.1000000000000001</v>
      </c>
      <c r="H3021" s="487">
        <f t="shared" si="441"/>
        <v>6.8970000000000002</v>
      </c>
    </row>
    <row r="3022" spans="1:8">
      <c r="A3022" s="485"/>
      <c r="B3022" s="485" t="s">
        <v>1201</v>
      </c>
      <c r="C3022" s="73" t="s">
        <v>10</v>
      </c>
      <c r="D3022" s="485">
        <v>2</v>
      </c>
      <c r="E3022" s="485">
        <v>3.7</v>
      </c>
      <c r="F3022" s="485"/>
      <c r="G3022" s="485">
        <v>3.5</v>
      </c>
      <c r="H3022" s="487">
        <f t="shared" si="441"/>
        <v>25.900000000000002</v>
      </c>
    </row>
    <row r="3023" spans="1:8">
      <c r="A3023" s="485"/>
      <c r="B3023" s="485"/>
      <c r="C3023" s="73" t="s">
        <v>10</v>
      </c>
      <c r="D3023" s="485">
        <v>2</v>
      </c>
      <c r="E3023" s="485">
        <v>3.7</v>
      </c>
      <c r="F3023" s="485"/>
      <c r="G3023" s="485">
        <v>1.1000000000000001</v>
      </c>
      <c r="H3023" s="487">
        <f t="shared" si="441"/>
        <v>8.14</v>
      </c>
    </row>
    <row r="3024" spans="1:8">
      <c r="A3024" s="485"/>
      <c r="B3024" s="485" t="s">
        <v>1346</v>
      </c>
      <c r="C3024" s="73" t="s">
        <v>10</v>
      </c>
      <c r="D3024" s="485">
        <v>4</v>
      </c>
      <c r="E3024" s="485">
        <v>3.2</v>
      </c>
      <c r="F3024" s="485"/>
      <c r="G3024" s="485">
        <f>3.5-2.4</f>
        <v>1.1000000000000001</v>
      </c>
      <c r="H3024" s="487">
        <f t="shared" si="441"/>
        <v>14.080000000000002</v>
      </c>
    </row>
    <row r="3025" spans="1:8">
      <c r="A3025" s="485"/>
      <c r="B3025" s="485" t="s">
        <v>1202</v>
      </c>
      <c r="C3025" s="73" t="s">
        <v>10</v>
      </c>
      <c r="D3025" s="485">
        <v>2</v>
      </c>
      <c r="E3025" s="485">
        <v>3.7</v>
      </c>
      <c r="F3025" s="485"/>
      <c r="G3025" s="485">
        <v>3.5</v>
      </c>
      <c r="H3025" s="487">
        <f t="shared" si="441"/>
        <v>25.900000000000002</v>
      </c>
    </row>
    <row r="3026" spans="1:8">
      <c r="A3026" s="485"/>
      <c r="B3026" s="485"/>
      <c r="C3026" s="73" t="s">
        <v>10</v>
      </c>
      <c r="D3026" s="485">
        <v>2</v>
      </c>
      <c r="E3026" s="485">
        <v>3.7</v>
      </c>
      <c r="F3026" s="485"/>
      <c r="G3026" s="485">
        <v>1.1000000000000001</v>
      </c>
      <c r="H3026" s="487">
        <f t="shared" si="441"/>
        <v>8.14</v>
      </c>
    </row>
    <row r="3027" spans="1:8">
      <c r="A3027" s="485"/>
      <c r="B3027" s="485" t="s">
        <v>1346</v>
      </c>
      <c r="C3027" s="73" t="s">
        <v>10</v>
      </c>
      <c r="D3027" s="485">
        <v>4</v>
      </c>
      <c r="E3027" s="485">
        <v>3.2</v>
      </c>
      <c r="F3027" s="485"/>
      <c r="G3027" s="485">
        <f>3.5-2.4</f>
        <v>1.1000000000000001</v>
      </c>
      <c r="H3027" s="487">
        <f t="shared" si="441"/>
        <v>14.080000000000002</v>
      </c>
    </row>
    <row r="3028" spans="1:8">
      <c r="A3028" s="485"/>
      <c r="B3028" s="485" t="s">
        <v>1347</v>
      </c>
      <c r="C3028" s="73" t="s">
        <v>10</v>
      </c>
      <c r="D3028" s="485">
        <v>2</v>
      </c>
      <c r="E3028" s="485">
        <v>3.7</v>
      </c>
      <c r="F3028" s="485"/>
      <c r="G3028" s="485">
        <v>3.5</v>
      </c>
      <c r="H3028" s="487">
        <f t="shared" si="441"/>
        <v>25.900000000000002</v>
      </c>
    </row>
    <row r="3029" spans="1:8">
      <c r="A3029" s="485"/>
      <c r="B3029" s="485"/>
      <c r="C3029" s="73" t="s">
        <v>10</v>
      </c>
      <c r="D3029" s="485">
        <v>2</v>
      </c>
      <c r="E3029" s="485">
        <v>3.7</v>
      </c>
      <c r="F3029" s="485"/>
      <c r="G3029" s="485">
        <v>1.1000000000000001</v>
      </c>
      <c r="H3029" s="487">
        <f t="shared" si="441"/>
        <v>8.14</v>
      </c>
    </row>
    <row r="3030" spans="1:8">
      <c r="A3030" s="485"/>
      <c r="B3030" s="485"/>
      <c r="C3030" s="73" t="s">
        <v>10</v>
      </c>
      <c r="D3030" s="485">
        <v>3</v>
      </c>
      <c r="E3030" s="485">
        <v>2.41</v>
      </c>
      <c r="F3030" s="485"/>
      <c r="G3030" s="485">
        <v>3.5</v>
      </c>
      <c r="H3030" s="487">
        <f t="shared" si="441"/>
        <v>25.305</v>
      </c>
    </row>
    <row r="3031" spans="1:8">
      <c r="A3031" s="485"/>
      <c r="B3031" s="485"/>
      <c r="C3031" s="73" t="s">
        <v>10</v>
      </c>
      <c r="D3031" s="485">
        <v>1</v>
      </c>
      <c r="E3031" s="485">
        <v>2.41</v>
      </c>
      <c r="F3031" s="485"/>
      <c r="G3031" s="485">
        <v>1.1000000000000001</v>
      </c>
      <c r="H3031" s="487">
        <f t="shared" si="441"/>
        <v>2.6510000000000002</v>
      </c>
    </row>
    <row r="3032" spans="1:8">
      <c r="A3032" s="485"/>
      <c r="B3032" s="485"/>
      <c r="C3032" s="73" t="s">
        <v>10</v>
      </c>
      <c r="D3032" s="485">
        <v>3</v>
      </c>
      <c r="E3032" s="485">
        <v>0.42</v>
      </c>
      <c r="F3032" s="485"/>
      <c r="G3032" s="485">
        <v>3.5</v>
      </c>
      <c r="H3032" s="487">
        <f t="shared" si="441"/>
        <v>4.41</v>
      </c>
    </row>
    <row r="3033" spans="1:8">
      <c r="A3033" s="485"/>
      <c r="B3033" s="485"/>
      <c r="C3033" s="73" t="s">
        <v>10</v>
      </c>
      <c r="D3033" s="485">
        <v>1</v>
      </c>
      <c r="E3033" s="485">
        <v>0.42</v>
      </c>
      <c r="F3033" s="485"/>
      <c r="G3033" s="485">
        <v>1.1000000000000001</v>
      </c>
      <c r="H3033" s="487">
        <f t="shared" si="441"/>
        <v>0.46200000000000002</v>
      </c>
    </row>
    <row r="3034" spans="1:8">
      <c r="A3034" s="485"/>
      <c r="B3034" s="485"/>
      <c r="C3034" s="73" t="s">
        <v>10</v>
      </c>
      <c r="D3034" s="485">
        <v>-3</v>
      </c>
      <c r="E3034" s="485">
        <v>1</v>
      </c>
      <c r="F3034" s="485"/>
      <c r="G3034" s="485">
        <v>2.4</v>
      </c>
      <c r="H3034" s="487">
        <f t="shared" si="441"/>
        <v>-7.1999999999999993</v>
      </c>
    </row>
    <row r="3035" spans="1:8">
      <c r="A3035" s="485"/>
      <c r="B3035" s="485" t="s">
        <v>1346</v>
      </c>
      <c r="C3035" s="73" t="s">
        <v>10</v>
      </c>
      <c r="D3035" s="485">
        <v>4</v>
      </c>
      <c r="E3035" s="485">
        <v>1.325</v>
      </c>
      <c r="F3035" s="485"/>
      <c r="G3035" s="485">
        <f>3.5-2.4</f>
        <v>1.1000000000000001</v>
      </c>
      <c r="H3035" s="487">
        <f t="shared" si="441"/>
        <v>5.83</v>
      </c>
    </row>
    <row r="3036" spans="1:8">
      <c r="A3036" s="485"/>
      <c r="B3036" s="485" t="s">
        <v>1348</v>
      </c>
      <c r="C3036" s="73"/>
      <c r="D3036" s="485"/>
      <c r="E3036" s="485"/>
      <c r="F3036" s="485"/>
      <c r="G3036" s="485"/>
      <c r="H3036" s="487"/>
    </row>
    <row r="3037" spans="1:8">
      <c r="A3037" s="485"/>
      <c r="B3037" s="485" t="s">
        <v>1346</v>
      </c>
      <c r="C3037" s="73" t="s">
        <v>10</v>
      </c>
      <c r="D3037" s="485">
        <v>4</v>
      </c>
      <c r="E3037" s="485">
        <v>4.2</v>
      </c>
      <c r="F3037" s="485"/>
      <c r="G3037" s="485">
        <f>3.5-2.4</f>
        <v>1.1000000000000001</v>
      </c>
      <c r="H3037" s="487">
        <f t="shared" ref="H3037:H3068" si="442">PRODUCT(D3037:G3037)</f>
        <v>18.480000000000004</v>
      </c>
    </row>
    <row r="3038" spans="1:8">
      <c r="A3038" s="485"/>
      <c r="B3038" s="485" t="s">
        <v>1242</v>
      </c>
      <c r="C3038" s="73" t="s">
        <v>10</v>
      </c>
      <c r="D3038" s="485">
        <v>4</v>
      </c>
      <c r="E3038" s="485">
        <v>6.55</v>
      </c>
      <c r="F3038" s="485"/>
      <c r="G3038" s="485">
        <f>3.5-2.4</f>
        <v>1.1000000000000001</v>
      </c>
      <c r="H3038" s="487">
        <f t="shared" si="442"/>
        <v>28.82</v>
      </c>
    </row>
    <row r="3039" spans="1:8">
      <c r="A3039" s="485"/>
      <c r="B3039" s="485"/>
      <c r="C3039" s="73" t="s">
        <v>10</v>
      </c>
      <c r="D3039" s="485">
        <v>2</v>
      </c>
      <c r="E3039" s="485">
        <v>3.9</v>
      </c>
      <c r="F3039" s="485"/>
      <c r="G3039" s="485">
        <v>3.5</v>
      </c>
      <c r="H3039" s="487">
        <f t="shared" si="442"/>
        <v>27.3</v>
      </c>
    </row>
    <row r="3040" spans="1:8">
      <c r="A3040" s="485"/>
      <c r="B3040" s="485"/>
      <c r="C3040" s="73" t="s">
        <v>10</v>
      </c>
      <c r="D3040" s="485">
        <v>2</v>
      </c>
      <c r="E3040" s="485">
        <v>3.9</v>
      </c>
      <c r="F3040" s="485"/>
      <c r="G3040" s="485">
        <v>1.1000000000000001</v>
      </c>
      <c r="H3040" s="487">
        <f t="shared" si="442"/>
        <v>8.58</v>
      </c>
    </row>
    <row r="3041" spans="1:8">
      <c r="A3041" s="485"/>
      <c r="B3041" s="485" t="s">
        <v>1349</v>
      </c>
      <c r="C3041" s="73" t="s">
        <v>10</v>
      </c>
      <c r="D3041" s="485">
        <v>2</v>
      </c>
      <c r="E3041" s="485">
        <v>1.4</v>
      </c>
      <c r="F3041" s="485"/>
      <c r="G3041" s="485">
        <v>3.5</v>
      </c>
      <c r="H3041" s="487">
        <f t="shared" si="442"/>
        <v>9.7999999999999989</v>
      </c>
    </row>
    <row r="3042" spans="1:8">
      <c r="A3042" s="485"/>
      <c r="B3042" s="485" t="s">
        <v>1243</v>
      </c>
      <c r="C3042" s="73" t="s">
        <v>10</v>
      </c>
      <c r="D3042" s="485">
        <v>2</v>
      </c>
      <c r="E3042" s="485">
        <v>3.9</v>
      </c>
      <c r="F3042" s="485"/>
      <c r="G3042" s="485">
        <v>3.5</v>
      </c>
      <c r="H3042" s="487">
        <f t="shared" si="442"/>
        <v>27.3</v>
      </c>
    </row>
    <row r="3043" spans="1:8">
      <c r="A3043" s="485"/>
      <c r="B3043" s="485"/>
      <c r="C3043" s="73" t="s">
        <v>10</v>
      </c>
      <c r="D3043" s="485">
        <v>2</v>
      </c>
      <c r="E3043" s="485">
        <v>3.9</v>
      </c>
      <c r="F3043" s="485"/>
      <c r="G3043" s="485">
        <v>1.1000000000000001</v>
      </c>
      <c r="H3043" s="487">
        <f t="shared" si="442"/>
        <v>8.58</v>
      </c>
    </row>
    <row r="3044" spans="1:8">
      <c r="A3044" s="485"/>
      <c r="B3044" s="485"/>
      <c r="C3044" s="73" t="s">
        <v>10</v>
      </c>
      <c r="D3044" s="485">
        <v>4</v>
      </c>
      <c r="E3044" s="485">
        <v>5</v>
      </c>
      <c r="F3044" s="485"/>
      <c r="G3044" s="485">
        <f>3.5-2.4</f>
        <v>1.1000000000000001</v>
      </c>
      <c r="H3044" s="487">
        <f t="shared" si="442"/>
        <v>22</v>
      </c>
    </row>
    <row r="3045" spans="1:8">
      <c r="A3045" s="485"/>
      <c r="B3045" s="485"/>
      <c r="C3045" s="73" t="s">
        <v>10</v>
      </c>
      <c r="D3045" s="485">
        <v>2</v>
      </c>
      <c r="E3045" s="485">
        <v>1.4</v>
      </c>
      <c r="F3045" s="485"/>
      <c r="G3045" s="485">
        <v>3.5</v>
      </c>
      <c r="H3045" s="487">
        <f t="shared" si="442"/>
        <v>9.7999999999999989</v>
      </c>
    </row>
    <row r="3046" spans="1:8">
      <c r="A3046" s="485"/>
      <c r="B3046" s="485" t="s">
        <v>1244</v>
      </c>
      <c r="C3046" s="73" t="s">
        <v>10</v>
      </c>
      <c r="D3046" s="485">
        <v>3</v>
      </c>
      <c r="E3046" s="485">
        <v>4.45</v>
      </c>
      <c r="F3046" s="485"/>
      <c r="G3046" s="485">
        <v>3.5</v>
      </c>
      <c r="H3046" s="487">
        <f t="shared" si="442"/>
        <v>46.725000000000009</v>
      </c>
    </row>
    <row r="3047" spans="1:8">
      <c r="A3047" s="485"/>
      <c r="B3047" s="485"/>
      <c r="C3047" s="73" t="s">
        <v>10</v>
      </c>
      <c r="D3047" s="485">
        <v>3</v>
      </c>
      <c r="E3047" s="485">
        <v>4.45</v>
      </c>
      <c r="F3047" s="485"/>
      <c r="G3047" s="485">
        <v>1.1000000000000001</v>
      </c>
      <c r="H3047" s="487">
        <f t="shared" si="442"/>
        <v>14.685000000000002</v>
      </c>
    </row>
    <row r="3048" spans="1:8">
      <c r="A3048" s="485"/>
      <c r="B3048" s="485"/>
      <c r="C3048" s="73" t="s">
        <v>10</v>
      </c>
      <c r="D3048" s="485">
        <v>-3</v>
      </c>
      <c r="E3048" s="485">
        <v>1</v>
      </c>
      <c r="F3048" s="485"/>
      <c r="G3048" s="485">
        <v>2.4</v>
      </c>
      <c r="H3048" s="487">
        <f t="shared" si="442"/>
        <v>-7.1999999999999993</v>
      </c>
    </row>
    <row r="3049" spans="1:8">
      <c r="A3049" s="485"/>
      <c r="B3049" s="485" t="s">
        <v>114</v>
      </c>
      <c r="C3049" s="73" t="s">
        <v>10</v>
      </c>
      <c r="D3049" s="485">
        <v>2</v>
      </c>
      <c r="E3049" s="485">
        <v>1.8759999999999999</v>
      </c>
      <c r="F3049" s="485"/>
      <c r="G3049" s="485">
        <v>3.5</v>
      </c>
      <c r="H3049" s="487">
        <f t="shared" si="442"/>
        <v>13.132</v>
      </c>
    </row>
    <row r="3050" spans="1:8">
      <c r="A3050" s="485"/>
      <c r="B3050" s="485"/>
      <c r="C3050" s="73" t="s">
        <v>10</v>
      </c>
      <c r="D3050" s="485">
        <v>3</v>
      </c>
      <c r="E3050" s="485">
        <v>7.62</v>
      </c>
      <c r="F3050" s="485"/>
      <c r="G3050" s="485">
        <v>3.5</v>
      </c>
      <c r="H3050" s="487">
        <f t="shared" si="442"/>
        <v>80.009999999999991</v>
      </c>
    </row>
    <row r="3051" spans="1:8">
      <c r="A3051" s="485"/>
      <c r="B3051" s="485"/>
      <c r="C3051" s="73" t="s">
        <v>10</v>
      </c>
      <c r="D3051" s="485">
        <v>1</v>
      </c>
      <c r="E3051" s="485">
        <v>7.62</v>
      </c>
      <c r="F3051" s="485"/>
      <c r="G3051" s="485">
        <v>1.1000000000000001</v>
      </c>
      <c r="H3051" s="487">
        <f t="shared" si="442"/>
        <v>8.3820000000000014</v>
      </c>
    </row>
    <row r="3052" spans="1:8">
      <c r="A3052" s="485"/>
      <c r="B3052" s="485"/>
      <c r="C3052" s="73" t="s">
        <v>10</v>
      </c>
      <c r="D3052" s="485">
        <v>1</v>
      </c>
      <c r="E3052" s="485">
        <v>2.1</v>
      </c>
      <c r="F3052" s="485"/>
      <c r="G3052" s="485">
        <v>3.5</v>
      </c>
      <c r="H3052" s="487">
        <f t="shared" si="442"/>
        <v>7.3500000000000005</v>
      </c>
    </row>
    <row r="3053" spans="1:8">
      <c r="A3053" s="485"/>
      <c r="B3053" s="485"/>
      <c r="C3053" s="73" t="s">
        <v>10</v>
      </c>
      <c r="D3053" s="485">
        <v>1</v>
      </c>
      <c r="E3053" s="485">
        <v>2.1</v>
      </c>
      <c r="F3053" s="485"/>
      <c r="G3053" s="485">
        <v>1.1000000000000001</v>
      </c>
      <c r="H3053" s="487">
        <f t="shared" si="442"/>
        <v>2.3100000000000005</v>
      </c>
    </row>
    <row r="3054" spans="1:8">
      <c r="A3054" s="485"/>
      <c r="B3054" s="485"/>
      <c r="C3054" s="73" t="s">
        <v>10</v>
      </c>
      <c r="D3054" s="485">
        <v>2</v>
      </c>
      <c r="E3054" s="485">
        <v>1.55</v>
      </c>
      <c r="F3054" s="485"/>
      <c r="G3054" s="485">
        <v>3.5</v>
      </c>
      <c r="H3054" s="487">
        <f t="shared" si="442"/>
        <v>10.85</v>
      </c>
    </row>
    <row r="3055" spans="1:8">
      <c r="A3055" s="485"/>
      <c r="B3055" s="485" t="s">
        <v>191</v>
      </c>
      <c r="C3055" s="73" t="s">
        <v>10</v>
      </c>
      <c r="D3055" s="485">
        <v>3</v>
      </c>
      <c r="E3055" s="485">
        <v>4.0999999999999996</v>
      </c>
      <c r="F3055" s="485"/>
      <c r="G3055" s="485">
        <v>3.5</v>
      </c>
      <c r="H3055" s="487">
        <f t="shared" si="442"/>
        <v>43.05</v>
      </c>
    </row>
    <row r="3056" spans="1:8">
      <c r="A3056" s="485"/>
      <c r="B3056" s="485"/>
      <c r="C3056" s="73" t="s">
        <v>10</v>
      </c>
      <c r="D3056" s="485">
        <v>1</v>
      </c>
      <c r="E3056" s="485">
        <v>4.0999999999999996</v>
      </c>
      <c r="F3056" s="485"/>
      <c r="G3056" s="485">
        <v>1.1000000000000001</v>
      </c>
      <c r="H3056" s="487">
        <f t="shared" si="442"/>
        <v>4.51</v>
      </c>
    </row>
    <row r="3057" spans="1:8">
      <c r="A3057" s="485"/>
      <c r="B3057" s="485"/>
      <c r="C3057" s="73" t="s">
        <v>10</v>
      </c>
      <c r="D3057" s="485">
        <v>-3</v>
      </c>
      <c r="E3057" s="485">
        <v>0.75</v>
      </c>
      <c r="F3057" s="485"/>
      <c r="G3057" s="485">
        <v>2.4</v>
      </c>
      <c r="H3057" s="487">
        <f t="shared" si="442"/>
        <v>-5.3999999999999995</v>
      </c>
    </row>
    <row r="3058" spans="1:8">
      <c r="A3058" s="485"/>
      <c r="B3058" s="485" t="s">
        <v>1289</v>
      </c>
      <c r="C3058" s="73" t="s">
        <v>10</v>
      </c>
      <c r="D3058" s="485">
        <v>2</v>
      </c>
      <c r="E3058" s="485">
        <v>1.98</v>
      </c>
      <c r="F3058" s="485"/>
      <c r="G3058" s="485">
        <v>3.5</v>
      </c>
      <c r="H3058" s="487">
        <f t="shared" si="442"/>
        <v>13.86</v>
      </c>
    </row>
    <row r="3059" spans="1:8">
      <c r="A3059" s="485"/>
      <c r="B3059" s="485"/>
      <c r="C3059" s="73" t="s">
        <v>10</v>
      </c>
      <c r="D3059" s="485">
        <v>2</v>
      </c>
      <c r="E3059" s="485">
        <v>1.98</v>
      </c>
      <c r="F3059" s="485"/>
      <c r="G3059" s="485">
        <v>1.1000000000000001</v>
      </c>
      <c r="H3059" s="487">
        <f t="shared" si="442"/>
        <v>4.3559999999999999</v>
      </c>
    </row>
    <row r="3060" spans="1:8">
      <c r="A3060" s="485"/>
      <c r="B3060" s="485" t="s">
        <v>1350</v>
      </c>
      <c r="C3060" s="73" t="s">
        <v>10</v>
      </c>
      <c r="D3060" s="485">
        <v>3</v>
      </c>
      <c r="E3060" s="485">
        <v>1.377</v>
      </c>
      <c r="F3060" s="485"/>
      <c r="G3060" s="485">
        <v>3.5</v>
      </c>
      <c r="H3060" s="487">
        <f t="shared" si="442"/>
        <v>14.458500000000001</v>
      </c>
    </row>
    <row r="3061" spans="1:8">
      <c r="A3061" s="485"/>
      <c r="B3061" s="485"/>
      <c r="C3061" s="73" t="s">
        <v>10</v>
      </c>
      <c r="D3061" s="485">
        <v>1</v>
      </c>
      <c r="E3061" s="485">
        <v>1.377</v>
      </c>
      <c r="F3061" s="485"/>
      <c r="G3061" s="485">
        <v>1.1000000000000001</v>
      </c>
      <c r="H3061" s="487">
        <f t="shared" si="442"/>
        <v>1.5147000000000002</v>
      </c>
    </row>
    <row r="3062" spans="1:8">
      <c r="A3062" s="485"/>
      <c r="B3062" s="485"/>
      <c r="C3062" s="73" t="s">
        <v>10</v>
      </c>
      <c r="D3062" s="485">
        <v>3</v>
      </c>
      <c r="E3062" s="485">
        <v>0.56499999999999995</v>
      </c>
      <c r="F3062" s="485"/>
      <c r="G3062" s="485">
        <v>3.5</v>
      </c>
      <c r="H3062" s="487">
        <f t="shared" si="442"/>
        <v>5.9324999999999992</v>
      </c>
    </row>
    <row r="3063" spans="1:8">
      <c r="A3063" s="485"/>
      <c r="B3063" s="485"/>
      <c r="C3063" s="73" t="s">
        <v>10</v>
      </c>
      <c r="D3063" s="485">
        <v>1</v>
      </c>
      <c r="E3063" s="485">
        <v>0.56499999999999995</v>
      </c>
      <c r="F3063" s="485"/>
      <c r="G3063" s="485">
        <v>1.1000000000000001</v>
      </c>
      <c r="H3063" s="487">
        <f t="shared" si="442"/>
        <v>0.62149999999999994</v>
      </c>
    </row>
    <row r="3064" spans="1:8">
      <c r="A3064" s="485"/>
      <c r="B3064" s="485" t="s">
        <v>1351</v>
      </c>
      <c r="C3064" s="73" t="s">
        <v>10</v>
      </c>
      <c r="D3064" s="485">
        <v>2</v>
      </c>
      <c r="E3064" s="485">
        <v>3.387</v>
      </c>
      <c r="F3064" s="485"/>
      <c r="G3064" s="485">
        <v>3.5</v>
      </c>
      <c r="H3064" s="487">
        <f t="shared" si="442"/>
        <v>23.709</v>
      </c>
    </row>
    <row r="3065" spans="1:8">
      <c r="A3065" s="485"/>
      <c r="B3065" s="485"/>
      <c r="C3065" s="73" t="s">
        <v>10</v>
      </c>
      <c r="D3065" s="485">
        <v>2</v>
      </c>
      <c r="E3065" s="485">
        <v>3.387</v>
      </c>
      <c r="F3065" s="485"/>
      <c r="G3065" s="485">
        <v>1.1000000000000001</v>
      </c>
      <c r="H3065" s="487">
        <f t="shared" si="442"/>
        <v>7.4514000000000005</v>
      </c>
    </row>
    <row r="3066" spans="1:8">
      <c r="A3066" s="485"/>
      <c r="B3066" s="485"/>
      <c r="C3066" s="73" t="s">
        <v>10</v>
      </c>
      <c r="D3066" s="485">
        <v>3</v>
      </c>
      <c r="E3066" s="485">
        <v>0.3</v>
      </c>
      <c r="F3066" s="485"/>
      <c r="G3066" s="485">
        <v>3.5</v>
      </c>
      <c r="H3066" s="487">
        <f t="shared" si="442"/>
        <v>3.1499999999999995</v>
      </c>
    </row>
    <row r="3067" spans="1:8">
      <c r="A3067" s="485"/>
      <c r="B3067" s="485"/>
      <c r="C3067" s="73" t="s">
        <v>10</v>
      </c>
      <c r="D3067" s="485">
        <v>1</v>
      </c>
      <c r="E3067" s="485">
        <v>0.3</v>
      </c>
      <c r="F3067" s="485"/>
      <c r="G3067" s="485">
        <v>1.1000000000000001</v>
      </c>
      <c r="H3067" s="487">
        <f t="shared" si="442"/>
        <v>0.33</v>
      </c>
    </row>
    <row r="3068" spans="1:8">
      <c r="A3068" s="485"/>
      <c r="B3068" s="485"/>
      <c r="C3068" s="73" t="s">
        <v>10</v>
      </c>
      <c r="D3068" s="485">
        <v>2</v>
      </c>
      <c r="E3068" s="485">
        <v>3.7</v>
      </c>
      <c r="F3068" s="485"/>
      <c r="G3068" s="485">
        <v>3.5</v>
      </c>
      <c r="H3068" s="487">
        <f t="shared" si="442"/>
        <v>25.900000000000002</v>
      </c>
    </row>
    <row r="3069" spans="1:8">
      <c r="A3069" s="485"/>
      <c r="B3069" s="485"/>
      <c r="C3069" s="73" t="s">
        <v>10</v>
      </c>
      <c r="D3069" s="485">
        <v>2</v>
      </c>
      <c r="E3069" s="485">
        <v>3.7</v>
      </c>
      <c r="F3069" s="485"/>
      <c r="G3069" s="485">
        <v>1.1000000000000001</v>
      </c>
      <c r="H3069" s="487">
        <f t="shared" ref="H3069:H3100" si="443">PRODUCT(D3069:G3069)</f>
        <v>8.14</v>
      </c>
    </row>
    <row r="3070" spans="1:8">
      <c r="A3070" s="485"/>
      <c r="B3070" s="485" t="s">
        <v>1346</v>
      </c>
      <c r="C3070" s="73" t="s">
        <v>10</v>
      </c>
      <c r="D3070" s="485">
        <v>4</v>
      </c>
      <c r="E3070" s="485">
        <v>4</v>
      </c>
      <c r="F3070" s="485"/>
      <c r="G3070" s="485">
        <f>3.5-2.4</f>
        <v>1.1000000000000001</v>
      </c>
      <c r="H3070" s="487">
        <f t="shared" si="443"/>
        <v>17.600000000000001</v>
      </c>
    </row>
    <row r="3071" spans="1:8">
      <c r="A3071" s="485"/>
      <c r="B3071" s="485" t="s">
        <v>1352</v>
      </c>
      <c r="C3071" s="73" t="s">
        <v>10</v>
      </c>
      <c r="D3071" s="485">
        <v>3</v>
      </c>
      <c r="E3071" s="485">
        <v>3.7</v>
      </c>
      <c r="F3071" s="485"/>
      <c r="G3071" s="485">
        <v>3.5</v>
      </c>
      <c r="H3071" s="487">
        <f t="shared" si="443"/>
        <v>38.850000000000009</v>
      </c>
    </row>
    <row r="3072" spans="1:8">
      <c r="A3072" s="485"/>
      <c r="B3072" s="485"/>
      <c r="C3072" s="73" t="s">
        <v>10</v>
      </c>
      <c r="D3072" s="485">
        <v>1</v>
      </c>
      <c r="E3072" s="485">
        <v>3.7</v>
      </c>
      <c r="F3072" s="485"/>
      <c r="G3072" s="485">
        <v>1.1000000000000001</v>
      </c>
      <c r="H3072" s="487">
        <f t="shared" si="443"/>
        <v>4.07</v>
      </c>
    </row>
    <row r="3073" spans="1:8">
      <c r="A3073" s="485"/>
      <c r="B3073" s="485"/>
      <c r="C3073" s="73" t="s">
        <v>10</v>
      </c>
      <c r="D3073" s="485">
        <v>4</v>
      </c>
      <c r="E3073" s="485">
        <v>3.6549999999999998</v>
      </c>
      <c r="F3073" s="485"/>
      <c r="G3073" s="485">
        <f>3.5-2.4</f>
        <v>1.1000000000000001</v>
      </c>
      <c r="H3073" s="487">
        <f t="shared" si="443"/>
        <v>16.082000000000001</v>
      </c>
    </row>
    <row r="3074" spans="1:8">
      <c r="A3074" s="485"/>
      <c r="B3074" s="485" t="s">
        <v>1353</v>
      </c>
      <c r="C3074" s="73" t="s">
        <v>10</v>
      </c>
      <c r="D3074" s="485">
        <v>4</v>
      </c>
      <c r="E3074" s="485">
        <v>1.7</v>
      </c>
      <c r="F3074" s="485"/>
      <c r="G3074" s="485">
        <v>3.5</v>
      </c>
      <c r="H3074" s="487">
        <f t="shared" si="443"/>
        <v>23.8</v>
      </c>
    </row>
    <row r="3075" spans="1:8">
      <c r="A3075" s="485"/>
      <c r="B3075" s="485"/>
      <c r="C3075" s="73" t="s">
        <v>10</v>
      </c>
      <c r="D3075" s="485">
        <v>2</v>
      </c>
      <c r="E3075" s="485">
        <v>1.7</v>
      </c>
      <c r="F3075" s="485"/>
      <c r="G3075" s="485">
        <v>1.1000000000000001</v>
      </c>
      <c r="H3075" s="487">
        <f t="shared" si="443"/>
        <v>3.74</v>
      </c>
    </row>
    <row r="3076" spans="1:8">
      <c r="A3076" s="485"/>
      <c r="B3076" s="485"/>
      <c r="C3076" s="73" t="s">
        <v>10</v>
      </c>
      <c r="D3076" s="485">
        <v>1</v>
      </c>
      <c r="E3076" s="485">
        <v>1.05</v>
      </c>
      <c r="F3076" s="485"/>
      <c r="G3076" s="485">
        <v>1.1000000000000001</v>
      </c>
      <c r="H3076" s="487">
        <f t="shared" si="443"/>
        <v>1.1550000000000002</v>
      </c>
    </row>
    <row r="3077" spans="1:8">
      <c r="A3077" s="485"/>
      <c r="B3077" s="485"/>
      <c r="C3077" s="73" t="s">
        <v>10</v>
      </c>
      <c r="D3077" s="485">
        <v>4</v>
      </c>
      <c r="E3077" s="485">
        <v>2.1</v>
      </c>
      <c r="F3077" s="485"/>
      <c r="G3077" s="485">
        <v>3.5</v>
      </c>
      <c r="H3077" s="487">
        <f t="shared" si="443"/>
        <v>29.400000000000002</v>
      </c>
    </row>
    <row r="3078" spans="1:8">
      <c r="A3078" s="485"/>
      <c r="B3078" s="485" t="s">
        <v>1213</v>
      </c>
      <c r="C3078" s="73" t="s">
        <v>10</v>
      </c>
      <c r="D3078" s="485">
        <v>3</v>
      </c>
      <c r="E3078" s="485">
        <v>3.55</v>
      </c>
      <c r="F3078" s="485"/>
      <c r="G3078" s="485">
        <v>3.5</v>
      </c>
      <c r="H3078" s="487">
        <f t="shared" si="443"/>
        <v>37.274999999999991</v>
      </c>
    </row>
    <row r="3079" spans="1:8">
      <c r="A3079" s="485"/>
      <c r="B3079" s="485"/>
      <c r="C3079" s="73" t="s">
        <v>10</v>
      </c>
      <c r="D3079" s="485">
        <v>1</v>
      </c>
      <c r="E3079" s="485">
        <v>3.55</v>
      </c>
      <c r="F3079" s="485"/>
      <c r="G3079" s="485">
        <v>1.1000000000000001</v>
      </c>
      <c r="H3079" s="487">
        <f t="shared" si="443"/>
        <v>3.9050000000000002</v>
      </c>
    </row>
    <row r="3080" spans="1:8">
      <c r="A3080" s="485"/>
      <c r="B3080" s="485"/>
      <c r="C3080" s="73" t="s">
        <v>10</v>
      </c>
      <c r="D3080" s="485">
        <v>2</v>
      </c>
      <c r="E3080" s="485">
        <v>6.85</v>
      </c>
      <c r="F3080" s="485"/>
      <c r="G3080" s="485">
        <v>3.5</v>
      </c>
      <c r="H3080" s="487">
        <f t="shared" si="443"/>
        <v>47.949999999999996</v>
      </c>
    </row>
    <row r="3081" spans="1:8">
      <c r="A3081" s="485"/>
      <c r="B3081" s="485"/>
      <c r="C3081" s="73" t="s">
        <v>10</v>
      </c>
      <c r="D3081" s="485">
        <v>2</v>
      </c>
      <c r="E3081" s="485">
        <v>6.85</v>
      </c>
      <c r="F3081" s="485"/>
      <c r="G3081" s="485">
        <v>1.1000000000000001</v>
      </c>
      <c r="H3081" s="487">
        <f t="shared" si="443"/>
        <v>15.07</v>
      </c>
    </row>
    <row r="3082" spans="1:8">
      <c r="A3082" s="485"/>
      <c r="B3082" s="485"/>
      <c r="C3082" s="73" t="s">
        <v>10</v>
      </c>
      <c r="D3082" s="485">
        <v>2</v>
      </c>
      <c r="E3082" s="485">
        <v>3.55</v>
      </c>
      <c r="F3082" s="485"/>
      <c r="G3082" s="485">
        <v>3.5</v>
      </c>
      <c r="H3082" s="487">
        <f t="shared" si="443"/>
        <v>24.849999999999998</v>
      </c>
    </row>
    <row r="3083" spans="1:8">
      <c r="A3083" s="485"/>
      <c r="B3083" s="485"/>
      <c r="C3083" s="73" t="s">
        <v>10</v>
      </c>
      <c r="D3083" s="485">
        <v>2</v>
      </c>
      <c r="E3083" s="485">
        <v>3.55</v>
      </c>
      <c r="F3083" s="485"/>
      <c r="G3083" s="485">
        <v>1.1000000000000001</v>
      </c>
      <c r="H3083" s="487">
        <f t="shared" si="443"/>
        <v>7.8100000000000005</v>
      </c>
    </row>
    <row r="3084" spans="1:8">
      <c r="A3084" s="485"/>
      <c r="B3084" s="485" t="s">
        <v>1346</v>
      </c>
      <c r="C3084" s="73" t="s">
        <v>10</v>
      </c>
      <c r="D3084" s="485">
        <v>4</v>
      </c>
      <c r="E3084" s="485">
        <v>3.2</v>
      </c>
      <c r="F3084" s="485"/>
      <c r="G3084" s="485">
        <f>3.5-2.4</f>
        <v>1.1000000000000001</v>
      </c>
      <c r="H3084" s="487">
        <f t="shared" si="443"/>
        <v>14.080000000000002</v>
      </c>
    </row>
    <row r="3085" spans="1:8">
      <c r="A3085" s="485"/>
      <c r="B3085" s="485" t="s">
        <v>1214</v>
      </c>
      <c r="C3085" s="73" t="s">
        <v>10</v>
      </c>
      <c r="D3085" s="485">
        <v>3</v>
      </c>
      <c r="E3085" s="485">
        <v>3.35</v>
      </c>
      <c r="F3085" s="485"/>
      <c r="G3085" s="485">
        <v>3.5</v>
      </c>
      <c r="H3085" s="487">
        <f t="shared" si="443"/>
        <v>35.175000000000004</v>
      </c>
    </row>
    <row r="3086" spans="1:8">
      <c r="A3086" s="485"/>
      <c r="B3086" s="485"/>
      <c r="C3086" s="73" t="s">
        <v>10</v>
      </c>
      <c r="D3086" s="485">
        <v>1</v>
      </c>
      <c r="E3086" s="485">
        <v>3.35</v>
      </c>
      <c r="F3086" s="485"/>
      <c r="G3086" s="485">
        <v>1.1000000000000001</v>
      </c>
      <c r="H3086" s="487">
        <f t="shared" si="443"/>
        <v>3.6850000000000005</v>
      </c>
    </row>
    <row r="3087" spans="1:8">
      <c r="A3087" s="485"/>
      <c r="B3087" s="485"/>
      <c r="C3087" s="73" t="s">
        <v>10</v>
      </c>
      <c r="D3087" s="485">
        <v>3</v>
      </c>
      <c r="E3087" s="485">
        <v>0.3</v>
      </c>
      <c r="F3087" s="485"/>
      <c r="G3087" s="485">
        <v>3.5</v>
      </c>
      <c r="H3087" s="487">
        <f t="shared" si="443"/>
        <v>3.1499999999999995</v>
      </c>
    </row>
    <row r="3088" spans="1:8">
      <c r="A3088" s="485"/>
      <c r="B3088" s="485"/>
      <c r="C3088" s="73" t="s">
        <v>10</v>
      </c>
      <c r="D3088" s="485">
        <v>1</v>
      </c>
      <c r="E3088" s="485">
        <v>0.3</v>
      </c>
      <c r="F3088" s="485"/>
      <c r="G3088" s="485">
        <v>1.1000000000000001</v>
      </c>
      <c r="H3088" s="487">
        <f t="shared" si="443"/>
        <v>0.33</v>
      </c>
    </row>
    <row r="3089" spans="1:8">
      <c r="A3089" s="485"/>
      <c r="B3089" s="485" t="s">
        <v>1346</v>
      </c>
      <c r="C3089" s="73" t="s">
        <v>10</v>
      </c>
      <c r="D3089" s="485">
        <v>4</v>
      </c>
      <c r="E3089" s="485">
        <v>2.7</v>
      </c>
      <c r="F3089" s="485"/>
      <c r="G3089" s="485">
        <f>3.5-2.4</f>
        <v>1.1000000000000001</v>
      </c>
      <c r="H3089" s="487">
        <f t="shared" si="443"/>
        <v>11.880000000000003</v>
      </c>
    </row>
    <row r="3090" spans="1:8">
      <c r="A3090" s="485"/>
      <c r="B3090" s="485" t="s">
        <v>1217</v>
      </c>
      <c r="C3090" s="73" t="s">
        <v>10</v>
      </c>
      <c r="D3090" s="485">
        <v>4</v>
      </c>
      <c r="E3090" s="485">
        <v>1.4</v>
      </c>
      <c r="F3090" s="485"/>
      <c r="G3090" s="485">
        <v>3.5</v>
      </c>
      <c r="H3090" s="487">
        <f t="shared" si="443"/>
        <v>19.599999999999998</v>
      </c>
    </row>
    <row r="3091" spans="1:8">
      <c r="A3091" s="485"/>
      <c r="B3091" s="485"/>
      <c r="C3091" s="73" t="s">
        <v>10</v>
      </c>
      <c r="D3091" s="485">
        <v>8</v>
      </c>
      <c r="E3091" s="485">
        <v>1</v>
      </c>
      <c r="F3091" s="485"/>
      <c r="G3091" s="485">
        <v>3.5</v>
      </c>
      <c r="H3091" s="487">
        <f t="shared" si="443"/>
        <v>28</v>
      </c>
    </row>
    <row r="3092" spans="1:8">
      <c r="A3092" s="485"/>
      <c r="B3092" s="485"/>
      <c r="C3092" s="73" t="s">
        <v>10</v>
      </c>
      <c r="D3092" s="485">
        <v>8</v>
      </c>
      <c r="E3092" s="485">
        <v>4.3</v>
      </c>
      <c r="F3092" s="485"/>
      <c r="G3092" s="485">
        <v>3.5</v>
      </c>
      <c r="H3092" s="487">
        <f t="shared" si="443"/>
        <v>120.39999999999999</v>
      </c>
    </row>
    <row r="3093" spans="1:8">
      <c r="A3093" s="485"/>
      <c r="B3093" s="485" t="s">
        <v>1346</v>
      </c>
      <c r="C3093" s="73" t="s">
        <v>10</v>
      </c>
      <c r="D3093" s="485">
        <v>4</v>
      </c>
      <c r="E3093" s="485">
        <v>4.5</v>
      </c>
      <c r="F3093" s="485"/>
      <c r="G3093" s="485">
        <f>3.5-2.4</f>
        <v>1.1000000000000001</v>
      </c>
      <c r="H3093" s="487">
        <f t="shared" si="443"/>
        <v>19.8</v>
      </c>
    </row>
    <row r="3094" spans="1:8">
      <c r="A3094" s="485"/>
      <c r="B3094" s="485" t="s">
        <v>1346</v>
      </c>
      <c r="C3094" s="73" t="s">
        <v>10</v>
      </c>
      <c r="D3094" s="485">
        <v>4</v>
      </c>
      <c r="E3094" s="485">
        <v>4.5</v>
      </c>
      <c r="F3094" s="485"/>
      <c r="G3094" s="485">
        <f>3.5-2.4</f>
        <v>1.1000000000000001</v>
      </c>
      <c r="H3094" s="487">
        <f t="shared" si="443"/>
        <v>19.8</v>
      </c>
    </row>
    <row r="3095" spans="1:8">
      <c r="A3095" s="485"/>
      <c r="B3095" s="485" t="s">
        <v>1224</v>
      </c>
      <c r="C3095" s="73" t="s">
        <v>10</v>
      </c>
      <c r="D3095" s="485">
        <v>4</v>
      </c>
      <c r="E3095" s="485">
        <v>2.2519999999999998</v>
      </c>
      <c r="F3095" s="485"/>
      <c r="G3095" s="485">
        <v>3.5</v>
      </c>
      <c r="H3095" s="487">
        <f t="shared" si="443"/>
        <v>31.527999999999999</v>
      </c>
    </row>
    <row r="3096" spans="1:8">
      <c r="A3096" s="485"/>
      <c r="B3096" s="485"/>
      <c r="C3096" s="73" t="s">
        <v>10</v>
      </c>
      <c r="D3096" s="485">
        <v>-4</v>
      </c>
      <c r="E3096" s="485">
        <v>2.2000000000000002</v>
      </c>
      <c r="F3096" s="485"/>
      <c r="G3096" s="485">
        <v>2.4</v>
      </c>
      <c r="H3096" s="487">
        <f t="shared" si="443"/>
        <v>-21.12</v>
      </c>
    </row>
    <row r="3097" spans="1:8">
      <c r="A3097" s="485"/>
      <c r="B3097" s="485"/>
      <c r="C3097" s="73" t="s">
        <v>10</v>
      </c>
      <c r="D3097" s="485">
        <v>4</v>
      </c>
      <c r="E3097" s="485">
        <v>1.4</v>
      </c>
      <c r="F3097" s="485"/>
      <c r="G3097" s="485">
        <v>3.5</v>
      </c>
      <c r="H3097" s="487">
        <f t="shared" si="443"/>
        <v>19.599999999999998</v>
      </c>
    </row>
    <row r="3098" spans="1:8">
      <c r="A3098" s="485"/>
      <c r="B3098" s="485" t="s">
        <v>1354</v>
      </c>
      <c r="C3098" s="73" t="s">
        <v>10</v>
      </c>
      <c r="D3098" s="485">
        <v>4</v>
      </c>
      <c r="E3098" s="485">
        <v>2.5499999999999998</v>
      </c>
      <c r="F3098" s="485"/>
      <c r="G3098" s="485">
        <v>3.5</v>
      </c>
      <c r="H3098" s="487">
        <f t="shared" si="443"/>
        <v>35.699999999999996</v>
      </c>
    </row>
    <row r="3099" spans="1:8">
      <c r="A3099" s="485"/>
      <c r="B3099" s="485"/>
      <c r="C3099" s="73" t="s">
        <v>10</v>
      </c>
      <c r="D3099" s="485">
        <v>4</v>
      </c>
      <c r="E3099" s="485">
        <v>2.5499999999999998</v>
      </c>
      <c r="F3099" s="485"/>
      <c r="G3099" s="485">
        <v>1.1000000000000001</v>
      </c>
      <c r="H3099" s="487">
        <f t="shared" si="443"/>
        <v>11.22</v>
      </c>
    </row>
    <row r="3100" spans="1:8">
      <c r="A3100" s="485"/>
      <c r="B3100" s="485" t="s">
        <v>1346</v>
      </c>
      <c r="C3100" s="73" t="s">
        <v>10</v>
      </c>
      <c r="D3100" s="485">
        <v>4</v>
      </c>
      <c r="E3100" s="485">
        <v>3.1</v>
      </c>
      <c r="F3100" s="485"/>
      <c r="G3100" s="485">
        <f>3.5-2.4</f>
        <v>1.1000000000000001</v>
      </c>
      <c r="H3100" s="487">
        <f t="shared" si="443"/>
        <v>13.640000000000002</v>
      </c>
    </row>
    <row r="3101" spans="1:8">
      <c r="A3101" s="485"/>
      <c r="B3101" s="485" t="s">
        <v>1219</v>
      </c>
      <c r="C3101" s="73" t="s">
        <v>10</v>
      </c>
      <c r="D3101" s="485">
        <v>3</v>
      </c>
      <c r="E3101" s="485">
        <v>1.35</v>
      </c>
      <c r="F3101" s="485"/>
      <c r="G3101" s="485">
        <v>3.5</v>
      </c>
      <c r="H3101" s="487">
        <f t="shared" ref="H3101:H3132" si="444">PRODUCT(D3101:G3101)</f>
        <v>14.175000000000002</v>
      </c>
    </row>
    <row r="3102" spans="1:8">
      <c r="A3102" s="485"/>
      <c r="B3102" s="485"/>
      <c r="C3102" s="73" t="s">
        <v>10</v>
      </c>
      <c r="D3102" s="485">
        <v>1</v>
      </c>
      <c r="E3102" s="485">
        <v>1.35</v>
      </c>
      <c r="F3102" s="485"/>
      <c r="G3102" s="485">
        <v>1.1000000000000001</v>
      </c>
      <c r="H3102" s="487">
        <f t="shared" si="444"/>
        <v>1.4850000000000003</v>
      </c>
    </row>
    <row r="3103" spans="1:8">
      <c r="A3103" s="485"/>
      <c r="B3103" s="485"/>
      <c r="C3103" s="73" t="s">
        <v>10</v>
      </c>
      <c r="D3103" s="485">
        <v>3</v>
      </c>
      <c r="E3103" s="485">
        <v>1.325</v>
      </c>
      <c r="F3103" s="485"/>
      <c r="G3103" s="485">
        <v>3.5</v>
      </c>
      <c r="H3103" s="487">
        <f t="shared" si="444"/>
        <v>13.912499999999998</v>
      </c>
    </row>
    <row r="3104" spans="1:8">
      <c r="A3104" s="485"/>
      <c r="B3104" s="485"/>
      <c r="C3104" s="73" t="s">
        <v>10</v>
      </c>
      <c r="D3104" s="485">
        <v>1</v>
      </c>
      <c r="E3104" s="485">
        <v>1.325</v>
      </c>
      <c r="F3104" s="485"/>
      <c r="G3104" s="485">
        <v>1.1000000000000001</v>
      </c>
      <c r="H3104" s="487">
        <f t="shared" si="444"/>
        <v>1.4575</v>
      </c>
    </row>
    <row r="3105" spans="1:8">
      <c r="A3105" s="485"/>
      <c r="B3105" s="485"/>
      <c r="C3105" s="73" t="s">
        <v>10</v>
      </c>
      <c r="D3105" s="485">
        <v>1</v>
      </c>
      <c r="E3105" s="485">
        <v>1.2</v>
      </c>
      <c r="F3105" s="485"/>
      <c r="G3105" s="485">
        <v>1.1000000000000001</v>
      </c>
      <c r="H3105" s="487">
        <f t="shared" si="444"/>
        <v>1.32</v>
      </c>
    </row>
    <row r="3106" spans="1:8">
      <c r="A3106" s="485"/>
      <c r="B3106" s="485"/>
      <c r="C3106" s="73" t="s">
        <v>10</v>
      </c>
      <c r="D3106" s="485">
        <v>1</v>
      </c>
      <c r="E3106" s="485">
        <v>1.35</v>
      </c>
      <c r="F3106" s="485"/>
      <c r="G3106" s="485">
        <v>1.1000000000000001</v>
      </c>
      <c r="H3106" s="487">
        <f t="shared" si="444"/>
        <v>1.4850000000000003</v>
      </c>
    </row>
    <row r="3107" spans="1:8">
      <c r="A3107" s="485"/>
      <c r="B3107" s="485"/>
      <c r="C3107" s="73" t="s">
        <v>10</v>
      </c>
      <c r="D3107" s="485">
        <v>-3</v>
      </c>
      <c r="E3107" s="485">
        <v>1</v>
      </c>
      <c r="F3107" s="485"/>
      <c r="G3107" s="485">
        <v>2.4</v>
      </c>
      <c r="H3107" s="487">
        <f t="shared" si="444"/>
        <v>-7.1999999999999993</v>
      </c>
    </row>
    <row r="3108" spans="1:8">
      <c r="A3108" s="485"/>
      <c r="B3108" s="485" t="s">
        <v>1346</v>
      </c>
      <c r="C3108" s="73" t="s">
        <v>10</v>
      </c>
      <c r="D3108" s="485">
        <v>4</v>
      </c>
      <c r="E3108" s="485">
        <v>3.35</v>
      </c>
      <c r="F3108" s="485"/>
      <c r="G3108" s="485">
        <f>3.5-2.4</f>
        <v>1.1000000000000001</v>
      </c>
      <c r="H3108" s="487">
        <f t="shared" si="444"/>
        <v>14.740000000000002</v>
      </c>
    </row>
    <row r="3109" spans="1:8">
      <c r="A3109" s="485"/>
      <c r="B3109" s="485" t="s">
        <v>191</v>
      </c>
      <c r="C3109" s="73" t="s">
        <v>10</v>
      </c>
      <c r="D3109" s="485">
        <v>3</v>
      </c>
      <c r="E3109" s="485">
        <v>3.6</v>
      </c>
      <c r="F3109" s="485"/>
      <c r="G3109" s="485">
        <v>3.5</v>
      </c>
      <c r="H3109" s="487">
        <f t="shared" si="444"/>
        <v>37.800000000000004</v>
      </c>
    </row>
    <row r="3110" spans="1:8">
      <c r="A3110" s="485"/>
      <c r="B3110" s="485"/>
      <c r="C3110" s="73" t="s">
        <v>10</v>
      </c>
      <c r="D3110" s="485">
        <v>1</v>
      </c>
      <c r="E3110" s="485">
        <v>3.6</v>
      </c>
      <c r="F3110" s="485"/>
      <c r="G3110" s="485">
        <v>1.1000000000000001</v>
      </c>
      <c r="H3110" s="487">
        <f t="shared" si="444"/>
        <v>3.9600000000000004</v>
      </c>
    </row>
    <row r="3111" spans="1:8">
      <c r="A3111" s="485"/>
      <c r="B3111" s="485"/>
      <c r="C3111" s="73" t="s">
        <v>10</v>
      </c>
      <c r="D3111" s="485">
        <v>-6</v>
      </c>
      <c r="E3111" s="485">
        <v>0.75</v>
      </c>
      <c r="F3111" s="485"/>
      <c r="G3111" s="485">
        <v>2.4</v>
      </c>
      <c r="H3111" s="487">
        <f t="shared" si="444"/>
        <v>-10.799999999999999</v>
      </c>
    </row>
    <row r="3112" spans="1:8">
      <c r="A3112" s="485"/>
      <c r="B3112" s="485"/>
      <c r="C3112" s="73" t="s">
        <v>10</v>
      </c>
      <c r="D3112" s="485">
        <v>4</v>
      </c>
      <c r="E3112" s="485">
        <v>5.45</v>
      </c>
      <c r="F3112" s="485"/>
      <c r="G3112" s="485">
        <v>3.5</v>
      </c>
      <c r="H3112" s="487">
        <f t="shared" si="444"/>
        <v>76.3</v>
      </c>
    </row>
    <row r="3113" spans="1:8">
      <c r="A3113" s="485"/>
      <c r="B3113" s="485"/>
      <c r="C3113" s="73" t="s">
        <v>10</v>
      </c>
      <c r="D3113" s="485">
        <v>-4</v>
      </c>
      <c r="E3113" s="485">
        <v>1</v>
      </c>
      <c r="F3113" s="485"/>
      <c r="G3113" s="485">
        <v>2.4</v>
      </c>
      <c r="H3113" s="487">
        <f t="shared" si="444"/>
        <v>-9.6</v>
      </c>
    </row>
    <row r="3114" spans="1:8">
      <c r="A3114" s="485"/>
      <c r="B3114" s="485"/>
      <c r="C3114" s="73" t="s">
        <v>10</v>
      </c>
      <c r="D3114" s="485">
        <v>2</v>
      </c>
      <c r="E3114" s="485">
        <v>1.6</v>
      </c>
      <c r="F3114" s="485"/>
      <c r="G3114" s="485">
        <v>3.5</v>
      </c>
      <c r="H3114" s="487">
        <f t="shared" si="444"/>
        <v>11.200000000000001</v>
      </c>
    </row>
    <row r="3115" spans="1:8">
      <c r="A3115" s="485"/>
      <c r="B3115" s="485"/>
      <c r="C3115" s="73" t="s">
        <v>10</v>
      </c>
      <c r="D3115" s="485">
        <v>2</v>
      </c>
      <c r="E3115" s="485">
        <v>1.6</v>
      </c>
      <c r="F3115" s="485"/>
      <c r="G3115" s="485">
        <v>1.1000000000000001</v>
      </c>
      <c r="H3115" s="487">
        <f t="shared" si="444"/>
        <v>3.5200000000000005</v>
      </c>
    </row>
    <row r="3116" spans="1:8">
      <c r="A3116" s="485"/>
      <c r="B3116" s="485" t="s">
        <v>1289</v>
      </c>
      <c r="C3116" s="73" t="s">
        <v>10</v>
      </c>
      <c r="D3116" s="485">
        <v>2</v>
      </c>
      <c r="E3116" s="485">
        <v>1.3</v>
      </c>
      <c r="F3116" s="485"/>
      <c r="G3116" s="485">
        <v>3.5</v>
      </c>
      <c r="H3116" s="487">
        <f t="shared" si="444"/>
        <v>9.1</v>
      </c>
    </row>
    <row r="3117" spans="1:8">
      <c r="A3117" s="485"/>
      <c r="B3117" s="485"/>
      <c r="C3117" s="73" t="s">
        <v>10</v>
      </c>
      <c r="D3117" s="485">
        <v>2</v>
      </c>
      <c r="E3117" s="485">
        <v>1.3</v>
      </c>
      <c r="F3117" s="485"/>
      <c r="G3117" s="485">
        <v>1.1000000000000001</v>
      </c>
      <c r="H3117" s="487">
        <f t="shared" si="444"/>
        <v>2.8600000000000003</v>
      </c>
    </row>
    <row r="3118" spans="1:8">
      <c r="A3118" s="485"/>
      <c r="B3118" s="485" t="s">
        <v>1310</v>
      </c>
      <c r="C3118" s="73" t="s">
        <v>10</v>
      </c>
      <c r="D3118" s="485">
        <v>4</v>
      </c>
      <c r="E3118" s="485">
        <v>5.35</v>
      </c>
      <c r="F3118" s="485"/>
      <c r="G3118" s="485">
        <v>3.5</v>
      </c>
      <c r="H3118" s="487">
        <f t="shared" si="444"/>
        <v>74.899999999999991</v>
      </c>
    </row>
    <row r="3119" spans="1:8">
      <c r="A3119" s="485"/>
      <c r="B3119" s="485"/>
      <c r="C3119" s="73" t="s">
        <v>10</v>
      </c>
      <c r="D3119" s="485">
        <v>-4</v>
      </c>
      <c r="E3119" s="485">
        <v>1</v>
      </c>
      <c r="F3119" s="485"/>
      <c r="G3119" s="485">
        <v>2.4</v>
      </c>
      <c r="H3119" s="487">
        <f t="shared" si="444"/>
        <v>-9.6</v>
      </c>
    </row>
    <row r="3120" spans="1:8">
      <c r="A3120" s="485"/>
      <c r="B3120" s="485"/>
      <c r="C3120" s="73" t="s">
        <v>10</v>
      </c>
      <c r="D3120" s="485">
        <v>3</v>
      </c>
      <c r="E3120" s="485">
        <v>3.3</v>
      </c>
      <c r="F3120" s="485"/>
      <c r="G3120" s="485">
        <v>3.5</v>
      </c>
      <c r="H3120" s="487">
        <f t="shared" si="444"/>
        <v>34.649999999999991</v>
      </c>
    </row>
    <row r="3121" spans="1:8">
      <c r="A3121" s="485"/>
      <c r="B3121" s="485"/>
      <c r="C3121" s="73" t="s">
        <v>10</v>
      </c>
      <c r="D3121" s="485">
        <v>1</v>
      </c>
      <c r="E3121" s="485">
        <v>3.3</v>
      </c>
      <c r="F3121" s="485"/>
      <c r="G3121" s="485">
        <v>1.1000000000000001</v>
      </c>
      <c r="H3121" s="487">
        <f t="shared" si="444"/>
        <v>3.63</v>
      </c>
    </row>
    <row r="3122" spans="1:8">
      <c r="A3122" s="485"/>
      <c r="B3122" s="485" t="s">
        <v>1346</v>
      </c>
      <c r="C3122" s="73" t="s">
        <v>10</v>
      </c>
      <c r="D3122" s="485">
        <v>4</v>
      </c>
      <c r="E3122" s="485">
        <v>3.2</v>
      </c>
      <c r="F3122" s="485"/>
      <c r="G3122" s="485">
        <f>3.5-2.4</f>
        <v>1.1000000000000001</v>
      </c>
      <c r="H3122" s="487">
        <f t="shared" si="444"/>
        <v>14.080000000000002</v>
      </c>
    </row>
    <row r="3123" spans="1:8">
      <c r="A3123" s="485"/>
      <c r="B3123" s="485" t="s">
        <v>1355</v>
      </c>
      <c r="C3123" s="73" t="s">
        <v>10</v>
      </c>
      <c r="D3123" s="485">
        <v>2</v>
      </c>
      <c r="E3123" s="485">
        <v>3.83</v>
      </c>
      <c r="F3123" s="485"/>
      <c r="G3123" s="485">
        <v>3.5</v>
      </c>
      <c r="H3123" s="487">
        <f t="shared" si="444"/>
        <v>26.810000000000002</v>
      </c>
    </row>
    <row r="3124" spans="1:8">
      <c r="A3124" s="485"/>
      <c r="B3124" s="485"/>
      <c r="C3124" s="73" t="s">
        <v>10</v>
      </c>
      <c r="D3124" s="485">
        <v>2</v>
      </c>
      <c r="E3124" s="485">
        <v>3.83</v>
      </c>
      <c r="F3124" s="485"/>
      <c r="G3124" s="485">
        <v>1.1000000000000001</v>
      </c>
      <c r="H3124" s="487">
        <f t="shared" si="444"/>
        <v>8.4260000000000002</v>
      </c>
    </row>
    <row r="3125" spans="1:8">
      <c r="A3125" s="485"/>
      <c r="B3125" s="485"/>
      <c r="C3125" s="73" t="s">
        <v>10</v>
      </c>
      <c r="D3125" s="485">
        <v>2</v>
      </c>
      <c r="E3125" s="485">
        <v>4.71</v>
      </c>
      <c r="F3125" s="485"/>
      <c r="G3125" s="485">
        <v>3.5</v>
      </c>
      <c r="H3125" s="487">
        <f t="shared" si="444"/>
        <v>32.97</v>
      </c>
    </row>
    <row r="3126" spans="1:8">
      <c r="A3126" s="485"/>
      <c r="B3126" s="485"/>
      <c r="C3126" s="73" t="s">
        <v>10</v>
      </c>
      <c r="D3126" s="485">
        <v>2</v>
      </c>
      <c r="E3126" s="485">
        <v>4.71</v>
      </c>
      <c r="F3126" s="485"/>
      <c r="G3126" s="485">
        <v>1.1000000000000001</v>
      </c>
      <c r="H3126" s="487">
        <f t="shared" si="444"/>
        <v>10.362</v>
      </c>
    </row>
    <row r="3127" spans="1:8">
      <c r="A3127" s="485"/>
      <c r="B3127" s="485"/>
      <c r="C3127" s="73" t="s">
        <v>10</v>
      </c>
      <c r="D3127" s="485">
        <v>2</v>
      </c>
      <c r="E3127" s="485">
        <v>3.85</v>
      </c>
      <c r="F3127" s="485"/>
      <c r="G3127" s="485">
        <v>3.5</v>
      </c>
      <c r="H3127" s="487">
        <f t="shared" si="444"/>
        <v>26.95</v>
      </c>
    </row>
    <row r="3128" spans="1:8">
      <c r="A3128" s="485"/>
      <c r="B3128" s="485"/>
      <c r="C3128" s="73" t="s">
        <v>10</v>
      </c>
      <c r="D3128" s="485">
        <v>2</v>
      </c>
      <c r="E3128" s="485">
        <v>3.85</v>
      </c>
      <c r="F3128" s="485"/>
      <c r="G3128" s="485">
        <v>1.1000000000000001</v>
      </c>
      <c r="H3128" s="487">
        <f t="shared" si="444"/>
        <v>8.4700000000000006</v>
      </c>
    </row>
    <row r="3129" spans="1:8">
      <c r="A3129" s="485"/>
      <c r="B3129" s="485"/>
      <c r="C3129" s="73" t="s">
        <v>10</v>
      </c>
      <c r="D3129" s="485">
        <v>-2</v>
      </c>
      <c r="E3129" s="485">
        <v>1.6</v>
      </c>
      <c r="F3129" s="485"/>
      <c r="G3129" s="485">
        <v>2.4</v>
      </c>
      <c r="H3129" s="487">
        <f t="shared" si="444"/>
        <v>-7.68</v>
      </c>
    </row>
    <row r="3130" spans="1:8">
      <c r="A3130" s="485"/>
      <c r="B3130" s="485"/>
      <c r="C3130" s="73" t="s">
        <v>10</v>
      </c>
      <c r="D3130" s="485">
        <v>2</v>
      </c>
      <c r="E3130" s="485">
        <v>8.7799999999999994</v>
      </c>
      <c r="F3130" s="485"/>
      <c r="G3130" s="485">
        <v>3.5</v>
      </c>
      <c r="H3130" s="487">
        <f t="shared" si="444"/>
        <v>61.459999999999994</v>
      </c>
    </row>
    <row r="3131" spans="1:8">
      <c r="A3131" s="485"/>
      <c r="B3131" s="485"/>
      <c r="C3131" s="73" t="s">
        <v>10</v>
      </c>
      <c r="D3131" s="485">
        <v>2</v>
      </c>
      <c r="E3131" s="485">
        <v>8.7799999999999994</v>
      </c>
      <c r="F3131" s="485"/>
      <c r="G3131" s="485">
        <v>1.1000000000000001</v>
      </c>
      <c r="H3131" s="487">
        <f t="shared" si="444"/>
        <v>19.315999999999999</v>
      </c>
    </row>
    <row r="3132" spans="1:8">
      <c r="A3132" s="485"/>
      <c r="B3132" s="485"/>
      <c r="C3132" s="73" t="s">
        <v>10</v>
      </c>
      <c r="D3132" s="485">
        <v>-2</v>
      </c>
      <c r="E3132" s="485">
        <v>1</v>
      </c>
      <c r="F3132" s="485"/>
      <c r="G3132" s="485">
        <v>2.4</v>
      </c>
      <c r="H3132" s="487">
        <f t="shared" si="444"/>
        <v>-4.8</v>
      </c>
    </row>
    <row r="3133" spans="1:8">
      <c r="A3133" s="485"/>
      <c r="B3133" s="485"/>
      <c r="C3133" s="73" t="s">
        <v>10</v>
      </c>
      <c r="D3133" s="485">
        <v>2</v>
      </c>
      <c r="E3133" s="485">
        <v>1</v>
      </c>
      <c r="F3133" s="485"/>
      <c r="G3133" s="485">
        <v>3.5</v>
      </c>
      <c r="H3133" s="487">
        <f t="shared" ref="H3133:H3164" si="445">PRODUCT(D3133:G3133)</f>
        <v>7</v>
      </c>
    </row>
    <row r="3134" spans="1:8">
      <c r="A3134" s="485"/>
      <c r="B3134" s="485"/>
      <c r="C3134" s="73" t="s">
        <v>10</v>
      </c>
      <c r="D3134" s="485">
        <v>3</v>
      </c>
      <c r="E3134" s="485">
        <v>4.17</v>
      </c>
      <c r="F3134" s="485"/>
      <c r="G3134" s="485">
        <v>3.5</v>
      </c>
      <c r="H3134" s="487">
        <f t="shared" si="445"/>
        <v>43.784999999999997</v>
      </c>
    </row>
    <row r="3135" spans="1:8">
      <c r="A3135" s="485"/>
      <c r="B3135" s="485"/>
      <c r="C3135" s="73" t="s">
        <v>10</v>
      </c>
      <c r="D3135" s="485">
        <v>1</v>
      </c>
      <c r="E3135" s="485">
        <v>4.17</v>
      </c>
      <c r="F3135" s="485"/>
      <c r="G3135" s="485">
        <v>1.1000000000000001</v>
      </c>
      <c r="H3135" s="487">
        <f t="shared" si="445"/>
        <v>4.5870000000000006</v>
      </c>
    </row>
    <row r="3136" spans="1:8">
      <c r="A3136" s="485"/>
      <c r="B3136" s="485"/>
      <c r="C3136" s="73" t="s">
        <v>10</v>
      </c>
      <c r="D3136" s="485">
        <v>-1</v>
      </c>
      <c r="E3136" s="485">
        <v>1</v>
      </c>
      <c r="F3136" s="485"/>
      <c r="G3136" s="485">
        <v>2.4</v>
      </c>
      <c r="H3136" s="487">
        <f t="shared" si="445"/>
        <v>-2.4</v>
      </c>
    </row>
    <row r="3137" spans="1:8">
      <c r="A3137" s="485"/>
      <c r="B3137" s="485"/>
      <c r="C3137" s="73" t="s">
        <v>10</v>
      </c>
      <c r="D3137" s="485">
        <v>3</v>
      </c>
      <c r="E3137" s="485">
        <v>13.34</v>
      </c>
      <c r="F3137" s="485"/>
      <c r="G3137" s="485">
        <v>3.5</v>
      </c>
      <c r="H3137" s="487">
        <f t="shared" si="445"/>
        <v>140.07</v>
      </c>
    </row>
    <row r="3138" spans="1:8">
      <c r="A3138" s="485"/>
      <c r="B3138" s="485"/>
      <c r="C3138" s="73" t="s">
        <v>10</v>
      </c>
      <c r="D3138" s="485">
        <v>1</v>
      </c>
      <c r="E3138" s="485">
        <v>13.34</v>
      </c>
      <c r="F3138" s="485"/>
      <c r="G3138" s="485">
        <v>1.1000000000000001</v>
      </c>
      <c r="H3138" s="487">
        <f t="shared" si="445"/>
        <v>14.674000000000001</v>
      </c>
    </row>
    <row r="3139" spans="1:8">
      <c r="A3139" s="485"/>
      <c r="B3139" s="485" t="s">
        <v>1356</v>
      </c>
      <c r="C3139" s="73" t="s">
        <v>10</v>
      </c>
      <c r="D3139" s="485">
        <v>3</v>
      </c>
      <c r="E3139" s="485">
        <v>6.2949999999999999</v>
      </c>
      <c r="F3139" s="485"/>
      <c r="G3139" s="485">
        <v>3.5</v>
      </c>
      <c r="H3139" s="487">
        <f t="shared" si="445"/>
        <v>66.097499999999997</v>
      </c>
    </row>
    <row r="3140" spans="1:8">
      <c r="A3140" s="485"/>
      <c r="B3140" s="485"/>
      <c r="C3140" s="73" t="s">
        <v>10</v>
      </c>
      <c r="D3140" s="485">
        <v>1</v>
      </c>
      <c r="E3140" s="485">
        <v>6.2949999999999999</v>
      </c>
      <c r="F3140" s="485"/>
      <c r="G3140" s="485">
        <v>1.1000000000000001</v>
      </c>
      <c r="H3140" s="487">
        <f t="shared" si="445"/>
        <v>6.9245000000000001</v>
      </c>
    </row>
    <row r="3141" spans="1:8">
      <c r="A3141" s="485"/>
      <c r="B3141" s="485"/>
      <c r="C3141" s="73" t="s">
        <v>10</v>
      </c>
      <c r="D3141" s="485">
        <v>3</v>
      </c>
      <c r="E3141" s="485">
        <v>2.08</v>
      </c>
      <c r="F3141" s="485"/>
      <c r="G3141" s="485">
        <v>3.5</v>
      </c>
      <c r="H3141" s="487">
        <f t="shared" si="445"/>
        <v>21.84</v>
      </c>
    </row>
    <row r="3142" spans="1:8">
      <c r="A3142" s="485"/>
      <c r="B3142" s="485"/>
      <c r="C3142" s="73" t="s">
        <v>10</v>
      </c>
      <c r="D3142" s="485">
        <v>2</v>
      </c>
      <c r="E3142" s="485">
        <v>5.7</v>
      </c>
      <c r="F3142" s="485"/>
      <c r="G3142" s="485">
        <v>3.5</v>
      </c>
      <c r="H3142" s="487">
        <f t="shared" si="445"/>
        <v>39.9</v>
      </c>
    </row>
    <row r="3143" spans="1:8">
      <c r="A3143" s="485"/>
      <c r="B3143" s="485"/>
      <c r="C3143" s="73" t="s">
        <v>10</v>
      </c>
      <c r="D3143" s="485">
        <v>2</v>
      </c>
      <c r="E3143" s="485">
        <v>5.7</v>
      </c>
      <c r="F3143" s="485"/>
      <c r="G3143" s="485">
        <v>1.1000000000000001</v>
      </c>
      <c r="H3143" s="487">
        <f t="shared" si="445"/>
        <v>12.540000000000001</v>
      </c>
    </row>
    <row r="3144" spans="1:8">
      <c r="A3144" s="485"/>
      <c r="B3144" s="485" t="s">
        <v>1340</v>
      </c>
      <c r="C3144" s="73" t="s">
        <v>10</v>
      </c>
      <c r="D3144" s="485">
        <v>3</v>
      </c>
      <c r="E3144" s="485">
        <v>6.17</v>
      </c>
      <c r="F3144" s="485"/>
      <c r="G3144" s="485">
        <v>3.5</v>
      </c>
      <c r="H3144" s="487">
        <f t="shared" si="445"/>
        <v>64.784999999999997</v>
      </c>
    </row>
    <row r="3145" spans="1:8">
      <c r="A3145" s="485"/>
      <c r="B3145" s="485"/>
      <c r="C3145" s="73" t="s">
        <v>10</v>
      </c>
      <c r="D3145" s="485">
        <v>1</v>
      </c>
      <c r="E3145" s="485">
        <v>6.17</v>
      </c>
      <c r="F3145" s="485"/>
      <c r="G3145" s="485">
        <v>1.1000000000000001</v>
      </c>
      <c r="H3145" s="487">
        <f t="shared" si="445"/>
        <v>6.7870000000000008</v>
      </c>
    </row>
    <row r="3146" spans="1:8">
      <c r="A3146" s="485"/>
      <c r="B3146" s="485"/>
      <c r="C3146" s="73" t="s">
        <v>10</v>
      </c>
      <c r="D3146" s="485">
        <v>1</v>
      </c>
      <c r="E3146" s="485">
        <v>2.78</v>
      </c>
      <c r="F3146" s="485"/>
      <c r="G3146" s="485">
        <v>2.65</v>
      </c>
      <c r="H3146" s="487">
        <f t="shared" si="445"/>
        <v>7.3669999999999991</v>
      </c>
    </row>
    <row r="3147" spans="1:8">
      <c r="A3147" s="485"/>
      <c r="B3147" s="485"/>
      <c r="C3147" s="73" t="s">
        <v>10</v>
      </c>
      <c r="D3147" s="485">
        <v>4</v>
      </c>
      <c r="E3147" s="485">
        <v>0.55000000000000004</v>
      </c>
      <c r="F3147" s="485"/>
      <c r="G3147" s="485">
        <v>3.5</v>
      </c>
      <c r="H3147" s="487">
        <f t="shared" si="445"/>
        <v>7.7000000000000011</v>
      </c>
    </row>
    <row r="3148" spans="1:8">
      <c r="A3148" s="485"/>
      <c r="B3148" s="485"/>
      <c r="C3148" s="73" t="s">
        <v>10</v>
      </c>
      <c r="D3148" s="485">
        <v>4</v>
      </c>
      <c r="E3148" s="485">
        <v>1.1000000000000001</v>
      </c>
      <c r="F3148" s="485"/>
      <c r="G3148" s="485">
        <v>3.5</v>
      </c>
      <c r="H3148" s="487">
        <f t="shared" si="445"/>
        <v>15.400000000000002</v>
      </c>
    </row>
    <row r="3149" spans="1:8">
      <c r="A3149" s="485"/>
      <c r="B3149" s="485" t="s">
        <v>195</v>
      </c>
      <c r="C3149" s="73" t="s">
        <v>10</v>
      </c>
      <c r="D3149" s="485">
        <v>3</v>
      </c>
      <c r="E3149" s="485">
        <v>0.2</v>
      </c>
      <c r="F3149" s="485"/>
      <c r="G3149" s="485">
        <v>3.5</v>
      </c>
      <c r="H3149" s="487">
        <f t="shared" si="445"/>
        <v>2.1000000000000005</v>
      </c>
    </row>
    <row r="3150" spans="1:8">
      <c r="A3150" s="485"/>
      <c r="B3150" s="485"/>
      <c r="C3150" s="73" t="s">
        <v>10</v>
      </c>
      <c r="D3150" s="485">
        <v>1</v>
      </c>
      <c r="E3150" s="485">
        <v>0.2</v>
      </c>
      <c r="F3150" s="485"/>
      <c r="G3150" s="485">
        <v>2.65</v>
      </c>
      <c r="H3150" s="487">
        <f t="shared" si="445"/>
        <v>0.53</v>
      </c>
    </row>
    <row r="3151" spans="1:8">
      <c r="A3151" s="485"/>
      <c r="B3151" s="485"/>
      <c r="C3151" s="73" t="s">
        <v>10</v>
      </c>
      <c r="D3151" s="485">
        <v>1</v>
      </c>
      <c r="E3151" s="485">
        <v>0.3</v>
      </c>
      <c r="F3151" s="485"/>
      <c r="G3151" s="485">
        <v>3.5</v>
      </c>
      <c r="H3151" s="487">
        <f t="shared" si="445"/>
        <v>1.05</v>
      </c>
    </row>
    <row r="3152" spans="1:8">
      <c r="A3152" s="485"/>
      <c r="B3152" s="485"/>
      <c r="C3152" s="73" t="s">
        <v>10</v>
      </c>
      <c r="D3152" s="485">
        <v>2</v>
      </c>
      <c r="E3152" s="485">
        <v>3.55</v>
      </c>
      <c r="F3152" s="485"/>
      <c r="G3152" s="485">
        <v>3.5</v>
      </c>
      <c r="H3152" s="487">
        <f t="shared" si="445"/>
        <v>24.849999999999998</v>
      </c>
    </row>
    <row r="3153" spans="1:8">
      <c r="A3153" s="485"/>
      <c r="B3153" s="485"/>
      <c r="C3153" s="73" t="s">
        <v>10</v>
      </c>
      <c r="D3153" s="485">
        <v>2</v>
      </c>
      <c r="E3153" s="485">
        <v>3.55</v>
      </c>
      <c r="F3153" s="485"/>
      <c r="G3153" s="485">
        <v>1.1000000000000001</v>
      </c>
      <c r="H3153" s="487">
        <f t="shared" si="445"/>
        <v>7.8100000000000005</v>
      </c>
    </row>
    <row r="3154" spans="1:8">
      <c r="A3154" s="485"/>
      <c r="B3154" s="485"/>
      <c r="C3154" s="73" t="s">
        <v>10</v>
      </c>
      <c r="D3154" s="485">
        <v>2</v>
      </c>
      <c r="E3154" s="485">
        <v>3.55</v>
      </c>
      <c r="F3154" s="485"/>
      <c r="G3154" s="485">
        <v>3.5</v>
      </c>
      <c r="H3154" s="487">
        <f t="shared" si="445"/>
        <v>24.849999999999998</v>
      </c>
    </row>
    <row r="3155" spans="1:8">
      <c r="A3155" s="485"/>
      <c r="B3155" s="485"/>
      <c r="C3155" s="73" t="s">
        <v>10</v>
      </c>
      <c r="D3155" s="485">
        <v>2</v>
      </c>
      <c r="E3155" s="485">
        <v>3.55</v>
      </c>
      <c r="F3155" s="485"/>
      <c r="G3155" s="485">
        <v>1.1000000000000001</v>
      </c>
      <c r="H3155" s="487">
        <f t="shared" si="445"/>
        <v>7.8100000000000005</v>
      </c>
    </row>
    <row r="3156" spans="1:8">
      <c r="A3156" s="485"/>
      <c r="B3156" s="485" t="s">
        <v>1346</v>
      </c>
      <c r="C3156" s="73" t="s">
        <v>10</v>
      </c>
      <c r="D3156" s="485">
        <v>4</v>
      </c>
      <c r="E3156" s="485">
        <v>4.28</v>
      </c>
      <c r="F3156" s="485"/>
      <c r="G3156" s="485">
        <f>3.5-2.4</f>
        <v>1.1000000000000001</v>
      </c>
      <c r="H3156" s="487">
        <f t="shared" si="445"/>
        <v>18.832000000000004</v>
      </c>
    </row>
    <row r="3157" spans="1:8">
      <c r="A3157" s="485"/>
      <c r="B3157" s="485" t="s">
        <v>1230</v>
      </c>
      <c r="C3157" s="73" t="s">
        <v>10</v>
      </c>
      <c r="D3157" s="485">
        <v>2</v>
      </c>
      <c r="E3157" s="485">
        <v>3.55</v>
      </c>
      <c r="F3157" s="485"/>
      <c r="G3157" s="485">
        <v>3.5</v>
      </c>
      <c r="H3157" s="487">
        <f t="shared" si="445"/>
        <v>24.849999999999998</v>
      </c>
    </row>
    <row r="3158" spans="1:8">
      <c r="A3158" s="485"/>
      <c r="B3158" s="485"/>
      <c r="C3158" s="73" t="s">
        <v>10</v>
      </c>
      <c r="D3158" s="485">
        <v>2</v>
      </c>
      <c r="E3158" s="485">
        <v>3.55</v>
      </c>
      <c r="F3158" s="485"/>
      <c r="G3158" s="485">
        <v>1.1000000000000001</v>
      </c>
      <c r="H3158" s="487">
        <f t="shared" si="445"/>
        <v>7.8100000000000005</v>
      </c>
    </row>
    <row r="3159" spans="1:8">
      <c r="A3159" s="485"/>
      <c r="B3159" s="485" t="s">
        <v>1346</v>
      </c>
      <c r="C3159" s="73" t="s">
        <v>10</v>
      </c>
      <c r="D3159" s="485">
        <v>4</v>
      </c>
      <c r="E3159" s="485">
        <v>3.2250000000000001</v>
      </c>
      <c r="F3159" s="485"/>
      <c r="G3159" s="485">
        <v>1.35</v>
      </c>
      <c r="H3159" s="487">
        <f t="shared" si="445"/>
        <v>17.415000000000003</v>
      </c>
    </row>
    <row r="3160" spans="1:8">
      <c r="A3160" s="485"/>
      <c r="B3160" s="485" t="s">
        <v>114</v>
      </c>
      <c r="C3160" s="73" t="s">
        <v>10</v>
      </c>
      <c r="D3160" s="485">
        <v>1</v>
      </c>
      <c r="E3160" s="485">
        <v>1.39</v>
      </c>
      <c r="F3160" s="485"/>
      <c r="G3160" s="485">
        <v>3.5</v>
      </c>
      <c r="H3160" s="487">
        <f t="shared" si="445"/>
        <v>4.8649999999999993</v>
      </c>
    </row>
    <row r="3161" spans="1:8">
      <c r="A3161" s="485"/>
      <c r="B3161" s="485"/>
      <c r="C3161" s="73" t="s">
        <v>10</v>
      </c>
      <c r="D3161" s="485">
        <v>1</v>
      </c>
      <c r="E3161" s="485">
        <v>1.39</v>
      </c>
      <c r="F3161" s="485"/>
      <c r="G3161" s="485">
        <v>1.1000000000000001</v>
      </c>
      <c r="H3161" s="487">
        <f t="shared" si="445"/>
        <v>1.5289999999999999</v>
      </c>
    </row>
    <row r="3162" spans="1:8">
      <c r="A3162" s="485"/>
      <c r="B3162" s="485" t="s">
        <v>1229</v>
      </c>
      <c r="C3162" s="73" t="s">
        <v>10</v>
      </c>
      <c r="D3162" s="485">
        <v>3</v>
      </c>
      <c r="E3162" s="485">
        <v>3.55</v>
      </c>
      <c r="F3162" s="485"/>
      <c r="G3162" s="485">
        <v>3.5</v>
      </c>
      <c r="H3162" s="487">
        <f t="shared" si="445"/>
        <v>37.274999999999991</v>
      </c>
    </row>
    <row r="3163" spans="1:8">
      <c r="A3163" s="485"/>
      <c r="B3163" s="485"/>
      <c r="C3163" s="73" t="s">
        <v>10</v>
      </c>
      <c r="D3163" s="485">
        <v>1</v>
      </c>
      <c r="E3163" s="485">
        <v>3.55</v>
      </c>
      <c r="F3163" s="485"/>
      <c r="G3163" s="485">
        <v>1.1000000000000001</v>
      </c>
      <c r="H3163" s="487">
        <f t="shared" si="445"/>
        <v>3.9050000000000002</v>
      </c>
    </row>
    <row r="3164" spans="1:8">
      <c r="A3164" s="485"/>
      <c r="B3164" s="485"/>
      <c r="C3164" s="73" t="s">
        <v>10</v>
      </c>
      <c r="D3164" s="485">
        <v>3</v>
      </c>
      <c r="E3164" s="485">
        <v>0.3</v>
      </c>
      <c r="F3164" s="485"/>
      <c r="G3164" s="485">
        <v>3.5</v>
      </c>
      <c r="H3164" s="487">
        <f t="shared" si="445"/>
        <v>3.1499999999999995</v>
      </c>
    </row>
    <row r="3165" spans="1:8">
      <c r="A3165" s="485"/>
      <c r="B3165" s="485"/>
      <c r="C3165" s="73" t="s">
        <v>10</v>
      </c>
      <c r="D3165" s="485">
        <v>1</v>
      </c>
      <c r="E3165" s="485">
        <v>0.3</v>
      </c>
      <c r="F3165" s="485"/>
      <c r="G3165" s="485">
        <v>1.1000000000000001</v>
      </c>
      <c r="H3165" s="487">
        <f t="shared" ref="H3165:H3196" si="446">PRODUCT(D3165:G3165)</f>
        <v>0.33</v>
      </c>
    </row>
    <row r="3166" spans="1:8">
      <c r="A3166" s="485"/>
      <c r="B3166" s="485"/>
      <c r="C3166" s="73" t="s">
        <v>10</v>
      </c>
      <c r="D3166" s="485">
        <v>4</v>
      </c>
      <c r="E3166" s="485">
        <v>2.6</v>
      </c>
      <c r="F3166" s="485"/>
      <c r="G3166" s="485">
        <f>3.5-2.4</f>
        <v>1.1000000000000001</v>
      </c>
      <c r="H3166" s="487">
        <f t="shared" si="446"/>
        <v>11.440000000000001</v>
      </c>
    </row>
    <row r="3167" spans="1:8">
      <c r="A3167" s="485"/>
      <c r="B3167" s="485" t="s">
        <v>1339</v>
      </c>
      <c r="C3167" s="73" t="s">
        <v>10</v>
      </c>
      <c r="D3167" s="485">
        <v>3</v>
      </c>
      <c r="E3167" s="485">
        <v>6</v>
      </c>
      <c r="F3167" s="485"/>
      <c r="G3167" s="485">
        <v>3.5</v>
      </c>
      <c r="H3167" s="487">
        <f t="shared" si="446"/>
        <v>63</v>
      </c>
    </row>
    <row r="3168" spans="1:8">
      <c r="A3168" s="485"/>
      <c r="B3168" s="485"/>
      <c r="C3168" s="73" t="s">
        <v>10</v>
      </c>
      <c r="D3168" s="485">
        <v>1</v>
      </c>
      <c r="E3168" s="485">
        <v>6</v>
      </c>
      <c r="F3168" s="485"/>
      <c r="G3168" s="485">
        <v>1.1000000000000001</v>
      </c>
      <c r="H3168" s="487">
        <f t="shared" si="446"/>
        <v>6.6000000000000005</v>
      </c>
    </row>
    <row r="3169" spans="1:8">
      <c r="A3169" s="485"/>
      <c r="B3169" s="485" t="s">
        <v>191</v>
      </c>
      <c r="C3169" s="73" t="s">
        <v>10</v>
      </c>
      <c r="D3169" s="485">
        <v>2</v>
      </c>
      <c r="E3169" s="485">
        <v>3.75</v>
      </c>
      <c r="F3169" s="485"/>
      <c r="G3169" s="485">
        <v>3.5</v>
      </c>
      <c r="H3169" s="487">
        <f t="shared" si="446"/>
        <v>26.25</v>
      </c>
    </row>
    <row r="3170" spans="1:8">
      <c r="A3170" s="485"/>
      <c r="B3170" s="485"/>
      <c r="C3170" s="73" t="s">
        <v>10</v>
      </c>
      <c r="D3170" s="485">
        <v>2</v>
      </c>
      <c r="E3170" s="485">
        <v>3.75</v>
      </c>
      <c r="F3170" s="485"/>
      <c r="G3170" s="485">
        <v>1.1000000000000001</v>
      </c>
      <c r="H3170" s="487">
        <f t="shared" si="446"/>
        <v>8.25</v>
      </c>
    </row>
    <row r="3171" spans="1:8">
      <c r="A3171" s="485"/>
      <c r="B3171" s="485"/>
      <c r="C3171" s="73" t="s">
        <v>10</v>
      </c>
      <c r="D3171" s="485">
        <v>3</v>
      </c>
      <c r="E3171" s="485">
        <v>2.0699999999999998</v>
      </c>
      <c r="F3171" s="485"/>
      <c r="G3171" s="485">
        <v>3.5</v>
      </c>
      <c r="H3171" s="487">
        <f t="shared" si="446"/>
        <v>21.734999999999996</v>
      </c>
    </row>
    <row r="3172" spans="1:8">
      <c r="A3172" s="485"/>
      <c r="B3172" s="485"/>
      <c r="C3172" s="73" t="s">
        <v>10</v>
      </c>
      <c r="D3172" s="485">
        <v>1</v>
      </c>
      <c r="E3172" s="485">
        <v>2.0699999999999998</v>
      </c>
      <c r="F3172" s="485"/>
      <c r="G3172" s="485">
        <v>1.1000000000000001</v>
      </c>
      <c r="H3172" s="487">
        <f t="shared" si="446"/>
        <v>2.2770000000000001</v>
      </c>
    </row>
    <row r="3173" spans="1:8">
      <c r="A3173" s="485"/>
      <c r="B3173" s="485"/>
      <c r="C3173" s="73" t="s">
        <v>10</v>
      </c>
      <c r="D3173" s="485">
        <v>3</v>
      </c>
      <c r="E3173" s="485">
        <v>3.75</v>
      </c>
      <c r="F3173" s="485"/>
      <c r="G3173" s="485">
        <v>3.5</v>
      </c>
      <c r="H3173" s="487">
        <f t="shared" si="446"/>
        <v>39.375</v>
      </c>
    </row>
    <row r="3174" spans="1:8">
      <c r="A3174" s="485"/>
      <c r="B3174" s="485"/>
      <c r="C3174" s="73" t="s">
        <v>10</v>
      </c>
      <c r="D3174" s="485">
        <v>1</v>
      </c>
      <c r="E3174" s="485">
        <v>3.75</v>
      </c>
      <c r="F3174" s="485"/>
      <c r="G3174" s="485">
        <v>1.1000000000000001</v>
      </c>
      <c r="H3174" s="487">
        <f t="shared" si="446"/>
        <v>4.125</v>
      </c>
    </row>
    <row r="3175" spans="1:8">
      <c r="A3175" s="485"/>
      <c r="B3175" s="485"/>
      <c r="C3175" s="73" t="s">
        <v>10</v>
      </c>
      <c r="D3175" s="485">
        <v>-3</v>
      </c>
      <c r="E3175" s="485">
        <v>0.75</v>
      </c>
      <c r="F3175" s="485"/>
      <c r="G3175" s="485">
        <v>2.4</v>
      </c>
      <c r="H3175" s="487">
        <f t="shared" si="446"/>
        <v>-5.3999999999999995</v>
      </c>
    </row>
    <row r="3176" spans="1:8">
      <c r="A3176" s="485"/>
      <c r="B3176" s="485"/>
      <c r="C3176" s="73" t="s">
        <v>10</v>
      </c>
      <c r="D3176" s="485">
        <v>2</v>
      </c>
      <c r="E3176" s="485">
        <v>2.0699999999999998</v>
      </c>
      <c r="F3176" s="485"/>
      <c r="G3176" s="485">
        <v>3.5</v>
      </c>
      <c r="H3176" s="487">
        <f t="shared" si="446"/>
        <v>14.489999999999998</v>
      </c>
    </row>
    <row r="3177" spans="1:8">
      <c r="A3177" s="485"/>
      <c r="B3177" s="485"/>
      <c r="C3177" s="73" t="s">
        <v>10</v>
      </c>
      <c r="D3177" s="485">
        <v>2</v>
      </c>
      <c r="E3177" s="485">
        <v>2.0699999999999998</v>
      </c>
      <c r="F3177" s="485"/>
      <c r="G3177" s="485">
        <v>1.1000000000000001</v>
      </c>
      <c r="H3177" s="487">
        <f t="shared" si="446"/>
        <v>4.5540000000000003</v>
      </c>
    </row>
    <row r="3178" spans="1:8">
      <c r="A3178" s="485"/>
      <c r="B3178" s="485" t="s">
        <v>191</v>
      </c>
      <c r="C3178" s="73" t="s">
        <v>10</v>
      </c>
      <c r="D3178" s="485">
        <v>2</v>
      </c>
      <c r="E3178" s="485">
        <v>3.6749999999999998</v>
      </c>
      <c r="F3178" s="485"/>
      <c r="G3178" s="485">
        <v>3.5</v>
      </c>
      <c r="H3178" s="487">
        <f t="shared" si="446"/>
        <v>25.724999999999998</v>
      </c>
    </row>
    <row r="3179" spans="1:8">
      <c r="A3179" s="485"/>
      <c r="B3179" s="485"/>
      <c r="C3179" s="73" t="s">
        <v>10</v>
      </c>
      <c r="D3179" s="485">
        <v>2</v>
      </c>
      <c r="E3179" s="485">
        <v>3.6749999999999998</v>
      </c>
      <c r="F3179" s="485"/>
      <c r="G3179" s="485">
        <v>1.1000000000000001</v>
      </c>
      <c r="H3179" s="487">
        <f t="shared" si="446"/>
        <v>8.0850000000000009</v>
      </c>
    </row>
    <row r="3180" spans="1:8">
      <c r="A3180" s="485"/>
      <c r="B3180" s="485" t="s">
        <v>1195</v>
      </c>
      <c r="C3180" s="73" t="s">
        <v>10</v>
      </c>
      <c r="D3180" s="485">
        <v>3</v>
      </c>
      <c r="E3180" s="485">
        <v>6.4</v>
      </c>
      <c r="F3180" s="485"/>
      <c r="G3180" s="485">
        <v>3.5</v>
      </c>
      <c r="H3180" s="487">
        <f t="shared" si="446"/>
        <v>67.200000000000017</v>
      </c>
    </row>
    <row r="3181" spans="1:8">
      <c r="A3181" s="485"/>
      <c r="B3181" s="485"/>
      <c r="C3181" s="73" t="s">
        <v>10</v>
      </c>
      <c r="D3181" s="485">
        <v>1</v>
      </c>
      <c r="E3181" s="485">
        <v>6.4</v>
      </c>
      <c r="F3181" s="485"/>
      <c r="G3181" s="485">
        <v>1.1000000000000001</v>
      </c>
      <c r="H3181" s="487">
        <f t="shared" si="446"/>
        <v>7.0400000000000009</v>
      </c>
    </row>
    <row r="3182" spans="1:8">
      <c r="A3182" s="485"/>
      <c r="B3182" s="485"/>
      <c r="C3182" s="73" t="s">
        <v>10</v>
      </c>
      <c r="D3182" s="485">
        <v>2</v>
      </c>
      <c r="E3182" s="485">
        <v>3.67</v>
      </c>
      <c r="F3182" s="485"/>
      <c r="G3182" s="485">
        <v>3.5</v>
      </c>
      <c r="H3182" s="487">
        <f t="shared" si="446"/>
        <v>25.689999999999998</v>
      </c>
    </row>
    <row r="3183" spans="1:8">
      <c r="A3183" s="485"/>
      <c r="B3183" s="485"/>
      <c r="C3183" s="73" t="s">
        <v>10</v>
      </c>
      <c r="D3183" s="485">
        <v>2</v>
      </c>
      <c r="E3183" s="485">
        <v>3.67</v>
      </c>
      <c r="F3183" s="485"/>
      <c r="G3183" s="485">
        <v>1.1000000000000001</v>
      </c>
      <c r="H3183" s="487">
        <f t="shared" si="446"/>
        <v>8.0739999999999998</v>
      </c>
    </row>
    <row r="3184" spans="1:8">
      <c r="A3184" s="485"/>
      <c r="B3184" s="485" t="s">
        <v>1346</v>
      </c>
      <c r="C3184" s="73" t="s">
        <v>10</v>
      </c>
      <c r="D3184" s="485">
        <v>4</v>
      </c>
      <c r="E3184" s="485">
        <v>3.2</v>
      </c>
      <c r="F3184" s="485"/>
      <c r="G3184" s="485">
        <f>3.5-2.4</f>
        <v>1.1000000000000001</v>
      </c>
      <c r="H3184" s="487">
        <f t="shared" si="446"/>
        <v>14.080000000000002</v>
      </c>
    </row>
    <row r="3185" spans="1:8">
      <c r="A3185" s="485"/>
      <c r="B3185" s="485" t="s">
        <v>1357</v>
      </c>
      <c r="C3185" s="73" t="s">
        <v>10</v>
      </c>
      <c r="D3185" s="485">
        <v>2</v>
      </c>
      <c r="E3185" s="485">
        <v>3.7</v>
      </c>
      <c r="F3185" s="485"/>
      <c r="G3185" s="485">
        <v>3.5</v>
      </c>
      <c r="H3185" s="487">
        <f t="shared" si="446"/>
        <v>25.900000000000002</v>
      </c>
    </row>
    <row r="3186" spans="1:8">
      <c r="A3186" s="485"/>
      <c r="B3186" s="485"/>
      <c r="C3186" s="73" t="s">
        <v>10</v>
      </c>
      <c r="D3186" s="485">
        <v>2</v>
      </c>
      <c r="E3186" s="485">
        <v>3.7</v>
      </c>
      <c r="F3186" s="485"/>
      <c r="G3186" s="485">
        <v>1.1000000000000001</v>
      </c>
      <c r="H3186" s="487">
        <f t="shared" si="446"/>
        <v>8.14</v>
      </c>
    </row>
    <row r="3187" spans="1:8">
      <c r="A3187" s="485"/>
      <c r="B3187" s="485"/>
      <c r="C3187" s="73" t="s">
        <v>10</v>
      </c>
      <c r="D3187" s="485">
        <v>4</v>
      </c>
      <c r="E3187" s="485">
        <v>3.2</v>
      </c>
      <c r="F3187" s="485"/>
      <c r="G3187" s="485">
        <f>3.5-2.4</f>
        <v>1.1000000000000001</v>
      </c>
      <c r="H3187" s="487">
        <f t="shared" si="446"/>
        <v>14.080000000000002</v>
      </c>
    </row>
    <row r="3188" spans="1:8">
      <c r="A3188" s="485"/>
      <c r="B3188" s="485" t="s">
        <v>1358</v>
      </c>
      <c r="C3188" s="73" t="s">
        <v>10</v>
      </c>
      <c r="D3188" s="485">
        <v>3</v>
      </c>
      <c r="E3188" s="485">
        <v>1.1100000000000001</v>
      </c>
      <c r="F3188" s="485"/>
      <c r="G3188" s="485">
        <v>3.5</v>
      </c>
      <c r="H3188" s="487">
        <f t="shared" si="446"/>
        <v>11.655000000000001</v>
      </c>
    </row>
    <row r="3189" spans="1:8">
      <c r="A3189" s="485"/>
      <c r="B3189" s="485"/>
      <c r="C3189" s="73" t="s">
        <v>10</v>
      </c>
      <c r="D3189" s="485">
        <v>1</v>
      </c>
      <c r="E3189" s="485">
        <v>1.1100000000000001</v>
      </c>
      <c r="F3189" s="485"/>
      <c r="G3189" s="485">
        <v>1.1000000000000001</v>
      </c>
      <c r="H3189" s="487">
        <f t="shared" si="446"/>
        <v>1.2210000000000003</v>
      </c>
    </row>
    <row r="3190" spans="1:8">
      <c r="A3190" s="485"/>
      <c r="B3190" s="485"/>
      <c r="C3190" s="73" t="s">
        <v>10</v>
      </c>
      <c r="D3190" s="485">
        <v>-4</v>
      </c>
      <c r="E3190" s="485">
        <v>0.9</v>
      </c>
      <c r="F3190" s="485"/>
      <c r="G3190" s="485">
        <v>2.4</v>
      </c>
      <c r="H3190" s="487">
        <f t="shared" si="446"/>
        <v>-8.64</v>
      </c>
    </row>
    <row r="3191" spans="1:8">
      <c r="A3191" s="485"/>
      <c r="B3191" s="485"/>
      <c r="C3191" s="73" t="s">
        <v>10</v>
      </c>
      <c r="D3191" s="485">
        <v>3</v>
      </c>
      <c r="E3191" s="485">
        <v>2.38</v>
      </c>
      <c r="F3191" s="485"/>
      <c r="G3191" s="485">
        <v>3.5</v>
      </c>
      <c r="H3191" s="487">
        <f t="shared" si="446"/>
        <v>24.99</v>
      </c>
    </row>
    <row r="3192" spans="1:8">
      <c r="A3192" s="485"/>
      <c r="B3192" s="485"/>
      <c r="C3192" s="73" t="s">
        <v>10</v>
      </c>
      <c r="D3192" s="485">
        <v>1</v>
      </c>
      <c r="E3192" s="485">
        <v>1.05</v>
      </c>
      <c r="F3192" s="485"/>
      <c r="G3192" s="485">
        <v>1.1000000000000001</v>
      </c>
      <c r="H3192" s="487">
        <f t="shared" si="446"/>
        <v>1.1550000000000002</v>
      </c>
    </row>
    <row r="3193" spans="1:8">
      <c r="A3193" s="485"/>
      <c r="B3193" s="485"/>
      <c r="C3193" s="73" t="s">
        <v>10</v>
      </c>
      <c r="D3193" s="485">
        <v>1</v>
      </c>
      <c r="E3193" s="485">
        <v>1.31</v>
      </c>
      <c r="F3193" s="485"/>
      <c r="G3193" s="485">
        <v>3.5</v>
      </c>
      <c r="H3193" s="487">
        <f t="shared" si="446"/>
        <v>4.585</v>
      </c>
    </row>
    <row r="3194" spans="1:8">
      <c r="A3194" s="485"/>
      <c r="B3194" s="485"/>
      <c r="C3194" s="73" t="s">
        <v>10</v>
      </c>
      <c r="D3194" s="485">
        <v>1</v>
      </c>
      <c r="E3194" s="485">
        <v>1.31</v>
      </c>
      <c r="F3194" s="485"/>
      <c r="G3194" s="485">
        <v>1.1000000000000001</v>
      </c>
      <c r="H3194" s="487">
        <f t="shared" si="446"/>
        <v>1.4410000000000003</v>
      </c>
    </row>
    <row r="3195" spans="1:8">
      <c r="A3195" s="485"/>
      <c r="B3195" s="485" t="s">
        <v>1293</v>
      </c>
      <c r="C3195" s="73" t="s">
        <v>10</v>
      </c>
      <c r="D3195" s="485">
        <v>4</v>
      </c>
      <c r="E3195" s="485">
        <v>3.25</v>
      </c>
      <c r="F3195" s="485"/>
      <c r="G3195" s="485">
        <v>3.5</v>
      </c>
      <c r="H3195" s="487">
        <f t="shared" si="446"/>
        <v>45.5</v>
      </c>
    </row>
    <row r="3196" spans="1:8">
      <c r="A3196" s="485"/>
      <c r="B3196" s="485"/>
      <c r="C3196" s="73" t="s">
        <v>10</v>
      </c>
      <c r="D3196" s="485">
        <v>-4</v>
      </c>
      <c r="E3196" s="485">
        <v>1</v>
      </c>
      <c r="F3196" s="485"/>
      <c r="G3196" s="485">
        <v>2.4</v>
      </c>
      <c r="H3196" s="487">
        <f t="shared" si="446"/>
        <v>-9.6</v>
      </c>
    </row>
    <row r="3197" spans="1:8">
      <c r="A3197" s="485"/>
      <c r="B3197" s="485"/>
      <c r="C3197" s="73" t="s">
        <v>10</v>
      </c>
      <c r="D3197" s="485">
        <v>4</v>
      </c>
      <c r="E3197" s="485">
        <v>1.41</v>
      </c>
      <c r="F3197" s="485"/>
      <c r="G3197" s="485">
        <v>3.5</v>
      </c>
      <c r="H3197" s="487">
        <f t="shared" ref="H3197:H3207" si="447">PRODUCT(D3197:G3197)</f>
        <v>19.739999999999998</v>
      </c>
    </row>
    <row r="3198" spans="1:8">
      <c r="A3198" s="485"/>
      <c r="B3198" s="485"/>
      <c r="C3198" s="73" t="s">
        <v>10</v>
      </c>
      <c r="D3198" s="485">
        <v>4</v>
      </c>
      <c r="E3198" s="485">
        <v>1.4</v>
      </c>
      <c r="F3198" s="485" t="s">
        <v>169</v>
      </c>
      <c r="G3198" s="485">
        <v>3.5</v>
      </c>
      <c r="H3198" s="487">
        <f t="shared" si="447"/>
        <v>19.599999999999998</v>
      </c>
    </row>
    <row r="3199" spans="1:8">
      <c r="A3199" s="485"/>
      <c r="B3199" s="485" t="s">
        <v>203</v>
      </c>
      <c r="C3199" s="73" t="s">
        <v>10</v>
      </c>
      <c r="D3199" s="485">
        <v>4</v>
      </c>
      <c r="E3199" s="485">
        <v>4</v>
      </c>
      <c r="F3199" s="485" t="s">
        <v>169</v>
      </c>
      <c r="G3199" s="485">
        <v>3.5</v>
      </c>
      <c r="H3199" s="487">
        <f t="shared" si="447"/>
        <v>56</v>
      </c>
    </row>
    <row r="3200" spans="1:8">
      <c r="A3200" s="485"/>
      <c r="B3200" s="485"/>
      <c r="C3200" s="73" t="s">
        <v>10</v>
      </c>
      <c r="D3200" s="485">
        <v>4</v>
      </c>
      <c r="E3200" s="485">
        <v>5.2</v>
      </c>
      <c r="F3200" s="485" t="s">
        <v>169</v>
      </c>
      <c r="G3200" s="485">
        <v>3.5</v>
      </c>
      <c r="H3200" s="487">
        <f t="shared" si="447"/>
        <v>72.8</v>
      </c>
    </row>
    <row r="3201" spans="1:8">
      <c r="A3201" s="485"/>
      <c r="B3201" s="485"/>
      <c r="C3201" s="73" t="s">
        <v>10</v>
      </c>
      <c r="D3201" s="485">
        <v>-4</v>
      </c>
      <c r="E3201" s="485">
        <v>1</v>
      </c>
      <c r="F3201" s="485"/>
      <c r="G3201" s="485">
        <v>2.4</v>
      </c>
      <c r="H3201" s="487">
        <f t="shared" si="447"/>
        <v>-9.6</v>
      </c>
    </row>
    <row r="3202" spans="1:8">
      <c r="A3202" s="485"/>
      <c r="B3202" s="485" t="s">
        <v>1207</v>
      </c>
      <c r="C3202" s="73" t="s">
        <v>10</v>
      </c>
      <c r="D3202" s="485">
        <v>3</v>
      </c>
      <c r="E3202" s="485">
        <v>0.3</v>
      </c>
      <c r="F3202" s="485"/>
      <c r="G3202" s="485">
        <v>3.5</v>
      </c>
      <c r="H3202" s="487">
        <f t="shared" si="447"/>
        <v>3.1499999999999995</v>
      </c>
    </row>
    <row r="3203" spans="1:8">
      <c r="A3203" s="485"/>
      <c r="B3203" s="485"/>
      <c r="C3203" s="73" t="s">
        <v>10</v>
      </c>
      <c r="D3203" s="485">
        <v>1</v>
      </c>
      <c r="E3203" s="485">
        <v>0.3</v>
      </c>
      <c r="F3203" s="485"/>
      <c r="G3203" s="485">
        <v>1.1000000000000001</v>
      </c>
      <c r="H3203" s="487">
        <f t="shared" si="447"/>
        <v>0.33</v>
      </c>
    </row>
    <row r="3204" spans="1:8">
      <c r="A3204" s="485"/>
      <c r="B3204" s="485"/>
      <c r="C3204" s="73" t="s">
        <v>10</v>
      </c>
      <c r="D3204" s="485">
        <v>3</v>
      </c>
      <c r="E3204" s="485">
        <v>0.25</v>
      </c>
      <c r="F3204" s="485"/>
      <c r="G3204" s="485">
        <v>3.5</v>
      </c>
      <c r="H3204" s="487">
        <f t="shared" si="447"/>
        <v>2.625</v>
      </c>
    </row>
    <row r="3205" spans="1:8">
      <c r="A3205" s="485"/>
      <c r="B3205" s="485"/>
      <c r="C3205" s="73" t="s">
        <v>10</v>
      </c>
      <c r="D3205" s="485">
        <v>1</v>
      </c>
      <c r="E3205" s="485">
        <v>0.25</v>
      </c>
      <c r="F3205" s="485"/>
      <c r="G3205" s="485">
        <v>1.1000000000000001</v>
      </c>
      <c r="H3205" s="487">
        <f t="shared" si="447"/>
        <v>0.27500000000000002</v>
      </c>
    </row>
    <row r="3206" spans="1:8">
      <c r="A3206" s="485"/>
      <c r="B3206" s="485" t="s">
        <v>1346</v>
      </c>
      <c r="C3206" s="73" t="s">
        <v>10</v>
      </c>
      <c r="D3206" s="485">
        <v>4</v>
      </c>
      <c r="E3206" s="485">
        <v>3.25</v>
      </c>
      <c r="F3206" s="485"/>
      <c r="G3206" s="485">
        <f>3.5-2.4</f>
        <v>1.1000000000000001</v>
      </c>
      <c r="H3206" s="487">
        <f t="shared" si="447"/>
        <v>14.3</v>
      </c>
    </row>
    <row r="3207" spans="1:8">
      <c r="A3207" s="485"/>
      <c r="B3207" s="485"/>
      <c r="C3207" s="73" t="s">
        <v>10</v>
      </c>
      <c r="D3207" s="485">
        <v>4</v>
      </c>
      <c r="E3207" s="485">
        <v>4.66</v>
      </c>
      <c r="F3207" s="485"/>
      <c r="G3207" s="485">
        <f>3.5-2.4</f>
        <v>1.1000000000000001</v>
      </c>
      <c r="H3207" s="487">
        <f t="shared" si="447"/>
        <v>20.504000000000001</v>
      </c>
    </row>
    <row r="3208" spans="1:8">
      <c r="A3208" s="485"/>
      <c r="B3208" s="485" t="s">
        <v>1343</v>
      </c>
      <c r="C3208" s="73"/>
      <c r="D3208" s="485"/>
      <c r="E3208" s="485"/>
      <c r="F3208" s="485"/>
      <c r="G3208" s="485"/>
      <c r="H3208" s="487"/>
    </row>
    <row r="3209" spans="1:8">
      <c r="A3209" s="485"/>
      <c r="B3209" s="485" t="s">
        <v>1143</v>
      </c>
      <c r="C3209" s="73" t="s">
        <v>10</v>
      </c>
      <c r="D3209" s="485">
        <v>2</v>
      </c>
      <c r="E3209" s="485">
        <v>1.55</v>
      </c>
      <c r="F3209" s="485"/>
      <c r="G3209" s="485">
        <v>3.5</v>
      </c>
      <c r="H3209" s="487">
        <f>PRODUCT(D3209:G3209)</f>
        <v>10.85</v>
      </c>
    </row>
    <row r="3210" spans="1:8">
      <c r="A3210" s="485"/>
      <c r="B3210" s="485"/>
      <c r="C3210" s="73" t="s">
        <v>10</v>
      </c>
      <c r="D3210" s="485">
        <v>2</v>
      </c>
      <c r="E3210" s="485">
        <v>1.8759999999999999</v>
      </c>
      <c r="F3210" s="485"/>
      <c r="G3210" s="485">
        <v>3.5</v>
      </c>
      <c r="H3210" s="487">
        <f>PRODUCT(D3210:G3210)</f>
        <v>13.132</v>
      </c>
    </row>
    <row r="3211" spans="1:8">
      <c r="A3211" s="485"/>
      <c r="B3211" s="485" t="s">
        <v>280</v>
      </c>
      <c r="C3211" s="73" t="s">
        <v>10</v>
      </c>
      <c r="D3211" s="485">
        <v>1</v>
      </c>
      <c r="E3211" s="485">
        <v>6.54</v>
      </c>
      <c r="F3211" s="485"/>
      <c r="G3211" s="485">
        <v>3.5</v>
      </c>
      <c r="H3211" s="487">
        <f>PRODUCT(D3211:G3211)</f>
        <v>22.89</v>
      </c>
    </row>
    <row r="3212" spans="1:8">
      <c r="A3212" s="485"/>
      <c r="B3212" s="485" t="s">
        <v>46</v>
      </c>
      <c r="C3212" s="486"/>
      <c r="D3212" s="485"/>
      <c r="E3212" s="485"/>
      <c r="F3212" s="485"/>
      <c r="G3212" s="485"/>
      <c r="H3212" s="487"/>
    </row>
    <row r="3213" spans="1:8">
      <c r="A3213" s="17"/>
      <c r="B3213" s="17" t="s">
        <v>1359</v>
      </c>
      <c r="C3213" s="73" t="s">
        <v>10</v>
      </c>
      <c r="D3213" s="17">
        <v>4</v>
      </c>
      <c r="E3213" s="17">
        <v>6.27</v>
      </c>
      <c r="F3213" s="17"/>
      <c r="G3213" s="17">
        <v>3.5</v>
      </c>
      <c r="H3213" s="18">
        <f t="shared" ref="H3213:H3235" si="448">PRODUCT(D3213:G3213)</f>
        <v>87.78</v>
      </c>
    </row>
    <row r="3214" spans="1:8">
      <c r="A3214" s="17"/>
      <c r="B3214" s="17"/>
      <c r="C3214" s="73" t="s">
        <v>10</v>
      </c>
      <c r="D3214" s="17">
        <v>4</v>
      </c>
      <c r="E3214" s="17">
        <v>9.67</v>
      </c>
      <c r="F3214" s="17"/>
      <c r="G3214" s="17">
        <v>3.5</v>
      </c>
      <c r="H3214" s="18">
        <f t="shared" si="448"/>
        <v>135.38</v>
      </c>
    </row>
    <row r="3215" spans="1:8">
      <c r="A3215" s="17"/>
      <c r="B3215" s="17" t="s">
        <v>1222</v>
      </c>
      <c r="C3215" s="73" t="s">
        <v>10</v>
      </c>
      <c r="D3215" s="17">
        <v>4</v>
      </c>
      <c r="E3215" s="17">
        <v>1.45</v>
      </c>
      <c r="F3215" s="17"/>
      <c r="G3215" s="17">
        <v>3.5</v>
      </c>
      <c r="H3215" s="18">
        <f t="shared" si="448"/>
        <v>20.3</v>
      </c>
    </row>
    <row r="3216" spans="1:8">
      <c r="A3216" s="17"/>
      <c r="B3216" s="17"/>
      <c r="C3216" s="73" t="s">
        <v>10</v>
      </c>
      <c r="D3216" s="17">
        <v>4</v>
      </c>
      <c r="E3216" s="17">
        <v>1.2250000000000001</v>
      </c>
      <c r="F3216" s="17"/>
      <c r="G3216" s="17">
        <v>3.5</v>
      </c>
      <c r="H3216" s="18">
        <f t="shared" si="448"/>
        <v>17.150000000000002</v>
      </c>
    </row>
    <row r="3217" spans="1:8">
      <c r="A3217" s="485"/>
      <c r="B3217" s="485"/>
      <c r="C3217" s="73" t="s">
        <v>10</v>
      </c>
      <c r="D3217" s="485">
        <v>4</v>
      </c>
      <c r="E3217" s="485">
        <v>1.18</v>
      </c>
      <c r="F3217" s="485"/>
      <c r="G3217" s="17">
        <v>3.5</v>
      </c>
      <c r="H3217" s="18">
        <f t="shared" si="448"/>
        <v>16.52</v>
      </c>
    </row>
    <row r="3218" spans="1:8">
      <c r="A3218" s="485"/>
      <c r="B3218" s="485" t="s">
        <v>171</v>
      </c>
      <c r="C3218" s="73" t="s">
        <v>10</v>
      </c>
      <c r="D3218" s="485">
        <v>4</v>
      </c>
      <c r="E3218" s="485">
        <v>2.95</v>
      </c>
      <c r="F3218" s="485"/>
      <c r="G3218" s="17">
        <v>3.5</v>
      </c>
      <c r="H3218" s="18">
        <f t="shared" si="448"/>
        <v>41.300000000000004</v>
      </c>
    </row>
    <row r="3219" spans="1:8">
      <c r="A3219" s="485"/>
      <c r="B3219" s="485"/>
      <c r="C3219" s="73" t="s">
        <v>10</v>
      </c>
      <c r="D3219" s="485">
        <v>4</v>
      </c>
      <c r="E3219" s="485">
        <v>1.88</v>
      </c>
      <c r="F3219" s="485"/>
      <c r="G3219" s="17">
        <v>3.5</v>
      </c>
      <c r="H3219" s="18">
        <f t="shared" si="448"/>
        <v>26.32</v>
      </c>
    </row>
    <row r="3220" spans="1:8">
      <c r="A3220" s="485"/>
      <c r="B3220" s="485"/>
      <c r="C3220" s="73" t="s">
        <v>10</v>
      </c>
      <c r="D3220" s="485">
        <v>-4</v>
      </c>
      <c r="E3220" s="485">
        <v>1</v>
      </c>
      <c r="F3220" s="485"/>
      <c r="G3220" s="485">
        <v>2.4</v>
      </c>
      <c r="H3220" s="487">
        <f t="shared" si="448"/>
        <v>-9.6</v>
      </c>
    </row>
    <row r="3221" spans="1:8">
      <c r="A3221" s="485"/>
      <c r="B3221" s="485" t="s">
        <v>204</v>
      </c>
      <c r="C3221" s="73" t="s">
        <v>10</v>
      </c>
      <c r="D3221" s="485">
        <v>4</v>
      </c>
      <c r="E3221" s="485">
        <v>0.95199999999999996</v>
      </c>
      <c r="F3221" s="485"/>
      <c r="G3221" s="485">
        <v>3.5</v>
      </c>
      <c r="H3221" s="487">
        <f t="shared" si="448"/>
        <v>13.327999999999999</v>
      </c>
    </row>
    <row r="3222" spans="1:8">
      <c r="A3222" s="485"/>
      <c r="B3222" s="485"/>
      <c r="C3222" s="73" t="s">
        <v>10</v>
      </c>
      <c r="D3222" s="485">
        <v>4</v>
      </c>
      <c r="E3222" s="485">
        <v>2.7</v>
      </c>
      <c r="F3222" s="485"/>
      <c r="G3222" s="485">
        <v>3.5</v>
      </c>
      <c r="H3222" s="487">
        <f t="shared" si="448"/>
        <v>37.800000000000004</v>
      </c>
    </row>
    <row r="3223" spans="1:8">
      <c r="A3223" s="485"/>
      <c r="B3223" s="485"/>
      <c r="C3223" s="73" t="s">
        <v>10</v>
      </c>
      <c r="D3223" s="485">
        <v>4</v>
      </c>
      <c r="E3223" s="485">
        <v>6.4</v>
      </c>
      <c r="F3223" s="485"/>
      <c r="G3223" s="485">
        <v>3.5</v>
      </c>
      <c r="H3223" s="487">
        <f t="shared" si="448"/>
        <v>89.600000000000009</v>
      </c>
    </row>
    <row r="3224" spans="1:8">
      <c r="A3224" s="485"/>
      <c r="B3224" s="485"/>
      <c r="C3224" s="73" t="s">
        <v>10</v>
      </c>
      <c r="D3224" s="485">
        <v>4</v>
      </c>
      <c r="E3224" s="485">
        <v>2.52</v>
      </c>
      <c r="F3224" s="485"/>
      <c r="G3224" s="485">
        <v>3.5</v>
      </c>
      <c r="H3224" s="487">
        <f t="shared" si="448"/>
        <v>35.28</v>
      </c>
    </row>
    <row r="3225" spans="1:8">
      <c r="A3225" s="485"/>
      <c r="B3225" s="485"/>
      <c r="C3225" s="73" t="s">
        <v>10</v>
      </c>
      <c r="D3225" s="485">
        <v>4</v>
      </c>
      <c r="E3225" s="485">
        <v>2</v>
      </c>
      <c r="F3225" s="485"/>
      <c r="G3225" s="485">
        <v>3.5</v>
      </c>
      <c r="H3225" s="487">
        <f t="shared" si="448"/>
        <v>28</v>
      </c>
    </row>
    <row r="3226" spans="1:8">
      <c r="A3226" s="485"/>
      <c r="B3226" s="485"/>
      <c r="C3226" s="73" t="s">
        <v>10</v>
      </c>
      <c r="D3226" s="485">
        <v>-4</v>
      </c>
      <c r="E3226" s="485">
        <v>1</v>
      </c>
      <c r="F3226" s="485"/>
      <c r="G3226" s="485">
        <v>2.4</v>
      </c>
      <c r="H3226" s="487">
        <f t="shared" si="448"/>
        <v>-9.6</v>
      </c>
    </row>
    <row r="3227" spans="1:8">
      <c r="A3227" s="485"/>
      <c r="B3227" s="485" t="s">
        <v>1313</v>
      </c>
      <c r="C3227" s="73" t="s">
        <v>10</v>
      </c>
      <c r="D3227" s="485">
        <v>4</v>
      </c>
      <c r="E3227" s="485">
        <v>1.3</v>
      </c>
      <c r="F3227" s="485"/>
      <c r="G3227" s="485">
        <v>3.5</v>
      </c>
      <c r="H3227" s="487">
        <f t="shared" si="448"/>
        <v>18.2</v>
      </c>
    </row>
    <row r="3228" spans="1:8">
      <c r="A3228" s="485"/>
      <c r="B3228" s="485"/>
      <c r="C3228" s="73" t="s">
        <v>10</v>
      </c>
      <c r="D3228" s="485">
        <v>4</v>
      </c>
      <c r="E3228" s="485">
        <v>2.35</v>
      </c>
      <c r="F3228" s="485"/>
      <c r="G3228" s="485">
        <v>3.5</v>
      </c>
      <c r="H3228" s="487">
        <f t="shared" si="448"/>
        <v>32.9</v>
      </c>
    </row>
    <row r="3229" spans="1:8">
      <c r="A3229" s="485"/>
      <c r="B3229" s="485"/>
      <c r="C3229" s="73" t="s">
        <v>10</v>
      </c>
      <c r="D3229" s="485">
        <v>-4</v>
      </c>
      <c r="E3229" s="485">
        <v>1</v>
      </c>
      <c r="F3229" s="485"/>
      <c r="G3229" s="485">
        <v>2.4</v>
      </c>
      <c r="H3229" s="487">
        <f t="shared" si="448"/>
        <v>-9.6</v>
      </c>
    </row>
    <row r="3230" spans="1:8">
      <c r="A3230" s="485"/>
      <c r="B3230" s="485"/>
      <c r="C3230" s="73" t="s">
        <v>10</v>
      </c>
      <c r="D3230" s="485">
        <v>4</v>
      </c>
      <c r="E3230" s="485">
        <v>10.15</v>
      </c>
      <c r="F3230" s="485"/>
      <c r="G3230" s="485">
        <v>3.5</v>
      </c>
      <c r="H3230" s="487">
        <f t="shared" si="448"/>
        <v>142.1</v>
      </c>
    </row>
    <row r="3231" spans="1:8">
      <c r="A3231" s="485"/>
      <c r="B3231" s="485" t="s">
        <v>114</v>
      </c>
      <c r="C3231" s="73" t="s">
        <v>10</v>
      </c>
      <c r="D3231" s="485">
        <v>2</v>
      </c>
      <c r="E3231" s="485">
        <f>1.075+1.075+1.05</f>
        <v>3.2</v>
      </c>
      <c r="F3231" s="485"/>
      <c r="G3231" s="485">
        <v>3.5</v>
      </c>
      <c r="H3231" s="487">
        <f t="shared" si="448"/>
        <v>22.400000000000002</v>
      </c>
    </row>
    <row r="3232" spans="1:8">
      <c r="A3232" s="485"/>
      <c r="B3232" s="485"/>
      <c r="C3232" s="73" t="s">
        <v>10</v>
      </c>
      <c r="D3232" s="485">
        <v>2</v>
      </c>
      <c r="E3232" s="485">
        <v>2.25</v>
      </c>
      <c r="F3232" s="485"/>
      <c r="G3232" s="485">
        <v>3.5</v>
      </c>
      <c r="H3232" s="487">
        <f t="shared" si="448"/>
        <v>15.75</v>
      </c>
    </row>
    <row r="3233" spans="1:8">
      <c r="A3233" s="485"/>
      <c r="B3233" s="485"/>
      <c r="C3233" s="73" t="s">
        <v>10</v>
      </c>
      <c r="D3233" s="485">
        <v>2</v>
      </c>
      <c r="E3233" s="485">
        <v>1.1000000000000001</v>
      </c>
      <c r="F3233" s="485"/>
      <c r="G3233" s="485">
        <v>3.5</v>
      </c>
      <c r="H3233" s="487">
        <f t="shared" si="448"/>
        <v>7.7000000000000011</v>
      </c>
    </row>
    <row r="3234" spans="1:8">
      <c r="A3234" s="485"/>
      <c r="B3234" s="485" t="s">
        <v>1363</v>
      </c>
      <c r="C3234" s="73" t="s">
        <v>10</v>
      </c>
      <c r="D3234" s="485">
        <v>2</v>
      </c>
      <c r="E3234" s="485">
        <v>2.5499999999999998</v>
      </c>
      <c r="F3234" s="485"/>
      <c r="G3234" s="485">
        <v>3.5</v>
      </c>
      <c r="H3234" s="487">
        <f t="shared" si="448"/>
        <v>17.849999999999998</v>
      </c>
    </row>
    <row r="3235" spans="1:8">
      <c r="A3235" s="485"/>
      <c r="B3235" s="485"/>
      <c r="C3235" s="73" t="s">
        <v>10</v>
      </c>
      <c r="D3235" s="485">
        <v>2</v>
      </c>
      <c r="E3235" s="485">
        <v>0.97199999999999998</v>
      </c>
      <c r="F3235" s="485"/>
      <c r="G3235" s="485">
        <v>3.5</v>
      </c>
      <c r="H3235" s="487">
        <f t="shared" si="448"/>
        <v>6.8040000000000003</v>
      </c>
    </row>
    <row r="3236" spans="1:8">
      <c r="A3236" s="17"/>
      <c r="B3236" s="17"/>
      <c r="C3236" s="17"/>
      <c r="D3236" s="17"/>
      <c r="E3236" s="17"/>
      <c r="F3236" s="17"/>
      <c r="G3236" s="17"/>
      <c r="H3236" s="18"/>
    </row>
    <row r="3237" spans="1:8">
      <c r="A3237" s="15"/>
      <c r="B3237" s="15" t="s">
        <v>21</v>
      </c>
      <c r="C3237" s="15"/>
      <c r="D3237" s="15"/>
      <c r="E3237" s="15"/>
      <c r="F3237" s="15"/>
      <c r="G3237" s="15"/>
      <c r="H3237" s="20">
        <f>SUM(H2950:H3236)</f>
        <v>4979.2597499999974</v>
      </c>
    </row>
    <row r="3238" spans="1:8">
      <c r="A3238" s="17"/>
      <c r="B3238" s="17" t="s">
        <v>22</v>
      </c>
      <c r="C3238" s="17"/>
      <c r="D3238" s="17"/>
      <c r="E3238" s="17"/>
      <c r="F3238" s="17"/>
      <c r="G3238" s="17"/>
      <c r="H3238" s="18"/>
    </row>
    <row r="3239" spans="1:8">
      <c r="A3239" s="15"/>
      <c r="B3239" s="15" t="s">
        <v>23</v>
      </c>
      <c r="C3239" s="15"/>
      <c r="D3239" s="15"/>
      <c r="E3239" s="15"/>
      <c r="F3239" s="15"/>
      <c r="G3239" s="15"/>
      <c r="H3239" s="20">
        <f>ROUND(SUM(H3237:H3238),0)</f>
        <v>4979</v>
      </c>
    </row>
    <row r="3241" spans="1:8">
      <c r="A3241" s="17">
        <v>4</v>
      </c>
      <c r="B3241" s="15" t="s">
        <v>1401</v>
      </c>
      <c r="C3241" s="17" t="s">
        <v>10</v>
      </c>
      <c r="D3241" s="17"/>
      <c r="E3241" s="17"/>
      <c r="F3241" s="17"/>
      <c r="G3241" s="17"/>
      <c r="H3241" s="18"/>
    </row>
    <row r="3242" spans="1:8">
      <c r="A3242" s="17"/>
      <c r="B3242" s="17" t="s">
        <v>1218</v>
      </c>
      <c r="C3242" s="73" t="s">
        <v>10</v>
      </c>
      <c r="D3242" s="17">
        <v>4</v>
      </c>
      <c r="E3242" s="17">
        <v>2.5499999999999998</v>
      </c>
      <c r="F3242" s="17"/>
      <c r="G3242" s="17">
        <v>3.5</v>
      </c>
      <c r="H3242" s="18">
        <f t="shared" ref="H3242:H3255" si="449">PRODUCT(D3242:G3242)</f>
        <v>35.699999999999996</v>
      </c>
    </row>
    <row r="3243" spans="1:8">
      <c r="A3243" s="485"/>
      <c r="B3243" s="485"/>
      <c r="C3243" s="73" t="s">
        <v>10</v>
      </c>
      <c r="D3243" s="485">
        <v>1</v>
      </c>
      <c r="E3243" s="485">
        <v>2.5499999999999998</v>
      </c>
      <c r="F3243" s="485"/>
      <c r="G3243" s="17">
        <v>3.5</v>
      </c>
      <c r="H3243" s="18">
        <f t="shared" si="449"/>
        <v>8.9249999999999989</v>
      </c>
    </row>
    <row r="3244" spans="1:8">
      <c r="A3244" s="485"/>
      <c r="B3244" s="485"/>
      <c r="C3244" s="73" t="s">
        <v>10</v>
      </c>
      <c r="D3244" s="485">
        <v>2</v>
      </c>
      <c r="E3244" s="485">
        <v>1.375</v>
      </c>
      <c r="F3244" s="485"/>
      <c r="G3244" s="17">
        <v>3.5</v>
      </c>
      <c r="H3244" s="18">
        <f t="shared" si="449"/>
        <v>9.625</v>
      </c>
    </row>
    <row r="3245" spans="1:8">
      <c r="A3245" s="485"/>
      <c r="B3245" s="485"/>
      <c r="C3245" s="73" t="s">
        <v>10</v>
      </c>
      <c r="D3245" s="17">
        <v>4</v>
      </c>
      <c r="E3245" s="17">
        <v>3.15</v>
      </c>
      <c r="F3245" s="17"/>
      <c r="G3245" s="17">
        <v>3.5</v>
      </c>
      <c r="H3245" s="18">
        <f t="shared" si="449"/>
        <v>44.1</v>
      </c>
    </row>
    <row r="3246" spans="1:8">
      <c r="A3246" s="485"/>
      <c r="B3246" s="485" t="s">
        <v>119</v>
      </c>
      <c r="C3246" s="73" t="s">
        <v>10</v>
      </c>
      <c r="D3246" s="485">
        <v>-4</v>
      </c>
      <c r="E3246" s="485">
        <v>1</v>
      </c>
      <c r="F3246" s="485"/>
      <c r="G3246" s="485">
        <v>2.4</v>
      </c>
      <c r="H3246" s="18">
        <f t="shared" ref="H3246" si="450">PRODUCT(D3246:G3246)</f>
        <v>-9.6</v>
      </c>
    </row>
    <row r="3247" spans="1:8">
      <c r="A3247" s="485"/>
      <c r="B3247" s="485" t="s">
        <v>2089</v>
      </c>
      <c r="C3247" s="73" t="s">
        <v>10</v>
      </c>
      <c r="D3247" s="485">
        <v>4</v>
      </c>
      <c r="E3247" s="485">
        <v>1.45</v>
      </c>
      <c r="F3247" s="485"/>
      <c r="G3247" s="485">
        <v>3.5</v>
      </c>
      <c r="H3247" s="18">
        <f t="shared" ref="H3247:H3249" si="451">PRODUCT(D3247:G3247)</f>
        <v>20.3</v>
      </c>
    </row>
    <row r="3248" spans="1:8">
      <c r="A3248" s="485"/>
      <c r="B3248" s="485"/>
      <c r="C3248" s="73" t="s">
        <v>10</v>
      </c>
      <c r="D3248" s="485">
        <v>-4</v>
      </c>
      <c r="E3248" s="485">
        <v>0.9</v>
      </c>
      <c r="F3248" s="485"/>
      <c r="G3248" s="485">
        <v>2.4</v>
      </c>
      <c r="H3248" s="487">
        <f t="shared" si="451"/>
        <v>-8.64</v>
      </c>
    </row>
    <row r="3249" spans="1:8">
      <c r="A3249" s="485"/>
      <c r="B3249" s="485"/>
      <c r="C3249" s="73" t="s">
        <v>10</v>
      </c>
      <c r="D3249" s="485">
        <v>2</v>
      </c>
      <c r="E3249" s="485">
        <v>0.9</v>
      </c>
      <c r="F3249" s="485"/>
      <c r="G3249" s="485">
        <v>3.5</v>
      </c>
      <c r="H3249" s="487">
        <f t="shared" si="451"/>
        <v>6.3</v>
      </c>
    </row>
    <row r="3250" spans="1:8">
      <c r="A3250" s="485"/>
      <c r="B3250" s="485"/>
      <c r="C3250" s="73" t="s">
        <v>10</v>
      </c>
      <c r="D3250" s="485">
        <v>2</v>
      </c>
      <c r="E3250" s="485">
        <v>0.97199999999999998</v>
      </c>
      <c r="F3250" s="485"/>
      <c r="G3250" s="485">
        <v>3.5</v>
      </c>
      <c r="H3250" s="487">
        <f t="shared" ref="H3250" si="452">PRODUCT(D3250:G3250)</f>
        <v>6.8040000000000003</v>
      </c>
    </row>
    <row r="3251" spans="1:8">
      <c r="A3251" s="485"/>
      <c r="B3251" s="485"/>
      <c r="C3251" s="73" t="s">
        <v>10</v>
      </c>
      <c r="D3251" s="485">
        <v>2</v>
      </c>
      <c r="E3251" s="485">
        <v>1.1000000000000001</v>
      </c>
      <c r="F3251" s="485"/>
      <c r="G3251" s="485">
        <v>3.5</v>
      </c>
      <c r="H3251" s="487">
        <f t="shared" ref="H3251" si="453">PRODUCT(D3251:G3251)</f>
        <v>7.7000000000000011</v>
      </c>
    </row>
    <row r="3252" spans="1:8">
      <c r="A3252" s="485"/>
      <c r="B3252" s="485" t="s">
        <v>171</v>
      </c>
      <c r="C3252" s="73" t="s">
        <v>10</v>
      </c>
      <c r="D3252" s="485"/>
      <c r="E3252" s="485"/>
      <c r="F3252" s="485"/>
      <c r="G3252" s="17"/>
      <c r="H3252" s="18">
        <f t="shared" si="449"/>
        <v>0</v>
      </c>
    </row>
    <row r="3253" spans="1:8">
      <c r="A3253" s="485"/>
      <c r="B3253" s="485"/>
      <c r="C3253" s="73" t="s">
        <v>10</v>
      </c>
      <c r="D3253" s="485"/>
      <c r="E3253" s="485"/>
      <c r="F3253" s="485"/>
      <c r="G3253" s="485"/>
      <c r="H3253" s="487">
        <f t="shared" si="449"/>
        <v>0</v>
      </c>
    </row>
    <row r="3254" spans="1:8">
      <c r="A3254" s="485"/>
      <c r="B3254" s="485"/>
      <c r="C3254" s="73" t="s">
        <v>10</v>
      </c>
      <c r="D3254" s="485">
        <v>4</v>
      </c>
      <c r="E3254" s="485">
        <v>4.5</v>
      </c>
      <c r="F3254" s="485"/>
      <c r="G3254" s="17">
        <v>3.5</v>
      </c>
      <c r="H3254" s="18">
        <f t="shared" si="449"/>
        <v>63</v>
      </c>
    </row>
    <row r="3255" spans="1:8">
      <c r="A3255" s="485"/>
      <c r="B3255" s="485"/>
      <c r="C3255" s="73" t="s">
        <v>10</v>
      </c>
      <c r="D3255" s="485">
        <v>-4</v>
      </c>
      <c r="E3255" s="485">
        <v>1</v>
      </c>
      <c r="F3255" s="485"/>
      <c r="G3255" s="485">
        <v>2.4</v>
      </c>
      <c r="H3255" s="487">
        <f t="shared" si="449"/>
        <v>-9.6</v>
      </c>
    </row>
    <row r="3256" spans="1:8">
      <c r="A3256" s="17"/>
      <c r="B3256" s="17"/>
      <c r="C3256" s="17"/>
      <c r="D3256" s="17"/>
      <c r="E3256" s="17"/>
      <c r="F3256" s="17"/>
      <c r="G3256" s="17"/>
      <c r="H3256" s="18"/>
    </row>
    <row r="3257" spans="1:8">
      <c r="A3257" s="15"/>
      <c r="B3257" s="15" t="s">
        <v>21</v>
      </c>
      <c r="C3257" s="15"/>
      <c r="D3257" s="15"/>
      <c r="E3257" s="15"/>
      <c r="F3257" s="15"/>
      <c r="G3257" s="15"/>
      <c r="H3257" s="20">
        <f>SUM(H3242:H3256)</f>
        <v>174.614</v>
      </c>
    </row>
    <row r="3258" spans="1:8">
      <c r="A3258" s="17"/>
      <c r="B3258" s="17" t="s">
        <v>22</v>
      </c>
      <c r="C3258" s="17"/>
      <c r="D3258" s="17"/>
      <c r="E3258" s="17"/>
      <c r="F3258" s="17"/>
      <c r="G3258" s="17"/>
      <c r="H3258" s="18"/>
    </row>
    <row r="3259" spans="1:8">
      <c r="A3259" s="15"/>
      <c r="B3259" s="15" t="s">
        <v>23</v>
      </c>
      <c r="C3259" s="15"/>
      <c r="D3259" s="15"/>
      <c r="E3259" s="15"/>
      <c r="F3259" s="15"/>
      <c r="G3259" s="15"/>
      <c r="H3259" s="20">
        <f>ROUND(SUM(H3257:H3258),0)</f>
        <v>175</v>
      </c>
    </row>
    <row r="3261" spans="1:8">
      <c r="A3261" s="17">
        <v>4</v>
      </c>
      <c r="B3261" s="15" t="s">
        <v>2020</v>
      </c>
      <c r="C3261" s="17" t="s">
        <v>10</v>
      </c>
      <c r="D3261" s="17"/>
      <c r="E3261" s="17"/>
      <c r="F3261" s="17"/>
      <c r="G3261" s="17"/>
      <c r="H3261" s="18"/>
    </row>
    <row r="3262" spans="1:8">
      <c r="A3262" s="17"/>
      <c r="B3262" s="17" t="s">
        <v>1242</v>
      </c>
      <c r="C3262" s="73" t="s">
        <v>10</v>
      </c>
      <c r="D3262" s="17">
        <v>8</v>
      </c>
      <c r="E3262" s="17">
        <v>0.15</v>
      </c>
      <c r="F3262" s="17"/>
      <c r="G3262" s="17">
        <v>3.5</v>
      </c>
      <c r="H3262" s="18">
        <f t="shared" ref="H3262:H3270" si="454">PRODUCT(D3262:G3262)</f>
        <v>4.2</v>
      </c>
    </row>
    <row r="3263" spans="1:8">
      <c r="A3263" s="485"/>
      <c r="B3263" s="485"/>
      <c r="C3263" s="73" t="s">
        <v>10</v>
      </c>
      <c r="D3263" s="485">
        <v>4</v>
      </c>
      <c r="E3263" s="485">
        <v>6.2</v>
      </c>
      <c r="F3263" s="485"/>
      <c r="G3263" s="17">
        <v>1.1000000000000001</v>
      </c>
      <c r="H3263" s="18">
        <f t="shared" si="454"/>
        <v>27.280000000000005</v>
      </c>
    </row>
    <row r="3264" spans="1:8">
      <c r="A3264" s="485"/>
      <c r="B3264" s="485"/>
      <c r="C3264" s="73" t="s">
        <v>10</v>
      </c>
      <c r="D3264" s="17">
        <v>2</v>
      </c>
      <c r="E3264" s="17">
        <v>3.9</v>
      </c>
      <c r="F3264" s="17"/>
      <c r="G3264" s="17">
        <v>3.5</v>
      </c>
      <c r="H3264" s="18">
        <f t="shared" si="454"/>
        <v>27.3</v>
      </c>
    </row>
    <row r="3265" spans="1:8">
      <c r="A3265" s="485"/>
      <c r="B3265" s="485" t="s">
        <v>1243</v>
      </c>
      <c r="C3265" s="73" t="s">
        <v>10</v>
      </c>
      <c r="D3265" s="17">
        <v>3</v>
      </c>
      <c r="E3265" s="17">
        <v>1.4</v>
      </c>
      <c r="F3265" s="17"/>
      <c r="G3265" s="17">
        <v>3.5</v>
      </c>
      <c r="H3265" s="18">
        <f t="shared" ref="H3265" si="455">PRODUCT(D3265:G3265)</f>
        <v>14.699999999999998</v>
      </c>
    </row>
    <row r="3266" spans="1:8">
      <c r="A3266" s="485"/>
      <c r="B3266" s="485"/>
      <c r="C3266" s="73" t="s">
        <v>10</v>
      </c>
      <c r="D3266" s="485">
        <v>8</v>
      </c>
      <c r="E3266" s="485">
        <v>0.15</v>
      </c>
      <c r="F3266" s="485"/>
      <c r="G3266" s="17">
        <v>3.5</v>
      </c>
      <c r="H3266" s="18">
        <f t="shared" si="454"/>
        <v>4.2</v>
      </c>
    </row>
    <row r="3267" spans="1:8">
      <c r="A3267" s="485"/>
      <c r="B3267" s="485"/>
      <c r="C3267" s="73" t="s">
        <v>10</v>
      </c>
      <c r="D3267" s="485">
        <v>4</v>
      </c>
      <c r="E3267" s="485">
        <v>4.7</v>
      </c>
      <c r="F3267" s="485"/>
      <c r="G3267" s="17">
        <v>3.5</v>
      </c>
      <c r="H3267" s="18">
        <f t="shared" si="454"/>
        <v>65.8</v>
      </c>
    </row>
    <row r="3268" spans="1:8">
      <c r="A3268" s="485"/>
      <c r="B3268" s="485"/>
      <c r="C3268" s="73" t="s">
        <v>10</v>
      </c>
      <c r="D3268" s="485">
        <v>2</v>
      </c>
      <c r="E3268" s="485">
        <v>3.9</v>
      </c>
      <c r="F3268" s="485"/>
      <c r="G3268" s="17">
        <v>3.5</v>
      </c>
      <c r="H3268" s="18">
        <f t="shared" si="454"/>
        <v>27.3</v>
      </c>
    </row>
    <row r="3269" spans="1:8">
      <c r="A3269" s="485"/>
      <c r="B3269" s="485" t="s">
        <v>2021</v>
      </c>
      <c r="C3269" s="73" t="s">
        <v>10</v>
      </c>
      <c r="D3269" s="485">
        <v>4</v>
      </c>
      <c r="E3269" s="485">
        <v>4.45</v>
      </c>
      <c r="F3269" s="485"/>
      <c r="G3269" s="17">
        <v>3.5</v>
      </c>
      <c r="H3269" s="18">
        <f t="shared" si="454"/>
        <v>62.300000000000004</v>
      </c>
    </row>
    <row r="3270" spans="1:8">
      <c r="A3270" s="485"/>
      <c r="B3270" s="485"/>
      <c r="C3270" s="73" t="s">
        <v>10</v>
      </c>
      <c r="D3270" s="485">
        <v>-4</v>
      </c>
      <c r="E3270" s="485">
        <v>1</v>
      </c>
      <c r="F3270" s="485"/>
      <c r="G3270" s="17">
        <v>2.4</v>
      </c>
      <c r="H3270" s="18">
        <f t="shared" si="454"/>
        <v>-9.6</v>
      </c>
    </row>
    <row r="3271" spans="1:8">
      <c r="A3271" s="485"/>
      <c r="B3271" s="485"/>
      <c r="C3271" s="486"/>
      <c r="D3271" s="485"/>
      <c r="E3271" s="485"/>
      <c r="F3271" s="485"/>
      <c r="G3271" s="485"/>
      <c r="H3271" s="487"/>
    </row>
    <row r="3272" spans="1:8">
      <c r="A3272" s="17"/>
      <c r="B3272" s="17"/>
      <c r="C3272" s="17"/>
      <c r="D3272" s="17"/>
      <c r="E3272" s="17"/>
      <c r="F3272" s="17"/>
      <c r="G3272" s="17"/>
      <c r="H3272" s="18"/>
    </row>
    <row r="3273" spans="1:8">
      <c r="A3273" s="15"/>
      <c r="B3273" s="15" t="s">
        <v>21</v>
      </c>
      <c r="C3273" s="15"/>
      <c r="D3273" s="15"/>
      <c r="E3273" s="15"/>
      <c r="F3273" s="15"/>
      <c r="G3273" s="15"/>
      <c r="H3273" s="20">
        <f>SUM(H3262:H3272)</f>
        <v>223.48000000000005</v>
      </c>
    </row>
    <row r="3274" spans="1:8">
      <c r="A3274" s="17"/>
      <c r="B3274" s="17" t="s">
        <v>22</v>
      </c>
      <c r="C3274" s="17"/>
      <c r="D3274" s="17"/>
      <c r="E3274" s="17"/>
      <c r="F3274" s="17"/>
      <c r="G3274" s="17"/>
      <c r="H3274" s="18"/>
    </row>
    <row r="3275" spans="1:8">
      <c r="A3275" s="15"/>
      <c r="B3275" s="15" t="s">
        <v>23</v>
      </c>
      <c r="C3275" s="15"/>
      <c r="D3275" s="15"/>
      <c r="E3275" s="15"/>
      <c r="F3275" s="15"/>
      <c r="G3275" s="15"/>
      <c r="H3275" s="20">
        <f>ROUND(SUM(H3273:H3274),0)</f>
        <v>223</v>
      </c>
    </row>
    <row r="3277" spans="1:8">
      <c r="A3277" s="17">
        <v>4</v>
      </c>
      <c r="B3277" s="15" t="s">
        <v>53</v>
      </c>
      <c r="C3277" s="17" t="s">
        <v>10</v>
      </c>
      <c r="D3277" s="17"/>
      <c r="E3277" s="17"/>
      <c r="F3277" s="17"/>
      <c r="G3277" s="17"/>
      <c r="H3277" s="18"/>
    </row>
    <row r="3278" spans="1:8">
      <c r="A3278" s="17"/>
      <c r="B3278" s="17"/>
      <c r="C3278" s="17"/>
      <c r="D3278" s="17"/>
      <c r="E3278" s="17"/>
      <c r="F3278" s="17"/>
      <c r="G3278" s="17"/>
      <c r="H3278" s="18"/>
    </row>
    <row r="3279" spans="1:8">
      <c r="A3279" s="17"/>
      <c r="B3279" s="17" t="s">
        <v>156</v>
      </c>
      <c r="C3279" s="73" t="s">
        <v>10</v>
      </c>
      <c r="D3279" s="17">
        <v>1</v>
      </c>
      <c r="E3279" s="17">
        <v>7.52</v>
      </c>
      <c r="F3279" s="17"/>
      <c r="G3279" s="17">
        <v>3.5</v>
      </c>
      <c r="H3279" s="18">
        <f t="shared" ref="H3279:H3310" si="456">PRODUCT(D3279:G3279)</f>
        <v>26.32</v>
      </c>
    </row>
    <row r="3280" spans="1:8">
      <c r="A3280" s="485"/>
      <c r="B3280" s="485"/>
      <c r="C3280" s="73" t="s">
        <v>10</v>
      </c>
      <c r="D3280" s="17">
        <v>1</v>
      </c>
      <c r="E3280" s="17">
        <v>0.995</v>
      </c>
      <c r="F3280" s="17"/>
      <c r="G3280" s="17">
        <v>3.5</v>
      </c>
      <c r="H3280" s="18">
        <f t="shared" si="456"/>
        <v>3.4824999999999999</v>
      </c>
    </row>
    <row r="3281" spans="1:8">
      <c r="A3281" s="485"/>
      <c r="B3281" s="485"/>
      <c r="C3281" s="73" t="s">
        <v>10</v>
      </c>
      <c r="D3281" s="485">
        <v>1</v>
      </c>
      <c r="E3281" s="485">
        <v>12.4</v>
      </c>
      <c r="F3281" s="485"/>
      <c r="G3281" s="17">
        <v>3.5</v>
      </c>
      <c r="H3281" s="18">
        <f t="shared" si="456"/>
        <v>43.4</v>
      </c>
    </row>
    <row r="3282" spans="1:8">
      <c r="A3282" s="485"/>
      <c r="B3282" s="485"/>
      <c r="C3282" s="73" t="s">
        <v>10</v>
      </c>
      <c r="D3282" s="485">
        <v>1</v>
      </c>
      <c r="E3282" s="485">
        <v>6.77</v>
      </c>
      <c r="F3282" s="485"/>
      <c r="G3282" s="17">
        <v>3.5</v>
      </c>
      <c r="H3282" s="18">
        <f t="shared" si="456"/>
        <v>23.695</v>
      </c>
    </row>
    <row r="3283" spans="1:8">
      <c r="A3283" s="485"/>
      <c r="B3283" s="485"/>
      <c r="C3283" s="73" t="s">
        <v>10</v>
      </c>
      <c r="D3283" s="485">
        <v>1</v>
      </c>
      <c r="E3283" s="485">
        <v>1.585</v>
      </c>
      <c r="F3283" s="485"/>
      <c r="G3283" s="17">
        <v>3.5</v>
      </c>
      <c r="H3283" s="18">
        <f t="shared" si="456"/>
        <v>5.5474999999999994</v>
      </c>
    </row>
    <row r="3284" spans="1:8">
      <c r="A3284" s="485"/>
      <c r="B3284" s="485" t="s">
        <v>119</v>
      </c>
      <c r="C3284" s="73" t="s">
        <v>10</v>
      </c>
      <c r="D3284" s="485">
        <v>-1</v>
      </c>
      <c r="E3284" s="485">
        <v>1.5</v>
      </c>
      <c r="F3284" s="485"/>
      <c r="G3284" s="17">
        <v>2.4</v>
      </c>
      <c r="H3284" s="18">
        <f t="shared" si="456"/>
        <v>-3.5999999999999996</v>
      </c>
    </row>
    <row r="3285" spans="1:8">
      <c r="A3285" s="485"/>
      <c r="B3285" s="485" t="s">
        <v>1342</v>
      </c>
      <c r="C3285" s="73" t="s">
        <v>10</v>
      </c>
      <c r="D3285" s="485">
        <v>1</v>
      </c>
      <c r="E3285" s="485">
        <v>4.9749999999999996</v>
      </c>
      <c r="F3285" s="485"/>
      <c r="G3285" s="17">
        <v>3.5</v>
      </c>
      <c r="H3285" s="18">
        <f t="shared" si="456"/>
        <v>17.412499999999998</v>
      </c>
    </row>
    <row r="3286" spans="1:8">
      <c r="A3286" s="485"/>
      <c r="B3286" s="485"/>
      <c r="C3286" s="73" t="s">
        <v>10</v>
      </c>
      <c r="D3286" s="485">
        <v>-1</v>
      </c>
      <c r="E3286" s="485">
        <v>1</v>
      </c>
      <c r="F3286" s="485"/>
      <c r="G3286" s="485">
        <v>2.4</v>
      </c>
      <c r="H3286" s="487">
        <f t="shared" si="456"/>
        <v>-2.4</v>
      </c>
    </row>
    <row r="3287" spans="1:8">
      <c r="A3287" s="485"/>
      <c r="B3287" s="485"/>
      <c r="C3287" s="73" t="s">
        <v>10</v>
      </c>
      <c r="D3287" s="485">
        <v>1</v>
      </c>
      <c r="E3287" s="485">
        <v>0.96499999999999997</v>
      </c>
      <c r="F3287" s="485"/>
      <c r="G3287" s="485">
        <v>3.5</v>
      </c>
      <c r="H3287" s="487">
        <f t="shared" si="456"/>
        <v>3.3774999999999999</v>
      </c>
    </row>
    <row r="3288" spans="1:8">
      <c r="A3288" s="485"/>
      <c r="B3288" s="485"/>
      <c r="C3288" s="73" t="s">
        <v>10</v>
      </c>
      <c r="D3288" s="485">
        <v>1</v>
      </c>
      <c r="E3288" s="485">
        <v>5.4749999999999996</v>
      </c>
      <c r="F3288" s="485"/>
      <c r="G3288" s="485">
        <v>3.5</v>
      </c>
      <c r="H3288" s="487">
        <f t="shared" si="456"/>
        <v>19.162499999999998</v>
      </c>
    </row>
    <row r="3289" spans="1:8">
      <c r="A3289" s="485"/>
      <c r="B3289" s="485"/>
      <c r="C3289" s="73" t="s">
        <v>10</v>
      </c>
      <c r="D3289" s="485">
        <v>1</v>
      </c>
      <c r="E3289" s="485">
        <v>1.1000000000000001</v>
      </c>
      <c r="F3289" s="485"/>
      <c r="G3289" s="485">
        <v>3.5</v>
      </c>
      <c r="H3289" s="487">
        <f t="shared" si="456"/>
        <v>3.8500000000000005</v>
      </c>
    </row>
    <row r="3290" spans="1:8">
      <c r="A3290" s="485"/>
      <c r="B3290" s="485" t="s">
        <v>1344</v>
      </c>
      <c r="C3290" s="73" t="s">
        <v>10</v>
      </c>
      <c r="D3290" s="485">
        <v>1</v>
      </c>
      <c r="E3290" s="485">
        <v>3.8919999999999999</v>
      </c>
      <c r="F3290" s="485"/>
      <c r="G3290" s="485">
        <v>3.5</v>
      </c>
      <c r="H3290" s="487">
        <f t="shared" si="456"/>
        <v>13.622</v>
      </c>
    </row>
    <row r="3291" spans="1:8">
      <c r="A3291" s="485"/>
      <c r="B3291" s="485"/>
      <c r="C3291" s="73" t="s">
        <v>10</v>
      </c>
      <c r="D3291" s="485">
        <v>1</v>
      </c>
      <c r="E3291" s="485">
        <v>0.3</v>
      </c>
      <c r="F3291" s="485"/>
      <c r="G3291" s="485">
        <v>3.5</v>
      </c>
      <c r="H3291" s="487">
        <f t="shared" si="456"/>
        <v>1.05</v>
      </c>
    </row>
    <row r="3292" spans="1:8">
      <c r="A3292" s="485"/>
      <c r="B3292" s="485"/>
      <c r="C3292" s="73" t="s">
        <v>10</v>
      </c>
      <c r="D3292" s="485">
        <v>1</v>
      </c>
      <c r="E3292" s="485">
        <v>1.22</v>
      </c>
      <c r="F3292" s="485"/>
      <c r="G3292" s="485">
        <v>3.5</v>
      </c>
      <c r="H3292" s="487">
        <f t="shared" si="456"/>
        <v>4.2699999999999996</v>
      </c>
    </row>
    <row r="3293" spans="1:8">
      <c r="A3293" s="485"/>
      <c r="B3293" s="485"/>
      <c r="C3293" s="73" t="s">
        <v>10</v>
      </c>
      <c r="D3293" s="485">
        <v>2</v>
      </c>
      <c r="E3293" s="485">
        <v>3.55</v>
      </c>
      <c r="F3293" s="485"/>
      <c r="G3293" s="485">
        <v>3.5</v>
      </c>
      <c r="H3293" s="487">
        <f t="shared" si="456"/>
        <v>24.849999999999998</v>
      </c>
    </row>
    <row r="3294" spans="1:8">
      <c r="A3294" s="485"/>
      <c r="B3294" s="485" t="s">
        <v>1346</v>
      </c>
      <c r="C3294" s="73" t="s">
        <v>10</v>
      </c>
      <c r="D3294" s="485">
        <v>1</v>
      </c>
      <c r="E3294" s="485">
        <v>2.65</v>
      </c>
      <c r="F3294" s="485"/>
      <c r="G3294" s="485">
        <f>3.5-2.4</f>
        <v>1.1000000000000001</v>
      </c>
      <c r="H3294" s="487">
        <f t="shared" si="456"/>
        <v>2.915</v>
      </c>
    </row>
    <row r="3295" spans="1:8">
      <c r="A3295" s="485"/>
      <c r="B3295" s="485" t="s">
        <v>1345</v>
      </c>
      <c r="C3295" s="73" t="s">
        <v>10</v>
      </c>
      <c r="D3295" s="485">
        <v>1</v>
      </c>
      <c r="E3295" s="485">
        <v>3.25</v>
      </c>
      <c r="F3295" s="485"/>
      <c r="G3295" s="485">
        <v>3.5</v>
      </c>
      <c r="H3295" s="487">
        <f t="shared" si="456"/>
        <v>11.375</v>
      </c>
    </row>
    <row r="3296" spans="1:8">
      <c r="A3296" s="485"/>
      <c r="B3296" s="485"/>
      <c r="C3296" s="73" t="s">
        <v>10</v>
      </c>
      <c r="D3296" s="485">
        <v>1</v>
      </c>
      <c r="E3296" s="485">
        <v>0.3</v>
      </c>
      <c r="F3296" s="485"/>
      <c r="G3296" s="485">
        <v>3.5</v>
      </c>
      <c r="H3296" s="487">
        <f t="shared" si="456"/>
        <v>1.05</v>
      </c>
    </row>
    <row r="3297" spans="1:8">
      <c r="A3297" s="485"/>
      <c r="B3297" s="485" t="s">
        <v>1346</v>
      </c>
      <c r="C3297" s="73" t="s">
        <v>10</v>
      </c>
      <c r="D3297" s="485">
        <v>1</v>
      </c>
      <c r="E3297" s="485">
        <v>2.65</v>
      </c>
      <c r="F3297" s="485"/>
      <c r="G3297" s="485">
        <f>3.5-2.4</f>
        <v>1.1000000000000001</v>
      </c>
      <c r="H3297" s="487">
        <f t="shared" si="456"/>
        <v>2.915</v>
      </c>
    </row>
    <row r="3298" spans="1:8">
      <c r="A3298" s="485"/>
      <c r="B3298" s="485" t="s">
        <v>329</v>
      </c>
      <c r="C3298" s="73" t="s">
        <v>10</v>
      </c>
      <c r="D3298" s="485">
        <v>2</v>
      </c>
      <c r="E3298" s="485">
        <v>1.3</v>
      </c>
      <c r="F3298" s="485"/>
      <c r="G3298" s="485">
        <v>3.5</v>
      </c>
      <c r="H3298" s="487">
        <f t="shared" si="456"/>
        <v>9.1</v>
      </c>
    </row>
    <row r="3299" spans="1:8">
      <c r="A3299" s="485"/>
      <c r="B3299" s="485"/>
      <c r="C3299" s="73" t="s">
        <v>10</v>
      </c>
      <c r="D3299" s="485">
        <v>1</v>
      </c>
      <c r="E3299" s="485">
        <v>3.6</v>
      </c>
      <c r="F3299" s="485"/>
      <c r="G3299" s="485">
        <v>3.5</v>
      </c>
      <c r="H3299" s="487">
        <f t="shared" si="456"/>
        <v>12.6</v>
      </c>
    </row>
    <row r="3300" spans="1:8">
      <c r="A3300" s="485"/>
      <c r="B3300" s="485"/>
      <c r="C3300" s="73" t="s">
        <v>10</v>
      </c>
      <c r="D3300" s="485">
        <v>1</v>
      </c>
      <c r="E3300" s="485">
        <v>1.8</v>
      </c>
      <c r="F3300" s="485"/>
      <c r="G3300" s="485">
        <v>3.5</v>
      </c>
      <c r="H3300" s="487">
        <f t="shared" si="456"/>
        <v>6.3</v>
      </c>
    </row>
    <row r="3301" spans="1:8">
      <c r="A3301" s="485"/>
      <c r="B3301" s="485"/>
      <c r="C3301" s="73" t="s">
        <v>10</v>
      </c>
      <c r="D3301" s="485">
        <v>-1</v>
      </c>
      <c r="E3301" s="485">
        <v>1.75</v>
      </c>
      <c r="F3301" s="485"/>
      <c r="G3301" s="485">
        <v>2.4</v>
      </c>
      <c r="H3301" s="487">
        <f t="shared" si="456"/>
        <v>-4.2</v>
      </c>
    </row>
    <row r="3302" spans="1:8">
      <c r="A3302" s="485"/>
      <c r="B3302" s="485" t="s">
        <v>1301</v>
      </c>
      <c r="C3302" s="73" t="s">
        <v>10</v>
      </c>
      <c r="D3302" s="485">
        <v>1</v>
      </c>
      <c r="E3302" s="485">
        <v>3.2</v>
      </c>
      <c r="F3302" s="485"/>
      <c r="G3302" s="485">
        <v>3.5</v>
      </c>
      <c r="H3302" s="487">
        <f t="shared" si="456"/>
        <v>11.200000000000001</v>
      </c>
    </row>
    <row r="3303" spans="1:8">
      <c r="A3303" s="485"/>
      <c r="B3303" s="485"/>
      <c r="C3303" s="73" t="s">
        <v>10</v>
      </c>
      <c r="D3303" s="485">
        <v>2</v>
      </c>
      <c r="E3303" s="485">
        <v>3.65</v>
      </c>
      <c r="F3303" s="485"/>
      <c r="G3303" s="485">
        <v>3.5</v>
      </c>
      <c r="H3303" s="487">
        <f t="shared" si="456"/>
        <v>25.55</v>
      </c>
    </row>
    <row r="3304" spans="1:8">
      <c r="A3304" s="485"/>
      <c r="B3304" s="485" t="s">
        <v>1346</v>
      </c>
      <c r="C3304" s="73" t="s">
        <v>10</v>
      </c>
      <c r="D3304" s="485">
        <v>1</v>
      </c>
      <c r="E3304" s="485">
        <v>3.2</v>
      </c>
      <c r="F3304" s="485"/>
      <c r="G3304" s="485">
        <f>3.5-2.4</f>
        <v>1.1000000000000001</v>
      </c>
      <c r="H3304" s="487">
        <f t="shared" si="456"/>
        <v>3.5200000000000005</v>
      </c>
    </row>
    <row r="3305" spans="1:8">
      <c r="A3305" s="485"/>
      <c r="B3305" s="485" t="s">
        <v>1300</v>
      </c>
      <c r="C3305" s="73" t="s">
        <v>10</v>
      </c>
      <c r="D3305" s="485">
        <v>1</v>
      </c>
      <c r="E3305" s="485">
        <v>3.2</v>
      </c>
      <c r="F3305" s="485"/>
      <c r="G3305" s="485">
        <v>3.5</v>
      </c>
      <c r="H3305" s="487">
        <f t="shared" si="456"/>
        <v>11.200000000000001</v>
      </c>
    </row>
    <row r="3306" spans="1:8">
      <c r="A3306" s="485"/>
      <c r="B3306" s="485"/>
      <c r="C3306" s="73" t="s">
        <v>10</v>
      </c>
      <c r="D3306" s="485">
        <v>1</v>
      </c>
      <c r="E3306" s="485">
        <v>3.65</v>
      </c>
      <c r="F3306" s="485"/>
      <c r="G3306" s="485">
        <v>3.5</v>
      </c>
      <c r="H3306" s="487">
        <f t="shared" si="456"/>
        <v>12.775</v>
      </c>
    </row>
    <row r="3307" spans="1:8">
      <c r="A3307" s="485"/>
      <c r="B3307" s="485" t="s">
        <v>1346</v>
      </c>
      <c r="C3307" s="73" t="s">
        <v>10</v>
      </c>
      <c r="D3307" s="485">
        <v>1</v>
      </c>
      <c r="E3307" s="485">
        <v>3.2</v>
      </c>
      <c r="F3307" s="485"/>
      <c r="G3307" s="485">
        <f>3.5-2.4</f>
        <v>1.1000000000000001</v>
      </c>
      <c r="H3307" s="487">
        <f t="shared" si="456"/>
        <v>3.5200000000000005</v>
      </c>
    </row>
    <row r="3308" spans="1:8">
      <c r="A3308" s="485"/>
      <c r="B3308" s="485" t="s">
        <v>1299</v>
      </c>
      <c r="C3308" s="73" t="s">
        <v>10</v>
      </c>
      <c r="D3308" s="485">
        <v>1</v>
      </c>
      <c r="E3308" s="485">
        <v>3.2</v>
      </c>
      <c r="F3308" s="485"/>
      <c r="G3308" s="485">
        <v>3.5</v>
      </c>
      <c r="H3308" s="487">
        <f t="shared" si="456"/>
        <v>11.200000000000001</v>
      </c>
    </row>
    <row r="3309" spans="1:8">
      <c r="A3309" s="485"/>
      <c r="B3309" s="485"/>
      <c r="C3309" s="73" t="s">
        <v>10</v>
      </c>
      <c r="D3309" s="485">
        <v>2</v>
      </c>
      <c r="E3309" s="485">
        <v>3.65</v>
      </c>
      <c r="F3309" s="485"/>
      <c r="G3309" s="485">
        <v>3.5</v>
      </c>
      <c r="H3309" s="487">
        <f t="shared" si="456"/>
        <v>25.55</v>
      </c>
    </row>
    <row r="3310" spans="1:8">
      <c r="A3310" s="485"/>
      <c r="B3310" s="485" t="s">
        <v>1346</v>
      </c>
      <c r="C3310" s="73" t="s">
        <v>10</v>
      </c>
      <c r="D3310" s="485">
        <v>1</v>
      </c>
      <c r="E3310" s="485">
        <v>3.2</v>
      </c>
      <c r="F3310" s="485"/>
      <c r="G3310" s="485">
        <f>3.5-2.4</f>
        <v>1.1000000000000001</v>
      </c>
      <c r="H3310" s="487">
        <f t="shared" si="456"/>
        <v>3.5200000000000005</v>
      </c>
    </row>
    <row r="3311" spans="1:8">
      <c r="A3311" s="485"/>
      <c r="B3311" s="485" t="s">
        <v>1207</v>
      </c>
      <c r="C3311" s="73" t="s">
        <v>10</v>
      </c>
      <c r="D3311" s="485">
        <v>1</v>
      </c>
      <c r="E3311" s="485">
        <v>5.32</v>
      </c>
      <c r="F3311" s="485"/>
      <c r="G3311" s="485">
        <v>3.5</v>
      </c>
      <c r="H3311" s="487">
        <f t="shared" ref="H3311:H3329" si="457">PRODUCT(D3311:G3311)</f>
        <v>18.62</v>
      </c>
    </row>
    <row r="3312" spans="1:8">
      <c r="A3312" s="485"/>
      <c r="B3312" s="485"/>
      <c r="C3312" s="73" t="s">
        <v>10</v>
      </c>
      <c r="D3312" s="485">
        <v>1</v>
      </c>
      <c r="E3312" s="485">
        <v>0.3</v>
      </c>
      <c r="F3312" s="485"/>
      <c r="G3312" s="485">
        <v>3.5</v>
      </c>
      <c r="H3312" s="487">
        <f t="shared" si="457"/>
        <v>1.05</v>
      </c>
    </row>
    <row r="3313" spans="1:8">
      <c r="A3313" s="485"/>
      <c r="B3313" s="485"/>
      <c r="C3313" s="73" t="s">
        <v>10</v>
      </c>
      <c r="D3313" s="485">
        <v>1</v>
      </c>
      <c r="E3313" s="485">
        <v>3.05</v>
      </c>
      <c r="F3313" s="485"/>
      <c r="G3313" s="485">
        <v>3.5</v>
      </c>
      <c r="H3313" s="487">
        <f t="shared" si="457"/>
        <v>10.674999999999999</v>
      </c>
    </row>
    <row r="3314" spans="1:8">
      <c r="A3314" s="485"/>
      <c r="B3314" s="485" t="s">
        <v>1346</v>
      </c>
      <c r="C3314" s="73" t="s">
        <v>10</v>
      </c>
      <c r="D3314" s="485">
        <v>1</v>
      </c>
      <c r="E3314" s="485">
        <v>4.74</v>
      </c>
      <c r="F3314" s="485"/>
      <c r="G3314" s="485">
        <f>3.5-2.4</f>
        <v>1.1000000000000001</v>
      </c>
      <c r="H3314" s="487">
        <f t="shared" si="457"/>
        <v>5.2140000000000004</v>
      </c>
    </row>
    <row r="3315" spans="1:8">
      <c r="A3315" s="485"/>
      <c r="B3315" s="485" t="s">
        <v>1347</v>
      </c>
      <c r="C3315" s="73" t="s">
        <v>10</v>
      </c>
      <c r="D3315" s="485">
        <v>2</v>
      </c>
      <c r="E3315" s="485">
        <v>2.8250000000000002</v>
      </c>
      <c r="F3315" s="485"/>
      <c r="G3315" s="485">
        <v>3.5</v>
      </c>
      <c r="H3315" s="487">
        <f t="shared" si="457"/>
        <v>19.775000000000002</v>
      </c>
    </row>
    <row r="3316" spans="1:8">
      <c r="A3316" s="485"/>
      <c r="B3316" s="485"/>
      <c r="C3316" s="73" t="s">
        <v>10</v>
      </c>
      <c r="D3316" s="485">
        <v>1</v>
      </c>
      <c r="E3316" s="485">
        <v>0.4</v>
      </c>
      <c r="F3316" s="485"/>
      <c r="G3316" s="485">
        <v>3.5</v>
      </c>
      <c r="H3316" s="487">
        <f t="shared" si="457"/>
        <v>1.4000000000000001</v>
      </c>
    </row>
    <row r="3317" spans="1:8">
      <c r="A3317" s="485"/>
      <c r="B3317" s="485"/>
      <c r="C3317" s="73" t="s">
        <v>10</v>
      </c>
      <c r="D3317" s="485">
        <v>1</v>
      </c>
      <c r="E3317" s="485">
        <v>3.1339999999999999</v>
      </c>
      <c r="F3317" s="485"/>
      <c r="G3317" s="485">
        <v>3.5</v>
      </c>
      <c r="H3317" s="487">
        <f t="shared" si="457"/>
        <v>10.968999999999999</v>
      </c>
    </row>
    <row r="3318" spans="1:8">
      <c r="A3318" s="485"/>
      <c r="B3318" s="485" t="s">
        <v>1346</v>
      </c>
      <c r="C3318" s="73" t="s">
        <v>10</v>
      </c>
      <c r="D3318" s="485">
        <v>1</v>
      </c>
      <c r="E3318" s="485">
        <v>2.9</v>
      </c>
      <c r="F3318" s="485"/>
      <c r="G3318" s="485">
        <f>3.5-2.4</f>
        <v>1.1000000000000001</v>
      </c>
      <c r="H3318" s="487">
        <f t="shared" si="457"/>
        <v>3.19</v>
      </c>
    </row>
    <row r="3319" spans="1:8">
      <c r="A3319" s="485"/>
      <c r="B3319" s="485" t="s">
        <v>114</v>
      </c>
      <c r="C3319" s="73" t="s">
        <v>10</v>
      </c>
      <c r="D3319" s="485">
        <v>1</v>
      </c>
      <c r="E3319" s="485">
        <v>1.57</v>
      </c>
      <c r="F3319" s="485"/>
      <c r="G3319" s="485">
        <v>3.5</v>
      </c>
      <c r="H3319" s="487">
        <f t="shared" si="457"/>
        <v>5.4950000000000001</v>
      </c>
    </row>
    <row r="3320" spans="1:8">
      <c r="A3320" s="485"/>
      <c r="B3320" s="485"/>
      <c r="C3320" s="73" t="s">
        <v>10</v>
      </c>
      <c r="D3320" s="485">
        <v>1</v>
      </c>
      <c r="E3320" s="485">
        <v>3.1349999999999998</v>
      </c>
      <c r="F3320" s="485"/>
      <c r="G3320" s="485">
        <v>3.5</v>
      </c>
      <c r="H3320" s="487">
        <f t="shared" si="457"/>
        <v>10.9725</v>
      </c>
    </row>
    <row r="3321" spans="1:8">
      <c r="A3321" s="485"/>
      <c r="B3321" s="485" t="s">
        <v>1201</v>
      </c>
      <c r="C3321" s="73" t="s">
        <v>10</v>
      </c>
      <c r="D3321" s="485">
        <v>2</v>
      </c>
      <c r="E3321" s="485">
        <v>3.7</v>
      </c>
      <c r="F3321" s="485"/>
      <c r="G3321" s="485">
        <v>3.5</v>
      </c>
      <c r="H3321" s="487">
        <f t="shared" si="457"/>
        <v>25.900000000000002</v>
      </c>
    </row>
    <row r="3322" spans="1:8">
      <c r="A3322" s="485"/>
      <c r="B3322" s="485" t="s">
        <v>1346</v>
      </c>
      <c r="C3322" s="73" t="s">
        <v>10</v>
      </c>
      <c r="D3322" s="485">
        <v>1</v>
      </c>
      <c r="E3322" s="485">
        <v>3.2</v>
      </c>
      <c r="F3322" s="485"/>
      <c r="G3322" s="485">
        <f>3.5-2.4</f>
        <v>1.1000000000000001</v>
      </c>
      <c r="H3322" s="487">
        <f t="shared" si="457"/>
        <v>3.5200000000000005</v>
      </c>
    </row>
    <row r="3323" spans="1:8">
      <c r="A3323" s="485"/>
      <c r="B3323" s="485" t="s">
        <v>1202</v>
      </c>
      <c r="C3323" s="73" t="s">
        <v>10</v>
      </c>
      <c r="D3323" s="485">
        <v>2</v>
      </c>
      <c r="E3323" s="485">
        <v>3.7</v>
      </c>
      <c r="F3323" s="485"/>
      <c r="G3323" s="485">
        <v>3.5</v>
      </c>
      <c r="H3323" s="487">
        <f t="shared" si="457"/>
        <v>25.900000000000002</v>
      </c>
    </row>
    <row r="3324" spans="1:8">
      <c r="A3324" s="485"/>
      <c r="B3324" s="485" t="s">
        <v>1346</v>
      </c>
      <c r="C3324" s="73" t="s">
        <v>10</v>
      </c>
      <c r="D3324" s="485">
        <v>1</v>
      </c>
      <c r="E3324" s="485">
        <v>3.2</v>
      </c>
      <c r="F3324" s="485"/>
      <c r="G3324" s="485">
        <f>3.5-2.4</f>
        <v>1.1000000000000001</v>
      </c>
      <c r="H3324" s="487">
        <f t="shared" si="457"/>
        <v>3.5200000000000005</v>
      </c>
    </row>
    <row r="3325" spans="1:8">
      <c r="A3325" s="485"/>
      <c r="B3325" s="485" t="s">
        <v>1347</v>
      </c>
      <c r="C3325" s="73" t="s">
        <v>10</v>
      </c>
      <c r="D3325" s="485">
        <v>2</v>
      </c>
      <c r="E3325" s="485">
        <v>3.7</v>
      </c>
      <c r="F3325" s="485"/>
      <c r="G3325" s="485">
        <v>3.5</v>
      </c>
      <c r="H3325" s="487">
        <f t="shared" si="457"/>
        <v>25.900000000000002</v>
      </c>
    </row>
    <row r="3326" spans="1:8">
      <c r="A3326" s="485"/>
      <c r="B3326" s="485"/>
      <c r="C3326" s="73" t="s">
        <v>10</v>
      </c>
      <c r="D3326" s="485">
        <v>1</v>
      </c>
      <c r="E3326" s="485">
        <v>2.41</v>
      </c>
      <c r="F3326" s="485"/>
      <c r="G3326" s="485">
        <v>3.5</v>
      </c>
      <c r="H3326" s="487">
        <f t="shared" si="457"/>
        <v>8.4350000000000005</v>
      </c>
    </row>
    <row r="3327" spans="1:8">
      <c r="A3327" s="485"/>
      <c r="B3327" s="485"/>
      <c r="C3327" s="73" t="s">
        <v>10</v>
      </c>
      <c r="D3327" s="485">
        <v>1</v>
      </c>
      <c r="E3327" s="485">
        <v>0.42</v>
      </c>
      <c r="F3327" s="485"/>
      <c r="G3327" s="485">
        <v>3.5</v>
      </c>
      <c r="H3327" s="487">
        <f t="shared" si="457"/>
        <v>1.47</v>
      </c>
    </row>
    <row r="3328" spans="1:8">
      <c r="A3328" s="485"/>
      <c r="B3328" s="485"/>
      <c r="C3328" s="73" t="s">
        <v>10</v>
      </c>
      <c r="D3328" s="485">
        <v>-1</v>
      </c>
      <c r="E3328" s="485">
        <v>1</v>
      </c>
      <c r="F3328" s="485"/>
      <c r="G3328" s="485">
        <v>2.4</v>
      </c>
      <c r="H3328" s="487">
        <f t="shared" si="457"/>
        <v>-2.4</v>
      </c>
    </row>
    <row r="3329" spans="1:8">
      <c r="A3329" s="485"/>
      <c r="B3329" s="485" t="s">
        <v>1346</v>
      </c>
      <c r="C3329" s="73" t="s">
        <v>10</v>
      </c>
      <c r="D3329" s="485">
        <v>1</v>
      </c>
      <c r="E3329" s="485">
        <v>1.325</v>
      </c>
      <c r="F3329" s="485"/>
      <c r="G3329" s="485">
        <f>3.5-2.4</f>
        <v>1.1000000000000001</v>
      </c>
      <c r="H3329" s="487">
        <f t="shared" si="457"/>
        <v>1.4575</v>
      </c>
    </row>
    <row r="3330" spans="1:8">
      <c r="A3330" s="485"/>
      <c r="B3330" s="485" t="s">
        <v>1348</v>
      </c>
      <c r="C3330" s="73"/>
      <c r="D3330" s="485"/>
      <c r="E3330" s="485"/>
      <c r="F3330" s="485"/>
      <c r="G3330" s="485"/>
      <c r="H3330" s="487"/>
    </row>
    <row r="3331" spans="1:8">
      <c r="A3331" s="485"/>
      <c r="B3331" s="485" t="s">
        <v>1346</v>
      </c>
      <c r="C3331" s="73" t="s">
        <v>10</v>
      </c>
      <c r="D3331" s="485">
        <v>1</v>
      </c>
      <c r="E3331" s="485">
        <v>4.2</v>
      </c>
      <c r="F3331" s="485"/>
      <c r="G3331" s="485">
        <f>3.5-2.4</f>
        <v>1.1000000000000001</v>
      </c>
      <c r="H3331" s="487">
        <f t="shared" ref="H3331:H3362" si="458">PRODUCT(D3331:G3331)</f>
        <v>4.620000000000001</v>
      </c>
    </row>
    <row r="3332" spans="1:8">
      <c r="A3332" s="485"/>
      <c r="B3332" s="485" t="s">
        <v>1242</v>
      </c>
      <c r="C3332" s="73" t="s">
        <v>10</v>
      </c>
      <c r="D3332" s="485">
        <v>1</v>
      </c>
      <c r="E3332" s="485">
        <v>6.55</v>
      </c>
      <c r="F3332" s="485"/>
      <c r="G3332" s="485">
        <v>3.5</v>
      </c>
      <c r="H3332" s="487">
        <f t="shared" si="458"/>
        <v>22.925000000000001</v>
      </c>
    </row>
    <row r="3333" spans="1:8">
      <c r="A3333" s="485"/>
      <c r="B3333" s="485"/>
      <c r="C3333" s="73" t="s">
        <v>10</v>
      </c>
      <c r="D3333" s="485">
        <v>2</v>
      </c>
      <c r="E3333" s="485">
        <v>3.9</v>
      </c>
      <c r="F3333" s="485"/>
      <c r="G3333" s="485">
        <v>3.5</v>
      </c>
      <c r="H3333" s="487">
        <f t="shared" si="458"/>
        <v>27.3</v>
      </c>
    </row>
    <row r="3334" spans="1:8">
      <c r="A3334" s="485"/>
      <c r="B3334" s="485" t="s">
        <v>1349</v>
      </c>
      <c r="C3334" s="73" t="s">
        <v>10</v>
      </c>
      <c r="D3334" s="485">
        <v>1</v>
      </c>
      <c r="E3334" s="485">
        <v>1.4</v>
      </c>
      <c r="F3334" s="485"/>
      <c r="G3334" s="485">
        <v>3.5</v>
      </c>
      <c r="H3334" s="487">
        <f t="shared" si="458"/>
        <v>4.8999999999999995</v>
      </c>
    </row>
    <row r="3335" spans="1:8">
      <c r="A3335" s="485"/>
      <c r="B3335" s="485" t="s">
        <v>1243</v>
      </c>
      <c r="C3335" s="73" t="s">
        <v>10</v>
      </c>
      <c r="D3335" s="485">
        <v>2</v>
      </c>
      <c r="E3335" s="485">
        <v>3.9</v>
      </c>
      <c r="F3335" s="485"/>
      <c r="G3335" s="485">
        <v>3.5</v>
      </c>
      <c r="H3335" s="487">
        <f t="shared" si="458"/>
        <v>27.3</v>
      </c>
    </row>
    <row r="3336" spans="1:8">
      <c r="A3336" s="485"/>
      <c r="B3336" s="485"/>
      <c r="C3336" s="73" t="s">
        <v>10</v>
      </c>
      <c r="D3336" s="485">
        <v>1</v>
      </c>
      <c r="E3336" s="485">
        <v>5</v>
      </c>
      <c r="F3336" s="485"/>
      <c r="G3336" s="485">
        <f>3.5-2.4</f>
        <v>1.1000000000000001</v>
      </c>
      <c r="H3336" s="487">
        <f t="shared" si="458"/>
        <v>5.5</v>
      </c>
    </row>
    <row r="3337" spans="1:8">
      <c r="A3337" s="485"/>
      <c r="B3337" s="485"/>
      <c r="C3337" s="73" t="s">
        <v>10</v>
      </c>
      <c r="D3337" s="485">
        <v>1</v>
      </c>
      <c r="E3337" s="485">
        <v>1.4</v>
      </c>
      <c r="F3337" s="485"/>
      <c r="G3337" s="485">
        <v>3.5</v>
      </c>
      <c r="H3337" s="487">
        <f t="shared" si="458"/>
        <v>4.8999999999999995</v>
      </c>
    </row>
    <row r="3338" spans="1:8">
      <c r="A3338" s="485"/>
      <c r="B3338" s="485" t="s">
        <v>1244</v>
      </c>
      <c r="C3338" s="73" t="s">
        <v>10</v>
      </c>
      <c r="D3338" s="485">
        <v>1</v>
      </c>
      <c r="E3338" s="485">
        <v>4.45</v>
      </c>
      <c r="F3338" s="485"/>
      <c r="G3338" s="485">
        <v>3.5</v>
      </c>
      <c r="H3338" s="487">
        <f t="shared" si="458"/>
        <v>15.575000000000001</v>
      </c>
    </row>
    <row r="3339" spans="1:8">
      <c r="A3339" s="485"/>
      <c r="B3339" s="485"/>
      <c r="C3339" s="73" t="s">
        <v>10</v>
      </c>
      <c r="D3339" s="485">
        <v>-1</v>
      </c>
      <c r="E3339" s="485">
        <v>1</v>
      </c>
      <c r="F3339" s="485"/>
      <c r="G3339" s="485">
        <v>2.4</v>
      </c>
      <c r="H3339" s="487">
        <f t="shared" si="458"/>
        <v>-2.4</v>
      </c>
    </row>
    <row r="3340" spans="1:8">
      <c r="A3340" s="485"/>
      <c r="B3340" s="485" t="s">
        <v>114</v>
      </c>
      <c r="C3340" s="73" t="s">
        <v>10</v>
      </c>
      <c r="D3340" s="485">
        <v>1</v>
      </c>
      <c r="E3340" s="485">
        <v>1.8759999999999999</v>
      </c>
      <c r="F3340" s="485"/>
      <c r="G3340" s="485">
        <v>3.5</v>
      </c>
      <c r="H3340" s="487">
        <f t="shared" si="458"/>
        <v>6.5659999999999998</v>
      </c>
    </row>
    <row r="3341" spans="1:8">
      <c r="A3341" s="485"/>
      <c r="B3341" s="485"/>
      <c r="C3341" s="73" t="s">
        <v>10</v>
      </c>
      <c r="D3341" s="485">
        <v>1</v>
      </c>
      <c r="E3341" s="485">
        <v>7.62</v>
      </c>
      <c r="F3341" s="485"/>
      <c r="G3341" s="485">
        <v>3.5</v>
      </c>
      <c r="H3341" s="487">
        <f t="shared" si="458"/>
        <v>26.67</v>
      </c>
    </row>
    <row r="3342" spans="1:8">
      <c r="A3342" s="485"/>
      <c r="B3342" s="485"/>
      <c r="C3342" s="73" t="s">
        <v>10</v>
      </c>
      <c r="D3342" s="485">
        <v>1</v>
      </c>
      <c r="E3342" s="485">
        <v>2.1</v>
      </c>
      <c r="F3342" s="485"/>
      <c r="G3342" s="485">
        <v>3.5</v>
      </c>
      <c r="H3342" s="487">
        <f t="shared" si="458"/>
        <v>7.3500000000000005</v>
      </c>
    </row>
    <row r="3343" spans="1:8">
      <c r="A3343" s="485"/>
      <c r="B3343" s="485"/>
      <c r="C3343" s="73" t="s">
        <v>10</v>
      </c>
      <c r="D3343" s="485">
        <v>1</v>
      </c>
      <c r="E3343" s="485">
        <v>1.55</v>
      </c>
      <c r="F3343" s="485"/>
      <c r="G3343" s="485">
        <v>3.5</v>
      </c>
      <c r="H3343" s="487">
        <f t="shared" si="458"/>
        <v>5.4249999999999998</v>
      </c>
    </row>
    <row r="3344" spans="1:8">
      <c r="A3344" s="485"/>
      <c r="B3344" s="485" t="s">
        <v>191</v>
      </c>
      <c r="C3344" s="73" t="s">
        <v>10</v>
      </c>
      <c r="D3344" s="485">
        <v>1</v>
      </c>
      <c r="E3344" s="485">
        <v>4.0999999999999996</v>
      </c>
      <c r="F3344" s="485"/>
      <c r="G3344" s="485">
        <v>3.5</v>
      </c>
      <c r="H3344" s="487">
        <f t="shared" si="458"/>
        <v>14.349999999999998</v>
      </c>
    </row>
    <row r="3345" spans="1:8">
      <c r="A3345" s="485"/>
      <c r="B3345" s="485"/>
      <c r="C3345" s="73" t="s">
        <v>10</v>
      </c>
      <c r="D3345" s="485">
        <v>-3</v>
      </c>
      <c r="E3345" s="485">
        <v>0.75</v>
      </c>
      <c r="F3345" s="485"/>
      <c r="G3345" s="485">
        <v>2.4</v>
      </c>
      <c r="H3345" s="487">
        <f t="shared" si="458"/>
        <v>-5.3999999999999995</v>
      </c>
    </row>
    <row r="3346" spans="1:8">
      <c r="A3346" s="485"/>
      <c r="B3346" s="485" t="s">
        <v>1289</v>
      </c>
      <c r="C3346" s="73" t="s">
        <v>10</v>
      </c>
      <c r="D3346" s="485">
        <v>2</v>
      </c>
      <c r="E3346" s="485">
        <v>1.98</v>
      </c>
      <c r="F3346" s="485"/>
      <c r="G3346" s="485">
        <v>3.5</v>
      </c>
      <c r="H3346" s="487">
        <f t="shared" si="458"/>
        <v>13.86</v>
      </c>
    </row>
    <row r="3347" spans="1:8">
      <c r="A3347" s="485"/>
      <c r="B3347" s="485" t="s">
        <v>1350</v>
      </c>
      <c r="C3347" s="73" t="s">
        <v>10</v>
      </c>
      <c r="D3347" s="485">
        <v>1</v>
      </c>
      <c r="E3347" s="485">
        <v>1.377</v>
      </c>
      <c r="F3347" s="485"/>
      <c r="G3347" s="485">
        <v>3.5</v>
      </c>
      <c r="H3347" s="487">
        <f t="shared" si="458"/>
        <v>4.8194999999999997</v>
      </c>
    </row>
    <row r="3348" spans="1:8">
      <c r="A3348" s="485"/>
      <c r="B3348" s="485"/>
      <c r="C3348" s="73" t="s">
        <v>10</v>
      </c>
      <c r="D3348" s="485">
        <v>1</v>
      </c>
      <c r="E3348" s="485">
        <v>0.56499999999999995</v>
      </c>
      <c r="F3348" s="485"/>
      <c r="G3348" s="485">
        <v>3.5</v>
      </c>
      <c r="H3348" s="487">
        <f t="shared" si="458"/>
        <v>1.9774999999999998</v>
      </c>
    </row>
    <row r="3349" spans="1:8">
      <c r="A3349" s="485"/>
      <c r="B3349" s="485" t="s">
        <v>1351</v>
      </c>
      <c r="C3349" s="73" t="s">
        <v>10</v>
      </c>
      <c r="D3349" s="485">
        <v>2</v>
      </c>
      <c r="E3349" s="485">
        <v>3.387</v>
      </c>
      <c r="F3349" s="485"/>
      <c r="G3349" s="485">
        <v>3.5</v>
      </c>
      <c r="H3349" s="487">
        <f t="shared" si="458"/>
        <v>23.709</v>
      </c>
    </row>
    <row r="3350" spans="1:8">
      <c r="A3350" s="485"/>
      <c r="B3350" s="485"/>
      <c r="C3350" s="73" t="s">
        <v>10</v>
      </c>
      <c r="D3350" s="485">
        <v>1</v>
      </c>
      <c r="E3350" s="485">
        <v>0.3</v>
      </c>
      <c r="F3350" s="485"/>
      <c r="G3350" s="485">
        <v>3.5</v>
      </c>
      <c r="H3350" s="487">
        <f t="shared" si="458"/>
        <v>1.05</v>
      </c>
    </row>
    <row r="3351" spans="1:8">
      <c r="A3351" s="485"/>
      <c r="B3351" s="485"/>
      <c r="C3351" s="73" t="s">
        <v>10</v>
      </c>
      <c r="D3351" s="485">
        <v>1</v>
      </c>
      <c r="E3351" s="485">
        <v>3.7</v>
      </c>
      <c r="F3351" s="485"/>
      <c r="G3351" s="485">
        <v>3.5</v>
      </c>
      <c r="H3351" s="487">
        <f t="shared" si="458"/>
        <v>12.950000000000001</v>
      </c>
    </row>
    <row r="3352" spans="1:8">
      <c r="A3352" s="485"/>
      <c r="B3352" s="485" t="s">
        <v>1346</v>
      </c>
      <c r="C3352" s="73" t="s">
        <v>10</v>
      </c>
      <c r="D3352" s="485">
        <v>1</v>
      </c>
      <c r="E3352" s="485">
        <v>4</v>
      </c>
      <c r="F3352" s="485"/>
      <c r="G3352" s="485">
        <f>3.5-2.4</f>
        <v>1.1000000000000001</v>
      </c>
      <c r="H3352" s="487">
        <f t="shared" si="458"/>
        <v>4.4000000000000004</v>
      </c>
    </row>
    <row r="3353" spans="1:8">
      <c r="A3353" s="485"/>
      <c r="B3353" s="485" t="s">
        <v>1352</v>
      </c>
      <c r="C3353" s="73" t="s">
        <v>10</v>
      </c>
      <c r="D3353" s="485">
        <v>2</v>
      </c>
      <c r="E3353" s="485">
        <v>3.7</v>
      </c>
      <c r="F3353" s="485"/>
      <c r="G3353" s="485">
        <v>3.5</v>
      </c>
      <c r="H3353" s="487">
        <f t="shared" si="458"/>
        <v>25.900000000000002</v>
      </c>
    </row>
    <row r="3354" spans="1:8">
      <c r="A3354" s="485"/>
      <c r="B3354" s="485"/>
      <c r="C3354" s="73" t="s">
        <v>10</v>
      </c>
      <c r="D3354" s="485">
        <v>1</v>
      </c>
      <c r="E3354" s="485">
        <v>3.6549999999999998</v>
      </c>
      <c r="F3354" s="485"/>
      <c r="G3354" s="485">
        <f>3.5-2.4</f>
        <v>1.1000000000000001</v>
      </c>
      <c r="H3354" s="487">
        <f t="shared" si="458"/>
        <v>4.0205000000000002</v>
      </c>
    </row>
    <row r="3355" spans="1:8">
      <c r="A3355" s="485"/>
      <c r="B3355" s="485" t="s">
        <v>1353</v>
      </c>
      <c r="C3355" s="73" t="s">
        <v>10</v>
      </c>
      <c r="D3355" s="485">
        <v>2</v>
      </c>
      <c r="E3355" s="485">
        <v>1.7</v>
      </c>
      <c r="F3355" s="485"/>
      <c r="G3355" s="485">
        <v>3.5</v>
      </c>
      <c r="H3355" s="487">
        <f t="shared" si="458"/>
        <v>11.9</v>
      </c>
    </row>
    <row r="3356" spans="1:8">
      <c r="A3356" s="485"/>
      <c r="B3356" s="485"/>
      <c r="C3356" s="73" t="s">
        <v>10</v>
      </c>
      <c r="D3356" s="485">
        <v>2</v>
      </c>
      <c r="E3356" s="485">
        <v>2.1</v>
      </c>
      <c r="F3356" s="485"/>
      <c r="G3356" s="485">
        <v>3.5</v>
      </c>
      <c r="H3356" s="487">
        <f t="shared" si="458"/>
        <v>14.700000000000001</v>
      </c>
    </row>
    <row r="3357" spans="1:8">
      <c r="A3357" s="485"/>
      <c r="B3357" s="485" t="s">
        <v>1213</v>
      </c>
      <c r="C3357" s="73" t="s">
        <v>10</v>
      </c>
      <c r="D3357" s="485">
        <v>1</v>
      </c>
      <c r="E3357" s="485">
        <v>3.55</v>
      </c>
      <c r="F3357" s="485"/>
      <c r="G3357" s="485">
        <v>3.5</v>
      </c>
      <c r="H3357" s="487">
        <f t="shared" si="458"/>
        <v>12.424999999999999</v>
      </c>
    </row>
    <row r="3358" spans="1:8">
      <c r="A3358" s="485"/>
      <c r="B3358" s="485"/>
      <c r="C3358" s="73" t="s">
        <v>10</v>
      </c>
      <c r="D3358" s="485">
        <v>1</v>
      </c>
      <c r="E3358" s="485">
        <v>6.85</v>
      </c>
      <c r="F3358" s="485"/>
      <c r="G3358" s="485">
        <v>3.5</v>
      </c>
      <c r="H3358" s="487">
        <f t="shared" si="458"/>
        <v>23.974999999999998</v>
      </c>
    </row>
    <row r="3359" spans="1:8">
      <c r="A3359" s="485"/>
      <c r="B3359" s="485"/>
      <c r="C3359" s="73" t="s">
        <v>10</v>
      </c>
      <c r="D3359" s="485">
        <v>2</v>
      </c>
      <c r="E3359" s="485">
        <v>3.55</v>
      </c>
      <c r="F3359" s="485"/>
      <c r="G3359" s="485">
        <v>3.5</v>
      </c>
      <c r="H3359" s="487">
        <f t="shared" si="458"/>
        <v>24.849999999999998</v>
      </c>
    </row>
    <row r="3360" spans="1:8">
      <c r="A3360" s="485"/>
      <c r="B3360" s="485" t="s">
        <v>1346</v>
      </c>
      <c r="C3360" s="73" t="s">
        <v>10</v>
      </c>
      <c r="D3360" s="485">
        <v>1</v>
      </c>
      <c r="E3360" s="485">
        <v>3.2</v>
      </c>
      <c r="F3360" s="485"/>
      <c r="G3360" s="485">
        <f>3.5-2.4</f>
        <v>1.1000000000000001</v>
      </c>
      <c r="H3360" s="487">
        <f t="shared" si="458"/>
        <v>3.5200000000000005</v>
      </c>
    </row>
    <row r="3361" spans="1:8">
      <c r="A3361" s="485"/>
      <c r="B3361" s="485" t="s">
        <v>1214</v>
      </c>
      <c r="C3361" s="73" t="s">
        <v>10</v>
      </c>
      <c r="D3361" s="485">
        <v>1</v>
      </c>
      <c r="E3361" s="485">
        <v>3.35</v>
      </c>
      <c r="F3361" s="485"/>
      <c r="G3361" s="485">
        <v>3.5</v>
      </c>
      <c r="H3361" s="487">
        <f t="shared" si="458"/>
        <v>11.725</v>
      </c>
    </row>
    <row r="3362" spans="1:8">
      <c r="A3362" s="485"/>
      <c r="B3362" s="485"/>
      <c r="C3362" s="73" t="s">
        <v>10</v>
      </c>
      <c r="D3362" s="485">
        <v>1</v>
      </c>
      <c r="E3362" s="485">
        <v>0.3</v>
      </c>
      <c r="F3362" s="485"/>
      <c r="G3362" s="485">
        <v>3.5</v>
      </c>
      <c r="H3362" s="487">
        <f t="shared" si="458"/>
        <v>1.05</v>
      </c>
    </row>
    <row r="3363" spans="1:8">
      <c r="A3363" s="485"/>
      <c r="B3363" s="485" t="s">
        <v>1346</v>
      </c>
      <c r="C3363" s="73" t="s">
        <v>10</v>
      </c>
      <c r="D3363" s="485">
        <v>1</v>
      </c>
      <c r="E3363" s="485">
        <v>2.7</v>
      </c>
      <c r="F3363" s="485"/>
      <c r="G3363" s="485">
        <f>3.5-2.4</f>
        <v>1.1000000000000001</v>
      </c>
      <c r="H3363" s="487">
        <f t="shared" ref="H3363:H3394" si="459">PRODUCT(D3363:G3363)</f>
        <v>2.9700000000000006</v>
      </c>
    </row>
    <row r="3364" spans="1:8">
      <c r="A3364" s="485"/>
      <c r="B3364" s="485" t="s">
        <v>1217</v>
      </c>
      <c r="C3364" s="73" t="s">
        <v>10</v>
      </c>
      <c r="D3364" s="485">
        <v>1</v>
      </c>
      <c r="E3364" s="485">
        <v>1.4</v>
      </c>
      <c r="F3364" s="485"/>
      <c r="G3364" s="485">
        <v>3.5</v>
      </c>
      <c r="H3364" s="487">
        <f t="shared" si="459"/>
        <v>4.8999999999999995</v>
      </c>
    </row>
    <row r="3365" spans="1:8">
      <c r="A3365" s="485"/>
      <c r="B3365" s="485"/>
      <c r="C3365" s="73" t="s">
        <v>10</v>
      </c>
      <c r="D3365" s="485">
        <v>2</v>
      </c>
      <c r="E3365" s="485">
        <v>1</v>
      </c>
      <c r="F3365" s="485"/>
      <c r="G3365" s="485">
        <v>3.5</v>
      </c>
      <c r="H3365" s="487">
        <f t="shared" si="459"/>
        <v>7</v>
      </c>
    </row>
    <row r="3366" spans="1:8">
      <c r="A3366" s="485"/>
      <c r="B3366" s="485"/>
      <c r="C3366" s="73" t="s">
        <v>10</v>
      </c>
      <c r="D3366" s="485">
        <v>2</v>
      </c>
      <c r="E3366" s="485">
        <v>4.3</v>
      </c>
      <c r="F3366" s="485"/>
      <c r="G3366" s="485">
        <v>3.5</v>
      </c>
      <c r="H3366" s="487">
        <f t="shared" si="459"/>
        <v>30.099999999999998</v>
      </c>
    </row>
    <row r="3367" spans="1:8">
      <c r="A3367" s="485"/>
      <c r="B3367" s="485" t="s">
        <v>1346</v>
      </c>
      <c r="C3367" s="73" t="s">
        <v>10</v>
      </c>
      <c r="D3367" s="485">
        <v>1</v>
      </c>
      <c r="E3367" s="485">
        <v>4.5</v>
      </c>
      <c r="F3367" s="485"/>
      <c r="G3367" s="485">
        <f>3.5-2.4</f>
        <v>1.1000000000000001</v>
      </c>
      <c r="H3367" s="487">
        <f t="shared" si="459"/>
        <v>4.95</v>
      </c>
    </row>
    <row r="3368" spans="1:8">
      <c r="A3368" s="485"/>
      <c r="B3368" s="485" t="s">
        <v>1346</v>
      </c>
      <c r="C3368" s="73" t="s">
        <v>10</v>
      </c>
      <c r="D3368" s="485">
        <v>1</v>
      </c>
      <c r="E3368" s="485">
        <v>4.5</v>
      </c>
      <c r="F3368" s="485"/>
      <c r="G3368" s="485">
        <f>3.5-2.4</f>
        <v>1.1000000000000001</v>
      </c>
      <c r="H3368" s="487">
        <f t="shared" si="459"/>
        <v>4.95</v>
      </c>
    </row>
    <row r="3369" spans="1:8">
      <c r="A3369" s="485"/>
      <c r="B3369" s="485" t="s">
        <v>1224</v>
      </c>
      <c r="C3369" s="73" t="s">
        <v>10</v>
      </c>
      <c r="D3369" s="485">
        <v>1</v>
      </c>
      <c r="E3369" s="485">
        <v>2.2519999999999998</v>
      </c>
      <c r="F3369" s="485"/>
      <c r="G3369" s="485">
        <v>3.5</v>
      </c>
      <c r="H3369" s="487">
        <f t="shared" si="459"/>
        <v>7.8819999999999997</v>
      </c>
    </row>
    <row r="3370" spans="1:8">
      <c r="A3370" s="485"/>
      <c r="B3370" s="485"/>
      <c r="C3370" s="73" t="s">
        <v>10</v>
      </c>
      <c r="D3370" s="485">
        <v>1</v>
      </c>
      <c r="E3370" s="485">
        <v>2.2000000000000002</v>
      </c>
      <c r="F3370" s="485"/>
      <c r="G3370" s="485">
        <v>2.4</v>
      </c>
      <c r="H3370" s="487">
        <f t="shared" si="459"/>
        <v>5.28</v>
      </c>
    </row>
    <row r="3371" spans="1:8">
      <c r="A3371" s="485"/>
      <c r="B3371" s="485"/>
      <c r="C3371" s="73" t="s">
        <v>10</v>
      </c>
      <c r="D3371" s="485">
        <v>1</v>
      </c>
      <c r="E3371" s="485">
        <v>1.4</v>
      </c>
      <c r="F3371" s="485"/>
      <c r="G3371" s="485">
        <v>3.5</v>
      </c>
      <c r="H3371" s="487">
        <f t="shared" si="459"/>
        <v>4.8999999999999995</v>
      </c>
    </row>
    <row r="3372" spans="1:8">
      <c r="A3372" s="485"/>
      <c r="B3372" s="485" t="s">
        <v>1354</v>
      </c>
      <c r="C3372" s="73" t="s">
        <v>10</v>
      </c>
      <c r="D3372" s="485">
        <v>4</v>
      </c>
      <c r="E3372" s="485">
        <v>2.5499999999999998</v>
      </c>
      <c r="F3372" s="485"/>
      <c r="G3372" s="485">
        <v>3.5</v>
      </c>
      <c r="H3372" s="487">
        <f t="shared" si="459"/>
        <v>35.699999999999996</v>
      </c>
    </row>
    <row r="3373" spans="1:8">
      <c r="A3373" s="485"/>
      <c r="B3373" s="485" t="s">
        <v>1346</v>
      </c>
      <c r="C3373" s="73" t="s">
        <v>10</v>
      </c>
      <c r="D3373" s="485">
        <v>1</v>
      </c>
      <c r="E3373" s="485">
        <v>3.1</v>
      </c>
      <c r="F3373" s="485"/>
      <c r="G3373" s="485">
        <f>3.5-2.4</f>
        <v>1.1000000000000001</v>
      </c>
      <c r="H3373" s="487">
        <f t="shared" si="459"/>
        <v>3.4100000000000006</v>
      </c>
    </row>
    <row r="3374" spans="1:8">
      <c r="A3374" s="485"/>
      <c r="B3374" s="485" t="s">
        <v>1219</v>
      </c>
      <c r="C3374" s="73" t="s">
        <v>10</v>
      </c>
      <c r="D3374" s="485">
        <v>1</v>
      </c>
      <c r="E3374" s="485">
        <v>1.35</v>
      </c>
      <c r="F3374" s="485"/>
      <c r="G3374" s="485">
        <v>3.5</v>
      </c>
      <c r="H3374" s="487">
        <f t="shared" si="459"/>
        <v>4.7250000000000005</v>
      </c>
    </row>
    <row r="3375" spans="1:8">
      <c r="A3375" s="485"/>
      <c r="B3375" s="485"/>
      <c r="C3375" s="73" t="s">
        <v>10</v>
      </c>
      <c r="D3375" s="485">
        <v>1</v>
      </c>
      <c r="E3375" s="485">
        <v>1.325</v>
      </c>
      <c r="F3375" s="485"/>
      <c r="G3375" s="485">
        <v>3.5</v>
      </c>
      <c r="H3375" s="487">
        <f t="shared" si="459"/>
        <v>4.6375000000000002</v>
      </c>
    </row>
    <row r="3376" spans="1:8">
      <c r="A3376" s="485"/>
      <c r="B3376" s="485"/>
      <c r="C3376" s="73" t="s">
        <v>10</v>
      </c>
      <c r="D3376" s="485">
        <v>1</v>
      </c>
      <c r="E3376" s="485">
        <v>1.2</v>
      </c>
      <c r="F3376" s="485"/>
      <c r="G3376" s="485">
        <v>3.5</v>
      </c>
      <c r="H3376" s="487">
        <f t="shared" si="459"/>
        <v>4.2</v>
      </c>
    </row>
    <row r="3377" spans="1:8">
      <c r="A3377" s="485"/>
      <c r="B3377" s="485"/>
      <c r="C3377" s="73" t="s">
        <v>10</v>
      </c>
      <c r="D3377" s="485">
        <v>1</v>
      </c>
      <c r="E3377" s="485">
        <v>1.35</v>
      </c>
      <c r="F3377" s="485"/>
      <c r="G3377" s="485">
        <v>3.5</v>
      </c>
      <c r="H3377" s="487">
        <f t="shared" si="459"/>
        <v>4.7250000000000005</v>
      </c>
    </row>
    <row r="3378" spans="1:8">
      <c r="A3378" s="485"/>
      <c r="B3378" s="485"/>
      <c r="C3378" s="73" t="s">
        <v>10</v>
      </c>
      <c r="D3378" s="485">
        <v>-1</v>
      </c>
      <c r="E3378" s="485">
        <v>1</v>
      </c>
      <c r="F3378" s="485"/>
      <c r="G3378" s="485">
        <v>2.4</v>
      </c>
      <c r="H3378" s="487">
        <f t="shared" si="459"/>
        <v>-2.4</v>
      </c>
    </row>
    <row r="3379" spans="1:8">
      <c r="A3379" s="485"/>
      <c r="B3379" s="485" t="s">
        <v>1346</v>
      </c>
      <c r="C3379" s="73" t="s">
        <v>10</v>
      </c>
      <c r="D3379" s="485">
        <v>1</v>
      </c>
      <c r="E3379" s="485">
        <v>3.35</v>
      </c>
      <c r="F3379" s="485"/>
      <c r="G3379" s="485">
        <f>3.5-2.4</f>
        <v>1.1000000000000001</v>
      </c>
      <c r="H3379" s="487">
        <f t="shared" si="459"/>
        <v>3.6850000000000005</v>
      </c>
    </row>
    <row r="3380" spans="1:8">
      <c r="A3380" s="485"/>
      <c r="B3380" s="485" t="s">
        <v>191</v>
      </c>
      <c r="C3380" s="73" t="s">
        <v>10</v>
      </c>
      <c r="D3380" s="485">
        <v>1</v>
      </c>
      <c r="E3380" s="485">
        <v>3.6</v>
      </c>
      <c r="F3380" s="485"/>
      <c r="G3380" s="485">
        <v>3.5</v>
      </c>
      <c r="H3380" s="487">
        <f t="shared" si="459"/>
        <v>12.6</v>
      </c>
    </row>
    <row r="3381" spans="1:8">
      <c r="A3381" s="485"/>
      <c r="B3381" s="485"/>
      <c r="C3381" s="73" t="s">
        <v>10</v>
      </c>
      <c r="D3381" s="485">
        <v>-2</v>
      </c>
      <c r="E3381" s="485">
        <v>0.75</v>
      </c>
      <c r="F3381" s="485"/>
      <c r="G3381" s="485">
        <v>2.4</v>
      </c>
      <c r="H3381" s="487">
        <f t="shared" si="459"/>
        <v>-3.5999999999999996</v>
      </c>
    </row>
    <row r="3382" spans="1:8">
      <c r="A3382" s="485"/>
      <c r="B3382" s="485"/>
      <c r="C3382" s="73" t="s">
        <v>10</v>
      </c>
      <c r="D3382" s="485">
        <v>1</v>
      </c>
      <c r="E3382" s="485">
        <v>5.45</v>
      </c>
      <c r="F3382" s="485"/>
      <c r="G3382" s="485">
        <v>3.5</v>
      </c>
      <c r="H3382" s="487">
        <f t="shared" si="459"/>
        <v>19.074999999999999</v>
      </c>
    </row>
    <row r="3383" spans="1:8">
      <c r="A3383" s="485"/>
      <c r="B3383" s="485"/>
      <c r="C3383" s="73" t="s">
        <v>10</v>
      </c>
      <c r="D3383" s="485">
        <v>-1</v>
      </c>
      <c r="E3383" s="485">
        <v>1</v>
      </c>
      <c r="F3383" s="485"/>
      <c r="G3383" s="485">
        <v>2.4</v>
      </c>
      <c r="H3383" s="487">
        <f t="shared" si="459"/>
        <v>-2.4</v>
      </c>
    </row>
    <row r="3384" spans="1:8">
      <c r="A3384" s="485"/>
      <c r="B3384" s="485"/>
      <c r="C3384" s="73" t="s">
        <v>10</v>
      </c>
      <c r="D3384" s="485">
        <v>2</v>
      </c>
      <c r="E3384" s="485">
        <v>1.6</v>
      </c>
      <c r="F3384" s="485"/>
      <c r="G3384" s="485">
        <v>3.5</v>
      </c>
      <c r="H3384" s="487">
        <f t="shared" si="459"/>
        <v>11.200000000000001</v>
      </c>
    </row>
    <row r="3385" spans="1:8">
      <c r="A3385" s="485"/>
      <c r="B3385" s="485" t="s">
        <v>1289</v>
      </c>
      <c r="C3385" s="73" t="s">
        <v>10</v>
      </c>
      <c r="D3385" s="485">
        <v>1</v>
      </c>
      <c r="E3385" s="485">
        <v>1.3</v>
      </c>
      <c r="F3385" s="485"/>
      <c r="G3385" s="485">
        <v>3.5</v>
      </c>
      <c r="H3385" s="487">
        <f t="shared" si="459"/>
        <v>4.55</v>
      </c>
    </row>
    <row r="3386" spans="1:8">
      <c r="A3386" s="485"/>
      <c r="B3386" s="485" t="s">
        <v>1310</v>
      </c>
      <c r="C3386" s="73" t="s">
        <v>10</v>
      </c>
      <c r="D3386" s="485">
        <v>1</v>
      </c>
      <c r="E3386" s="485">
        <v>5.35</v>
      </c>
      <c r="F3386" s="485"/>
      <c r="G3386" s="485">
        <v>3.5</v>
      </c>
      <c r="H3386" s="487">
        <f t="shared" si="459"/>
        <v>18.724999999999998</v>
      </c>
    </row>
    <row r="3387" spans="1:8">
      <c r="A3387" s="485"/>
      <c r="B3387" s="485"/>
      <c r="C3387" s="73" t="s">
        <v>10</v>
      </c>
      <c r="D3387" s="485">
        <v>-1</v>
      </c>
      <c r="E3387" s="485">
        <v>1</v>
      </c>
      <c r="F3387" s="485"/>
      <c r="G3387" s="485">
        <v>2.4</v>
      </c>
      <c r="H3387" s="487">
        <f t="shared" si="459"/>
        <v>-2.4</v>
      </c>
    </row>
    <row r="3388" spans="1:8">
      <c r="A3388" s="485"/>
      <c r="B3388" s="485"/>
      <c r="C3388" s="73" t="s">
        <v>10</v>
      </c>
      <c r="D3388" s="485">
        <v>1</v>
      </c>
      <c r="E3388" s="485">
        <v>3.3</v>
      </c>
      <c r="F3388" s="485"/>
      <c r="G3388" s="485">
        <v>3.5</v>
      </c>
      <c r="H3388" s="487">
        <f t="shared" si="459"/>
        <v>11.549999999999999</v>
      </c>
    </row>
    <row r="3389" spans="1:8">
      <c r="A3389" s="485"/>
      <c r="B3389" s="485" t="s">
        <v>1346</v>
      </c>
      <c r="C3389" s="73" t="s">
        <v>10</v>
      </c>
      <c r="D3389" s="485">
        <v>1</v>
      </c>
      <c r="E3389" s="485">
        <v>3.2</v>
      </c>
      <c r="F3389" s="485"/>
      <c r="G3389" s="485">
        <f>3.5-2.4</f>
        <v>1.1000000000000001</v>
      </c>
      <c r="H3389" s="487">
        <f t="shared" si="459"/>
        <v>3.5200000000000005</v>
      </c>
    </row>
    <row r="3390" spans="1:8">
      <c r="A3390" s="485"/>
      <c r="B3390" s="485" t="s">
        <v>1355</v>
      </c>
      <c r="C3390" s="73" t="s">
        <v>10</v>
      </c>
      <c r="D3390" s="485">
        <v>2</v>
      </c>
      <c r="E3390" s="485">
        <v>3.83</v>
      </c>
      <c r="F3390" s="485"/>
      <c r="G3390" s="485">
        <v>3.5</v>
      </c>
      <c r="H3390" s="487">
        <f t="shared" si="459"/>
        <v>26.810000000000002</v>
      </c>
    </row>
    <row r="3391" spans="1:8">
      <c r="A3391" s="485"/>
      <c r="B3391" s="485"/>
      <c r="C3391" s="73" t="s">
        <v>10</v>
      </c>
      <c r="D3391" s="485">
        <v>2</v>
      </c>
      <c r="E3391" s="485">
        <v>4.71</v>
      </c>
      <c r="F3391" s="485"/>
      <c r="G3391" s="485">
        <v>3.5</v>
      </c>
      <c r="H3391" s="487">
        <f t="shared" si="459"/>
        <v>32.97</v>
      </c>
    </row>
    <row r="3392" spans="1:8">
      <c r="A3392" s="485"/>
      <c r="B3392" s="485"/>
      <c r="C3392" s="73" t="s">
        <v>10</v>
      </c>
      <c r="D3392" s="485">
        <v>2</v>
      </c>
      <c r="E3392" s="485">
        <v>3.85</v>
      </c>
      <c r="F3392" s="485"/>
      <c r="G3392" s="485">
        <v>3.5</v>
      </c>
      <c r="H3392" s="487">
        <f t="shared" si="459"/>
        <v>26.95</v>
      </c>
    </row>
    <row r="3393" spans="1:8">
      <c r="A3393" s="485"/>
      <c r="B3393" s="485"/>
      <c r="C3393" s="73" t="s">
        <v>10</v>
      </c>
      <c r="D3393" s="485">
        <v>-2</v>
      </c>
      <c r="E3393" s="485">
        <v>1.6</v>
      </c>
      <c r="F3393" s="485"/>
      <c r="G3393" s="485">
        <v>2.4</v>
      </c>
      <c r="H3393" s="487">
        <f t="shared" si="459"/>
        <v>-7.68</v>
      </c>
    </row>
    <row r="3394" spans="1:8">
      <c r="A3394" s="485"/>
      <c r="B3394" s="485"/>
      <c r="C3394" s="73" t="s">
        <v>10</v>
      </c>
      <c r="D3394" s="485">
        <v>1</v>
      </c>
      <c r="E3394" s="485">
        <v>8.7799999999999994</v>
      </c>
      <c r="F3394" s="485"/>
      <c r="G3394" s="485">
        <v>3.5</v>
      </c>
      <c r="H3394" s="487">
        <f t="shared" si="459"/>
        <v>30.729999999999997</v>
      </c>
    </row>
    <row r="3395" spans="1:8">
      <c r="A3395" s="485"/>
      <c r="B3395" s="485"/>
      <c r="C3395" s="73" t="s">
        <v>10</v>
      </c>
      <c r="D3395" s="485">
        <v>-1</v>
      </c>
      <c r="E3395" s="485">
        <v>1</v>
      </c>
      <c r="F3395" s="485"/>
      <c r="G3395" s="485">
        <v>2.4</v>
      </c>
      <c r="H3395" s="487">
        <f t="shared" ref="H3395:H3426" si="460">PRODUCT(D3395:G3395)</f>
        <v>-2.4</v>
      </c>
    </row>
    <row r="3396" spans="1:8">
      <c r="A3396" s="485"/>
      <c r="B3396" s="485"/>
      <c r="C3396" s="73" t="s">
        <v>10</v>
      </c>
      <c r="D3396" s="485">
        <v>2</v>
      </c>
      <c r="E3396" s="485">
        <v>1</v>
      </c>
      <c r="F3396" s="485"/>
      <c r="G3396" s="485">
        <v>3.5</v>
      </c>
      <c r="H3396" s="487">
        <f t="shared" si="460"/>
        <v>7</v>
      </c>
    </row>
    <row r="3397" spans="1:8">
      <c r="A3397" s="485"/>
      <c r="B3397" s="485"/>
      <c r="C3397" s="73" t="s">
        <v>10</v>
      </c>
      <c r="D3397" s="485">
        <v>1</v>
      </c>
      <c r="E3397" s="485">
        <v>4.17</v>
      </c>
      <c r="F3397" s="485"/>
      <c r="G3397" s="485">
        <v>3.5</v>
      </c>
      <c r="H3397" s="487">
        <f t="shared" si="460"/>
        <v>14.594999999999999</v>
      </c>
    </row>
    <row r="3398" spans="1:8">
      <c r="A3398" s="485"/>
      <c r="B3398" s="485"/>
      <c r="C3398" s="73" t="s">
        <v>10</v>
      </c>
      <c r="D3398" s="485">
        <v>-1</v>
      </c>
      <c r="E3398" s="485">
        <v>1</v>
      </c>
      <c r="F3398" s="485"/>
      <c r="G3398" s="485">
        <v>2.4</v>
      </c>
      <c r="H3398" s="487">
        <f t="shared" si="460"/>
        <v>-2.4</v>
      </c>
    </row>
    <row r="3399" spans="1:8">
      <c r="A3399" s="485"/>
      <c r="B3399" s="485"/>
      <c r="C3399" s="73" t="s">
        <v>10</v>
      </c>
      <c r="D3399" s="485">
        <v>1</v>
      </c>
      <c r="E3399" s="485">
        <v>13.34</v>
      </c>
      <c r="F3399" s="485"/>
      <c r="G3399" s="485">
        <v>3.5</v>
      </c>
      <c r="H3399" s="487">
        <f t="shared" si="460"/>
        <v>46.69</v>
      </c>
    </row>
    <row r="3400" spans="1:8">
      <c r="A3400" s="485"/>
      <c r="B3400" s="485" t="s">
        <v>1356</v>
      </c>
      <c r="C3400" s="73" t="s">
        <v>10</v>
      </c>
      <c r="D3400" s="485">
        <v>1</v>
      </c>
      <c r="E3400" s="485">
        <v>6.2949999999999999</v>
      </c>
      <c r="F3400" s="485"/>
      <c r="G3400" s="485">
        <v>3.5</v>
      </c>
      <c r="H3400" s="487">
        <f t="shared" si="460"/>
        <v>22.032499999999999</v>
      </c>
    </row>
    <row r="3401" spans="1:8">
      <c r="A3401" s="485"/>
      <c r="B3401" s="485"/>
      <c r="C3401" s="73" t="s">
        <v>10</v>
      </c>
      <c r="D3401" s="485">
        <v>1</v>
      </c>
      <c r="E3401" s="485">
        <v>2.08</v>
      </c>
      <c r="F3401" s="485"/>
      <c r="G3401" s="485">
        <v>3.5</v>
      </c>
      <c r="H3401" s="487">
        <f t="shared" si="460"/>
        <v>7.28</v>
      </c>
    </row>
    <row r="3402" spans="1:8">
      <c r="A3402" s="485"/>
      <c r="B3402" s="485"/>
      <c r="C3402" s="73" t="s">
        <v>10</v>
      </c>
      <c r="D3402" s="485">
        <v>2</v>
      </c>
      <c r="E3402" s="485">
        <v>5.7</v>
      </c>
      <c r="F3402" s="485"/>
      <c r="G3402" s="485">
        <v>3.5</v>
      </c>
      <c r="H3402" s="487">
        <f t="shared" si="460"/>
        <v>39.9</v>
      </c>
    </row>
    <row r="3403" spans="1:8">
      <c r="A3403" s="485"/>
      <c r="B3403" s="485" t="s">
        <v>1340</v>
      </c>
      <c r="C3403" s="73" t="s">
        <v>10</v>
      </c>
      <c r="D3403" s="485">
        <v>1</v>
      </c>
      <c r="E3403" s="485">
        <v>6.17</v>
      </c>
      <c r="F3403" s="485"/>
      <c r="G3403" s="485">
        <v>3.5</v>
      </c>
      <c r="H3403" s="487">
        <f t="shared" si="460"/>
        <v>21.594999999999999</v>
      </c>
    </row>
    <row r="3404" spans="1:8">
      <c r="A3404" s="485"/>
      <c r="B3404" s="485"/>
      <c r="C3404" s="73" t="s">
        <v>10</v>
      </c>
      <c r="D3404" s="485">
        <v>1</v>
      </c>
      <c r="E3404" s="485">
        <v>0.55000000000000004</v>
      </c>
      <c r="F3404" s="485"/>
      <c r="G3404" s="485">
        <v>3.5</v>
      </c>
      <c r="H3404" s="487">
        <f t="shared" si="460"/>
        <v>1.9250000000000003</v>
      </c>
    </row>
    <row r="3405" spans="1:8">
      <c r="A3405" s="485"/>
      <c r="B3405" s="485"/>
      <c r="C3405" s="73" t="s">
        <v>10</v>
      </c>
      <c r="D3405" s="485">
        <v>1</v>
      </c>
      <c r="E3405" s="485">
        <v>1.1000000000000001</v>
      </c>
      <c r="F3405" s="485"/>
      <c r="G3405" s="485">
        <v>3.5</v>
      </c>
      <c r="H3405" s="487">
        <f t="shared" si="460"/>
        <v>3.8500000000000005</v>
      </c>
    </row>
    <row r="3406" spans="1:8">
      <c r="A3406" s="485"/>
      <c r="B3406" s="485" t="s">
        <v>195</v>
      </c>
      <c r="C3406" s="73" t="s">
        <v>10</v>
      </c>
      <c r="D3406" s="485">
        <v>1</v>
      </c>
      <c r="E3406" s="485">
        <v>0.2</v>
      </c>
      <c r="F3406" s="485"/>
      <c r="G3406" s="485">
        <v>3.5</v>
      </c>
      <c r="H3406" s="487">
        <f t="shared" si="460"/>
        <v>0.70000000000000007</v>
      </c>
    </row>
    <row r="3407" spans="1:8">
      <c r="A3407" s="485"/>
      <c r="B3407" s="485"/>
      <c r="C3407" s="73" t="s">
        <v>10</v>
      </c>
      <c r="D3407" s="485">
        <v>1</v>
      </c>
      <c r="E3407" s="485">
        <v>0.3</v>
      </c>
      <c r="F3407" s="485"/>
      <c r="G3407" s="485">
        <v>3.5</v>
      </c>
      <c r="H3407" s="487">
        <f t="shared" si="460"/>
        <v>1.05</v>
      </c>
    </row>
    <row r="3408" spans="1:8">
      <c r="A3408" s="485"/>
      <c r="B3408" s="485"/>
      <c r="C3408" s="73" t="s">
        <v>10</v>
      </c>
      <c r="D3408" s="485">
        <v>1</v>
      </c>
      <c r="E3408" s="485">
        <v>3.55</v>
      </c>
      <c r="F3408" s="485"/>
      <c r="G3408" s="485">
        <v>3.5</v>
      </c>
      <c r="H3408" s="487">
        <f t="shared" si="460"/>
        <v>12.424999999999999</v>
      </c>
    </row>
    <row r="3409" spans="1:8">
      <c r="A3409" s="485"/>
      <c r="B3409" s="485"/>
      <c r="C3409" s="73" t="s">
        <v>10</v>
      </c>
      <c r="D3409" s="485">
        <v>2</v>
      </c>
      <c r="E3409" s="485">
        <v>3.55</v>
      </c>
      <c r="F3409" s="485"/>
      <c r="G3409" s="485">
        <v>3.5</v>
      </c>
      <c r="H3409" s="487">
        <f t="shared" si="460"/>
        <v>24.849999999999998</v>
      </c>
    </row>
    <row r="3410" spans="1:8">
      <c r="A3410" s="485"/>
      <c r="B3410" s="485" t="s">
        <v>1346</v>
      </c>
      <c r="C3410" s="73" t="s">
        <v>10</v>
      </c>
      <c r="D3410" s="485">
        <v>1</v>
      </c>
      <c r="E3410" s="485">
        <v>4.28</v>
      </c>
      <c r="F3410" s="485"/>
      <c r="G3410" s="485">
        <f>3.5-2.4</f>
        <v>1.1000000000000001</v>
      </c>
      <c r="H3410" s="487">
        <f t="shared" si="460"/>
        <v>4.7080000000000011</v>
      </c>
    </row>
    <row r="3411" spans="1:8">
      <c r="A3411" s="485"/>
      <c r="B3411" s="485" t="s">
        <v>1230</v>
      </c>
      <c r="C3411" s="73" t="s">
        <v>10</v>
      </c>
      <c r="D3411" s="485">
        <v>1</v>
      </c>
      <c r="E3411" s="485">
        <v>3.55</v>
      </c>
      <c r="F3411" s="485"/>
      <c r="G3411" s="485">
        <v>3.5</v>
      </c>
      <c r="H3411" s="487">
        <f t="shared" si="460"/>
        <v>12.424999999999999</v>
      </c>
    </row>
    <row r="3412" spans="1:8">
      <c r="A3412" s="485"/>
      <c r="B3412" s="485" t="s">
        <v>1346</v>
      </c>
      <c r="C3412" s="73" t="s">
        <v>10</v>
      </c>
      <c r="D3412" s="485">
        <v>1</v>
      </c>
      <c r="E3412" s="485">
        <v>3.2250000000000001</v>
      </c>
      <c r="F3412" s="485"/>
      <c r="G3412" s="485">
        <v>3.5</v>
      </c>
      <c r="H3412" s="487">
        <f t="shared" si="460"/>
        <v>11.2875</v>
      </c>
    </row>
    <row r="3413" spans="1:8">
      <c r="A3413" s="485"/>
      <c r="B3413" s="485" t="s">
        <v>114</v>
      </c>
      <c r="C3413" s="73" t="s">
        <v>10</v>
      </c>
      <c r="D3413" s="485">
        <v>1</v>
      </c>
      <c r="E3413" s="485">
        <v>1.39</v>
      </c>
      <c r="F3413" s="485"/>
      <c r="G3413" s="485">
        <v>3.5</v>
      </c>
      <c r="H3413" s="487">
        <f t="shared" si="460"/>
        <v>4.8649999999999993</v>
      </c>
    </row>
    <row r="3414" spans="1:8">
      <c r="A3414" s="485"/>
      <c r="B3414" s="485" t="s">
        <v>1229</v>
      </c>
      <c r="C3414" s="73" t="s">
        <v>10</v>
      </c>
      <c r="D3414" s="485">
        <v>1</v>
      </c>
      <c r="E3414" s="485">
        <v>3.55</v>
      </c>
      <c r="F3414" s="485"/>
      <c r="G3414" s="485">
        <v>3.5</v>
      </c>
      <c r="H3414" s="487">
        <f t="shared" si="460"/>
        <v>12.424999999999999</v>
      </c>
    </row>
    <row r="3415" spans="1:8">
      <c r="A3415" s="485"/>
      <c r="B3415" s="485"/>
      <c r="C3415" s="73" t="s">
        <v>10</v>
      </c>
      <c r="D3415" s="485">
        <v>1</v>
      </c>
      <c r="E3415" s="485">
        <v>0.3</v>
      </c>
      <c r="F3415" s="485"/>
      <c r="G3415" s="485">
        <v>3.5</v>
      </c>
      <c r="H3415" s="487">
        <f t="shared" si="460"/>
        <v>1.05</v>
      </c>
    </row>
    <row r="3416" spans="1:8">
      <c r="A3416" s="485"/>
      <c r="B3416" s="485"/>
      <c r="C3416" s="73" t="s">
        <v>10</v>
      </c>
      <c r="D3416" s="485">
        <v>1</v>
      </c>
      <c r="E3416" s="485">
        <v>2.6</v>
      </c>
      <c r="F3416" s="485"/>
      <c r="G3416" s="485">
        <f>3.5-2.4</f>
        <v>1.1000000000000001</v>
      </c>
      <c r="H3416" s="487">
        <f t="shared" si="460"/>
        <v>2.8600000000000003</v>
      </c>
    </row>
    <row r="3417" spans="1:8">
      <c r="A3417" s="485"/>
      <c r="B3417" s="485" t="s">
        <v>1339</v>
      </c>
      <c r="C3417" s="73" t="s">
        <v>10</v>
      </c>
      <c r="D3417" s="485">
        <v>1</v>
      </c>
      <c r="E3417" s="485">
        <v>6</v>
      </c>
      <c r="F3417" s="485"/>
      <c r="G3417" s="485">
        <v>3.5</v>
      </c>
      <c r="H3417" s="487">
        <f t="shared" si="460"/>
        <v>21</v>
      </c>
    </row>
    <row r="3418" spans="1:8">
      <c r="A3418" s="485"/>
      <c r="B3418" s="485" t="s">
        <v>191</v>
      </c>
      <c r="C3418" s="73" t="s">
        <v>10</v>
      </c>
      <c r="D3418" s="485">
        <v>2</v>
      </c>
      <c r="E3418" s="485">
        <v>3.75</v>
      </c>
      <c r="F3418" s="485"/>
      <c r="G3418" s="485">
        <v>3.5</v>
      </c>
      <c r="H3418" s="487">
        <f t="shared" si="460"/>
        <v>26.25</v>
      </c>
    </row>
    <row r="3419" spans="1:8">
      <c r="A3419" s="485"/>
      <c r="B3419" s="485"/>
      <c r="C3419" s="73" t="s">
        <v>10</v>
      </c>
      <c r="D3419" s="485">
        <v>1</v>
      </c>
      <c r="E3419" s="485">
        <v>2.0699999999999998</v>
      </c>
      <c r="F3419" s="485"/>
      <c r="G3419" s="485">
        <v>3.5</v>
      </c>
      <c r="H3419" s="487">
        <f t="shared" si="460"/>
        <v>7.2449999999999992</v>
      </c>
    </row>
    <row r="3420" spans="1:8">
      <c r="A3420" s="485"/>
      <c r="B3420" s="485"/>
      <c r="C3420" s="73" t="s">
        <v>10</v>
      </c>
      <c r="D3420" s="485">
        <v>1</v>
      </c>
      <c r="E3420" s="485">
        <v>3.75</v>
      </c>
      <c r="F3420" s="485"/>
      <c r="G3420" s="485">
        <v>3.5</v>
      </c>
      <c r="H3420" s="487">
        <f t="shared" si="460"/>
        <v>13.125</v>
      </c>
    </row>
    <row r="3421" spans="1:8">
      <c r="A3421" s="485"/>
      <c r="B3421" s="485"/>
      <c r="C3421" s="73" t="s">
        <v>10</v>
      </c>
      <c r="D3421" s="485">
        <v>-2</v>
      </c>
      <c r="E3421" s="485">
        <v>0.75</v>
      </c>
      <c r="F3421" s="485"/>
      <c r="G3421" s="485">
        <v>2.4</v>
      </c>
      <c r="H3421" s="487">
        <f t="shared" si="460"/>
        <v>-3.5999999999999996</v>
      </c>
    </row>
    <row r="3422" spans="1:8">
      <c r="A3422" s="485"/>
      <c r="B3422" s="485"/>
      <c r="C3422" s="73" t="s">
        <v>10</v>
      </c>
      <c r="D3422" s="485">
        <v>1</v>
      </c>
      <c r="E3422" s="485">
        <v>2.0699999999999998</v>
      </c>
      <c r="F3422" s="485"/>
      <c r="G3422" s="485">
        <v>3.5</v>
      </c>
      <c r="H3422" s="487">
        <f t="shared" si="460"/>
        <v>7.2449999999999992</v>
      </c>
    </row>
    <row r="3423" spans="1:8">
      <c r="A3423" s="485"/>
      <c r="B3423" s="485" t="s">
        <v>191</v>
      </c>
      <c r="C3423" s="73" t="s">
        <v>10</v>
      </c>
      <c r="D3423" s="485">
        <v>2</v>
      </c>
      <c r="E3423" s="485">
        <v>3.6749999999999998</v>
      </c>
      <c r="F3423" s="485"/>
      <c r="G3423" s="485">
        <v>3.5</v>
      </c>
      <c r="H3423" s="487">
        <f t="shared" si="460"/>
        <v>25.724999999999998</v>
      </c>
    </row>
    <row r="3424" spans="1:8">
      <c r="A3424" s="485"/>
      <c r="B3424" s="485" t="s">
        <v>1195</v>
      </c>
      <c r="C3424" s="73" t="s">
        <v>10</v>
      </c>
      <c r="D3424" s="485">
        <v>1</v>
      </c>
      <c r="E3424" s="485">
        <v>6.4</v>
      </c>
      <c r="F3424" s="485"/>
      <c r="G3424" s="485">
        <v>3.5</v>
      </c>
      <c r="H3424" s="487">
        <f t="shared" si="460"/>
        <v>22.400000000000002</v>
      </c>
    </row>
    <row r="3425" spans="1:8">
      <c r="A3425" s="485"/>
      <c r="B3425" s="485"/>
      <c r="C3425" s="73" t="s">
        <v>10</v>
      </c>
      <c r="D3425" s="485">
        <v>1</v>
      </c>
      <c r="E3425" s="485">
        <v>3.67</v>
      </c>
      <c r="F3425" s="485"/>
      <c r="G3425" s="485">
        <v>3.5</v>
      </c>
      <c r="H3425" s="487">
        <f t="shared" si="460"/>
        <v>12.844999999999999</v>
      </c>
    </row>
    <row r="3426" spans="1:8">
      <c r="A3426" s="485"/>
      <c r="B3426" s="485" t="s">
        <v>1346</v>
      </c>
      <c r="C3426" s="73" t="s">
        <v>10</v>
      </c>
      <c r="D3426" s="485">
        <v>1</v>
      </c>
      <c r="E3426" s="485">
        <v>3.2</v>
      </c>
      <c r="F3426" s="485"/>
      <c r="G3426" s="485">
        <f>3.5-2.4</f>
        <v>1.1000000000000001</v>
      </c>
      <c r="H3426" s="487">
        <f t="shared" si="460"/>
        <v>3.5200000000000005</v>
      </c>
    </row>
    <row r="3427" spans="1:8">
      <c r="A3427" s="485"/>
      <c r="B3427" s="485" t="s">
        <v>1357</v>
      </c>
      <c r="C3427" s="73" t="s">
        <v>10</v>
      </c>
      <c r="D3427" s="485">
        <v>2</v>
      </c>
      <c r="E3427" s="485">
        <v>3.7</v>
      </c>
      <c r="F3427" s="485"/>
      <c r="G3427" s="485">
        <v>3.5</v>
      </c>
      <c r="H3427" s="487">
        <f t="shared" ref="H3427:H3443" si="461">PRODUCT(D3427:G3427)</f>
        <v>25.900000000000002</v>
      </c>
    </row>
    <row r="3428" spans="1:8">
      <c r="A3428" s="485"/>
      <c r="B3428" s="485"/>
      <c r="C3428" s="73" t="s">
        <v>10</v>
      </c>
      <c r="D3428" s="485">
        <v>1</v>
      </c>
      <c r="E3428" s="485">
        <v>3.2</v>
      </c>
      <c r="F3428" s="485"/>
      <c r="G3428" s="485">
        <f>3.5-2.4</f>
        <v>1.1000000000000001</v>
      </c>
      <c r="H3428" s="487">
        <f t="shared" si="461"/>
        <v>3.5200000000000005</v>
      </c>
    </row>
    <row r="3429" spans="1:8">
      <c r="A3429" s="485"/>
      <c r="B3429" s="485" t="s">
        <v>1358</v>
      </c>
      <c r="C3429" s="73" t="s">
        <v>10</v>
      </c>
      <c r="D3429" s="485">
        <v>1</v>
      </c>
      <c r="E3429" s="485">
        <v>1.1100000000000001</v>
      </c>
      <c r="F3429" s="485"/>
      <c r="G3429" s="485">
        <v>3.5</v>
      </c>
      <c r="H3429" s="487">
        <f t="shared" si="461"/>
        <v>3.8850000000000002</v>
      </c>
    </row>
    <row r="3430" spans="1:8">
      <c r="A3430" s="485"/>
      <c r="B3430" s="485"/>
      <c r="C3430" s="73" t="s">
        <v>10</v>
      </c>
      <c r="D3430" s="485">
        <v>-1</v>
      </c>
      <c r="E3430" s="485">
        <v>0.9</v>
      </c>
      <c r="F3430" s="485"/>
      <c r="G3430" s="485">
        <v>2.4</v>
      </c>
      <c r="H3430" s="487">
        <f t="shared" si="461"/>
        <v>-2.16</v>
      </c>
    </row>
    <row r="3431" spans="1:8">
      <c r="A3431" s="485"/>
      <c r="B3431" s="485"/>
      <c r="C3431" s="73" t="s">
        <v>10</v>
      </c>
      <c r="D3431" s="485">
        <v>1</v>
      </c>
      <c r="E3431" s="485">
        <v>2.38</v>
      </c>
      <c r="F3431" s="485"/>
      <c r="G3431" s="485">
        <v>3.5</v>
      </c>
      <c r="H3431" s="487">
        <f t="shared" si="461"/>
        <v>8.33</v>
      </c>
    </row>
    <row r="3432" spans="1:8">
      <c r="A3432" s="485"/>
      <c r="B3432" s="485"/>
      <c r="C3432" s="73" t="s">
        <v>10</v>
      </c>
      <c r="D3432" s="485">
        <v>1</v>
      </c>
      <c r="E3432" s="485">
        <v>1.31</v>
      </c>
      <c r="F3432" s="485"/>
      <c r="G3432" s="485">
        <v>3.5</v>
      </c>
      <c r="H3432" s="487">
        <f t="shared" si="461"/>
        <v>4.585</v>
      </c>
    </row>
    <row r="3433" spans="1:8">
      <c r="A3433" s="485"/>
      <c r="B3433" s="485" t="s">
        <v>1293</v>
      </c>
      <c r="C3433" s="73" t="s">
        <v>10</v>
      </c>
      <c r="D3433" s="485">
        <v>1</v>
      </c>
      <c r="E3433" s="485">
        <v>3.25</v>
      </c>
      <c r="F3433" s="485"/>
      <c r="G3433" s="485">
        <v>3.5</v>
      </c>
      <c r="H3433" s="487">
        <f t="shared" si="461"/>
        <v>11.375</v>
      </c>
    </row>
    <row r="3434" spans="1:8">
      <c r="A3434" s="485"/>
      <c r="B3434" s="485"/>
      <c r="C3434" s="73" t="s">
        <v>10</v>
      </c>
      <c r="D3434" s="485">
        <v>-1</v>
      </c>
      <c r="E3434" s="485">
        <v>1</v>
      </c>
      <c r="F3434" s="485"/>
      <c r="G3434" s="485">
        <v>2.4</v>
      </c>
      <c r="H3434" s="487">
        <f t="shared" si="461"/>
        <v>-2.4</v>
      </c>
    </row>
    <row r="3435" spans="1:8">
      <c r="A3435" s="485"/>
      <c r="B3435" s="485"/>
      <c r="C3435" s="73" t="s">
        <v>10</v>
      </c>
      <c r="D3435" s="485">
        <v>1</v>
      </c>
      <c r="E3435" s="485">
        <v>1.41</v>
      </c>
      <c r="F3435" s="485"/>
      <c r="G3435" s="485">
        <v>3.5</v>
      </c>
      <c r="H3435" s="487">
        <f t="shared" si="461"/>
        <v>4.9349999999999996</v>
      </c>
    </row>
    <row r="3436" spans="1:8">
      <c r="A3436" s="485"/>
      <c r="B3436" s="485"/>
      <c r="C3436" s="73" t="s">
        <v>10</v>
      </c>
      <c r="D3436" s="485">
        <v>1</v>
      </c>
      <c r="E3436" s="485">
        <v>1.4</v>
      </c>
      <c r="F3436" s="485" t="s">
        <v>169</v>
      </c>
      <c r="G3436" s="485">
        <v>3.5</v>
      </c>
      <c r="H3436" s="487">
        <f t="shared" si="461"/>
        <v>4.8999999999999995</v>
      </c>
    </row>
    <row r="3437" spans="1:8">
      <c r="A3437" s="485"/>
      <c r="B3437" s="485" t="s">
        <v>203</v>
      </c>
      <c r="C3437" s="73" t="s">
        <v>10</v>
      </c>
      <c r="D3437" s="485">
        <v>1</v>
      </c>
      <c r="E3437" s="485">
        <v>4</v>
      </c>
      <c r="F3437" s="485" t="s">
        <v>169</v>
      </c>
      <c r="G3437" s="485">
        <v>3.5</v>
      </c>
      <c r="H3437" s="487">
        <f t="shared" si="461"/>
        <v>14</v>
      </c>
    </row>
    <row r="3438" spans="1:8">
      <c r="A3438" s="485"/>
      <c r="B3438" s="485"/>
      <c r="C3438" s="73" t="s">
        <v>10</v>
      </c>
      <c r="D3438" s="485">
        <v>1</v>
      </c>
      <c r="E3438" s="485">
        <v>5.2</v>
      </c>
      <c r="F3438" s="485" t="s">
        <v>169</v>
      </c>
      <c r="G3438" s="485">
        <v>3.5</v>
      </c>
      <c r="H3438" s="487">
        <f t="shared" si="461"/>
        <v>18.2</v>
      </c>
    </row>
    <row r="3439" spans="1:8">
      <c r="A3439" s="485"/>
      <c r="B3439" s="485"/>
      <c r="C3439" s="73" t="s">
        <v>10</v>
      </c>
      <c r="D3439" s="485">
        <v>-1</v>
      </c>
      <c r="E3439" s="485">
        <v>1</v>
      </c>
      <c r="F3439" s="485"/>
      <c r="G3439" s="485">
        <v>2.4</v>
      </c>
      <c r="H3439" s="487">
        <f t="shared" si="461"/>
        <v>-2.4</v>
      </c>
    </row>
    <row r="3440" spans="1:8">
      <c r="A3440" s="485"/>
      <c r="B3440" s="485" t="s">
        <v>1207</v>
      </c>
      <c r="C3440" s="73" t="s">
        <v>10</v>
      </c>
      <c r="D3440" s="485">
        <v>1</v>
      </c>
      <c r="E3440" s="485">
        <v>0.3</v>
      </c>
      <c r="F3440" s="485"/>
      <c r="G3440" s="485">
        <v>3.5</v>
      </c>
      <c r="H3440" s="487">
        <f t="shared" si="461"/>
        <v>1.05</v>
      </c>
    </row>
    <row r="3441" spans="1:8">
      <c r="A3441" s="485"/>
      <c r="B3441" s="485"/>
      <c r="C3441" s="73" t="s">
        <v>10</v>
      </c>
      <c r="D3441" s="485">
        <v>1</v>
      </c>
      <c r="E3441" s="485">
        <v>0.25</v>
      </c>
      <c r="F3441" s="485"/>
      <c r="G3441" s="485">
        <v>3.5</v>
      </c>
      <c r="H3441" s="487">
        <f t="shared" si="461"/>
        <v>0.875</v>
      </c>
    </row>
    <row r="3442" spans="1:8">
      <c r="A3442" s="485"/>
      <c r="B3442" s="485" t="s">
        <v>1346</v>
      </c>
      <c r="C3442" s="73" t="s">
        <v>10</v>
      </c>
      <c r="D3442" s="485">
        <v>1</v>
      </c>
      <c r="E3442" s="485">
        <v>3.25</v>
      </c>
      <c r="F3442" s="485"/>
      <c r="G3442" s="485">
        <f>3.5-2.4</f>
        <v>1.1000000000000001</v>
      </c>
      <c r="H3442" s="487">
        <f t="shared" si="461"/>
        <v>3.5750000000000002</v>
      </c>
    </row>
    <row r="3443" spans="1:8">
      <c r="A3443" s="485"/>
      <c r="B3443" s="485"/>
      <c r="C3443" s="73" t="s">
        <v>10</v>
      </c>
      <c r="D3443" s="485">
        <v>1</v>
      </c>
      <c r="E3443" s="485">
        <v>4.66</v>
      </c>
      <c r="F3443" s="485"/>
      <c r="G3443" s="485">
        <f>3.5-2.4</f>
        <v>1.1000000000000001</v>
      </c>
      <c r="H3443" s="487">
        <f t="shared" si="461"/>
        <v>5.1260000000000003</v>
      </c>
    </row>
    <row r="3444" spans="1:8">
      <c r="A3444" s="485"/>
      <c r="B3444" s="485" t="s">
        <v>1394</v>
      </c>
      <c r="C3444" s="486"/>
      <c r="D3444" s="485"/>
      <c r="E3444" s="485"/>
      <c r="F3444" s="485"/>
      <c r="G3444" s="485"/>
      <c r="H3444" s="487"/>
    </row>
    <row r="3445" spans="1:8">
      <c r="A3445" s="17"/>
      <c r="B3445" s="17" t="s">
        <v>1359</v>
      </c>
      <c r="C3445" s="73" t="s">
        <v>10</v>
      </c>
      <c r="D3445" s="17">
        <v>1</v>
      </c>
      <c r="E3445" s="17">
        <v>6.27</v>
      </c>
      <c r="F3445" s="17"/>
      <c r="G3445" s="17">
        <v>3.5</v>
      </c>
      <c r="H3445" s="18">
        <f t="shared" ref="H3445:H3466" si="462">PRODUCT(D3445:G3445)</f>
        <v>21.945</v>
      </c>
    </row>
    <row r="3446" spans="1:8">
      <c r="A3446" s="17"/>
      <c r="B3446" s="17"/>
      <c r="C3446" s="73" t="s">
        <v>10</v>
      </c>
      <c r="D3446" s="17">
        <v>1</v>
      </c>
      <c r="E3446" s="17">
        <v>9.67</v>
      </c>
      <c r="F3446" s="17"/>
      <c r="G3446" s="17">
        <v>3.5</v>
      </c>
      <c r="H3446" s="18">
        <f t="shared" si="462"/>
        <v>33.844999999999999</v>
      </c>
    </row>
    <row r="3447" spans="1:8">
      <c r="A3447" s="17"/>
      <c r="B3447" s="17" t="s">
        <v>1222</v>
      </c>
      <c r="C3447" s="73" t="s">
        <v>10</v>
      </c>
      <c r="D3447" s="17">
        <v>1</v>
      </c>
      <c r="E3447" s="17">
        <v>1.45</v>
      </c>
      <c r="F3447" s="17"/>
      <c r="G3447" s="17">
        <v>3.5</v>
      </c>
      <c r="H3447" s="18">
        <f t="shared" si="462"/>
        <v>5.0750000000000002</v>
      </c>
    </row>
    <row r="3448" spans="1:8">
      <c r="A3448" s="17"/>
      <c r="B3448" s="17"/>
      <c r="C3448" s="73" t="s">
        <v>10</v>
      </c>
      <c r="D3448" s="17">
        <v>1</v>
      </c>
      <c r="E3448" s="17">
        <v>1.2250000000000001</v>
      </c>
      <c r="F3448" s="17"/>
      <c r="G3448" s="17">
        <v>3.5</v>
      </c>
      <c r="H3448" s="18">
        <f t="shared" si="462"/>
        <v>4.2875000000000005</v>
      </c>
    </row>
    <row r="3449" spans="1:8">
      <c r="A3449" s="485"/>
      <c r="B3449" s="485"/>
      <c r="C3449" s="73" t="s">
        <v>10</v>
      </c>
      <c r="D3449" s="485">
        <v>1</v>
      </c>
      <c r="E3449" s="485">
        <v>1.18</v>
      </c>
      <c r="F3449" s="485"/>
      <c r="G3449" s="17">
        <v>3.5</v>
      </c>
      <c r="H3449" s="18">
        <f t="shared" si="462"/>
        <v>4.13</v>
      </c>
    </row>
    <row r="3450" spans="1:8">
      <c r="A3450" s="17"/>
      <c r="B3450" s="17" t="s">
        <v>1218</v>
      </c>
      <c r="C3450" s="73" t="s">
        <v>10</v>
      </c>
      <c r="D3450" s="17">
        <v>1</v>
      </c>
      <c r="E3450" s="17">
        <v>6.5</v>
      </c>
      <c r="F3450" s="17"/>
      <c r="G3450" s="17">
        <v>3.5</v>
      </c>
      <c r="H3450" s="18">
        <f t="shared" si="462"/>
        <v>22.75</v>
      </c>
    </row>
    <row r="3451" spans="1:8">
      <c r="A3451" s="485"/>
      <c r="B3451" s="485"/>
      <c r="C3451" s="73" t="s">
        <v>10</v>
      </c>
      <c r="D3451" s="17">
        <v>2</v>
      </c>
      <c r="E3451" s="17">
        <v>2.4500000000000002</v>
      </c>
      <c r="F3451" s="17"/>
      <c r="G3451" s="17">
        <v>3.5</v>
      </c>
      <c r="H3451" s="18">
        <f t="shared" si="462"/>
        <v>17.150000000000002</v>
      </c>
    </row>
    <row r="3452" spans="1:8">
      <c r="A3452" s="485"/>
      <c r="B3452" s="485"/>
      <c r="C3452" s="73" t="s">
        <v>10</v>
      </c>
      <c r="D3452" s="485">
        <v>1</v>
      </c>
      <c r="E3452" s="485">
        <v>2.25</v>
      </c>
      <c r="F3452" s="485"/>
      <c r="G3452" s="17">
        <v>3.5</v>
      </c>
      <c r="H3452" s="18">
        <f t="shared" si="462"/>
        <v>7.875</v>
      </c>
    </row>
    <row r="3453" spans="1:8">
      <c r="A3453" s="485"/>
      <c r="B3453" s="485"/>
      <c r="C3453" s="73" t="s">
        <v>10</v>
      </c>
      <c r="D3453" s="485">
        <v>1</v>
      </c>
      <c r="E3453" s="485">
        <f>0.8+0.6</f>
        <v>1.4</v>
      </c>
      <c r="F3453" s="485"/>
      <c r="G3453" s="17">
        <v>3.5</v>
      </c>
      <c r="H3453" s="18">
        <f t="shared" si="462"/>
        <v>4.8999999999999995</v>
      </c>
    </row>
    <row r="3454" spans="1:8">
      <c r="A3454" s="485"/>
      <c r="B3454" s="485" t="s">
        <v>171</v>
      </c>
      <c r="C3454" s="73" t="s">
        <v>10</v>
      </c>
      <c r="D3454" s="485">
        <v>1</v>
      </c>
      <c r="E3454" s="485">
        <v>2.95</v>
      </c>
      <c r="F3454" s="485"/>
      <c r="G3454" s="17">
        <v>3.5</v>
      </c>
      <c r="H3454" s="18">
        <f t="shared" si="462"/>
        <v>10.325000000000001</v>
      </c>
    </row>
    <row r="3455" spans="1:8">
      <c r="A3455" s="485"/>
      <c r="B3455" s="485"/>
      <c r="C3455" s="73" t="s">
        <v>10</v>
      </c>
      <c r="D3455" s="485">
        <v>1</v>
      </c>
      <c r="E3455" s="485">
        <v>1.88</v>
      </c>
      <c r="F3455" s="485"/>
      <c r="G3455" s="17">
        <v>3.5</v>
      </c>
      <c r="H3455" s="18">
        <f t="shared" si="462"/>
        <v>6.58</v>
      </c>
    </row>
    <row r="3456" spans="1:8">
      <c r="A3456" s="485"/>
      <c r="B3456" s="485"/>
      <c r="C3456" s="73" t="s">
        <v>10</v>
      </c>
      <c r="D3456" s="485">
        <v>-1</v>
      </c>
      <c r="E3456" s="485">
        <v>1</v>
      </c>
      <c r="F3456" s="485"/>
      <c r="G3456" s="485">
        <v>2.4</v>
      </c>
      <c r="H3456" s="487">
        <f t="shared" si="462"/>
        <v>-2.4</v>
      </c>
    </row>
    <row r="3457" spans="1:8">
      <c r="A3457" s="485"/>
      <c r="B3457" s="485" t="s">
        <v>204</v>
      </c>
      <c r="C3457" s="73" t="s">
        <v>10</v>
      </c>
      <c r="D3457" s="485">
        <v>1</v>
      </c>
      <c r="E3457" s="485">
        <v>0.95199999999999996</v>
      </c>
      <c r="F3457" s="485"/>
      <c r="G3457" s="485">
        <v>3.5</v>
      </c>
      <c r="H3457" s="487">
        <f t="shared" si="462"/>
        <v>3.3319999999999999</v>
      </c>
    </row>
    <row r="3458" spans="1:8">
      <c r="A3458" s="485"/>
      <c r="B3458" s="485"/>
      <c r="C3458" s="73" t="s">
        <v>10</v>
      </c>
      <c r="D3458" s="485">
        <v>1</v>
      </c>
      <c r="E3458" s="485">
        <v>2.7</v>
      </c>
      <c r="F3458" s="485"/>
      <c r="G3458" s="485">
        <v>3.5</v>
      </c>
      <c r="H3458" s="487">
        <f t="shared" si="462"/>
        <v>9.4500000000000011</v>
      </c>
    </row>
    <row r="3459" spans="1:8">
      <c r="A3459" s="485"/>
      <c r="B3459" s="485"/>
      <c r="C3459" s="73" t="s">
        <v>10</v>
      </c>
      <c r="D3459" s="485">
        <v>1</v>
      </c>
      <c r="E3459" s="485">
        <v>6.4</v>
      </c>
      <c r="F3459" s="485"/>
      <c r="G3459" s="485">
        <v>3.5</v>
      </c>
      <c r="H3459" s="487">
        <f t="shared" si="462"/>
        <v>22.400000000000002</v>
      </c>
    </row>
    <row r="3460" spans="1:8">
      <c r="A3460" s="485"/>
      <c r="B3460" s="485"/>
      <c r="C3460" s="73" t="s">
        <v>10</v>
      </c>
      <c r="D3460" s="485">
        <v>1</v>
      </c>
      <c r="E3460" s="485">
        <v>2.52</v>
      </c>
      <c r="F3460" s="485"/>
      <c r="G3460" s="485">
        <v>3.5</v>
      </c>
      <c r="H3460" s="487">
        <f t="shared" si="462"/>
        <v>8.82</v>
      </c>
    </row>
    <row r="3461" spans="1:8">
      <c r="A3461" s="485"/>
      <c r="B3461" s="485"/>
      <c r="C3461" s="73" t="s">
        <v>10</v>
      </c>
      <c r="D3461" s="485">
        <v>1</v>
      </c>
      <c r="E3461" s="485">
        <v>2</v>
      </c>
      <c r="F3461" s="485"/>
      <c r="G3461" s="485">
        <v>3.5</v>
      </c>
      <c r="H3461" s="487">
        <f t="shared" si="462"/>
        <v>7</v>
      </c>
    </row>
    <row r="3462" spans="1:8">
      <c r="A3462" s="485"/>
      <c r="B3462" s="485"/>
      <c r="C3462" s="73" t="s">
        <v>10</v>
      </c>
      <c r="D3462" s="485">
        <v>-1</v>
      </c>
      <c r="E3462" s="485">
        <v>1</v>
      </c>
      <c r="F3462" s="485"/>
      <c r="G3462" s="485">
        <v>2.4</v>
      </c>
      <c r="H3462" s="487">
        <f t="shared" si="462"/>
        <v>-2.4</v>
      </c>
    </row>
    <row r="3463" spans="1:8">
      <c r="A3463" s="485"/>
      <c r="B3463" s="485" t="s">
        <v>1313</v>
      </c>
      <c r="C3463" s="73" t="s">
        <v>10</v>
      </c>
      <c r="D3463" s="485">
        <v>1</v>
      </c>
      <c r="E3463" s="485">
        <v>1.3</v>
      </c>
      <c r="F3463" s="485"/>
      <c r="G3463" s="485">
        <v>3.5</v>
      </c>
      <c r="H3463" s="487">
        <f t="shared" si="462"/>
        <v>4.55</v>
      </c>
    </row>
    <row r="3464" spans="1:8">
      <c r="A3464" s="485"/>
      <c r="B3464" s="485"/>
      <c r="C3464" s="73" t="s">
        <v>10</v>
      </c>
      <c r="D3464" s="485">
        <v>1</v>
      </c>
      <c r="E3464" s="485">
        <v>2.35</v>
      </c>
      <c r="F3464" s="485"/>
      <c r="G3464" s="485">
        <v>3.5</v>
      </c>
      <c r="H3464" s="487">
        <f t="shared" si="462"/>
        <v>8.2249999999999996</v>
      </c>
    </row>
    <row r="3465" spans="1:8">
      <c r="A3465" s="485"/>
      <c r="B3465" s="485"/>
      <c r="C3465" s="73" t="s">
        <v>10</v>
      </c>
      <c r="D3465" s="485">
        <v>-1</v>
      </c>
      <c r="E3465" s="485">
        <v>1</v>
      </c>
      <c r="F3465" s="485"/>
      <c r="G3465" s="485">
        <v>2.4</v>
      </c>
      <c r="H3465" s="487">
        <f t="shared" si="462"/>
        <v>-2.4</v>
      </c>
    </row>
    <row r="3466" spans="1:8">
      <c r="A3466" s="485"/>
      <c r="B3466" s="485"/>
      <c r="C3466" s="73" t="s">
        <v>10</v>
      </c>
      <c r="D3466" s="485">
        <v>1</v>
      </c>
      <c r="E3466" s="485">
        <v>10.15</v>
      </c>
      <c r="F3466" s="485"/>
      <c r="G3466" s="485">
        <v>3.5</v>
      </c>
      <c r="H3466" s="487">
        <f t="shared" si="462"/>
        <v>35.524999999999999</v>
      </c>
    </row>
    <row r="3467" spans="1:8">
      <c r="A3467" s="485"/>
      <c r="B3467" s="485"/>
      <c r="C3467" s="486"/>
      <c r="D3467" s="485"/>
      <c r="E3467" s="485"/>
      <c r="F3467" s="485"/>
      <c r="G3467" s="485"/>
      <c r="H3467" s="487"/>
    </row>
    <row r="3468" spans="1:8">
      <c r="A3468" s="17"/>
      <c r="B3468" s="17"/>
      <c r="C3468" s="17"/>
      <c r="D3468" s="17"/>
      <c r="E3468" s="17"/>
      <c r="F3468" s="17"/>
      <c r="G3468" s="17"/>
      <c r="H3468" s="18"/>
    </row>
    <row r="3469" spans="1:8">
      <c r="A3469" s="15"/>
      <c r="B3469" s="15" t="s">
        <v>21</v>
      </c>
      <c r="C3469" s="15"/>
      <c r="D3469" s="15"/>
      <c r="E3469" s="15"/>
      <c r="F3469" s="15"/>
      <c r="G3469" s="15"/>
      <c r="H3469" s="20">
        <f>SUM(H3278:H3468)</f>
        <v>1910.5479999999986</v>
      </c>
    </row>
    <row r="3470" spans="1:8">
      <c r="A3470" s="17"/>
      <c r="B3470" s="17" t="s">
        <v>22</v>
      </c>
      <c r="C3470" s="17"/>
      <c r="D3470" s="17"/>
      <c r="E3470" s="17"/>
      <c r="F3470" s="17"/>
      <c r="G3470" s="17"/>
      <c r="H3470" s="18"/>
    </row>
    <row r="3471" spans="1:8">
      <c r="A3471" s="15"/>
      <c r="B3471" s="15" t="s">
        <v>23</v>
      </c>
      <c r="C3471" s="15"/>
      <c r="D3471" s="15"/>
      <c r="E3471" s="15"/>
      <c r="F3471" s="15"/>
      <c r="G3471" s="15"/>
      <c r="H3471" s="20">
        <f>ROUND(SUM(H3469:H3470),0)</f>
        <v>1911</v>
      </c>
    </row>
    <row r="3473" spans="1:8">
      <c r="A3473" s="17">
        <v>4</v>
      </c>
      <c r="B3473" s="15" t="s">
        <v>130</v>
      </c>
      <c r="C3473" s="17" t="s">
        <v>10</v>
      </c>
      <c r="D3473" s="17"/>
      <c r="E3473" s="17"/>
      <c r="F3473" s="17"/>
      <c r="G3473" s="17"/>
      <c r="H3473" s="18"/>
    </row>
    <row r="3474" spans="1:8">
      <c r="A3474" s="17"/>
      <c r="B3474" s="17" t="s">
        <v>2142</v>
      </c>
      <c r="C3474" s="17" t="s">
        <v>10</v>
      </c>
      <c r="D3474" s="17">
        <v>1</v>
      </c>
      <c r="E3474" s="17">
        <v>1.65</v>
      </c>
      <c r="F3474" s="17"/>
      <c r="G3474" s="17">
        <f>1.35</f>
        <v>1.35</v>
      </c>
      <c r="H3474" s="18">
        <f t="shared" ref="H3474:H3476" si="463">PRODUCT(D3474:G3474)</f>
        <v>2.2275</v>
      </c>
    </row>
    <row r="3475" spans="1:8" s="948" customFormat="1">
      <c r="A3475" s="17"/>
      <c r="B3475" s="17" t="s">
        <v>197</v>
      </c>
      <c r="C3475" s="17" t="s">
        <v>10</v>
      </c>
      <c r="D3475" s="17">
        <v>1</v>
      </c>
      <c r="E3475" s="17">
        <v>2.9</v>
      </c>
      <c r="F3475" s="17"/>
      <c r="G3475" s="17">
        <f>1.35</f>
        <v>1.35</v>
      </c>
      <c r="H3475" s="18">
        <f t="shared" ref="H3475" si="464">PRODUCT(D3475:G3475)</f>
        <v>3.915</v>
      </c>
    </row>
    <row r="3476" spans="1:8">
      <c r="A3476" s="17"/>
      <c r="B3476" s="17"/>
      <c r="C3476" s="17" t="s">
        <v>10</v>
      </c>
      <c r="D3476" s="17">
        <v>1</v>
      </c>
      <c r="E3476" s="17">
        <v>2.9</v>
      </c>
      <c r="F3476" s="17"/>
      <c r="G3476" s="17">
        <f>1.35</f>
        <v>1.35</v>
      </c>
      <c r="H3476" s="18">
        <f t="shared" si="463"/>
        <v>3.915</v>
      </c>
    </row>
    <row r="3477" spans="1:8">
      <c r="A3477" s="17"/>
      <c r="B3477" s="17" t="s">
        <v>1199</v>
      </c>
      <c r="C3477" s="17" t="s">
        <v>10</v>
      </c>
      <c r="D3477" s="17">
        <v>1</v>
      </c>
      <c r="E3477" s="17">
        <v>2.4500000000000002</v>
      </c>
      <c r="F3477" s="17"/>
      <c r="G3477" s="17">
        <v>1.35</v>
      </c>
      <c r="H3477" s="18">
        <f t="shared" ref="H3477" si="465">PRODUCT(D3477:G3477)</f>
        <v>3.3075000000000006</v>
      </c>
    </row>
    <row r="3478" spans="1:8">
      <c r="A3478" s="17"/>
      <c r="B3478" s="17" t="s">
        <v>1327</v>
      </c>
      <c r="C3478" s="17" t="s">
        <v>10</v>
      </c>
      <c r="D3478" s="17">
        <v>1</v>
      </c>
      <c r="E3478" s="17">
        <v>2.4500000000000002</v>
      </c>
      <c r="F3478" s="17"/>
      <c r="G3478" s="17">
        <v>1.35</v>
      </c>
      <c r="H3478" s="18">
        <f t="shared" ref="H3478" si="466">PRODUCT(D3478:G3478)</f>
        <v>3.3075000000000006</v>
      </c>
    </row>
    <row r="3479" spans="1:8">
      <c r="A3479" s="485"/>
      <c r="B3479" s="485" t="s">
        <v>1196</v>
      </c>
      <c r="C3479" s="17" t="s">
        <v>10</v>
      </c>
      <c r="D3479" s="17">
        <v>1</v>
      </c>
      <c r="E3479" s="17">
        <v>2.85</v>
      </c>
      <c r="F3479" s="17"/>
      <c r="G3479" s="17">
        <v>1.35</v>
      </c>
      <c r="H3479" s="18">
        <f t="shared" ref="H3479:H3481" si="467">PRODUCT(D3479:G3479)</f>
        <v>3.8475000000000006</v>
      </c>
    </row>
    <row r="3480" spans="1:8">
      <c r="A3480" s="485"/>
      <c r="B3480" s="485"/>
      <c r="C3480" s="17" t="s">
        <v>10</v>
      </c>
      <c r="D3480" s="485">
        <v>1</v>
      </c>
      <c r="E3480" s="485">
        <v>4.72</v>
      </c>
      <c r="F3480" s="485"/>
      <c r="G3480" s="17">
        <v>1.35</v>
      </c>
      <c r="H3480" s="18">
        <f t="shared" si="467"/>
        <v>6.3719999999999999</v>
      </c>
    </row>
    <row r="3481" spans="1:8">
      <c r="A3481" s="17"/>
      <c r="B3481" s="17" t="s">
        <v>1299</v>
      </c>
      <c r="C3481" s="17" t="s">
        <v>10</v>
      </c>
      <c r="D3481" s="17">
        <v>1</v>
      </c>
      <c r="E3481" s="17">
        <v>2.4500000000000002</v>
      </c>
      <c r="F3481" s="17"/>
      <c r="G3481" s="17">
        <v>1.35</v>
      </c>
      <c r="H3481" s="18">
        <f t="shared" si="467"/>
        <v>3.3075000000000006</v>
      </c>
    </row>
    <row r="3482" spans="1:8">
      <c r="A3482" s="17"/>
      <c r="B3482" s="17" t="s">
        <v>1300</v>
      </c>
      <c r="C3482" s="17" t="s">
        <v>10</v>
      </c>
      <c r="D3482" s="17">
        <v>1</v>
      </c>
      <c r="E3482" s="17">
        <v>2.4500000000000002</v>
      </c>
      <c r="F3482" s="17"/>
      <c r="G3482" s="17">
        <v>1.35</v>
      </c>
      <c r="H3482" s="18">
        <f t="shared" ref="H3482" si="468">PRODUCT(D3482:G3482)</f>
        <v>3.3075000000000006</v>
      </c>
    </row>
    <row r="3483" spans="1:8">
      <c r="A3483" s="17"/>
      <c r="B3483" s="17" t="s">
        <v>1301</v>
      </c>
      <c r="C3483" s="17" t="s">
        <v>10</v>
      </c>
      <c r="D3483" s="17">
        <v>1</v>
      </c>
      <c r="E3483" s="17">
        <v>2.4500000000000002</v>
      </c>
      <c r="F3483" s="17"/>
      <c r="G3483" s="17">
        <v>1.35</v>
      </c>
      <c r="H3483" s="18">
        <f t="shared" ref="H3483" si="469">PRODUCT(D3483:G3483)</f>
        <v>3.3075000000000006</v>
      </c>
    </row>
    <row r="3484" spans="1:8">
      <c r="A3484" s="17"/>
      <c r="B3484" s="17" t="s">
        <v>1201</v>
      </c>
      <c r="C3484" s="17" t="s">
        <v>10</v>
      </c>
      <c r="D3484" s="17">
        <v>1</v>
      </c>
      <c r="E3484" s="17">
        <v>2.7</v>
      </c>
      <c r="F3484" s="17"/>
      <c r="G3484" s="17">
        <v>1.35</v>
      </c>
      <c r="H3484" s="18">
        <f t="shared" ref="H3484" si="470">PRODUCT(D3484:G3484)</f>
        <v>3.6450000000000005</v>
      </c>
    </row>
    <row r="3485" spans="1:8">
      <c r="A3485" s="17"/>
      <c r="B3485" s="17" t="s">
        <v>1202</v>
      </c>
      <c r="C3485" s="17" t="s">
        <v>10</v>
      </c>
      <c r="D3485" s="17">
        <v>1</v>
      </c>
      <c r="E3485" s="17">
        <v>2.7</v>
      </c>
      <c r="F3485" s="17"/>
      <c r="G3485" s="17">
        <v>1.35</v>
      </c>
      <c r="H3485" s="18">
        <f t="shared" ref="H3485" si="471">PRODUCT(D3485:G3485)</f>
        <v>3.6450000000000005</v>
      </c>
    </row>
    <row r="3486" spans="1:8">
      <c r="A3486" s="17"/>
      <c r="B3486" s="17" t="s">
        <v>2038</v>
      </c>
      <c r="C3486" s="17" t="s">
        <v>10</v>
      </c>
      <c r="D3486" s="17">
        <v>2</v>
      </c>
      <c r="E3486" s="17">
        <v>2.4</v>
      </c>
      <c r="F3486" s="17"/>
      <c r="G3486" s="17">
        <v>1.35</v>
      </c>
      <c r="H3486" s="18">
        <f t="shared" ref="H3486" si="472">PRODUCT(D3486:G3486)</f>
        <v>6.48</v>
      </c>
    </row>
    <row r="3487" spans="1:8">
      <c r="A3487" s="17"/>
      <c r="B3487" s="17" t="s">
        <v>1242</v>
      </c>
      <c r="C3487" s="17" t="s">
        <v>10</v>
      </c>
      <c r="D3487" s="17">
        <v>1</v>
      </c>
      <c r="E3487" s="17">
        <v>3.8</v>
      </c>
      <c r="F3487" s="17"/>
      <c r="G3487" s="17">
        <v>1.35</v>
      </c>
      <c r="H3487" s="18">
        <f t="shared" ref="H3487" si="473">PRODUCT(D3487:G3487)</f>
        <v>5.13</v>
      </c>
    </row>
    <row r="3488" spans="1:8">
      <c r="A3488" s="17"/>
      <c r="B3488" s="17" t="s">
        <v>1243</v>
      </c>
      <c r="C3488" s="17" t="s">
        <v>10</v>
      </c>
      <c r="D3488" s="17">
        <v>1</v>
      </c>
      <c r="E3488" s="17">
        <v>3.8</v>
      </c>
      <c r="F3488" s="17"/>
      <c r="G3488" s="17">
        <v>1.35</v>
      </c>
      <c r="H3488" s="18">
        <f t="shared" ref="H3488:H3490" si="474">PRODUCT(D3488:G3488)</f>
        <v>5.13</v>
      </c>
    </row>
    <row r="3489" spans="1:8">
      <c r="A3489" s="485"/>
      <c r="B3489" s="485" t="s">
        <v>1216</v>
      </c>
      <c r="C3489" s="17" t="s">
        <v>10</v>
      </c>
      <c r="D3489" s="485">
        <v>1</v>
      </c>
      <c r="E3489" s="485">
        <v>3.2</v>
      </c>
      <c r="F3489" s="485"/>
      <c r="G3489" s="485">
        <v>1.35</v>
      </c>
      <c r="H3489" s="487">
        <f t="shared" si="474"/>
        <v>4.32</v>
      </c>
    </row>
    <row r="3490" spans="1:8">
      <c r="A3490" s="485"/>
      <c r="B3490" s="485"/>
      <c r="C3490" s="17" t="s">
        <v>10</v>
      </c>
      <c r="D3490" s="485">
        <v>1</v>
      </c>
      <c r="E3490" s="485">
        <v>3.9</v>
      </c>
      <c r="F3490" s="485"/>
      <c r="G3490" s="485">
        <v>1.35</v>
      </c>
      <c r="H3490" s="487">
        <f t="shared" si="474"/>
        <v>5.2650000000000006</v>
      </c>
    </row>
    <row r="3491" spans="1:8">
      <c r="A3491" s="485"/>
      <c r="B3491" s="485" t="s">
        <v>1310</v>
      </c>
      <c r="C3491" s="17" t="s">
        <v>10</v>
      </c>
      <c r="D3491" s="485">
        <v>1</v>
      </c>
      <c r="E3491" s="485">
        <v>3.2</v>
      </c>
      <c r="F3491" s="485"/>
      <c r="G3491" s="485">
        <v>1.35</v>
      </c>
      <c r="H3491" s="487">
        <f t="shared" ref="H3491:H3495" si="475">PRODUCT(D3491:G3491)</f>
        <v>4.32</v>
      </c>
    </row>
    <row r="3492" spans="1:8">
      <c r="A3492" s="485"/>
      <c r="B3492" s="485"/>
      <c r="C3492" s="17" t="s">
        <v>10</v>
      </c>
      <c r="D3492" s="485">
        <v>1</v>
      </c>
      <c r="E3492" s="485">
        <v>3.2</v>
      </c>
      <c r="F3492" s="485"/>
      <c r="G3492" s="485">
        <v>1.35</v>
      </c>
      <c r="H3492" s="487">
        <f t="shared" si="475"/>
        <v>4.32</v>
      </c>
    </row>
    <row r="3493" spans="1:8" s="948" customFormat="1">
      <c r="A3493" s="485"/>
      <c r="B3493" s="485" t="s">
        <v>206</v>
      </c>
      <c r="C3493" s="17" t="s">
        <v>10</v>
      </c>
      <c r="D3493" s="485">
        <v>1</v>
      </c>
      <c r="E3493" s="485">
        <v>1.2</v>
      </c>
      <c r="F3493" s="485"/>
      <c r="G3493" s="485">
        <v>1.35</v>
      </c>
      <c r="H3493" s="487">
        <f t="shared" ref="H3493:H3494" si="476">PRODUCT(D3493:G3493)</f>
        <v>1.62</v>
      </c>
    </row>
    <row r="3494" spans="1:8" s="948" customFormat="1">
      <c r="A3494" s="485"/>
      <c r="B3494" s="485" t="s">
        <v>2141</v>
      </c>
      <c r="C3494" s="17" t="s">
        <v>10</v>
      </c>
      <c r="D3494" s="485">
        <v>1</v>
      </c>
      <c r="E3494" s="485">
        <v>1.2</v>
      </c>
      <c r="F3494" s="485"/>
      <c r="G3494" s="485">
        <v>1.35</v>
      </c>
      <c r="H3494" s="487">
        <f t="shared" si="476"/>
        <v>1.62</v>
      </c>
    </row>
    <row r="3495" spans="1:8">
      <c r="A3495" s="17"/>
      <c r="B3495" s="17" t="s">
        <v>1213</v>
      </c>
      <c r="C3495" s="17" t="s">
        <v>10</v>
      </c>
      <c r="D3495" s="17">
        <v>1</v>
      </c>
      <c r="E3495" s="17">
        <v>2.5499999999999998</v>
      </c>
      <c r="F3495" s="17"/>
      <c r="G3495" s="17">
        <v>1.35</v>
      </c>
      <c r="H3495" s="18">
        <f t="shared" si="475"/>
        <v>3.4424999999999999</v>
      </c>
    </row>
    <row r="3496" spans="1:8">
      <c r="A3496" s="17"/>
      <c r="B3496" s="17" t="s">
        <v>1214</v>
      </c>
      <c r="C3496" s="17" t="s">
        <v>10</v>
      </c>
      <c r="D3496" s="17">
        <v>1</v>
      </c>
      <c r="E3496" s="17">
        <v>2.5499999999999998</v>
      </c>
      <c r="F3496" s="17"/>
      <c r="G3496" s="17">
        <v>1.35</v>
      </c>
      <c r="H3496" s="18">
        <f t="shared" ref="H3496" si="477">PRODUCT(D3496:G3496)</f>
        <v>3.4424999999999999</v>
      </c>
    </row>
    <row r="3497" spans="1:8">
      <c r="A3497" s="485"/>
      <c r="B3497" s="485" t="s">
        <v>1217</v>
      </c>
      <c r="C3497" s="17" t="s">
        <v>10</v>
      </c>
      <c r="D3497" s="17">
        <v>1</v>
      </c>
      <c r="E3497" s="17">
        <v>4.3499999999999996</v>
      </c>
      <c r="F3497" s="17"/>
      <c r="G3497" s="17">
        <v>2.6</v>
      </c>
      <c r="H3497" s="18">
        <f t="shared" ref="H3497" si="478">PRODUCT(D3497:G3497)</f>
        <v>11.309999999999999</v>
      </c>
    </row>
    <row r="3498" spans="1:8">
      <c r="A3498" s="485"/>
      <c r="B3498" s="485" t="s">
        <v>1280</v>
      </c>
      <c r="C3498" s="17" t="s">
        <v>10</v>
      </c>
      <c r="D3498" s="485">
        <v>1</v>
      </c>
      <c r="E3498" s="17">
        <v>2.4500000000000002</v>
      </c>
      <c r="F3498" s="485"/>
      <c r="G3498" s="17">
        <v>1.35</v>
      </c>
      <c r="H3498" s="18">
        <f t="shared" ref="H3498" si="479">PRODUCT(D3498:G3498)</f>
        <v>3.3075000000000006</v>
      </c>
    </row>
    <row r="3499" spans="1:8" s="948" customFormat="1">
      <c r="A3499" s="485"/>
      <c r="B3499" s="485" t="s">
        <v>214</v>
      </c>
      <c r="C3499" s="17" t="s">
        <v>10</v>
      </c>
      <c r="D3499" s="485">
        <v>2</v>
      </c>
      <c r="E3499" s="17">
        <v>1.2</v>
      </c>
      <c r="F3499" s="485"/>
      <c r="G3499" s="17">
        <v>1.35</v>
      </c>
      <c r="H3499" s="18">
        <f t="shared" ref="H3499:H3501" si="480">PRODUCT(D3499:G3499)</f>
        <v>3.24</v>
      </c>
    </row>
    <row r="3500" spans="1:8" s="948" customFormat="1">
      <c r="A3500" s="485"/>
      <c r="B3500" s="485" t="s">
        <v>215</v>
      </c>
      <c r="C3500" s="17" t="s">
        <v>10</v>
      </c>
      <c r="D3500" s="485">
        <v>1</v>
      </c>
      <c r="E3500" s="485">
        <v>3</v>
      </c>
      <c r="F3500" s="485"/>
      <c r="G3500" s="485">
        <v>1.35</v>
      </c>
      <c r="H3500" s="487">
        <f t="shared" si="480"/>
        <v>4.0500000000000007</v>
      </c>
    </row>
    <row r="3501" spans="1:8" s="948" customFormat="1">
      <c r="A3501" s="485"/>
      <c r="B3501" s="485"/>
      <c r="C3501" s="17" t="s">
        <v>10</v>
      </c>
      <c r="D3501" s="485">
        <v>1</v>
      </c>
      <c r="E3501" s="485">
        <v>4.7750000000000004</v>
      </c>
      <c r="F3501" s="485"/>
      <c r="G3501" s="485">
        <v>1.35</v>
      </c>
      <c r="H3501" s="487">
        <f t="shared" si="480"/>
        <v>6.4462500000000009</v>
      </c>
    </row>
    <row r="3502" spans="1:8">
      <c r="A3502" s="485"/>
      <c r="B3502" s="485" t="s">
        <v>1917</v>
      </c>
      <c r="C3502" s="17" t="s">
        <v>10</v>
      </c>
      <c r="D3502" s="485">
        <v>1</v>
      </c>
      <c r="E3502" s="17">
        <v>5.5</v>
      </c>
      <c r="F3502" s="485"/>
      <c r="G3502" s="17">
        <v>2.7</v>
      </c>
      <c r="H3502" s="18">
        <f t="shared" ref="H3502:H3503" si="481">PRODUCT(D3502:G3502)</f>
        <v>14.850000000000001</v>
      </c>
    </row>
    <row r="3503" spans="1:8">
      <c r="A3503" s="485"/>
      <c r="B3503" s="485"/>
      <c r="C3503" s="17" t="s">
        <v>10</v>
      </c>
      <c r="D3503" s="485">
        <v>1</v>
      </c>
      <c r="E3503" s="485">
        <v>3.3</v>
      </c>
      <c r="F3503" s="485"/>
      <c r="G3503" s="17">
        <v>2.7</v>
      </c>
      <c r="H3503" s="18">
        <f t="shared" si="481"/>
        <v>8.91</v>
      </c>
    </row>
    <row r="3504" spans="1:8" s="948" customFormat="1">
      <c r="A3504" s="485"/>
      <c r="B3504" s="485" t="s">
        <v>1227</v>
      </c>
      <c r="C3504" s="17" t="s">
        <v>10</v>
      </c>
      <c r="D3504" s="485">
        <v>1</v>
      </c>
      <c r="E3504" s="485">
        <v>5.2450000000000001</v>
      </c>
      <c r="F3504" s="485"/>
      <c r="G3504" s="17">
        <v>2.7</v>
      </c>
      <c r="H3504" s="18">
        <f t="shared" ref="H3504:H3505" si="482">PRODUCT(D3504:G3504)</f>
        <v>14.161500000000002</v>
      </c>
    </row>
    <row r="3505" spans="1:8" s="948" customFormat="1">
      <c r="A3505" s="485"/>
      <c r="B3505" s="485"/>
      <c r="C3505" s="17" t="s">
        <v>10</v>
      </c>
      <c r="D3505" s="485">
        <v>1</v>
      </c>
      <c r="E3505" s="485">
        <v>3.6</v>
      </c>
      <c r="F3505" s="485"/>
      <c r="G3505" s="17">
        <v>2.7</v>
      </c>
      <c r="H3505" s="18">
        <f t="shared" si="482"/>
        <v>9.7200000000000006</v>
      </c>
    </row>
    <row r="3506" spans="1:8">
      <c r="A3506" s="485"/>
      <c r="B3506" s="485" t="s">
        <v>1314</v>
      </c>
      <c r="C3506" s="17" t="s">
        <v>10</v>
      </c>
      <c r="D3506" s="485">
        <v>1</v>
      </c>
      <c r="E3506" s="17">
        <v>3.7</v>
      </c>
      <c r="F3506" s="485"/>
      <c r="G3506" s="17">
        <v>1.35</v>
      </c>
      <c r="H3506" s="18">
        <f t="shared" ref="H3506:H3507" si="483">PRODUCT(D3506:G3506)</f>
        <v>4.995000000000001</v>
      </c>
    </row>
    <row r="3507" spans="1:8">
      <c r="A3507" s="485"/>
      <c r="B3507" s="485"/>
      <c r="C3507" s="17" t="s">
        <v>10</v>
      </c>
      <c r="D3507" s="485">
        <v>1</v>
      </c>
      <c r="E3507" s="485">
        <v>3</v>
      </c>
      <c r="F3507" s="485"/>
      <c r="G3507" s="17">
        <v>1.35</v>
      </c>
      <c r="H3507" s="18">
        <f t="shared" si="483"/>
        <v>4.0500000000000007</v>
      </c>
    </row>
    <row r="3508" spans="1:8">
      <c r="A3508" s="485"/>
      <c r="B3508" s="485" t="s">
        <v>1230</v>
      </c>
      <c r="C3508" s="17" t="s">
        <v>10</v>
      </c>
      <c r="D3508" s="485">
        <v>1</v>
      </c>
      <c r="E3508" s="17">
        <v>2.5499999999999998</v>
      </c>
      <c r="F3508" s="485"/>
      <c r="G3508" s="17">
        <v>1.35</v>
      </c>
      <c r="H3508" s="18">
        <f t="shared" ref="H3508" si="484">PRODUCT(D3508:G3508)</f>
        <v>3.4424999999999999</v>
      </c>
    </row>
    <row r="3509" spans="1:8">
      <c r="A3509" s="485"/>
      <c r="B3509" s="485" t="s">
        <v>1229</v>
      </c>
      <c r="C3509" s="17" t="s">
        <v>10</v>
      </c>
      <c r="D3509" s="485">
        <v>1</v>
      </c>
      <c r="E3509" s="17">
        <v>2.5499999999999998</v>
      </c>
      <c r="F3509" s="485"/>
      <c r="G3509" s="17">
        <v>1.35</v>
      </c>
      <c r="H3509" s="18">
        <f t="shared" ref="H3509" si="485">PRODUCT(D3509:G3509)</f>
        <v>3.4424999999999999</v>
      </c>
    </row>
    <row r="3510" spans="1:8" s="948" customFormat="1">
      <c r="A3510" s="485"/>
      <c r="B3510" s="485" t="s">
        <v>1280</v>
      </c>
      <c r="C3510" s="17" t="s">
        <v>10</v>
      </c>
      <c r="D3510" s="485">
        <v>1</v>
      </c>
      <c r="E3510" s="17">
        <v>2.4500000000000002</v>
      </c>
      <c r="F3510" s="485"/>
      <c r="G3510" s="17">
        <v>1.35</v>
      </c>
      <c r="H3510" s="18">
        <f t="shared" ref="H3510" si="486">PRODUCT(D3510:G3510)</f>
        <v>3.3075000000000006</v>
      </c>
    </row>
    <row r="3511" spans="1:8">
      <c r="A3511" s="485"/>
      <c r="B3511" s="485" t="s">
        <v>2039</v>
      </c>
      <c r="C3511" s="17" t="s">
        <v>10</v>
      </c>
      <c r="D3511" s="485">
        <v>1</v>
      </c>
      <c r="E3511" s="17">
        <v>4.1500000000000004</v>
      </c>
      <c r="F3511" s="485"/>
      <c r="G3511" s="17">
        <v>1.35</v>
      </c>
      <c r="H3511" s="18">
        <f t="shared" ref="H3511" si="487">PRODUCT(D3511:G3511)</f>
        <v>5.6025000000000009</v>
      </c>
    </row>
    <row r="3512" spans="1:8">
      <c r="A3512" s="485"/>
      <c r="B3512" s="485" t="s">
        <v>1195</v>
      </c>
      <c r="C3512" s="17" t="s">
        <v>10</v>
      </c>
      <c r="D3512" s="485">
        <v>1</v>
      </c>
      <c r="E3512" s="485">
        <v>2.7</v>
      </c>
      <c r="F3512" s="485"/>
      <c r="G3512" s="17">
        <v>1.35</v>
      </c>
      <c r="H3512" s="18">
        <f t="shared" ref="H3512" si="488">PRODUCT(D3512:G3512)</f>
        <v>3.6450000000000005</v>
      </c>
    </row>
    <row r="3513" spans="1:8">
      <c r="A3513" s="485"/>
      <c r="B3513" s="485" t="s">
        <v>1317</v>
      </c>
      <c r="C3513" s="17" t="s">
        <v>10</v>
      </c>
      <c r="D3513" s="485">
        <v>1</v>
      </c>
      <c r="E3513" s="485">
        <v>2.5499999999999998</v>
      </c>
      <c r="F3513" s="485"/>
      <c r="G3513" s="17">
        <v>1.35</v>
      </c>
      <c r="H3513" s="18">
        <f t="shared" ref="H3513:H3514" si="489">PRODUCT(D3513:G3513)</f>
        <v>3.4424999999999999</v>
      </c>
    </row>
    <row r="3514" spans="1:8">
      <c r="A3514" s="485"/>
      <c r="B3514" s="485"/>
      <c r="C3514" s="17" t="s">
        <v>10</v>
      </c>
      <c r="D3514" s="485">
        <v>1</v>
      </c>
      <c r="E3514" s="485">
        <v>3.2</v>
      </c>
      <c r="F3514" s="485"/>
      <c r="G3514" s="17">
        <v>1.35</v>
      </c>
      <c r="H3514" s="487">
        <f t="shared" si="489"/>
        <v>4.32</v>
      </c>
    </row>
    <row r="3515" spans="1:8" s="948" customFormat="1">
      <c r="A3515" s="485"/>
      <c r="B3515" s="485" t="s">
        <v>1293</v>
      </c>
      <c r="C3515" s="17" t="s">
        <v>10</v>
      </c>
      <c r="D3515" s="485">
        <v>1</v>
      </c>
      <c r="E3515" s="485">
        <v>2.8849999999999998</v>
      </c>
      <c r="F3515" s="485"/>
      <c r="G3515" s="17">
        <v>2.7</v>
      </c>
      <c r="H3515" s="487">
        <f t="shared" ref="H3515:H3516" si="490">PRODUCT(D3515:G3515)</f>
        <v>7.7895000000000003</v>
      </c>
    </row>
    <row r="3516" spans="1:8" s="948" customFormat="1">
      <c r="A3516" s="485"/>
      <c r="B3516" s="485"/>
      <c r="C3516" s="17" t="s">
        <v>10</v>
      </c>
      <c r="D3516" s="485">
        <v>1</v>
      </c>
      <c r="E3516" s="485">
        <v>4.55</v>
      </c>
      <c r="F3516" s="485"/>
      <c r="G3516" s="17">
        <v>2.7</v>
      </c>
      <c r="H3516" s="487">
        <f t="shared" si="490"/>
        <v>12.285</v>
      </c>
    </row>
    <row r="3517" spans="1:8" s="948" customFormat="1">
      <c r="A3517" s="485"/>
      <c r="B3517" s="485" t="s">
        <v>203</v>
      </c>
      <c r="C3517" s="17" t="s">
        <v>10</v>
      </c>
      <c r="D3517" s="485">
        <v>3</v>
      </c>
      <c r="E3517" s="485">
        <v>1.2</v>
      </c>
      <c r="F3517" s="485"/>
      <c r="G3517" s="17">
        <v>1.2</v>
      </c>
      <c r="H3517" s="487">
        <f t="shared" ref="H3517" si="491">PRODUCT(D3517:G3517)</f>
        <v>4.3199999999999994</v>
      </c>
    </row>
    <row r="3518" spans="1:8" s="948" customFormat="1">
      <c r="A3518" s="485"/>
      <c r="B3518" s="485" t="s">
        <v>204</v>
      </c>
      <c r="C3518" s="17" t="s">
        <v>10</v>
      </c>
      <c r="D3518" s="485">
        <v>1</v>
      </c>
      <c r="E3518" s="485">
        <v>1.35</v>
      </c>
      <c r="F3518" s="485"/>
      <c r="G3518" s="17">
        <v>1.2</v>
      </c>
      <c r="H3518" s="487">
        <f t="shared" ref="H3518" si="492">PRODUCT(D3518:G3518)</f>
        <v>1.62</v>
      </c>
    </row>
    <row r="3519" spans="1:8" s="948" customFormat="1">
      <c r="A3519" s="485"/>
      <c r="B3519" s="485" t="s">
        <v>200</v>
      </c>
      <c r="C3519" s="17" t="s">
        <v>10</v>
      </c>
      <c r="D3519" s="485">
        <v>1</v>
      </c>
      <c r="E3519" s="485">
        <v>1.2</v>
      </c>
      <c r="F3519" s="485"/>
      <c r="G3519" s="17">
        <v>1.2</v>
      </c>
      <c r="H3519" s="487">
        <f t="shared" ref="H3519" si="493">PRODUCT(D3519:G3519)</f>
        <v>1.44</v>
      </c>
    </row>
    <row r="3520" spans="1:8" s="948" customFormat="1">
      <c r="A3520" s="485"/>
      <c r="B3520" s="485" t="s">
        <v>200</v>
      </c>
      <c r="C3520" s="17" t="s">
        <v>10</v>
      </c>
      <c r="D3520" s="485">
        <v>1</v>
      </c>
      <c r="E3520" s="485">
        <v>4.8</v>
      </c>
      <c r="F3520" s="485"/>
      <c r="G3520" s="17">
        <v>1.2</v>
      </c>
      <c r="H3520" s="487">
        <f t="shared" ref="H3520" si="494">PRODUCT(D3520:G3520)</f>
        <v>5.76</v>
      </c>
    </row>
    <row r="3521" spans="1:8" s="948" customFormat="1">
      <c r="A3521" s="485"/>
      <c r="B3521" s="485"/>
      <c r="C3521" s="17" t="s">
        <v>10</v>
      </c>
      <c r="D3521" s="485">
        <v>1</v>
      </c>
      <c r="E3521" s="485">
        <v>1.2</v>
      </c>
      <c r="F3521" s="485"/>
      <c r="G3521" s="17">
        <v>1.2</v>
      </c>
      <c r="H3521" s="487">
        <f t="shared" ref="H3521" si="495">PRODUCT(D3521:G3521)</f>
        <v>1.44</v>
      </c>
    </row>
    <row r="3522" spans="1:8">
      <c r="A3522" s="17"/>
      <c r="B3522" s="17"/>
      <c r="C3522" s="17"/>
      <c r="D3522" s="17"/>
      <c r="E3522" s="17"/>
      <c r="F3522" s="17"/>
      <c r="G3522" s="17"/>
      <c r="H3522" s="18"/>
    </row>
    <row r="3523" spans="1:8">
      <c r="A3523" s="15"/>
      <c r="B3523" s="15" t="s">
        <v>21</v>
      </c>
      <c r="C3523" s="15"/>
      <c r="D3523" s="15"/>
      <c r="E3523" s="15"/>
      <c r="F3523" s="15"/>
      <c r="G3523" s="15"/>
      <c r="H3523" s="20">
        <f>SUM(H3473:H3522)</f>
        <v>236.09174999999999</v>
      </c>
    </row>
    <row r="3524" spans="1:8">
      <c r="A3524" s="17"/>
      <c r="B3524" s="17" t="s">
        <v>22</v>
      </c>
      <c r="C3524" s="17"/>
      <c r="D3524" s="17"/>
      <c r="E3524" s="17"/>
      <c r="F3524" s="17"/>
      <c r="G3524" s="17"/>
      <c r="H3524" s="18"/>
    </row>
    <row r="3525" spans="1:8">
      <c r="A3525" s="15"/>
      <c r="B3525" s="15" t="s">
        <v>23</v>
      </c>
      <c r="C3525" s="15"/>
      <c r="D3525" s="15"/>
      <c r="E3525" s="15"/>
      <c r="F3525" s="15"/>
      <c r="G3525" s="15"/>
      <c r="H3525" s="20">
        <f>ROUND(SUM(H3523:H3524),0)</f>
        <v>236</v>
      </c>
    </row>
    <row r="3527" spans="1:8">
      <c r="A3527" s="17">
        <v>4</v>
      </c>
      <c r="B3527" s="15" t="s">
        <v>97</v>
      </c>
      <c r="C3527" s="17"/>
      <c r="D3527" s="17"/>
      <c r="E3527" s="17"/>
      <c r="F3527" s="17"/>
      <c r="G3527" s="17"/>
      <c r="H3527" s="18"/>
    </row>
    <row r="3528" spans="1:8" s="948" customFormat="1">
      <c r="A3528" s="17"/>
      <c r="B3528" s="17" t="s">
        <v>2142</v>
      </c>
      <c r="C3528" s="17" t="s">
        <v>10</v>
      </c>
      <c r="D3528" s="17">
        <v>1</v>
      </c>
      <c r="E3528" s="17">
        <v>4.6459999999999999</v>
      </c>
      <c r="F3528" s="17"/>
      <c r="G3528" s="17">
        <v>2.6</v>
      </c>
      <c r="H3528" s="18">
        <f t="shared" ref="H3528:H3689" si="496">PRODUCT(D3528:G3528)</f>
        <v>12.079600000000001</v>
      </c>
    </row>
    <row r="3529" spans="1:8" s="948" customFormat="1">
      <c r="A3529" s="485"/>
      <c r="B3529" s="485" t="s">
        <v>2143</v>
      </c>
      <c r="C3529" s="485"/>
      <c r="D3529" s="17">
        <v>-1</v>
      </c>
      <c r="E3529" s="17">
        <v>1.65</v>
      </c>
      <c r="F3529" s="17"/>
      <c r="G3529" s="17">
        <f>1.35</f>
        <v>1.35</v>
      </c>
      <c r="H3529" s="18">
        <f t="shared" ref="H3529" si="497">PRODUCT(D3529:G3529)</f>
        <v>-2.2275</v>
      </c>
    </row>
    <row r="3530" spans="1:8" s="948" customFormat="1">
      <c r="A3530" s="485"/>
      <c r="B3530" s="485" t="s">
        <v>201</v>
      </c>
      <c r="C3530" s="17" t="s">
        <v>10</v>
      </c>
      <c r="D3530" s="17">
        <v>1</v>
      </c>
      <c r="E3530" s="17">
        <v>3.145</v>
      </c>
      <c r="F3530" s="17"/>
      <c r="G3530" s="17">
        <f>2.6-0.9</f>
        <v>1.7000000000000002</v>
      </c>
      <c r="H3530" s="18">
        <f t="shared" ref="H3530" si="498">PRODUCT(D3530:G3530)</f>
        <v>5.3465000000000007</v>
      </c>
    </row>
    <row r="3531" spans="1:8" s="948" customFormat="1">
      <c r="A3531" s="485"/>
      <c r="B3531" s="485"/>
      <c r="C3531" s="17" t="s">
        <v>10</v>
      </c>
      <c r="D3531" s="17">
        <v>1</v>
      </c>
      <c r="E3531" s="17">
        <v>3.35</v>
      </c>
      <c r="F3531" s="17"/>
      <c r="G3531" s="17">
        <f>2.6-0.9</f>
        <v>1.7000000000000002</v>
      </c>
      <c r="H3531" s="18">
        <f t="shared" ref="H3531" si="499">PRODUCT(D3531:G3531)</f>
        <v>5.6950000000000012</v>
      </c>
    </row>
    <row r="3532" spans="1:8" s="948" customFormat="1">
      <c r="A3532" s="485"/>
      <c r="B3532" s="485"/>
      <c r="C3532" s="17" t="s">
        <v>10</v>
      </c>
      <c r="D3532" s="17">
        <v>1</v>
      </c>
      <c r="E3532" s="17">
        <v>3.5750000000000002</v>
      </c>
      <c r="F3532" s="17"/>
      <c r="G3532" s="17">
        <f>2.6-0.9</f>
        <v>1.7000000000000002</v>
      </c>
      <c r="H3532" s="18">
        <f t="shared" ref="H3532" si="500">PRODUCT(D3532:G3532)</f>
        <v>6.0775000000000006</v>
      </c>
    </row>
    <row r="3533" spans="1:8" s="948" customFormat="1">
      <c r="A3533" s="17"/>
      <c r="B3533" s="17" t="s">
        <v>197</v>
      </c>
      <c r="C3533" s="17" t="s">
        <v>10</v>
      </c>
      <c r="D3533" s="17">
        <v>-1</v>
      </c>
      <c r="E3533" s="17">
        <v>2.9</v>
      </c>
      <c r="F3533" s="17"/>
      <c r="G3533" s="17">
        <f>1.35</f>
        <v>1.35</v>
      </c>
      <c r="H3533" s="18">
        <f>PRODUCT(D3533:G3533)</f>
        <v>-3.915</v>
      </c>
    </row>
    <row r="3534" spans="1:8" s="948" customFormat="1">
      <c r="A3534" s="17"/>
      <c r="B3534" s="17"/>
      <c r="C3534" s="17" t="s">
        <v>10</v>
      </c>
      <c r="D3534" s="17">
        <v>-1</v>
      </c>
      <c r="E3534" s="17">
        <v>2.9</v>
      </c>
      <c r="F3534" s="17"/>
      <c r="G3534" s="17">
        <f>1.35</f>
        <v>1.35</v>
      </c>
      <c r="H3534" s="18">
        <f t="shared" si="496"/>
        <v>-3.915</v>
      </c>
    </row>
    <row r="3535" spans="1:8" s="948" customFormat="1">
      <c r="A3535" s="485"/>
      <c r="B3535" s="485"/>
      <c r="C3535" s="485" t="s">
        <v>10</v>
      </c>
      <c r="D3535" s="485">
        <v>1</v>
      </c>
      <c r="E3535" s="485">
        <v>3.35</v>
      </c>
      <c r="F3535" s="485"/>
      <c r="G3535" s="485">
        <v>2.6</v>
      </c>
      <c r="H3535" s="18">
        <f t="shared" si="496"/>
        <v>8.7100000000000009</v>
      </c>
    </row>
    <row r="3536" spans="1:8" s="948" customFormat="1">
      <c r="A3536" s="485"/>
      <c r="B3536" s="485"/>
      <c r="C3536" s="485" t="s">
        <v>10</v>
      </c>
      <c r="D3536" s="485">
        <v>1</v>
      </c>
      <c r="E3536" s="485">
        <v>3.33</v>
      </c>
      <c r="F3536" s="485"/>
      <c r="G3536" s="485">
        <v>2.6</v>
      </c>
      <c r="H3536" s="18">
        <f t="shared" si="496"/>
        <v>8.6580000000000013</v>
      </c>
    </row>
    <row r="3537" spans="1:8" s="948" customFormat="1">
      <c r="A3537" s="485"/>
      <c r="B3537" s="485"/>
      <c r="C3537" s="485" t="s">
        <v>10</v>
      </c>
      <c r="D3537" s="485">
        <v>1</v>
      </c>
      <c r="E3537" s="485">
        <v>3.45</v>
      </c>
      <c r="F3537" s="485"/>
      <c r="G3537" s="485">
        <v>2.6</v>
      </c>
      <c r="H3537" s="18">
        <f t="shared" si="496"/>
        <v>8.9700000000000006</v>
      </c>
    </row>
    <row r="3538" spans="1:8" s="948" customFormat="1">
      <c r="A3538" s="485"/>
      <c r="B3538" s="485"/>
      <c r="C3538" s="485" t="s">
        <v>10</v>
      </c>
      <c r="D3538" s="485">
        <v>1</v>
      </c>
      <c r="E3538" s="485">
        <v>0.16</v>
      </c>
      <c r="F3538" s="485"/>
      <c r="G3538" s="485">
        <v>2.6</v>
      </c>
      <c r="H3538" s="18">
        <f t="shared" si="496"/>
        <v>0.41600000000000004</v>
      </c>
    </row>
    <row r="3539" spans="1:8" s="948" customFormat="1">
      <c r="A3539" s="485"/>
      <c r="B3539" s="485"/>
      <c r="C3539" s="485" t="s">
        <v>10</v>
      </c>
      <c r="D3539" s="485">
        <v>1</v>
      </c>
      <c r="E3539" s="485">
        <v>0.16500000000000001</v>
      </c>
      <c r="F3539" s="485"/>
      <c r="G3539" s="485">
        <v>2.6</v>
      </c>
      <c r="H3539" s="18">
        <f t="shared" si="496"/>
        <v>0.42900000000000005</v>
      </c>
    </row>
    <row r="3540" spans="1:8" s="948" customFormat="1">
      <c r="A3540" s="485"/>
      <c r="B3540" s="485"/>
      <c r="C3540" s="485" t="s">
        <v>10</v>
      </c>
      <c r="D3540" s="485">
        <v>1</v>
      </c>
      <c r="E3540" s="485">
        <v>0.15</v>
      </c>
      <c r="F3540" s="485"/>
      <c r="G3540" s="485">
        <v>2.6</v>
      </c>
      <c r="H3540" s="18">
        <f t="shared" si="496"/>
        <v>0.39</v>
      </c>
    </row>
    <row r="3541" spans="1:8" s="948" customFormat="1">
      <c r="A3541" s="485"/>
      <c r="B3541" s="485"/>
      <c r="C3541" s="485" t="s">
        <v>10</v>
      </c>
      <c r="D3541" s="485">
        <v>1</v>
      </c>
      <c r="E3541" s="485">
        <v>2.895</v>
      </c>
      <c r="F3541" s="485"/>
      <c r="G3541" s="485">
        <v>0.2</v>
      </c>
      <c r="H3541" s="18">
        <f t="shared" si="496"/>
        <v>0.57900000000000007</v>
      </c>
    </row>
    <row r="3542" spans="1:8" s="948" customFormat="1">
      <c r="A3542" s="17"/>
      <c r="B3542" s="17" t="s">
        <v>1199</v>
      </c>
      <c r="C3542" s="17" t="s">
        <v>10</v>
      </c>
      <c r="D3542" s="17">
        <v>-1</v>
      </c>
      <c r="E3542" s="17">
        <v>2.4500000000000002</v>
      </c>
      <c r="F3542" s="17"/>
      <c r="G3542" s="17">
        <v>1.35</v>
      </c>
      <c r="H3542" s="18">
        <f t="shared" si="496"/>
        <v>-3.3075000000000006</v>
      </c>
    </row>
    <row r="3543" spans="1:8" s="948" customFormat="1">
      <c r="A3543" s="485"/>
      <c r="B3543" s="485"/>
      <c r="C3543" s="17" t="s">
        <v>10</v>
      </c>
      <c r="D3543" s="17">
        <v>2</v>
      </c>
      <c r="E3543" s="17">
        <v>3.45</v>
      </c>
      <c r="F3543" s="17"/>
      <c r="G3543" s="17">
        <v>2.6</v>
      </c>
      <c r="H3543" s="18">
        <f t="shared" ref="H3543:H3544" si="501">PRODUCT(D3543:G3543)</f>
        <v>17.940000000000001</v>
      </c>
    </row>
    <row r="3544" spans="1:8" s="948" customFormat="1">
      <c r="A3544" s="485"/>
      <c r="B3544" s="485"/>
      <c r="C3544" s="17" t="s">
        <v>10</v>
      </c>
      <c r="D3544" s="485">
        <v>1</v>
      </c>
      <c r="E3544" s="485">
        <v>3.1</v>
      </c>
      <c r="F3544" s="485"/>
      <c r="G3544" s="17">
        <v>2.6</v>
      </c>
      <c r="H3544" s="18">
        <f t="shared" si="501"/>
        <v>8.06</v>
      </c>
    </row>
    <row r="3545" spans="1:8" s="948" customFormat="1">
      <c r="A3545" s="17"/>
      <c r="B3545" s="17" t="s">
        <v>1327</v>
      </c>
      <c r="C3545" s="17" t="s">
        <v>10</v>
      </c>
      <c r="D3545" s="17">
        <v>-1</v>
      </c>
      <c r="E3545" s="17">
        <v>2.4500000000000002</v>
      </c>
      <c r="F3545" s="17"/>
      <c r="G3545" s="17">
        <v>1.35</v>
      </c>
      <c r="H3545" s="18">
        <f t="shared" si="496"/>
        <v>-3.3075000000000006</v>
      </c>
    </row>
    <row r="3546" spans="1:8" s="948" customFormat="1">
      <c r="A3546" s="485"/>
      <c r="B3546" s="485"/>
      <c r="C3546" s="17" t="s">
        <v>10</v>
      </c>
      <c r="D3546" s="485">
        <v>2</v>
      </c>
      <c r="E3546" s="485">
        <v>3.45</v>
      </c>
      <c r="F3546" s="485"/>
      <c r="G3546" s="485">
        <v>2.6</v>
      </c>
      <c r="H3546" s="487">
        <f t="shared" si="496"/>
        <v>17.940000000000001</v>
      </c>
    </row>
    <row r="3547" spans="1:8" s="948" customFormat="1">
      <c r="A3547" s="485"/>
      <c r="B3547" s="485"/>
      <c r="C3547" s="17" t="s">
        <v>10</v>
      </c>
      <c r="D3547" s="485">
        <v>1</v>
      </c>
      <c r="E3547" s="485">
        <v>3.07</v>
      </c>
      <c r="F3547" s="485"/>
      <c r="G3547" s="485">
        <v>2.6</v>
      </c>
      <c r="H3547" s="487">
        <f t="shared" si="496"/>
        <v>7.9820000000000002</v>
      </c>
    </row>
    <row r="3548" spans="1:8" s="948" customFormat="1">
      <c r="A3548" s="485"/>
      <c r="B3548" s="485"/>
      <c r="C3548" s="17" t="s">
        <v>10</v>
      </c>
      <c r="D3548" s="485">
        <v>1</v>
      </c>
      <c r="E3548" s="485">
        <v>0.16</v>
      </c>
      <c r="F3548" s="485"/>
      <c r="G3548" s="485">
        <v>2.6</v>
      </c>
      <c r="H3548" s="487">
        <f t="shared" si="496"/>
        <v>0.41600000000000004</v>
      </c>
    </row>
    <row r="3549" spans="1:8" s="948" customFormat="1">
      <c r="A3549" s="485"/>
      <c r="B3549" s="485"/>
      <c r="C3549" s="17" t="s">
        <v>10</v>
      </c>
      <c r="D3549" s="485">
        <v>1</v>
      </c>
      <c r="E3549" s="485">
        <v>0.15</v>
      </c>
      <c r="F3549" s="485"/>
      <c r="G3549" s="485">
        <v>2.6</v>
      </c>
      <c r="H3549" s="487">
        <f t="shared" si="496"/>
        <v>0.39</v>
      </c>
    </row>
    <row r="3550" spans="1:8" s="948" customFormat="1">
      <c r="A3550" s="485"/>
      <c r="B3550" s="485"/>
      <c r="C3550" s="17" t="s">
        <v>10</v>
      </c>
      <c r="D3550" s="485">
        <v>1</v>
      </c>
      <c r="E3550" s="485">
        <v>0.2</v>
      </c>
      <c r="F3550" s="485"/>
      <c r="G3550" s="485">
        <v>2.6</v>
      </c>
      <c r="H3550" s="487">
        <f t="shared" si="496"/>
        <v>0.52</v>
      </c>
    </row>
    <row r="3551" spans="1:8" s="948" customFormat="1">
      <c r="A3551" s="485"/>
      <c r="B3551" s="485"/>
      <c r="C3551" s="17" t="s">
        <v>10</v>
      </c>
      <c r="D3551" s="485">
        <v>1</v>
      </c>
      <c r="E3551" s="485">
        <v>2.62</v>
      </c>
      <c r="F3551" s="485"/>
      <c r="G3551" s="485">
        <v>0.2</v>
      </c>
      <c r="H3551" s="487">
        <f t="shared" si="496"/>
        <v>0.52400000000000002</v>
      </c>
    </row>
    <row r="3552" spans="1:8" s="948" customFormat="1">
      <c r="A3552" s="485"/>
      <c r="B3552" s="485" t="s">
        <v>1196</v>
      </c>
      <c r="C3552" s="17" t="s">
        <v>10</v>
      </c>
      <c r="D3552" s="17">
        <v>-1</v>
      </c>
      <c r="E3552" s="17">
        <v>2.85</v>
      </c>
      <c r="F3552" s="17"/>
      <c r="G3552" s="17">
        <v>1.35</v>
      </c>
      <c r="H3552" s="18">
        <f t="shared" si="496"/>
        <v>-3.8475000000000006</v>
      </c>
    </row>
    <row r="3553" spans="1:8" s="948" customFormat="1">
      <c r="A3553" s="485"/>
      <c r="B3553" s="485"/>
      <c r="C3553" s="17" t="s">
        <v>10</v>
      </c>
      <c r="D3553" s="485">
        <v>-1</v>
      </c>
      <c r="E3553" s="485">
        <v>4.72</v>
      </c>
      <c r="F3553" s="485"/>
      <c r="G3553" s="17">
        <v>1.35</v>
      </c>
      <c r="H3553" s="18">
        <f t="shared" si="496"/>
        <v>-6.3719999999999999</v>
      </c>
    </row>
    <row r="3554" spans="1:8" s="948" customFormat="1">
      <c r="A3554" s="485"/>
      <c r="B3554" s="485"/>
      <c r="C3554" s="17" t="s">
        <v>10</v>
      </c>
      <c r="D3554" s="485">
        <v>1</v>
      </c>
      <c r="E3554" s="485">
        <v>5.16</v>
      </c>
      <c r="F3554" s="485"/>
      <c r="G3554" s="485">
        <v>2.6</v>
      </c>
      <c r="H3554" s="487">
        <f t="shared" si="496"/>
        <v>13.416</v>
      </c>
    </row>
    <row r="3555" spans="1:8" s="948" customFormat="1">
      <c r="A3555" s="485"/>
      <c r="B3555" s="485"/>
      <c r="C3555" s="17" t="s">
        <v>10</v>
      </c>
      <c r="D3555" s="485">
        <v>1</v>
      </c>
      <c r="E3555" s="485">
        <v>3.4</v>
      </c>
      <c r="F3555" s="485"/>
      <c r="G3555" s="485">
        <v>2.6</v>
      </c>
      <c r="H3555" s="487">
        <f t="shared" si="496"/>
        <v>8.84</v>
      </c>
    </row>
    <row r="3556" spans="1:8" s="948" customFormat="1">
      <c r="A3556" s="485"/>
      <c r="B3556" s="485"/>
      <c r="C3556" s="17" t="s">
        <v>10</v>
      </c>
      <c r="D3556" s="485">
        <v>1</v>
      </c>
      <c r="E3556" s="485">
        <v>3.3</v>
      </c>
      <c r="F3556" s="485"/>
      <c r="G3556" s="485">
        <v>2.6</v>
      </c>
      <c r="H3556" s="487">
        <f t="shared" si="496"/>
        <v>8.58</v>
      </c>
    </row>
    <row r="3557" spans="1:8" s="948" customFormat="1">
      <c r="A3557" s="485"/>
      <c r="B3557" s="485"/>
      <c r="C3557" s="17" t="s">
        <v>10</v>
      </c>
      <c r="D3557" s="485">
        <v>1</v>
      </c>
      <c r="E3557" s="485">
        <v>0.16</v>
      </c>
      <c r="F3557" s="485"/>
      <c r="G3557" s="485">
        <v>2.6</v>
      </c>
      <c r="H3557" s="487">
        <f t="shared" si="496"/>
        <v>0.41600000000000004</v>
      </c>
    </row>
    <row r="3558" spans="1:8" s="948" customFormat="1">
      <c r="A3558" s="485"/>
      <c r="B3558" s="485"/>
      <c r="C3558" s="17" t="s">
        <v>10</v>
      </c>
      <c r="D3558" s="485">
        <v>1</v>
      </c>
      <c r="E3558" s="485">
        <v>0.2</v>
      </c>
      <c r="F3558" s="485"/>
      <c r="G3558" s="485">
        <v>2.6</v>
      </c>
      <c r="H3558" s="487">
        <f t="shared" si="496"/>
        <v>0.52</v>
      </c>
    </row>
    <row r="3559" spans="1:8" s="948" customFormat="1">
      <c r="A3559" s="485"/>
      <c r="B3559" s="485"/>
      <c r="C3559" s="17" t="s">
        <v>10</v>
      </c>
      <c r="D3559" s="485">
        <v>1</v>
      </c>
      <c r="E3559" s="485">
        <v>0.15</v>
      </c>
      <c r="F3559" s="485"/>
      <c r="G3559" s="485">
        <v>2.6</v>
      </c>
      <c r="H3559" s="487">
        <f t="shared" si="496"/>
        <v>0.39</v>
      </c>
    </row>
    <row r="3560" spans="1:8" s="948" customFormat="1">
      <c r="A3560" s="485"/>
      <c r="B3560" s="485"/>
      <c r="C3560" s="17" t="s">
        <v>10</v>
      </c>
      <c r="D3560" s="485">
        <v>1</v>
      </c>
      <c r="E3560" s="485">
        <v>4.7149999999999999</v>
      </c>
      <c r="F3560" s="485"/>
      <c r="G3560" s="485">
        <v>0.2</v>
      </c>
      <c r="H3560" s="487">
        <f t="shared" si="496"/>
        <v>0.94300000000000006</v>
      </c>
    </row>
    <row r="3561" spans="1:8" s="948" customFormat="1">
      <c r="A3561" s="17"/>
      <c r="B3561" s="17" t="s">
        <v>1299</v>
      </c>
      <c r="C3561" s="17" t="s">
        <v>10</v>
      </c>
      <c r="D3561" s="17">
        <v>-1</v>
      </c>
      <c r="E3561" s="17">
        <v>2.4500000000000002</v>
      </c>
      <c r="F3561" s="17"/>
      <c r="G3561" s="17">
        <v>1.35</v>
      </c>
      <c r="H3561" s="18">
        <f t="shared" si="496"/>
        <v>-3.3075000000000006</v>
      </c>
    </row>
    <row r="3562" spans="1:8" s="948" customFormat="1">
      <c r="A3562" s="485"/>
      <c r="B3562" s="485"/>
      <c r="C3562" s="17" t="s">
        <v>10</v>
      </c>
      <c r="D3562" s="485">
        <v>2</v>
      </c>
      <c r="E3562" s="485">
        <v>3.4</v>
      </c>
      <c r="F3562" s="485"/>
      <c r="G3562" s="485">
        <v>2.6</v>
      </c>
      <c r="H3562" s="487">
        <f t="shared" si="496"/>
        <v>17.68</v>
      </c>
    </row>
    <row r="3563" spans="1:8" s="948" customFormat="1">
      <c r="A3563" s="485"/>
      <c r="B3563" s="485"/>
      <c r="C3563" s="17" t="s">
        <v>10</v>
      </c>
      <c r="D3563" s="485">
        <v>1</v>
      </c>
      <c r="E3563" s="485">
        <v>3.1</v>
      </c>
      <c r="F3563" s="485"/>
      <c r="G3563" s="485">
        <v>2.6</v>
      </c>
      <c r="H3563" s="487">
        <f t="shared" si="496"/>
        <v>8.06</v>
      </c>
    </row>
    <row r="3564" spans="1:8" s="948" customFormat="1">
      <c r="A3564" s="17"/>
      <c r="B3564" s="17" t="s">
        <v>1300</v>
      </c>
      <c r="C3564" s="17" t="s">
        <v>10</v>
      </c>
      <c r="D3564" s="17">
        <v>-1</v>
      </c>
      <c r="E3564" s="17">
        <v>2.4500000000000002</v>
      </c>
      <c r="F3564" s="17"/>
      <c r="G3564" s="17">
        <v>1.35</v>
      </c>
      <c r="H3564" s="18">
        <f t="shared" si="496"/>
        <v>-3.3075000000000006</v>
      </c>
    </row>
    <row r="3565" spans="1:8" s="948" customFormat="1">
      <c r="A3565" s="485"/>
      <c r="B3565" s="485"/>
      <c r="C3565" s="17" t="s">
        <v>10</v>
      </c>
      <c r="D3565" s="485">
        <v>2</v>
      </c>
      <c r="E3565" s="485">
        <v>3.4</v>
      </c>
      <c r="F3565" s="485"/>
      <c r="G3565" s="485">
        <v>2.6</v>
      </c>
      <c r="H3565" s="487">
        <f t="shared" ref="H3565:H3566" si="502">PRODUCT(D3565:G3565)</f>
        <v>17.68</v>
      </c>
    </row>
    <row r="3566" spans="1:8" s="948" customFormat="1">
      <c r="A3566" s="485"/>
      <c r="B3566" s="485"/>
      <c r="C3566" s="17" t="s">
        <v>10</v>
      </c>
      <c r="D3566" s="485">
        <v>1</v>
      </c>
      <c r="E3566" s="485">
        <v>3.1</v>
      </c>
      <c r="F3566" s="485"/>
      <c r="G3566" s="485">
        <v>2.6</v>
      </c>
      <c r="H3566" s="487">
        <f t="shared" si="502"/>
        <v>8.06</v>
      </c>
    </row>
    <row r="3567" spans="1:8" s="948" customFormat="1">
      <c r="A3567" s="17"/>
      <c r="B3567" s="17" t="s">
        <v>1301</v>
      </c>
      <c r="C3567" s="17" t="s">
        <v>10</v>
      </c>
      <c r="D3567" s="17">
        <v>-1</v>
      </c>
      <c r="E3567" s="17">
        <v>2.4500000000000002</v>
      </c>
      <c r="F3567" s="17"/>
      <c r="G3567" s="17">
        <v>1.35</v>
      </c>
      <c r="H3567" s="18">
        <f t="shared" si="496"/>
        <v>-3.3075000000000006</v>
      </c>
    </row>
    <row r="3568" spans="1:8" s="948" customFormat="1">
      <c r="A3568" s="485"/>
      <c r="B3568" s="485"/>
      <c r="C3568" s="17" t="s">
        <v>10</v>
      </c>
      <c r="D3568" s="485">
        <v>2</v>
      </c>
      <c r="E3568" s="485">
        <v>3.4</v>
      </c>
      <c r="F3568" s="485"/>
      <c r="G3568" s="485">
        <v>2.6</v>
      </c>
      <c r="H3568" s="487">
        <f t="shared" si="496"/>
        <v>17.68</v>
      </c>
    </row>
    <row r="3569" spans="1:8" s="948" customFormat="1">
      <c r="A3569" s="485"/>
      <c r="B3569" s="485"/>
      <c r="C3569" s="17" t="s">
        <v>10</v>
      </c>
      <c r="D3569" s="485">
        <v>1</v>
      </c>
      <c r="E3569" s="485">
        <v>3.1</v>
      </c>
      <c r="F3569" s="485"/>
      <c r="G3569" s="485">
        <v>2.6</v>
      </c>
      <c r="H3569" s="487">
        <f t="shared" si="496"/>
        <v>8.06</v>
      </c>
    </row>
    <row r="3570" spans="1:8" s="948" customFormat="1">
      <c r="A3570" s="485"/>
      <c r="B3570" s="485" t="s">
        <v>172</v>
      </c>
      <c r="C3570" s="17" t="s">
        <v>10</v>
      </c>
      <c r="D3570" s="485">
        <v>1</v>
      </c>
      <c r="E3570" s="485">
        <v>4.8</v>
      </c>
      <c r="F3570" s="485"/>
      <c r="G3570" s="485">
        <v>2.6</v>
      </c>
      <c r="H3570" s="487">
        <f t="shared" ref="H3570" si="503">PRODUCT(D3570:G3570)</f>
        <v>12.48</v>
      </c>
    </row>
    <row r="3571" spans="1:8" s="948" customFormat="1">
      <c r="A3571" s="17"/>
      <c r="B3571" s="17" t="s">
        <v>1201</v>
      </c>
      <c r="C3571" s="17" t="s">
        <v>10</v>
      </c>
      <c r="D3571" s="17">
        <v>-1</v>
      </c>
      <c r="E3571" s="17">
        <v>2.7</v>
      </c>
      <c r="F3571" s="17"/>
      <c r="G3571" s="17">
        <v>1.35</v>
      </c>
      <c r="H3571" s="18">
        <f t="shared" si="496"/>
        <v>-3.6450000000000005</v>
      </c>
    </row>
    <row r="3572" spans="1:8" s="948" customFormat="1">
      <c r="A3572" s="485"/>
      <c r="B3572" s="485"/>
      <c r="C3572" s="17" t="s">
        <v>10</v>
      </c>
      <c r="D3572" s="485">
        <v>2</v>
      </c>
      <c r="E3572" s="485">
        <v>3.6</v>
      </c>
      <c r="F3572" s="485"/>
      <c r="G3572" s="17">
        <v>2.6</v>
      </c>
      <c r="H3572" s="18">
        <f t="shared" si="496"/>
        <v>18.720000000000002</v>
      </c>
    </row>
    <row r="3573" spans="1:8" s="948" customFormat="1">
      <c r="A3573" s="485"/>
      <c r="B3573" s="485"/>
      <c r="C3573" s="17" t="s">
        <v>10</v>
      </c>
      <c r="D3573" s="485">
        <v>1</v>
      </c>
      <c r="E3573" s="485">
        <v>3.1</v>
      </c>
      <c r="F3573" s="485"/>
      <c r="G3573" s="17">
        <v>2.6</v>
      </c>
      <c r="H3573" s="18">
        <f t="shared" si="496"/>
        <v>8.06</v>
      </c>
    </row>
    <row r="3574" spans="1:8" s="948" customFormat="1">
      <c r="A3574" s="17"/>
      <c r="B3574" s="17" t="s">
        <v>1202</v>
      </c>
      <c r="C3574" s="17" t="s">
        <v>10</v>
      </c>
      <c r="D3574" s="17">
        <v>-1</v>
      </c>
      <c r="E3574" s="17">
        <v>2.7</v>
      </c>
      <c r="F3574" s="17"/>
      <c r="G3574" s="17">
        <v>1.35</v>
      </c>
      <c r="H3574" s="18">
        <f t="shared" si="496"/>
        <v>-3.6450000000000005</v>
      </c>
    </row>
    <row r="3575" spans="1:8" s="948" customFormat="1">
      <c r="A3575" s="485"/>
      <c r="B3575" s="485"/>
      <c r="C3575" s="17" t="s">
        <v>10</v>
      </c>
      <c r="D3575" s="485">
        <v>2</v>
      </c>
      <c r="E3575" s="485">
        <v>3.6</v>
      </c>
      <c r="F3575" s="485"/>
      <c r="G3575" s="17">
        <v>2.6</v>
      </c>
      <c r="H3575" s="18">
        <f t="shared" ref="H3575:H3576" si="504">PRODUCT(D3575:G3575)</f>
        <v>18.720000000000002</v>
      </c>
    </row>
    <row r="3576" spans="1:8" s="948" customFormat="1">
      <c r="A3576" s="485"/>
      <c r="B3576" s="485"/>
      <c r="C3576" s="17" t="s">
        <v>10</v>
      </c>
      <c r="D3576" s="485">
        <v>1</v>
      </c>
      <c r="E3576" s="485">
        <v>3.1</v>
      </c>
      <c r="F3576" s="485"/>
      <c r="G3576" s="17">
        <v>2.6</v>
      </c>
      <c r="H3576" s="18">
        <f t="shared" si="504"/>
        <v>8.06</v>
      </c>
    </row>
    <row r="3577" spans="1:8" s="948" customFormat="1">
      <c r="A3577" s="17"/>
      <c r="B3577" s="17" t="s">
        <v>2038</v>
      </c>
      <c r="C3577" s="17" t="s">
        <v>10</v>
      </c>
      <c r="D3577" s="17">
        <v>-2</v>
      </c>
      <c r="E3577" s="17">
        <v>2.4</v>
      </c>
      <c r="F3577" s="17"/>
      <c r="G3577" s="17">
        <v>1.35</v>
      </c>
      <c r="H3577" s="18">
        <f t="shared" si="496"/>
        <v>-6.48</v>
      </c>
    </row>
    <row r="3578" spans="1:8" s="948" customFormat="1">
      <c r="A3578" s="485"/>
      <c r="B3578" s="485"/>
      <c r="C3578" s="17" t="s">
        <v>10</v>
      </c>
      <c r="D3578" s="485">
        <v>1</v>
      </c>
      <c r="E3578" s="485">
        <v>3.6</v>
      </c>
      <c r="F3578" s="485"/>
      <c r="G3578" s="485">
        <v>2.6</v>
      </c>
      <c r="H3578" s="487">
        <f t="shared" si="496"/>
        <v>9.3600000000000012</v>
      </c>
    </row>
    <row r="3579" spans="1:8" s="948" customFormat="1">
      <c r="A3579" s="485"/>
      <c r="B3579" s="485"/>
      <c r="C3579" s="17" t="s">
        <v>10</v>
      </c>
      <c r="D3579" s="485">
        <v>1</v>
      </c>
      <c r="E3579" s="485">
        <v>2.8</v>
      </c>
      <c r="F3579" s="485"/>
      <c r="G3579" s="485">
        <v>2.6</v>
      </c>
      <c r="H3579" s="487">
        <f t="shared" ref="H3579:H3582" si="505">PRODUCT(D3579:G3579)</f>
        <v>7.2799999999999994</v>
      </c>
    </row>
    <row r="3580" spans="1:8" s="948" customFormat="1">
      <c r="A3580" s="485"/>
      <c r="B3580" s="485"/>
      <c r="C3580" s="17" t="s">
        <v>10</v>
      </c>
      <c r="D3580" s="485">
        <v>1</v>
      </c>
      <c r="E3580" s="485">
        <v>0.5</v>
      </c>
      <c r="F3580" s="485"/>
      <c r="G3580" s="485">
        <v>2.6</v>
      </c>
      <c r="H3580" s="487">
        <f t="shared" si="505"/>
        <v>1.3</v>
      </c>
    </row>
    <row r="3581" spans="1:8" s="948" customFormat="1">
      <c r="A3581" s="485"/>
      <c r="B3581" s="485"/>
      <c r="C3581" s="17" t="s">
        <v>10</v>
      </c>
      <c r="D3581" s="485">
        <v>1</v>
      </c>
      <c r="E3581" s="485">
        <v>3.7</v>
      </c>
      <c r="F3581" s="485"/>
      <c r="G3581" s="485">
        <v>1.1000000000000001</v>
      </c>
      <c r="H3581" s="487">
        <f t="shared" si="505"/>
        <v>4.07</v>
      </c>
    </row>
    <row r="3582" spans="1:8" s="948" customFormat="1">
      <c r="A3582" s="485"/>
      <c r="B3582" s="485"/>
      <c r="C3582" s="17" t="s">
        <v>10</v>
      </c>
      <c r="D3582" s="485">
        <v>1</v>
      </c>
      <c r="E3582" s="485">
        <v>0.85</v>
      </c>
      <c r="F3582" s="485"/>
      <c r="G3582" s="485">
        <v>1.1000000000000001</v>
      </c>
      <c r="H3582" s="487">
        <f t="shared" si="505"/>
        <v>0.93500000000000005</v>
      </c>
    </row>
    <row r="3583" spans="1:8" s="948" customFormat="1">
      <c r="A3583" s="17"/>
      <c r="B3583" s="17" t="s">
        <v>1242</v>
      </c>
      <c r="C3583" s="17" t="s">
        <v>10</v>
      </c>
      <c r="D3583" s="17">
        <v>-1</v>
      </c>
      <c r="E3583" s="17">
        <v>3.8</v>
      </c>
      <c r="F3583" s="17"/>
      <c r="G3583" s="17">
        <v>1.35</v>
      </c>
      <c r="H3583" s="18">
        <f t="shared" si="496"/>
        <v>-5.13</v>
      </c>
    </row>
    <row r="3584" spans="1:8" s="948" customFormat="1">
      <c r="A3584" s="485"/>
      <c r="B3584" s="485"/>
      <c r="C3584" s="17" t="s">
        <v>10</v>
      </c>
      <c r="D3584" s="17">
        <v>1</v>
      </c>
      <c r="E3584" s="17">
        <v>3.8</v>
      </c>
      <c r="F3584" s="17"/>
      <c r="G3584" s="17">
        <v>2.6</v>
      </c>
      <c r="H3584" s="18">
        <f t="shared" ref="H3584:H3586" si="506">PRODUCT(D3584:G3584)</f>
        <v>9.879999999999999</v>
      </c>
    </row>
    <row r="3585" spans="1:8" s="948" customFormat="1">
      <c r="A3585" s="485"/>
      <c r="B3585" s="485"/>
      <c r="C3585" s="17" t="s">
        <v>10</v>
      </c>
      <c r="D3585" s="485">
        <v>1</v>
      </c>
      <c r="E3585" s="485">
        <v>2.0499999999999998</v>
      </c>
      <c r="F3585" s="485"/>
      <c r="G3585" s="17">
        <v>2.6</v>
      </c>
      <c r="H3585" s="18">
        <f t="shared" si="506"/>
        <v>5.33</v>
      </c>
    </row>
    <row r="3586" spans="1:8" s="948" customFormat="1">
      <c r="A3586" s="485"/>
      <c r="B3586" s="485"/>
      <c r="C3586" s="17" t="s">
        <v>10</v>
      </c>
      <c r="D3586" s="485">
        <v>1</v>
      </c>
      <c r="E3586" s="485">
        <v>4.4349999999999996</v>
      </c>
      <c r="F3586" s="485"/>
      <c r="G3586" s="485">
        <v>1.1000000000000001</v>
      </c>
      <c r="H3586" s="487">
        <f t="shared" si="506"/>
        <v>4.8784999999999998</v>
      </c>
    </row>
    <row r="3587" spans="1:8" s="948" customFormat="1">
      <c r="A3587" s="485"/>
      <c r="B3587" s="485" t="s">
        <v>1241</v>
      </c>
      <c r="C3587" s="17" t="s">
        <v>10</v>
      </c>
      <c r="D3587" s="485">
        <v>2</v>
      </c>
      <c r="E3587" s="485">
        <v>2.4</v>
      </c>
      <c r="F3587" s="485"/>
      <c r="G3587" s="485">
        <v>2.6</v>
      </c>
      <c r="H3587" s="487">
        <f t="shared" ref="H3587" si="507">PRODUCT(D3587:G3587)</f>
        <v>12.48</v>
      </c>
    </row>
    <row r="3588" spans="1:8" s="948" customFormat="1">
      <c r="A3588" s="17"/>
      <c r="B3588" s="17" t="s">
        <v>1243</v>
      </c>
      <c r="C3588" s="17" t="s">
        <v>10</v>
      </c>
      <c r="D3588" s="17">
        <v>-1</v>
      </c>
      <c r="E3588" s="17">
        <v>3.8</v>
      </c>
      <c r="F3588" s="17"/>
      <c r="G3588" s="17">
        <v>1.35</v>
      </c>
      <c r="H3588" s="18">
        <f t="shared" si="496"/>
        <v>-5.13</v>
      </c>
    </row>
    <row r="3589" spans="1:8" s="948" customFormat="1">
      <c r="A3589" s="485"/>
      <c r="B3589" s="485"/>
      <c r="C3589" s="17" t="s">
        <v>10</v>
      </c>
      <c r="D3589" s="485">
        <v>1</v>
      </c>
      <c r="E3589" s="485">
        <v>3.8</v>
      </c>
      <c r="F3589" s="485"/>
      <c r="G3589" s="485">
        <v>2.6</v>
      </c>
      <c r="H3589" s="487">
        <f t="shared" si="496"/>
        <v>9.879999999999999</v>
      </c>
    </row>
    <row r="3590" spans="1:8" s="948" customFormat="1">
      <c r="A3590" s="485"/>
      <c r="B3590" s="485"/>
      <c r="C3590" s="17" t="s">
        <v>10</v>
      </c>
      <c r="D3590" s="485">
        <v>1</v>
      </c>
      <c r="E3590" s="485">
        <v>0.65</v>
      </c>
      <c r="F3590" s="485"/>
      <c r="G3590" s="485">
        <v>2.6</v>
      </c>
      <c r="H3590" s="487">
        <f t="shared" si="496"/>
        <v>1.6900000000000002</v>
      </c>
    </row>
    <row r="3591" spans="1:8" s="948" customFormat="1">
      <c r="A3591" s="485"/>
      <c r="B3591" s="485"/>
      <c r="C3591" s="17" t="s">
        <v>10</v>
      </c>
      <c r="D3591" s="485">
        <v>1</v>
      </c>
      <c r="E3591" s="485">
        <v>4.37</v>
      </c>
      <c r="F3591" s="485"/>
      <c r="G3591" s="485">
        <v>1.1000000000000001</v>
      </c>
      <c r="H3591" s="487">
        <f t="shared" si="496"/>
        <v>4.8070000000000004</v>
      </c>
    </row>
    <row r="3592" spans="1:8" s="948" customFormat="1">
      <c r="A3592" s="485"/>
      <c r="B3592" s="485" t="s">
        <v>191</v>
      </c>
      <c r="C3592" s="17" t="s">
        <v>10</v>
      </c>
      <c r="D3592" s="485">
        <v>6</v>
      </c>
      <c r="E3592" s="485">
        <v>1.98</v>
      </c>
      <c r="F3592" s="485"/>
      <c r="G3592" s="485">
        <v>2.6</v>
      </c>
      <c r="H3592" s="487">
        <f t="shared" ref="H3592:H3594" si="508">PRODUCT(D3592:G3592)</f>
        <v>30.887999999999998</v>
      </c>
    </row>
    <row r="3593" spans="1:8" s="948" customFormat="1">
      <c r="A3593" s="485"/>
      <c r="B3593" s="485"/>
      <c r="C3593" s="17" t="s">
        <v>10</v>
      </c>
      <c r="D3593" s="485">
        <v>3</v>
      </c>
      <c r="E3593" s="485">
        <v>1.325</v>
      </c>
      <c r="F3593" s="485"/>
      <c r="G3593" s="485">
        <v>2.6</v>
      </c>
      <c r="H3593" s="487">
        <f t="shared" si="508"/>
        <v>10.334999999999999</v>
      </c>
    </row>
    <row r="3594" spans="1:8" s="948" customFormat="1">
      <c r="A3594" s="485"/>
      <c r="B3594" s="485"/>
      <c r="C3594" s="17" t="s">
        <v>10</v>
      </c>
      <c r="D3594" s="485">
        <v>1</v>
      </c>
      <c r="E3594" s="485">
        <v>7.2</v>
      </c>
      <c r="F3594" s="485"/>
      <c r="G3594" s="485">
        <v>2.6</v>
      </c>
      <c r="H3594" s="487">
        <f t="shared" si="508"/>
        <v>18.720000000000002</v>
      </c>
    </row>
    <row r="3595" spans="1:8" s="948" customFormat="1">
      <c r="A3595" s="485"/>
      <c r="B3595" s="485" t="s">
        <v>1216</v>
      </c>
      <c r="C3595" s="17" t="s">
        <v>10</v>
      </c>
      <c r="D3595" s="485">
        <v>-1</v>
      </c>
      <c r="E3595" s="485">
        <v>3.2</v>
      </c>
      <c r="F3595" s="485"/>
      <c r="G3595" s="485">
        <v>1.35</v>
      </c>
      <c r="H3595" s="487">
        <f t="shared" si="496"/>
        <v>-4.32</v>
      </c>
    </row>
    <row r="3596" spans="1:8" s="948" customFormat="1">
      <c r="A3596" s="485"/>
      <c r="B3596" s="485"/>
      <c r="C3596" s="17" t="s">
        <v>10</v>
      </c>
      <c r="D3596" s="485">
        <v>-1</v>
      </c>
      <c r="E3596" s="485">
        <v>3.9</v>
      </c>
      <c r="F3596" s="485"/>
      <c r="G3596" s="485">
        <v>1.35</v>
      </c>
      <c r="H3596" s="487">
        <f t="shared" si="496"/>
        <v>-5.2650000000000006</v>
      </c>
    </row>
    <row r="3597" spans="1:8" s="948" customFormat="1">
      <c r="A3597" s="485"/>
      <c r="B3597" s="485"/>
      <c r="C3597" s="17" t="s">
        <v>10</v>
      </c>
      <c r="D3597" s="485">
        <v>1</v>
      </c>
      <c r="E3597" s="485">
        <v>4.3499999999999996</v>
      </c>
      <c r="F3597" s="485"/>
      <c r="G3597" s="485">
        <v>2.6</v>
      </c>
      <c r="H3597" s="487">
        <f t="shared" si="496"/>
        <v>11.309999999999999</v>
      </c>
    </row>
    <row r="3598" spans="1:8" s="948" customFormat="1">
      <c r="A3598" s="485"/>
      <c r="B3598" s="485"/>
      <c r="C3598" s="17" t="s">
        <v>10</v>
      </c>
      <c r="D3598" s="485">
        <v>1</v>
      </c>
      <c r="E3598" s="485">
        <v>3.6</v>
      </c>
      <c r="F3598" s="485"/>
      <c r="G3598" s="485">
        <v>2.6</v>
      </c>
      <c r="H3598" s="487">
        <f t="shared" si="496"/>
        <v>9.3600000000000012</v>
      </c>
    </row>
    <row r="3599" spans="1:8" s="948" customFormat="1">
      <c r="A3599" s="485"/>
      <c r="B3599" s="485"/>
      <c r="C3599" s="17" t="s">
        <v>10</v>
      </c>
      <c r="D3599" s="485">
        <v>1</v>
      </c>
      <c r="E3599" s="485">
        <v>3.5</v>
      </c>
      <c r="F3599" s="485"/>
      <c r="G3599" s="485">
        <v>2.6</v>
      </c>
      <c r="H3599" s="487">
        <f t="shared" si="496"/>
        <v>9.1</v>
      </c>
    </row>
    <row r="3600" spans="1:8" s="948" customFormat="1">
      <c r="A3600" s="485"/>
      <c r="B3600" s="485"/>
      <c r="C3600" s="17" t="s">
        <v>10</v>
      </c>
      <c r="D3600" s="485">
        <v>1</v>
      </c>
      <c r="E3600" s="485">
        <v>0.16</v>
      </c>
      <c r="F3600" s="485"/>
      <c r="G3600" s="485">
        <v>2.6</v>
      </c>
      <c r="H3600" s="487">
        <f t="shared" si="496"/>
        <v>0.41600000000000004</v>
      </c>
    </row>
    <row r="3601" spans="1:8" s="948" customFormat="1">
      <c r="A3601" s="485"/>
      <c r="B3601" s="485"/>
      <c r="C3601" s="17" t="s">
        <v>10</v>
      </c>
      <c r="D3601" s="485">
        <v>1</v>
      </c>
      <c r="E3601" s="485">
        <v>0.2</v>
      </c>
      <c r="F3601" s="485"/>
      <c r="G3601" s="485">
        <v>2.6</v>
      </c>
      <c r="H3601" s="487">
        <f t="shared" si="496"/>
        <v>0.52</v>
      </c>
    </row>
    <row r="3602" spans="1:8" s="948" customFormat="1">
      <c r="A3602" s="485"/>
      <c r="B3602" s="485"/>
      <c r="C3602" s="17" t="s">
        <v>10</v>
      </c>
      <c r="D3602" s="485">
        <v>1</v>
      </c>
      <c r="E3602" s="485">
        <v>0.15</v>
      </c>
      <c r="F3602" s="485"/>
      <c r="G3602" s="485">
        <v>2.6</v>
      </c>
      <c r="H3602" s="487">
        <f t="shared" si="496"/>
        <v>0.39</v>
      </c>
    </row>
    <row r="3603" spans="1:8" s="948" customFormat="1">
      <c r="A3603" s="485"/>
      <c r="B3603" s="485"/>
      <c r="C3603" s="17" t="s">
        <v>10</v>
      </c>
      <c r="D3603" s="485">
        <v>1</v>
      </c>
      <c r="E3603" s="485">
        <v>3.9</v>
      </c>
      <c r="F3603" s="485"/>
      <c r="G3603" s="485">
        <v>0.2</v>
      </c>
      <c r="H3603" s="487">
        <f t="shared" si="496"/>
        <v>0.78</v>
      </c>
    </row>
    <row r="3604" spans="1:8" s="948" customFormat="1">
      <c r="A3604" s="485"/>
      <c r="B3604" s="485" t="s">
        <v>1310</v>
      </c>
      <c r="C3604" s="17" t="s">
        <v>10</v>
      </c>
      <c r="D3604" s="485">
        <v>-1</v>
      </c>
      <c r="E3604" s="485">
        <v>3.2</v>
      </c>
      <c r="F3604" s="485"/>
      <c r="G3604" s="485">
        <v>1.35</v>
      </c>
      <c r="H3604" s="487">
        <f t="shared" si="496"/>
        <v>-4.32</v>
      </c>
    </row>
    <row r="3605" spans="1:8" s="948" customFormat="1">
      <c r="A3605" s="485"/>
      <c r="B3605" s="485"/>
      <c r="C3605" s="17" t="s">
        <v>10</v>
      </c>
      <c r="D3605" s="485">
        <v>-1</v>
      </c>
      <c r="E3605" s="485">
        <v>3.2</v>
      </c>
      <c r="F3605" s="485"/>
      <c r="G3605" s="485">
        <v>1.35</v>
      </c>
      <c r="H3605" s="487">
        <f t="shared" si="496"/>
        <v>-4.32</v>
      </c>
    </row>
    <row r="3606" spans="1:8" s="948" customFormat="1">
      <c r="A3606" s="485"/>
      <c r="B3606" s="485"/>
      <c r="C3606" s="17" t="s">
        <v>10</v>
      </c>
      <c r="D3606" s="485">
        <v>2</v>
      </c>
      <c r="E3606" s="485">
        <v>3.6</v>
      </c>
      <c r="F3606" s="485"/>
      <c r="G3606" s="485">
        <v>2.6</v>
      </c>
      <c r="H3606" s="487">
        <f t="shared" si="496"/>
        <v>18.720000000000002</v>
      </c>
    </row>
    <row r="3607" spans="1:8" s="948" customFormat="1">
      <c r="A3607" s="485"/>
      <c r="B3607" s="485"/>
      <c r="C3607" s="17" t="s">
        <v>10</v>
      </c>
      <c r="D3607" s="485">
        <v>1</v>
      </c>
      <c r="E3607" s="485">
        <v>3.56</v>
      </c>
      <c r="F3607" s="485"/>
      <c r="G3607" s="485">
        <v>2.6</v>
      </c>
      <c r="H3607" s="487">
        <f t="shared" si="496"/>
        <v>9.2560000000000002</v>
      </c>
    </row>
    <row r="3608" spans="1:8" s="948" customFormat="1">
      <c r="A3608" s="485"/>
      <c r="B3608" s="485" t="s">
        <v>206</v>
      </c>
      <c r="C3608" s="17" t="s">
        <v>10</v>
      </c>
      <c r="D3608" s="485">
        <v>-1</v>
      </c>
      <c r="E3608" s="485">
        <v>1.2</v>
      </c>
      <c r="F3608" s="485"/>
      <c r="G3608" s="485">
        <v>1.35</v>
      </c>
      <c r="H3608" s="487">
        <f t="shared" si="496"/>
        <v>-1.62</v>
      </c>
    </row>
    <row r="3609" spans="1:8" s="948" customFormat="1">
      <c r="A3609" s="485"/>
      <c r="B3609" s="485"/>
      <c r="C3609" s="17" t="s">
        <v>10</v>
      </c>
      <c r="D3609" s="485">
        <v>1</v>
      </c>
      <c r="E3609" s="485">
        <v>3.15</v>
      </c>
      <c r="F3609" s="485"/>
      <c r="G3609" s="485">
        <v>2.6</v>
      </c>
      <c r="H3609" s="487">
        <f t="shared" si="496"/>
        <v>8.19</v>
      </c>
    </row>
    <row r="3610" spans="1:8" s="948" customFormat="1">
      <c r="A3610" s="485"/>
      <c r="B3610" s="485" t="s">
        <v>2141</v>
      </c>
      <c r="C3610" s="17" t="s">
        <v>10</v>
      </c>
      <c r="D3610" s="485">
        <v>-1</v>
      </c>
      <c r="E3610" s="485">
        <v>1.2</v>
      </c>
      <c r="F3610" s="485"/>
      <c r="G3610" s="485">
        <v>1.35</v>
      </c>
      <c r="H3610" s="487">
        <f t="shared" si="496"/>
        <v>-1.62</v>
      </c>
    </row>
    <row r="3611" spans="1:8" s="948" customFormat="1">
      <c r="A3611" s="485"/>
      <c r="B3611" s="485"/>
      <c r="C3611" s="17" t="s">
        <v>10</v>
      </c>
      <c r="D3611" s="485">
        <v>1</v>
      </c>
      <c r="E3611" s="485">
        <v>3.15</v>
      </c>
      <c r="F3611" s="485"/>
      <c r="G3611" s="485">
        <v>2.6</v>
      </c>
      <c r="H3611" s="487">
        <f t="shared" ref="H3611" si="509">PRODUCT(D3611:G3611)</f>
        <v>8.19</v>
      </c>
    </row>
    <row r="3612" spans="1:8" s="948" customFormat="1">
      <c r="A3612" s="17"/>
      <c r="B3612" s="17" t="s">
        <v>1213</v>
      </c>
      <c r="C3612" s="17" t="s">
        <v>10</v>
      </c>
      <c r="D3612" s="17">
        <v>-1</v>
      </c>
      <c r="E3612" s="17">
        <v>2.5499999999999998</v>
      </c>
      <c r="F3612" s="17"/>
      <c r="G3612" s="17">
        <v>1.35</v>
      </c>
      <c r="H3612" s="18">
        <f t="shared" si="496"/>
        <v>-3.4424999999999999</v>
      </c>
    </row>
    <row r="3613" spans="1:8" s="948" customFormat="1">
      <c r="A3613" s="485"/>
      <c r="B3613" s="485"/>
      <c r="C3613" s="17" t="s">
        <v>10</v>
      </c>
      <c r="D3613" s="17">
        <v>2</v>
      </c>
      <c r="E3613" s="17">
        <v>3.45</v>
      </c>
      <c r="F3613" s="17"/>
      <c r="G3613" s="17">
        <v>2.6</v>
      </c>
      <c r="H3613" s="18">
        <f t="shared" ref="H3613:H3614" si="510">PRODUCT(D3613:G3613)</f>
        <v>17.940000000000001</v>
      </c>
    </row>
    <row r="3614" spans="1:8" s="948" customFormat="1">
      <c r="A3614" s="485"/>
      <c r="B3614" s="485"/>
      <c r="C3614" s="17" t="s">
        <v>10</v>
      </c>
      <c r="D3614" s="485">
        <v>1</v>
      </c>
      <c r="E3614" s="485">
        <v>3.1</v>
      </c>
      <c r="F3614" s="485"/>
      <c r="G3614" s="17">
        <v>2.6</v>
      </c>
      <c r="H3614" s="18">
        <f t="shared" si="510"/>
        <v>8.06</v>
      </c>
    </row>
    <row r="3615" spans="1:8" s="948" customFormat="1">
      <c r="A3615" s="17"/>
      <c r="B3615" s="17" t="s">
        <v>1214</v>
      </c>
      <c r="C3615" s="17" t="s">
        <v>10</v>
      </c>
      <c r="D3615" s="17">
        <v>-1</v>
      </c>
      <c r="E3615" s="17">
        <v>2.5499999999999998</v>
      </c>
      <c r="F3615" s="17"/>
      <c r="G3615" s="17">
        <v>1.35</v>
      </c>
      <c r="H3615" s="18">
        <f t="shared" si="496"/>
        <v>-3.4424999999999999</v>
      </c>
    </row>
    <row r="3616" spans="1:8" s="948" customFormat="1">
      <c r="A3616" s="485"/>
      <c r="B3616" s="485"/>
      <c r="C3616" s="17" t="s">
        <v>10</v>
      </c>
      <c r="D3616" s="485">
        <v>1</v>
      </c>
      <c r="E3616" s="485">
        <v>3.45</v>
      </c>
      <c r="F3616" s="485"/>
      <c r="G3616" s="485">
        <v>2.6</v>
      </c>
      <c r="H3616" s="487">
        <f t="shared" si="496"/>
        <v>8.9700000000000006</v>
      </c>
    </row>
    <row r="3617" spans="1:8" s="948" customFormat="1">
      <c r="A3617" s="485"/>
      <c r="B3617" s="485"/>
      <c r="C3617" s="17" t="s">
        <v>10</v>
      </c>
      <c r="D3617" s="485">
        <v>1</v>
      </c>
      <c r="E3617" s="485">
        <v>3.1</v>
      </c>
      <c r="F3617" s="485"/>
      <c r="G3617" s="485">
        <v>2.6</v>
      </c>
      <c r="H3617" s="487">
        <f t="shared" si="496"/>
        <v>8.06</v>
      </c>
    </row>
    <row r="3618" spans="1:8" s="948" customFormat="1">
      <c r="A3618" s="485"/>
      <c r="B3618" s="485"/>
      <c r="C3618" s="17" t="s">
        <v>10</v>
      </c>
      <c r="D3618" s="485">
        <v>1</v>
      </c>
      <c r="E3618" s="485">
        <v>3.35</v>
      </c>
      <c r="F3618" s="485"/>
      <c r="G3618" s="485">
        <v>2.6</v>
      </c>
      <c r="H3618" s="487">
        <f t="shared" si="496"/>
        <v>8.7100000000000009</v>
      </c>
    </row>
    <row r="3619" spans="1:8" s="948" customFormat="1">
      <c r="A3619" s="485"/>
      <c r="B3619" s="485"/>
      <c r="C3619" s="17" t="s">
        <v>10</v>
      </c>
      <c r="D3619" s="485">
        <v>1</v>
      </c>
      <c r="E3619" s="485">
        <v>0.16</v>
      </c>
      <c r="F3619" s="485"/>
      <c r="G3619" s="485">
        <v>2.6</v>
      </c>
      <c r="H3619" s="487">
        <f t="shared" si="496"/>
        <v>0.41600000000000004</v>
      </c>
    </row>
    <row r="3620" spans="1:8" s="948" customFormat="1">
      <c r="A3620" s="485"/>
      <c r="B3620" s="485"/>
      <c r="C3620" s="17" t="s">
        <v>10</v>
      </c>
      <c r="D3620" s="485">
        <v>1</v>
      </c>
      <c r="E3620" s="485">
        <v>0.15</v>
      </c>
      <c r="F3620" s="485"/>
      <c r="G3620" s="485">
        <v>2.6</v>
      </c>
      <c r="H3620" s="487">
        <f t="shared" ref="H3620:H3622" si="511">PRODUCT(D3620:G3620)</f>
        <v>0.39</v>
      </c>
    </row>
    <row r="3621" spans="1:8" s="948" customFormat="1">
      <c r="A3621" s="485"/>
      <c r="B3621" s="485"/>
      <c r="C3621" s="17" t="s">
        <v>10</v>
      </c>
      <c r="D3621" s="485">
        <v>1</v>
      </c>
      <c r="E3621" s="485">
        <v>0.25</v>
      </c>
      <c r="F3621" s="485"/>
      <c r="G3621" s="485">
        <v>2.6</v>
      </c>
      <c r="H3621" s="487">
        <f t="shared" si="511"/>
        <v>0.65</v>
      </c>
    </row>
    <row r="3622" spans="1:8" s="948" customFormat="1">
      <c r="A3622" s="485"/>
      <c r="B3622" s="485"/>
      <c r="C3622" s="17" t="s">
        <v>10</v>
      </c>
      <c r="D3622" s="485">
        <v>1</v>
      </c>
      <c r="E3622" s="485">
        <v>2.56</v>
      </c>
      <c r="F3622" s="485"/>
      <c r="G3622" s="485">
        <v>0.2</v>
      </c>
      <c r="H3622" s="487">
        <f t="shared" si="511"/>
        <v>0.51200000000000001</v>
      </c>
    </row>
    <row r="3623" spans="1:8" s="948" customFormat="1">
      <c r="A3623" s="485"/>
      <c r="B3623" s="485" t="s">
        <v>1217</v>
      </c>
      <c r="C3623" s="17" t="s">
        <v>10</v>
      </c>
      <c r="D3623" s="17">
        <v>1</v>
      </c>
      <c r="E3623" s="17">
        <v>1</v>
      </c>
      <c r="F3623" s="17"/>
      <c r="G3623" s="17">
        <v>2.6</v>
      </c>
      <c r="H3623" s="18">
        <f t="shared" si="496"/>
        <v>2.6</v>
      </c>
    </row>
    <row r="3624" spans="1:8" s="948" customFormat="1">
      <c r="A3624" s="485"/>
      <c r="B3624" s="485"/>
      <c r="C3624" s="17" t="s">
        <v>10</v>
      </c>
      <c r="D3624" s="17">
        <v>1</v>
      </c>
      <c r="E3624" s="17">
        <v>0.6</v>
      </c>
      <c r="F3624" s="17"/>
      <c r="G3624" s="17">
        <v>2.6</v>
      </c>
      <c r="H3624" s="18">
        <f t="shared" ref="H3624" si="512">PRODUCT(D3624:G3624)</f>
        <v>1.56</v>
      </c>
    </row>
    <row r="3625" spans="1:8" s="948" customFormat="1">
      <c r="A3625" s="485"/>
      <c r="B3625" s="485"/>
      <c r="C3625" s="17" t="s">
        <v>10</v>
      </c>
      <c r="D3625" s="17">
        <v>1</v>
      </c>
      <c r="E3625" s="17">
        <v>1</v>
      </c>
      <c r="F3625" s="17"/>
      <c r="G3625" s="17">
        <v>2.6</v>
      </c>
      <c r="H3625" s="18">
        <f t="shared" ref="H3625" si="513">PRODUCT(D3625:G3625)</f>
        <v>2.6</v>
      </c>
    </row>
    <row r="3626" spans="1:8" s="948" customFormat="1">
      <c r="A3626" s="485"/>
      <c r="B3626" s="485"/>
      <c r="C3626" s="17" t="s">
        <v>10</v>
      </c>
      <c r="D3626" s="17">
        <v>1</v>
      </c>
      <c r="E3626" s="17">
        <v>11</v>
      </c>
      <c r="F3626" s="17"/>
      <c r="G3626" s="17">
        <v>2.6</v>
      </c>
      <c r="H3626" s="18">
        <f t="shared" ref="H3626" si="514">PRODUCT(D3626:G3626)</f>
        <v>28.6</v>
      </c>
    </row>
    <row r="3627" spans="1:8" s="948" customFormat="1">
      <c r="A3627" s="485"/>
      <c r="B3627" s="485" t="s">
        <v>1219</v>
      </c>
      <c r="C3627" s="17" t="s">
        <v>10</v>
      </c>
      <c r="D3627" s="17">
        <v>1</v>
      </c>
      <c r="E3627" s="17">
        <v>0.1</v>
      </c>
      <c r="F3627" s="17"/>
      <c r="G3627" s="17">
        <v>2.6</v>
      </c>
      <c r="H3627" s="18">
        <f t="shared" ref="H3627:H3629" si="515">PRODUCT(D3627:G3627)</f>
        <v>0.26</v>
      </c>
    </row>
    <row r="3628" spans="1:8" s="948" customFormat="1">
      <c r="A3628" s="485"/>
      <c r="B3628" s="485"/>
      <c r="C3628" s="17" t="s">
        <v>10</v>
      </c>
      <c r="D3628" s="485">
        <v>1</v>
      </c>
      <c r="E3628" s="485">
        <v>3.0249999999999999</v>
      </c>
      <c r="F3628" s="485"/>
      <c r="G3628" s="17">
        <v>2.6</v>
      </c>
      <c r="H3628" s="18">
        <f t="shared" si="515"/>
        <v>7.8650000000000002</v>
      </c>
    </row>
    <row r="3629" spans="1:8" s="948" customFormat="1">
      <c r="A3629" s="485"/>
      <c r="B3629" s="485"/>
      <c r="C3629" s="17" t="s">
        <v>10</v>
      </c>
      <c r="D3629" s="485">
        <v>1</v>
      </c>
      <c r="E3629" s="485">
        <v>2.4500000000000002</v>
      </c>
      <c r="F3629" s="485"/>
      <c r="G3629" s="17">
        <v>2.6</v>
      </c>
      <c r="H3629" s="18">
        <f t="shared" si="515"/>
        <v>6.370000000000001</v>
      </c>
    </row>
    <row r="3630" spans="1:8" s="948" customFormat="1">
      <c r="A3630" s="485"/>
      <c r="B3630" s="485" t="s">
        <v>1280</v>
      </c>
      <c r="C3630" s="17" t="s">
        <v>10</v>
      </c>
      <c r="D3630" s="485">
        <v>-1</v>
      </c>
      <c r="E3630" s="17">
        <v>2.4500000000000002</v>
      </c>
      <c r="F3630" s="485"/>
      <c r="G3630" s="17">
        <v>1.35</v>
      </c>
      <c r="H3630" s="18">
        <f t="shared" si="496"/>
        <v>-3.3075000000000006</v>
      </c>
    </row>
    <row r="3631" spans="1:8" s="948" customFormat="1">
      <c r="A3631" s="485"/>
      <c r="B3631" s="485"/>
      <c r="C3631" s="17" t="s">
        <v>10</v>
      </c>
      <c r="D3631" s="485">
        <v>2</v>
      </c>
      <c r="E3631" s="485">
        <v>2.4500000000000002</v>
      </c>
      <c r="F3631" s="485"/>
      <c r="G3631" s="485">
        <v>2.6</v>
      </c>
      <c r="H3631" s="487">
        <f t="shared" si="496"/>
        <v>12.740000000000002</v>
      </c>
    </row>
    <row r="3632" spans="1:8" s="948" customFormat="1">
      <c r="A3632" s="485"/>
      <c r="B3632" s="485"/>
      <c r="C3632" s="17" t="s">
        <v>10</v>
      </c>
      <c r="D3632" s="485">
        <v>1</v>
      </c>
      <c r="E3632" s="485">
        <v>3.05</v>
      </c>
      <c r="F3632" s="485"/>
      <c r="G3632" s="485">
        <v>2.6</v>
      </c>
      <c r="H3632" s="487">
        <f t="shared" si="496"/>
        <v>7.93</v>
      </c>
    </row>
    <row r="3633" spans="1:8" s="948" customFormat="1">
      <c r="A3633" s="485"/>
      <c r="B3633" s="485" t="s">
        <v>191</v>
      </c>
      <c r="C3633" s="17" t="s">
        <v>10</v>
      </c>
      <c r="D3633" s="485">
        <v>4</v>
      </c>
      <c r="E3633" s="485">
        <v>1.2</v>
      </c>
      <c r="F3633" s="485"/>
      <c r="G3633" s="485">
        <v>2.6</v>
      </c>
      <c r="H3633" s="487">
        <f t="shared" ref="H3633:H3638" si="516">PRODUCT(D3633:G3633)</f>
        <v>12.48</v>
      </c>
    </row>
    <row r="3634" spans="1:8" s="948" customFormat="1">
      <c r="A3634" s="485"/>
      <c r="B3634" s="485"/>
      <c r="C3634" s="17" t="s">
        <v>10</v>
      </c>
      <c r="D3634" s="485">
        <v>2</v>
      </c>
      <c r="E3634" s="485">
        <v>2.6</v>
      </c>
      <c r="F3634" s="485"/>
      <c r="G3634" s="485">
        <v>2.6</v>
      </c>
      <c r="H3634" s="487">
        <f t="shared" si="516"/>
        <v>13.520000000000001</v>
      </c>
    </row>
    <row r="3635" spans="1:8" s="948" customFormat="1">
      <c r="A3635" s="485"/>
      <c r="B3635" s="485"/>
      <c r="C3635" s="17" t="s">
        <v>10</v>
      </c>
      <c r="D3635" s="485">
        <v>1</v>
      </c>
      <c r="E3635" s="485">
        <v>0.15</v>
      </c>
      <c r="F3635" s="485"/>
      <c r="G3635" s="485">
        <v>2.6</v>
      </c>
      <c r="H3635" s="487">
        <f t="shared" si="516"/>
        <v>0.39</v>
      </c>
    </row>
    <row r="3636" spans="1:8" s="948" customFormat="1">
      <c r="A3636" s="485"/>
      <c r="B3636" s="485"/>
      <c r="C3636" s="17" t="s">
        <v>10</v>
      </c>
      <c r="D3636" s="485">
        <v>1</v>
      </c>
      <c r="E3636" s="485">
        <v>0.3</v>
      </c>
      <c r="F3636" s="485"/>
      <c r="G3636" s="485">
        <v>2.6</v>
      </c>
      <c r="H3636" s="487">
        <f t="shared" si="516"/>
        <v>0.78</v>
      </c>
    </row>
    <row r="3637" spans="1:8" s="948" customFormat="1">
      <c r="A3637" s="485"/>
      <c r="B3637" s="485"/>
      <c r="C3637" s="17" t="s">
        <v>10</v>
      </c>
      <c r="D3637" s="485">
        <v>1</v>
      </c>
      <c r="E3637" s="485">
        <v>1.85</v>
      </c>
      <c r="F3637" s="485"/>
      <c r="G3637" s="485">
        <v>0.2</v>
      </c>
      <c r="H3637" s="487">
        <f t="shared" si="516"/>
        <v>0.37000000000000005</v>
      </c>
    </row>
    <row r="3638" spans="1:8" s="948" customFormat="1">
      <c r="A3638" s="485"/>
      <c r="B3638" s="485"/>
      <c r="C3638" s="17" t="s">
        <v>10</v>
      </c>
      <c r="D3638" s="485">
        <v>1</v>
      </c>
      <c r="E3638" s="485">
        <v>1.8</v>
      </c>
      <c r="F3638" s="485"/>
      <c r="G3638" s="485">
        <v>0.2</v>
      </c>
      <c r="H3638" s="487">
        <f t="shared" si="516"/>
        <v>0.36000000000000004</v>
      </c>
    </row>
    <row r="3639" spans="1:8" s="948" customFormat="1">
      <c r="A3639" s="485"/>
      <c r="B3639" s="485" t="s">
        <v>214</v>
      </c>
      <c r="C3639" s="17" t="s">
        <v>10</v>
      </c>
      <c r="D3639" s="485">
        <v>-2</v>
      </c>
      <c r="E3639" s="17">
        <v>1.2</v>
      </c>
      <c r="F3639" s="485"/>
      <c r="G3639" s="17">
        <v>1.35</v>
      </c>
      <c r="H3639" s="18">
        <f t="shared" si="496"/>
        <v>-3.24</v>
      </c>
    </row>
    <row r="3640" spans="1:8" s="948" customFormat="1">
      <c r="A3640" s="485"/>
      <c r="B3640" s="485"/>
      <c r="C3640" s="17" t="s">
        <v>10</v>
      </c>
      <c r="D3640" s="485">
        <v>1</v>
      </c>
      <c r="E3640" s="485">
        <v>6.3</v>
      </c>
      <c r="F3640" s="485"/>
      <c r="G3640" s="485">
        <v>2.6</v>
      </c>
      <c r="H3640" s="487">
        <f t="shared" si="496"/>
        <v>16.38</v>
      </c>
    </row>
    <row r="3641" spans="1:8" s="948" customFormat="1">
      <c r="A3641" s="485"/>
      <c r="B3641" s="485" t="s">
        <v>215</v>
      </c>
      <c r="C3641" s="17" t="s">
        <v>10</v>
      </c>
      <c r="D3641" s="485">
        <v>-1</v>
      </c>
      <c r="E3641" s="485">
        <v>3</v>
      </c>
      <c r="F3641" s="485"/>
      <c r="G3641" s="485">
        <v>1.35</v>
      </c>
      <c r="H3641" s="487">
        <f t="shared" si="496"/>
        <v>-4.0500000000000007</v>
      </c>
    </row>
    <row r="3642" spans="1:8" s="948" customFormat="1">
      <c r="A3642" s="485"/>
      <c r="B3642" s="485"/>
      <c r="C3642" s="17" t="s">
        <v>10</v>
      </c>
      <c r="D3642" s="485">
        <v>1</v>
      </c>
      <c r="E3642" s="485">
        <v>6.3</v>
      </c>
      <c r="F3642" s="485"/>
      <c r="G3642" s="485">
        <v>2.6</v>
      </c>
      <c r="H3642" s="487">
        <f t="shared" ref="H3642" si="517">PRODUCT(D3642:G3642)</f>
        <v>16.38</v>
      </c>
    </row>
    <row r="3643" spans="1:8" s="948" customFormat="1">
      <c r="A3643" s="485"/>
      <c r="B3643" s="485" t="s">
        <v>205</v>
      </c>
      <c r="C3643" s="17" t="s">
        <v>10</v>
      </c>
      <c r="D3643" s="485">
        <v>-1</v>
      </c>
      <c r="E3643" s="485">
        <v>4.7750000000000004</v>
      </c>
      <c r="F3643" s="485"/>
      <c r="G3643" s="485">
        <v>1.35</v>
      </c>
      <c r="H3643" s="487">
        <f t="shared" si="496"/>
        <v>-6.4462500000000009</v>
      </c>
    </row>
    <row r="3644" spans="1:8" s="948" customFormat="1">
      <c r="A3644" s="485"/>
      <c r="B3644" s="485"/>
      <c r="C3644" s="17" t="s">
        <v>10</v>
      </c>
      <c r="D3644" s="485">
        <v>1</v>
      </c>
      <c r="E3644" s="485">
        <v>10.8</v>
      </c>
      <c r="F3644" s="485"/>
      <c r="G3644" s="485">
        <v>2.6</v>
      </c>
      <c r="H3644" s="487">
        <f t="shared" si="496"/>
        <v>28.080000000000002</v>
      </c>
    </row>
    <row r="3645" spans="1:8" s="948" customFormat="1">
      <c r="A3645" s="485"/>
      <c r="B3645" s="485"/>
      <c r="C3645" s="17" t="s">
        <v>10</v>
      </c>
      <c r="D3645" s="485">
        <v>-1</v>
      </c>
      <c r="E3645" s="485">
        <v>1</v>
      </c>
      <c r="F3645" s="485"/>
      <c r="G3645" s="485">
        <v>2.4</v>
      </c>
      <c r="H3645" s="487">
        <f t="shared" si="496"/>
        <v>-2.4</v>
      </c>
    </row>
    <row r="3646" spans="1:8" s="948" customFormat="1">
      <c r="A3646" s="485"/>
      <c r="B3646" s="485" t="s">
        <v>1917</v>
      </c>
      <c r="C3646" s="17" t="s">
        <v>10</v>
      </c>
      <c r="D3646" s="485">
        <v>1</v>
      </c>
      <c r="E3646" s="17">
        <v>3.6</v>
      </c>
      <c r="F3646" s="485"/>
      <c r="G3646" s="17">
        <f>2.7-0.45-0.15</f>
        <v>2.1</v>
      </c>
      <c r="H3646" s="18">
        <f t="shared" si="496"/>
        <v>7.5600000000000005</v>
      </c>
    </row>
    <row r="3647" spans="1:8" s="948" customFormat="1">
      <c r="A3647" s="485"/>
      <c r="B3647" s="485" t="s">
        <v>1227</v>
      </c>
      <c r="C3647" s="17" t="s">
        <v>10</v>
      </c>
      <c r="D3647" s="485">
        <v>1</v>
      </c>
      <c r="E3647" s="485">
        <v>4.8499999999999996</v>
      </c>
      <c r="F3647" s="485"/>
      <c r="G3647" s="17">
        <v>2.7</v>
      </c>
      <c r="H3647" s="18">
        <f t="shared" si="496"/>
        <v>13.095000000000001</v>
      </c>
    </row>
    <row r="3648" spans="1:8" s="948" customFormat="1">
      <c r="A3648" s="485"/>
      <c r="B3648" s="485"/>
      <c r="C3648" s="17" t="s">
        <v>10</v>
      </c>
      <c r="D3648" s="485">
        <v>1</v>
      </c>
      <c r="E3648" s="485">
        <f>0.15+0.13</f>
        <v>0.28000000000000003</v>
      </c>
      <c r="F3648" s="485"/>
      <c r="G3648" s="17">
        <v>2.7</v>
      </c>
      <c r="H3648" s="18">
        <f t="shared" si="496"/>
        <v>0.75600000000000012</v>
      </c>
    </row>
    <row r="3649" spans="1:8" s="948" customFormat="1">
      <c r="A3649" s="485"/>
      <c r="B3649" s="485" t="s">
        <v>1314</v>
      </c>
      <c r="C3649" s="17" t="s">
        <v>10</v>
      </c>
      <c r="D3649" s="485">
        <v>-1</v>
      </c>
      <c r="E3649" s="17">
        <v>3.7</v>
      </c>
      <c r="F3649" s="485"/>
      <c r="G3649" s="17">
        <v>1.35</v>
      </c>
      <c r="H3649" s="18">
        <f t="shared" si="496"/>
        <v>-4.995000000000001</v>
      </c>
    </row>
    <row r="3650" spans="1:8" s="948" customFormat="1">
      <c r="A3650" s="485"/>
      <c r="B3650" s="485"/>
      <c r="C3650" s="17" t="s">
        <v>10</v>
      </c>
      <c r="D3650" s="485">
        <v>-1</v>
      </c>
      <c r="E3650" s="485">
        <v>3</v>
      </c>
      <c r="F3650" s="485"/>
      <c r="G3650" s="17">
        <v>1.35</v>
      </c>
      <c r="H3650" s="18">
        <f t="shared" si="496"/>
        <v>-4.0500000000000007</v>
      </c>
    </row>
    <row r="3651" spans="1:8" s="948" customFormat="1">
      <c r="A3651" s="485"/>
      <c r="B3651" s="485"/>
      <c r="C3651" s="17" t="s">
        <v>10</v>
      </c>
      <c r="D3651" s="485">
        <v>2</v>
      </c>
      <c r="E3651" s="485">
        <v>3.45</v>
      </c>
      <c r="F3651" s="485"/>
      <c r="G3651" s="485">
        <v>2.6</v>
      </c>
      <c r="H3651" s="487">
        <f t="shared" si="496"/>
        <v>17.940000000000001</v>
      </c>
    </row>
    <row r="3652" spans="1:8" s="948" customFormat="1">
      <c r="A3652" s="485"/>
      <c r="B3652" s="485"/>
      <c r="C3652" s="17" t="s">
        <v>10</v>
      </c>
      <c r="D3652" s="485">
        <v>1</v>
      </c>
      <c r="E3652" s="485">
        <v>4.13</v>
      </c>
      <c r="F3652" s="485"/>
      <c r="G3652" s="485">
        <v>2.6</v>
      </c>
      <c r="H3652" s="487">
        <f t="shared" si="496"/>
        <v>10.738</v>
      </c>
    </row>
    <row r="3653" spans="1:8" s="948" customFormat="1">
      <c r="A3653" s="485"/>
      <c r="B3653" s="485" t="s">
        <v>1230</v>
      </c>
      <c r="C3653" s="17" t="s">
        <v>10</v>
      </c>
      <c r="D3653" s="485">
        <v>-1</v>
      </c>
      <c r="E3653" s="17">
        <v>2.5499999999999998</v>
      </c>
      <c r="F3653" s="485"/>
      <c r="G3653" s="17">
        <v>1.35</v>
      </c>
      <c r="H3653" s="18">
        <f t="shared" si="496"/>
        <v>-3.4424999999999999</v>
      </c>
    </row>
    <row r="3654" spans="1:8" s="948" customFormat="1">
      <c r="A3654" s="485"/>
      <c r="B3654" s="485"/>
      <c r="C3654" s="17" t="s">
        <v>10</v>
      </c>
      <c r="D3654" s="485">
        <v>2</v>
      </c>
      <c r="E3654" s="485">
        <v>3.45</v>
      </c>
      <c r="F3654" s="485"/>
      <c r="G3654" s="485">
        <v>2.6</v>
      </c>
      <c r="H3654" s="487">
        <f t="shared" si="496"/>
        <v>17.940000000000001</v>
      </c>
    </row>
    <row r="3655" spans="1:8" s="948" customFormat="1">
      <c r="A3655" s="485"/>
      <c r="B3655" s="485"/>
      <c r="C3655" s="17" t="s">
        <v>10</v>
      </c>
      <c r="D3655" s="485">
        <v>1</v>
      </c>
      <c r="E3655" s="485">
        <v>3.2250000000000001</v>
      </c>
      <c r="F3655" s="485"/>
      <c r="G3655" s="485">
        <v>2.6</v>
      </c>
      <c r="H3655" s="487">
        <f t="shared" si="496"/>
        <v>8.3849999999999998</v>
      </c>
    </row>
    <row r="3656" spans="1:8" s="948" customFormat="1">
      <c r="A3656" s="485"/>
      <c r="B3656" s="485" t="s">
        <v>1229</v>
      </c>
      <c r="C3656" s="17" t="s">
        <v>10</v>
      </c>
      <c r="D3656" s="485">
        <v>-1</v>
      </c>
      <c r="E3656" s="17">
        <v>2.5499999999999998</v>
      </c>
      <c r="F3656" s="485"/>
      <c r="G3656" s="17">
        <v>1.35</v>
      </c>
      <c r="H3656" s="18">
        <f t="shared" si="496"/>
        <v>-3.4424999999999999</v>
      </c>
    </row>
    <row r="3657" spans="1:8" s="948" customFormat="1">
      <c r="A3657" s="485"/>
      <c r="B3657" s="485"/>
      <c r="C3657" s="17" t="s">
        <v>10</v>
      </c>
      <c r="D3657" s="485">
        <v>1</v>
      </c>
      <c r="E3657" s="485">
        <v>3.45</v>
      </c>
      <c r="F3657" s="485"/>
      <c r="G3657" s="485">
        <v>2.6</v>
      </c>
      <c r="H3657" s="487">
        <f t="shared" si="496"/>
        <v>8.9700000000000006</v>
      </c>
    </row>
    <row r="3658" spans="1:8" s="948" customFormat="1">
      <c r="A3658" s="485"/>
      <c r="B3658" s="485"/>
      <c r="C3658" s="17" t="s">
        <v>10</v>
      </c>
      <c r="D3658" s="485">
        <v>1</v>
      </c>
      <c r="E3658" s="485">
        <v>3.105</v>
      </c>
      <c r="F3658" s="485"/>
      <c r="G3658" s="485">
        <v>2.6</v>
      </c>
      <c r="H3658" s="487">
        <f t="shared" si="496"/>
        <v>8.0730000000000004</v>
      </c>
    </row>
    <row r="3659" spans="1:8" s="948" customFormat="1">
      <c r="A3659" s="485"/>
      <c r="B3659" s="485"/>
      <c r="C3659" s="17" t="s">
        <v>10</v>
      </c>
      <c r="D3659" s="485">
        <v>1</v>
      </c>
      <c r="E3659" s="485">
        <v>3.35</v>
      </c>
      <c r="F3659" s="485"/>
      <c r="G3659" s="485">
        <v>2.6</v>
      </c>
      <c r="H3659" s="487">
        <f t="shared" si="496"/>
        <v>8.7100000000000009</v>
      </c>
    </row>
    <row r="3660" spans="1:8" s="948" customFormat="1">
      <c r="A3660" s="485"/>
      <c r="B3660" s="485"/>
      <c r="C3660" s="17" t="s">
        <v>10</v>
      </c>
      <c r="D3660" s="485">
        <v>1</v>
      </c>
      <c r="E3660" s="485">
        <v>0.16</v>
      </c>
      <c r="F3660" s="485"/>
      <c r="G3660" s="485">
        <v>2.6</v>
      </c>
      <c r="H3660" s="487">
        <f t="shared" si="496"/>
        <v>0.41600000000000004</v>
      </c>
    </row>
    <row r="3661" spans="1:8" s="948" customFormat="1">
      <c r="A3661" s="485"/>
      <c r="B3661" s="485"/>
      <c r="C3661" s="17" t="s">
        <v>10</v>
      </c>
      <c r="D3661" s="485">
        <v>1</v>
      </c>
      <c r="E3661" s="485">
        <v>0.2</v>
      </c>
      <c r="F3661" s="485"/>
      <c r="G3661" s="485">
        <v>2.6</v>
      </c>
      <c r="H3661" s="487">
        <f t="shared" si="496"/>
        <v>0.52</v>
      </c>
    </row>
    <row r="3662" spans="1:8" s="948" customFormat="1">
      <c r="A3662" s="485"/>
      <c r="B3662" s="485"/>
      <c r="C3662" s="17" t="s">
        <v>10</v>
      </c>
      <c r="D3662" s="485">
        <v>1</v>
      </c>
      <c r="E3662" s="485">
        <v>0.15</v>
      </c>
      <c r="F3662" s="485"/>
      <c r="G3662" s="485">
        <v>2.6</v>
      </c>
      <c r="H3662" s="487">
        <f t="shared" si="496"/>
        <v>0.39</v>
      </c>
    </row>
    <row r="3663" spans="1:8" s="948" customFormat="1">
      <c r="A3663" s="485"/>
      <c r="B3663" s="485"/>
      <c r="C3663" s="17" t="s">
        <v>10</v>
      </c>
      <c r="D3663" s="485">
        <v>1</v>
      </c>
      <c r="E3663" s="485">
        <v>2.65</v>
      </c>
      <c r="F3663" s="485"/>
      <c r="G3663" s="485">
        <v>0.2</v>
      </c>
      <c r="H3663" s="487">
        <f t="shared" si="496"/>
        <v>0.53</v>
      </c>
    </row>
    <row r="3664" spans="1:8" s="948" customFormat="1">
      <c r="A3664" s="485"/>
      <c r="B3664" s="485" t="s">
        <v>172</v>
      </c>
      <c r="C3664" s="17" t="s">
        <v>10</v>
      </c>
      <c r="D3664" s="485">
        <v>1</v>
      </c>
      <c r="E3664" s="485">
        <v>4.8</v>
      </c>
      <c r="F3664" s="485"/>
      <c r="G3664" s="485">
        <v>2.6</v>
      </c>
      <c r="H3664" s="487">
        <f t="shared" ref="H3664" si="518">PRODUCT(D3664:G3664)</f>
        <v>12.48</v>
      </c>
    </row>
    <row r="3665" spans="1:8" s="948" customFormat="1">
      <c r="A3665" s="485"/>
      <c r="B3665" s="485" t="s">
        <v>1280</v>
      </c>
      <c r="C3665" s="17" t="s">
        <v>10</v>
      </c>
      <c r="D3665" s="485">
        <v>-1</v>
      </c>
      <c r="E3665" s="485">
        <v>2.4500000000000002</v>
      </c>
      <c r="F3665" s="485"/>
      <c r="G3665" s="485">
        <v>1.35</v>
      </c>
      <c r="H3665" s="487">
        <f t="shared" ref="H3665" si="519">PRODUCT(D3665:G3665)</f>
        <v>-3.3075000000000006</v>
      </c>
    </row>
    <row r="3666" spans="1:8" s="948" customFormat="1">
      <c r="A3666" s="485"/>
      <c r="B3666" s="485"/>
      <c r="C3666" s="17" t="s">
        <v>10</v>
      </c>
      <c r="D3666" s="485">
        <v>2</v>
      </c>
      <c r="E3666" s="485">
        <v>2.4500000000000002</v>
      </c>
      <c r="F3666" s="485"/>
      <c r="G3666" s="485">
        <v>2.6</v>
      </c>
      <c r="H3666" s="487">
        <f t="shared" ref="H3666:H3669" si="520">PRODUCT(D3666:G3666)</f>
        <v>12.740000000000002</v>
      </c>
    </row>
    <row r="3667" spans="1:8" s="948" customFormat="1">
      <c r="A3667" s="485"/>
      <c r="B3667" s="485"/>
      <c r="C3667" s="17" t="s">
        <v>10</v>
      </c>
      <c r="D3667" s="485">
        <v>1</v>
      </c>
      <c r="E3667" s="485">
        <v>3.3</v>
      </c>
      <c r="F3667" s="485"/>
      <c r="G3667" s="485">
        <v>2.6</v>
      </c>
      <c r="H3667" s="487">
        <f t="shared" si="520"/>
        <v>8.58</v>
      </c>
    </row>
    <row r="3668" spans="1:8" s="948" customFormat="1">
      <c r="A3668" s="485"/>
      <c r="B3668" s="485"/>
      <c r="C3668" s="17" t="s">
        <v>10</v>
      </c>
      <c r="D3668" s="485">
        <v>2</v>
      </c>
      <c r="E3668" s="485">
        <v>0.15</v>
      </c>
      <c r="F3668" s="485"/>
      <c r="G3668" s="485">
        <v>2.6</v>
      </c>
      <c r="H3668" s="487">
        <f t="shared" si="520"/>
        <v>0.78</v>
      </c>
    </row>
    <row r="3669" spans="1:8" s="948" customFormat="1">
      <c r="A3669" s="485"/>
      <c r="B3669" s="485"/>
      <c r="C3669" s="17" t="s">
        <v>10</v>
      </c>
      <c r="D3669" s="485">
        <v>1</v>
      </c>
      <c r="E3669" s="485">
        <v>2.9</v>
      </c>
      <c r="F3669" s="485"/>
      <c r="G3669" s="485">
        <v>0.2</v>
      </c>
      <c r="H3669" s="487">
        <f t="shared" si="520"/>
        <v>0.57999999999999996</v>
      </c>
    </row>
    <row r="3670" spans="1:8" s="948" customFormat="1">
      <c r="A3670" s="485"/>
      <c r="B3670" s="485" t="s">
        <v>191</v>
      </c>
      <c r="C3670" s="17" t="s">
        <v>10</v>
      </c>
      <c r="D3670" s="485">
        <v>6</v>
      </c>
      <c r="E3670" s="485">
        <v>1.96</v>
      </c>
      <c r="F3670" s="485"/>
      <c r="G3670" s="485">
        <v>2.6</v>
      </c>
      <c r="H3670" s="487">
        <f t="shared" ref="H3670:H3671" si="521">PRODUCT(D3670:G3670)</f>
        <v>30.576000000000001</v>
      </c>
    </row>
    <row r="3671" spans="1:8" s="948" customFormat="1">
      <c r="A3671" s="485"/>
      <c r="B3671" s="485"/>
      <c r="C3671" s="17" t="s">
        <v>10</v>
      </c>
      <c r="D3671" s="485">
        <v>3</v>
      </c>
      <c r="E3671" s="485">
        <v>1.31</v>
      </c>
      <c r="F3671" s="485"/>
      <c r="G3671" s="485">
        <v>2.6</v>
      </c>
      <c r="H3671" s="487">
        <f t="shared" si="521"/>
        <v>10.218</v>
      </c>
    </row>
    <row r="3672" spans="1:8" s="948" customFormat="1">
      <c r="A3672" s="485"/>
      <c r="B3672" s="485" t="s">
        <v>2039</v>
      </c>
      <c r="C3672" s="17" t="s">
        <v>10</v>
      </c>
      <c r="D3672" s="485">
        <v>-1</v>
      </c>
      <c r="E3672" s="17">
        <v>4.1500000000000004</v>
      </c>
      <c r="F3672" s="485"/>
      <c r="G3672" s="17">
        <v>1.35</v>
      </c>
      <c r="H3672" s="18">
        <f t="shared" si="496"/>
        <v>-5.6025000000000009</v>
      </c>
    </row>
    <row r="3673" spans="1:8" s="948" customFormat="1">
      <c r="A3673" s="485"/>
      <c r="B3673" s="485"/>
      <c r="C3673" s="17" t="s">
        <v>10</v>
      </c>
      <c r="D3673" s="485">
        <v>1</v>
      </c>
      <c r="E3673" s="17">
        <v>3.8</v>
      </c>
      <c r="F3673" s="485"/>
      <c r="G3673" s="17">
        <v>2.6</v>
      </c>
      <c r="H3673" s="18">
        <f t="shared" ref="H3673:H3674" si="522">PRODUCT(D3673:G3673)</f>
        <v>9.879999999999999</v>
      </c>
    </row>
    <row r="3674" spans="1:8" s="948" customFormat="1">
      <c r="A3674" s="485"/>
      <c r="B3674" s="485"/>
      <c r="C3674" s="17" t="s">
        <v>10</v>
      </c>
      <c r="D3674" s="485">
        <v>1</v>
      </c>
      <c r="E3674" s="485">
        <v>5.05</v>
      </c>
      <c r="F3674" s="485"/>
      <c r="G3674" s="17">
        <v>2.6</v>
      </c>
      <c r="H3674" s="18">
        <f t="shared" si="522"/>
        <v>13.13</v>
      </c>
    </row>
    <row r="3675" spans="1:8" s="948" customFormat="1">
      <c r="A3675" s="485"/>
      <c r="B3675" s="485" t="s">
        <v>1195</v>
      </c>
      <c r="C3675" s="17" t="s">
        <v>10</v>
      </c>
      <c r="D3675" s="485">
        <v>-1</v>
      </c>
      <c r="E3675" s="485">
        <v>2.7</v>
      </c>
      <c r="F3675" s="485"/>
      <c r="G3675" s="17">
        <v>1.35</v>
      </c>
      <c r="H3675" s="18">
        <f t="shared" si="496"/>
        <v>-3.6450000000000005</v>
      </c>
    </row>
    <row r="3676" spans="1:8" s="948" customFormat="1">
      <c r="A3676" s="485"/>
      <c r="B3676" s="485"/>
      <c r="C3676" s="17" t="s">
        <v>10</v>
      </c>
      <c r="D3676" s="485">
        <v>2</v>
      </c>
      <c r="E3676" s="485">
        <v>3.6</v>
      </c>
      <c r="F3676" s="485"/>
      <c r="G3676" s="485">
        <v>2.6</v>
      </c>
      <c r="H3676" s="487">
        <f t="shared" si="496"/>
        <v>18.720000000000002</v>
      </c>
    </row>
    <row r="3677" spans="1:8" s="948" customFormat="1">
      <c r="A3677" s="485"/>
      <c r="B3677" s="485"/>
      <c r="C3677" s="17" t="s">
        <v>10</v>
      </c>
      <c r="D3677" s="485">
        <v>1</v>
      </c>
      <c r="E3677" s="485">
        <v>3.15</v>
      </c>
      <c r="F3677" s="485"/>
      <c r="G3677" s="485">
        <v>2.6</v>
      </c>
      <c r="H3677" s="487">
        <f t="shared" si="496"/>
        <v>8.19</v>
      </c>
    </row>
    <row r="3678" spans="1:8" s="948" customFormat="1">
      <c r="A3678" s="485"/>
      <c r="B3678" s="485" t="s">
        <v>1317</v>
      </c>
      <c r="C3678" s="17" t="s">
        <v>10</v>
      </c>
      <c r="D3678" s="485">
        <v>-1</v>
      </c>
      <c r="E3678" s="485">
        <v>2.5499999999999998</v>
      </c>
      <c r="F3678" s="485"/>
      <c r="G3678" s="17">
        <v>1.35</v>
      </c>
      <c r="H3678" s="18">
        <f t="shared" si="496"/>
        <v>-3.4424999999999999</v>
      </c>
    </row>
    <row r="3679" spans="1:8" s="948" customFormat="1">
      <c r="A3679" s="485"/>
      <c r="B3679" s="485"/>
      <c r="C3679" s="17" t="s">
        <v>10</v>
      </c>
      <c r="D3679" s="485">
        <v>-1</v>
      </c>
      <c r="E3679" s="485">
        <v>3.2</v>
      </c>
      <c r="F3679" s="485"/>
      <c r="G3679" s="17">
        <v>1.35</v>
      </c>
      <c r="H3679" s="487">
        <f t="shared" si="496"/>
        <v>-4.32</v>
      </c>
    </row>
    <row r="3680" spans="1:8" s="948" customFormat="1">
      <c r="A3680" s="485"/>
      <c r="B3680" s="485"/>
      <c r="C3680" s="17" t="s">
        <v>10</v>
      </c>
      <c r="D3680" s="485">
        <v>2</v>
      </c>
      <c r="E3680" s="485">
        <v>3.57</v>
      </c>
      <c r="F3680" s="485"/>
      <c r="G3680" s="485">
        <v>2.6</v>
      </c>
      <c r="H3680" s="487">
        <f t="shared" si="496"/>
        <v>18.564</v>
      </c>
    </row>
    <row r="3681" spans="1:8" s="948" customFormat="1">
      <c r="A3681" s="485"/>
      <c r="B3681" s="485"/>
      <c r="C3681" s="17" t="s">
        <v>10</v>
      </c>
      <c r="D3681" s="485">
        <v>1</v>
      </c>
      <c r="E3681" s="485">
        <v>3</v>
      </c>
      <c r="F3681" s="485"/>
      <c r="G3681" s="485">
        <v>2.6</v>
      </c>
      <c r="H3681" s="487">
        <f t="shared" si="496"/>
        <v>7.8000000000000007</v>
      </c>
    </row>
    <row r="3682" spans="1:8" s="948" customFormat="1">
      <c r="A3682" s="485"/>
      <c r="B3682" s="485" t="s">
        <v>203</v>
      </c>
      <c r="C3682" s="17" t="s">
        <v>10</v>
      </c>
      <c r="D3682" s="485">
        <v>-3</v>
      </c>
      <c r="E3682" s="485">
        <v>1.2</v>
      </c>
      <c r="F3682" s="485"/>
      <c r="G3682" s="17">
        <v>1.35</v>
      </c>
      <c r="H3682" s="487">
        <f t="shared" si="496"/>
        <v>-4.8599999999999994</v>
      </c>
    </row>
    <row r="3683" spans="1:8" s="948" customFormat="1">
      <c r="A3683" s="485"/>
      <c r="B3683" s="485"/>
      <c r="C3683" s="17" t="s">
        <v>10</v>
      </c>
      <c r="D3683" s="485">
        <v>1</v>
      </c>
      <c r="E3683" s="485">
        <v>6.4</v>
      </c>
      <c r="F3683" s="485"/>
      <c r="G3683" s="17">
        <v>2.6</v>
      </c>
      <c r="H3683" s="487">
        <f t="shared" ref="H3683" si="523">PRODUCT(D3683:G3683)</f>
        <v>16.64</v>
      </c>
    </row>
    <row r="3684" spans="1:8" s="948" customFormat="1">
      <c r="A3684" s="485"/>
      <c r="B3684" s="485"/>
      <c r="C3684" s="17" t="s">
        <v>10</v>
      </c>
      <c r="D3684" s="485">
        <v>1</v>
      </c>
      <c r="E3684" s="485">
        <v>2.72</v>
      </c>
      <c r="F3684" s="485"/>
      <c r="G3684" s="17">
        <v>2.6</v>
      </c>
      <c r="H3684" s="487">
        <f t="shared" ref="H3684" si="524">PRODUCT(D3684:G3684)</f>
        <v>7.072000000000001</v>
      </c>
    </row>
    <row r="3685" spans="1:8" s="948" customFormat="1">
      <c r="A3685" s="485"/>
      <c r="B3685" s="485" t="s">
        <v>204</v>
      </c>
      <c r="C3685" s="17" t="s">
        <v>10</v>
      </c>
      <c r="D3685" s="485">
        <v>-1</v>
      </c>
      <c r="E3685" s="485">
        <v>1.35</v>
      </c>
      <c r="F3685" s="485"/>
      <c r="G3685" s="17">
        <v>1.35</v>
      </c>
      <c r="H3685" s="487">
        <f t="shared" si="496"/>
        <v>-1.8225000000000002</v>
      </c>
    </row>
    <row r="3686" spans="1:8" s="948" customFormat="1">
      <c r="A3686" s="485"/>
      <c r="B3686" s="485"/>
      <c r="C3686" s="17" t="s">
        <v>10</v>
      </c>
      <c r="D3686" s="485">
        <v>1</v>
      </c>
      <c r="E3686" s="485">
        <v>6.5</v>
      </c>
      <c r="F3686" s="485"/>
      <c r="G3686" s="485">
        <v>2.6</v>
      </c>
      <c r="H3686" s="487">
        <f t="shared" si="496"/>
        <v>16.900000000000002</v>
      </c>
    </row>
    <row r="3687" spans="1:8" s="948" customFormat="1">
      <c r="A3687" s="485"/>
      <c r="B3687" s="485"/>
      <c r="C3687" s="17" t="s">
        <v>10</v>
      </c>
      <c r="D3687" s="485">
        <v>1</v>
      </c>
      <c r="E3687" s="485">
        <v>0.16</v>
      </c>
      <c r="F3687" s="485"/>
      <c r="G3687" s="485">
        <v>2.6</v>
      </c>
      <c r="H3687" s="487">
        <f t="shared" si="496"/>
        <v>0.41600000000000004</v>
      </c>
    </row>
    <row r="3688" spans="1:8" s="948" customFormat="1">
      <c r="A3688" s="485"/>
      <c r="B3688" s="485"/>
      <c r="C3688" s="17" t="s">
        <v>10</v>
      </c>
      <c r="D3688" s="485">
        <v>1</v>
      </c>
      <c r="E3688" s="485">
        <v>0.95</v>
      </c>
      <c r="F3688" s="485"/>
      <c r="G3688" s="485">
        <v>2.6</v>
      </c>
      <c r="H3688" s="487">
        <f t="shared" si="496"/>
        <v>2.4699999999999998</v>
      </c>
    </row>
    <row r="3689" spans="1:8" s="948" customFormat="1">
      <c r="A3689" s="485"/>
      <c r="B3689" s="485" t="s">
        <v>200</v>
      </c>
      <c r="C3689" s="17" t="s">
        <v>10</v>
      </c>
      <c r="D3689" s="485">
        <v>-1</v>
      </c>
      <c r="E3689" s="485">
        <v>1.2</v>
      </c>
      <c r="F3689" s="485"/>
      <c r="G3689" s="17">
        <v>1.35</v>
      </c>
      <c r="H3689" s="487">
        <f t="shared" si="496"/>
        <v>-1.62</v>
      </c>
    </row>
    <row r="3690" spans="1:8" s="948" customFormat="1">
      <c r="A3690" s="485"/>
      <c r="B3690" s="485"/>
      <c r="C3690" s="17" t="s">
        <v>10</v>
      </c>
      <c r="D3690" s="485">
        <v>1</v>
      </c>
      <c r="E3690" s="485">
        <v>1.2</v>
      </c>
      <c r="F3690" s="485"/>
      <c r="G3690" s="17">
        <v>2.6</v>
      </c>
      <c r="H3690" s="487">
        <f t="shared" ref="H3690" si="525">PRODUCT(D3690:G3690)</f>
        <v>3.12</v>
      </c>
    </row>
    <row r="3691" spans="1:8" s="948" customFormat="1">
      <c r="A3691" s="485"/>
      <c r="B3691" s="485" t="s">
        <v>200</v>
      </c>
      <c r="C3691" s="17" t="s">
        <v>10</v>
      </c>
      <c r="D3691" s="485">
        <v>-1</v>
      </c>
      <c r="E3691" s="485">
        <v>4.8</v>
      </c>
      <c r="F3691" s="485"/>
      <c r="G3691" s="17">
        <v>1.35</v>
      </c>
      <c r="H3691" s="487">
        <f t="shared" ref="H3691" si="526">PRODUCT(D3691:G3691)</f>
        <v>-6.48</v>
      </c>
    </row>
    <row r="3692" spans="1:8" s="948" customFormat="1">
      <c r="A3692" s="485"/>
      <c r="B3692" s="485"/>
      <c r="C3692" s="17" t="s">
        <v>10</v>
      </c>
      <c r="D3692" s="485">
        <v>1</v>
      </c>
      <c r="E3692" s="485">
        <v>4.8</v>
      </c>
      <c r="F3692" s="485"/>
      <c r="G3692" s="17">
        <v>2.6</v>
      </c>
      <c r="H3692" s="487">
        <f t="shared" ref="H3692:H3693" si="527">PRODUCT(D3692:G3692)</f>
        <v>12.48</v>
      </c>
    </row>
    <row r="3693" spans="1:8" s="948" customFormat="1">
      <c r="A3693" s="485"/>
      <c r="B3693" s="485"/>
      <c r="C3693" s="17" t="s">
        <v>10</v>
      </c>
      <c r="D3693" s="485">
        <v>-1</v>
      </c>
      <c r="E3693" s="485">
        <v>1.2</v>
      </c>
      <c r="F3693" s="485"/>
      <c r="G3693" s="17">
        <v>1.35</v>
      </c>
      <c r="H3693" s="487">
        <f t="shared" si="527"/>
        <v>-1.62</v>
      </c>
    </row>
    <row r="3694" spans="1:8" s="948" customFormat="1">
      <c r="A3694" s="485"/>
      <c r="B3694" s="485"/>
      <c r="C3694" s="17" t="s">
        <v>10</v>
      </c>
      <c r="D3694" s="485">
        <v>1</v>
      </c>
      <c r="E3694" s="485">
        <v>1.2</v>
      </c>
      <c r="F3694" s="485"/>
      <c r="G3694" s="17">
        <v>2.6</v>
      </c>
      <c r="H3694" s="487">
        <f t="shared" ref="H3694:H3695" si="528">PRODUCT(D3694:G3694)</f>
        <v>3.12</v>
      </c>
    </row>
    <row r="3695" spans="1:8" s="948" customFormat="1">
      <c r="A3695" s="485"/>
      <c r="B3695" s="485"/>
      <c r="C3695" s="17" t="s">
        <v>10</v>
      </c>
      <c r="D3695" s="485">
        <v>1</v>
      </c>
      <c r="E3695" s="485">
        <v>3.6</v>
      </c>
      <c r="F3695" s="485"/>
      <c r="G3695" s="485">
        <v>2.6</v>
      </c>
      <c r="H3695" s="487">
        <f t="shared" si="528"/>
        <v>9.3600000000000012</v>
      </c>
    </row>
    <row r="3696" spans="1:8">
      <c r="A3696" s="17"/>
      <c r="B3696" s="17"/>
      <c r="C3696" s="17"/>
      <c r="D3696" s="17"/>
      <c r="E3696" s="17"/>
      <c r="F3696" s="17"/>
      <c r="G3696" s="17"/>
      <c r="H3696" s="18"/>
    </row>
    <row r="3697" spans="1:8">
      <c r="A3697" s="15"/>
      <c r="B3697" s="15" t="s">
        <v>21</v>
      </c>
      <c r="C3697" s="15"/>
      <c r="D3697" s="15"/>
      <c r="E3697" s="15"/>
      <c r="F3697" s="15"/>
      <c r="G3697" s="15"/>
      <c r="H3697" s="20">
        <f>SUM(H3527:H3696)</f>
        <v>875.07685000000038</v>
      </c>
    </row>
    <row r="3698" spans="1:8">
      <c r="A3698" s="17"/>
      <c r="B3698" s="17" t="s">
        <v>22</v>
      </c>
      <c r="C3698" s="17"/>
      <c r="D3698" s="17"/>
      <c r="E3698" s="17"/>
      <c r="F3698" s="17"/>
      <c r="G3698" s="17"/>
      <c r="H3698" s="18"/>
    </row>
    <row r="3699" spans="1:8">
      <c r="A3699" s="15"/>
      <c r="B3699" s="15" t="s">
        <v>23</v>
      </c>
      <c r="C3699" s="15"/>
      <c r="D3699" s="15"/>
      <c r="E3699" s="15"/>
      <c r="F3699" s="15"/>
      <c r="G3699" s="15"/>
      <c r="H3699" s="20">
        <f>ROUND(SUM(H3697:H3698),0)</f>
        <v>875</v>
      </c>
    </row>
    <row r="3700" spans="1:8" s="948" customFormat="1">
      <c r="H3700" s="21"/>
    </row>
    <row r="3701" spans="1:8" s="948" customFormat="1">
      <c r="A3701" s="17">
        <v>4</v>
      </c>
      <c r="B3701" s="15" t="s">
        <v>97</v>
      </c>
      <c r="C3701" s="17"/>
      <c r="D3701" s="17"/>
      <c r="E3701" s="17"/>
      <c r="F3701" s="17"/>
      <c r="G3701" s="17"/>
      <c r="H3701" s="18"/>
    </row>
    <row r="3702" spans="1:8" s="948" customFormat="1">
      <c r="A3702" s="17"/>
      <c r="B3702" s="17" t="s">
        <v>1242</v>
      </c>
      <c r="C3702" s="17" t="s">
        <v>10</v>
      </c>
      <c r="D3702" s="17">
        <v>-1</v>
      </c>
      <c r="E3702" s="17">
        <v>3.8</v>
      </c>
      <c r="F3702" s="17"/>
      <c r="G3702" s="17">
        <v>1.35</v>
      </c>
      <c r="H3702" s="18">
        <f t="shared" ref="H3702:H3712" si="529">PRODUCT(D3702:G3702)</f>
        <v>-5.13</v>
      </c>
    </row>
    <row r="3703" spans="1:8" s="948" customFormat="1">
      <c r="A3703" s="485"/>
      <c r="B3703" s="485"/>
      <c r="C3703" s="17" t="s">
        <v>10</v>
      </c>
      <c r="D3703" s="17">
        <v>1</v>
      </c>
      <c r="E3703" s="17">
        <v>3.8</v>
      </c>
      <c r="F3703" s="17"/>
      <c r="G3703" s="17">
        <v>2.6</v>
      </c>
      <c r="H3703" s="18">
        <f t="shared" si="529"/>
        <v>9.879999999999999</v>
      </c>
    </row>
    <row r="3704" spans="1:8" s="948" customFormat="1">
      <c r="A3704" s="485"/>
      <c r="B3704" s="485"/>
      <c r="C3704" s="17" t="s">
        <v>10</v>
      </c>
      <c r="D3704" s="485">
        <v>1</v>
      </c>
      <c r="E3704" s="485">
        <v>2.0499999999999998</v>
      </c>
      <c r="F3704" s="485"/>
      <c r="G3704" s="17">
        <v>2.6</v>
      </c>
      <c r="H3704" s="18">
        <f t="shared" si="529"/>
        <v>5.33</v>
      </c>
    </row>
    <row r="3705" spans="1:8" s="948" customFormat="1">
      <c r="A3705" s="485"/>
      <c r="B3705" s="485"/>
      <c r="C3705" s="17" t="s">
        <v>10</v>
      </c>
      <c r="D3705" s="485">
        <v>1</v>
      </c>
      <c r="E3705" s="485">
        <v>4.4349999999999996</v>
      </c>
      <c r="F3705" s="485"/>
      <c r="G3705" s="485">
        <v>1.1000000000000001</v>
      </c>
      <c r="H3705" s="487">
        <f t="shared" si="529"/>
        <v>4.8784999999999998</v>
      </c>
    </row>
    <row r="3706" spans="1:8" s="948" customFormat="1">
      <c r="A3706" s="17"/>
      <c r="B3706" s="17" t="s">
        <v>1243</v>
      </c>
      <c r="C3706" s="17" t="s">
        <v>10</v>
      </c>
      <c r="D3706" s="17">
        <v>-1</v>
      </c>
      <c r="E3706" s="17">
        <v>3.8</v>
      </c>
      <c r="F3706" s="17"/>
      <c r="G3706" s="17">
        <v>1.35</v>
      </c>
      <c r="H3706" s="18">
        <f t="shared" si="529"/>
        <v>-5.13</v>
      </c>
    </row>
    <row r="3707" spans="1:8" s="948" customFormat="1">
      <c r="A3707" s="485"/>
      <c r="B3707" s="485"/>
      <c r="C3707" s="17" t="s">
        <v>10</v>
      </c>
      <c r="D3707" s="485">
        <v>1</v>
      </c>
      <c r="E3707" s="485">
        <v>3.8</v>
      </c>
      <c r="F3707" s="485"/>
      <c r="G3707" s="485">
        <v>2.6</v>
      </c>
      <c r="H3707" s="487">
        <f t="shared" si="529"/>
        <v>9.879999999999999</v>
      </c>
    </row>
    <row r="3708" spans="1:8" s="948" customFormat="1">
      <c r="A3708" s="485"/>
      <c r="B3708" s="485"/>
      <c r="C3708" s="17" t="s">
        <v>10</v>
      </c>
      <c r="D3708" s="485">
        <v>1</v>
      </c>
      <c r="E3708" s="485">
        <v>0.65</v>
      </c>
      <c r="F3708" s="485"/>
      <c r="G3708" s="485">
        <v>2.6</v>
      </c>
      <c r="H3708" s="487">
        <f t="shared" si="529"/>
        <v>1.6900000000000002</v>
      </c>
    </row>
    <row r="3709" spans="1:8" s="948" customFormat="1">
      <c r="A3709" s="485"/>
      <c r="B3709" s="485"/>
      <c r="C3709" s="17" t="s">
        <v>10</v>
      </c>
      <c r="D3709" s="485">
        <v>1</v>
      </c>
      <c r="E3709" s="485">
        <v>4.37</v>
      </c>
      <c r="F3709" s="485"/>
      <c r="G3709" s="485">
        <v>1.1000000000000001</v>
      </c>
      <c r="H3709" s="487">
        <f t="shared" si="529"/>
        <v>4.8070000000000004</v>
      </c>
    </row>
    <row r="3710" spans="1:8" s="948" customFormat="1">
      <c r="A3710" s="485"/>
      <c r="B3710" s="485" t="s">
        <v>1917</v>
      </c>
      <c r="C3710" s="17" t="s">
        <v>10</v>
      </c>
      <c r="D3710" s="485">
        <v>1</v>
      </c>
      <c r="E3710" s="17">
        <v>3.6</v>
      </c>
      <c r="F3710" s="485"/>
      <c r="G3710" s="17">
        <f>2.7-0.45-0.15</f>
        <v>2.1</v>
      </c>
      <c r="H3710" s="18">
        <f t="shared" si="529"/>
        <v>7.5600000000000005</v>
      </c>
    </row>
    <row r="3711" spans="1:8" s="948" customFormat="1">
      <c r="A3711" s="485"/>
      <c r="B3711" s="485" t="s">
        <v>1227</v>
      </c>
      <c r="C3711" s="17" t="s">
        <v>10</v>
      </c>
      <c r="D3711" s="485">
        <v>1</v>
      </c>
      <c r="E3711" s="485">
        <v>4.8499999999999996</v>
      </c>
      <c r="F3711" s="485"/>
      <c r="G3711" s="17">
        <v>2.7</v>
      </c>
      <c r="H3711" s="18">
        <f t="shared" si="529"/>
        <v>13.095000000000001</v>
      </c>
    </row>
    <row r="3712" spans="1:8" s="948" customFormat="1">
      <c r="A3712" s="485"/>
      <c r="B3712" s="485"/>
      <c r="C3712" s="17" t="s">
        <v>10</v>
      </c>
      <c r="D3712" s="485">
        <v>1</v>
      </c>
      <c r="E3712" s="485">
        <f>0.15+0.13</f>
        <v>0.28000000000000003</v>
      </c>
      <c r="F3712" s="485"/>
      <c r="G3712" s="17">
        <v>2.7</v>
      </c>
      <c r="H3712" s="18">
        <f t="shared" si="529"/>
        <v>0.75600000000000012</v>
      </c>
    </row>
    <row r="3713" spans="1:8" s="948" customFormat="1">
      <c r="A3713" s="17"/>
      <c r="B3713" s="17"/>
      <c r="C3713" s="17"/>
      <c r="D3713" s="17"/>
      <c r="E3713" s="17"/>
      <c r="F3713" s="17"/>
      <c r="G3713" s="17"/>
      <c r="H3713" s="18"/>
    </row>
    <row r="3714" spans="1:8" s="948" customFormat="1">
      <c r="A3714" s="15"/>
      <c r="B3714" s="15" t="s">
        <v>21</v>
      </c>
      <c r="C3714" s="15"/>
      <c r="D3714" s="15"/>
      <c r="E3714" s="15"/>
      <c r="F3714" s="15"/>
      <c r="G3714" s="15"/>
      <c r="H3714" s="20">
        <f>SUM(H3701:H3713)</f>
        <v>47.616500000000002</v>
      </c>
    </row>
    <row r="3715" spans="1:8" s="948" customFormat="1">
      <c r="A3715" s="17"/>
      <c r="B3715" s="17" t="s">
        <v>22</v>
      </c>
      <c r="C3715" s="17"/>
      <c r="D3715" s="17"/>
      <c r="E3715" s="17"/>
      <c r="F3715" s="17"/>
      <c r="G3715" s="17"/>
      <c r="H3715" s="18"/>
    </row>
    <row r="3716" spans="1:8" s="948" customFormat="1">
      <c r="A3716" s="15"/>
      <c r="B3716" s="15" t="s">
        <v>23</v>
      </c>
      <c r="C3716" s="15"/>
      <c r="D3716" s="15"/>
      <c r="E3716" s="15"/>
      <c r="F3716" s="15"/>
      <c r="G3716" s="15"/>
      <c r="H3716" s="20">
        <f>ROUND(SUM(H3714:H3715),0)</f>
        <v>48</v>
      </c>
    </row>
    <row r="3717" spans="1:8" s="948" customFormat="1">
      <c r="H3717" s="21"/>
    </row>
    <row r="3718" spans="1:8" s="948" customFormat="1">
      <c r="A3718" s="17">
        <v>4</v>
      </c>
      <c r="B3718" s="15" t="s">
        <v>2529</v>
      </c>
      <c r="C3718" s="17"/>
      <c r="D3718" s="17"/>
      <c r="E3718" s="17"/>
      <c r="F3718" s="17"/>
      <c r="G3718" s="17"/>
      <c r="H3718" s="18"/>
    </row>
    <row r="3719" spans="1:8" s="948" customFormat="1">
      <c r="A3719" s="17"/>
      <c r="B3719" s="17" t="s">
        <v>197</v>
      </c>
      <c r="C3719" s="17" t="s">
        <v>10</v>
      </c>
      <c r="D3719" s="17">
        <v>-1</v>
      </c>
      <c r="E3719" s="17">
        <v>2.9</v>
      </c>
      <c r="F3719" s="17"/>
      <c r="G3719" s="17">
        <f>1.35</f>
        <v>1.35</v>
      </c>
      <c r="H3719" s="18">
        <f>PRODUCT(D3719:G3719)</f>
        <v>-3.915</v>
      </c>
    </row>
    <row r="3720" spans="1:8" s="948" customFormat="1">
      <c r="A3720" s="17"/>
      <c r="B3720" s="17"/>
      <c r="C3720" s="17" t="s">
        <v>10</v>
      </c>
      <c r="D3720" s="17">
        <v>-1</v>
      </c>
      <c r="E3720" s="17">
        <v>2.9</v>
      </c>
      <c r="F3720" s="17"/>
      <c r="G3720" s="17">
        <f>1.35</f>
        <v>1.35</v>
      </c>
      <c r="H3720" s="18">
        <f t="shared" ref="H3720:H3767" si="530">PRODUCT(D3720:G3720)</f>
        <v>-3.915</v>
      </c>
    </row>
    <row r="3721" spans="1:8" s="948" customFormat="1">
      <c r="A3721" s="485"/>
      <c r="B3721" s="485"/>
      <c r="C3721" s="485" t="s">
        <v>10</v>
      </c>
      <c r="D3721" s="485">
        <v>1</v>
      </c>
      <c r="E3721" s="485">
        <v>3.35</v>
      </c>
      <c r="F3721" s="485"/>
      <c r="G3721" s="485">
        <v>2.6</v>
      </c>
      <c r="H3721" s="18">
        <f t="shared" si="530"/>
        <v>8.7100000000000009</v>
      </c>
    </row>
    <row r="3722" spans="1:8" s="948" customFormat="1">
      <c r="A3722" s="485"/>
      <c r="B3722" s="485"/>
      <c r="C3722" s="485" t="s">
        <v>10</v>
      </c>
      <c r="D3722" s="485">
        <v>1</v>
      </c>
      <c r="E3722" s="485">
        <v>3.33</v>
      </c>
      <c r="F3722" s="485"/>
      <c r="G3722" s="485">
        <v>2.6</v>
      </c>
      <c r="H3722" s="18">
        <f t="shared" si="530"/>
        <v>8.6580000000000013</v>
      </c>
    </row>
    <row r="3723" spans="1:8" s="948" customFormat="1">
      <c r="A3723" s="17"/>
      <c r="B3723" s="17" t="s">
        <v>1199</v>
      </c>
      <c r="C3723" s="17" t="s">
        <v>10</v>
      </c>
      <c r="D3723" s="17">
        <v>-1</v>
      </c>
      <c r="E3723" s="17">
        <v>2.4500000000000002</v>
      </c>
      <c r="F3723" s="17"/>
      <c r="G3723" s="17">
        <v>1.35</v>
      </c>
      <c r="H3723" s="18">
        <f t="shared" si="530"/>
        <v>-3.3075000000000006</v>
      </c>
    </row>
    <row r="3724" spans="1:8" s="948" customFormat="1">
      <c r="A3724" s="485"/>
      <c r="B3724" s="485"/>
      <c r="C3724" s="17" t="s">
        <v>10</v>
      </c>
      <c r="D3724" s="17">
        <v>1</v>
      </c>
      <c r="E3724" s="17">
        <v>3.45</v>
      </c>
      <c r="F3724" s="17"/>
      <c r="G3724" s="17">
        <v>2.6</v>
      </c>
      <c r="H3724" s="18">
        <f t="shared" si="530"/>
        <v>8.9700000000000006</v>
      </c>
    </row>
    <row r="3725" spans="1:8" s="948" customFormat="1">
      <c r="A3725" s="17"/>
      <c r="B3725" s="17" t="s">
        <v>1327</v>
      </c>
      <c r="C3725" s="17" t="s">
        <v>10</v>
      </c>
      <c r="D3725" s="17">
        <v>-1</v>
      </c>
      <c r="E3725" s="17">
        <v>2.4500000000000002</v>
      </c>
      <c r="F3725" s="17"/>
      <c r="G3725" s="17">
        <v>1.35</v>
      </c>
      <c r="H3725" s="18">
        <f t="shared" si="530"/>
        <v>-3.3075000000000006</v>
      </c>
    </row>
    <row r="3726" spans="1:8" s="948" customFormat="1">
      <c r="A3726" s="485"/>
      <c r="B3726" s="485"/>
      <c r="C3726" s="17" t="s">
        <v>10</v>
      </c>
      <c r="D3726" s="485">
        <v>1</v>
      </c>
      <c r="E3726" s="485">
        <v>3.45</v>
      </c>
      <c r="F3726" s="485"/>
      <c r="G3726" s="485">
        <v>2.6</v>
      </c>
      <c r="H3726" s="487">
        <f t="shared" si="530"/>
        <v>8.9700000000000006</v>
      </c>
    </row>
    <row r="3727" spans="1:8" s="948" customFormat="1">
      <c r="A3727" s="485"/>
      <c r="B3727" s="485" t="s">
        <v>1196</v>
      </c>
      <c r="C3727" s="17" t="s">
        <v>10</v>
      </c>
      <c r="D3727" s="17">
        <v>-1</v>
      </c>
      <c r="E3727" s="17">
        <v>2.85</v>
      </c>
      <c r="F3727" s="17"/>
      <c r="G3727" s="17">
        <v>1.35</v>
      </c>
      <c r="H3727" s="18">
        <f t="shared" si="530"/>
        <v>-3.8475000000000006</v>
      </c>
    </row>
    <row r="3728" spans="1:8" s="948" customFormat="1">
      <c r="A3728" s="485"/>
      <c r="B3728" s="485"/>
      <c r="C3728" s="17" t="s">
        <v>10</v>
      </c>
      <c r="D3728" s="485">
        <v>-1</v>
      </c>
      <c r="E3728" s="485">
        <v>4.72</v>
      </c>
      <c r="F3728" s="485"/>
      <c r="G3728" s="17">
        <v>1.35</v>
      </c>
      <c r="H3728" s="18">
        <f t="shared" si="530"/>
        <v>-6.3719999999999999</v>
      </c>
    </row>
    <row r="3729" spans="1:8" s="948" customFormat="1">
      <c r="A3729" s="485"/>
      <c r="B3729" s="485"/>
      <c r="C3729" s="17" t="s">
        <v>10</v>
      </c>
      <c r="D3729" s="485">
        <v>1</v>
      </c>
      <c r="E3729" s="485">
        <v>5.16</v>
      </c>
      <c r="F3729" s="485"/>
      <c r="G3729" s="485">
        <v>2.6</v>
      </c>
      <c r="H3729" s="487">
        <f t="shared" si="530"/>
        <v>13.416</v>
      </c>
    </row>
    <row r="3730" spans="1:8" s="948" customFormat="1">
      <c r="A3730" s="485"/>
      <c r="B3730" s="485"/>
      <c r="C3730" s="17" t="s">
        <v>10</v>
      </c>
      <c r="D3730" s="485">
        <v>1</v>
      </c>
      <c r="E3730" s="485">
        <v>3.4</v>
      </c>
      <c r="F3730" s="485"/>
      <c r="G3730" s="485">
        <v>2.6</v>
      </c>
      <c r="H3730" s="487">
        <f t="shared" si="530"/>
        <v>8.84</v>
      </c>
    </row>
    <row r="3731" spans="1:8" s="948" customFormat="1">
      <c r="A3731" s="17"/>
      <c r="B3731" s="17" t="s">
        <v>1299</v>
      </c>
      <c r="C3731" s="17" t="s">
        <v>10</v>
      </c>
      <c r="D3731" s="17">
        <v>-1</v>
      </c>
      <c r="E3731" s="17">
        <v>2.4500000000000002</v>
      </c>
      <c r="F3731" s="17"/>
      <c r="G3731" s="17">
        <v>1.35</v>
      </c>
      <c r="H3731" s="18">
        <f t="shared" si="530"/>
        <v>-3.3075000000000006</v>
      </c>
    </row>
    <row r="3732" spans="1:8" s="948" customFormat="1">
      <c r="A3732" s="485"/>
      <c r="B3732" s="485"/>
      <c r="C3732" s="17" t="s">
        <v>10</v>
      </c>
      <c r="D3732" s="485">
        <v>1</v>
      </c>
      <c r="E3732" s="485">
        <v>3.4</v>
      </c>
      <c r="F3732" s="485"/>
      <c r="G3732" s="485">
        <v>2.6</v>
      </c>
      <c r="H3732" s="487">
        <f t="shared" si="530"/>
        <v>8.84</v>
      </c>
    </row>
    <row r="3733" spans="1:8" s="948" customFormat="1">
      <c r="A3733" s="17"/>
      <c r="B3733" s="17" t="s">
        <v>1300</v>
      </c>
      <c r="C3733" s="17" t="s">
        <v>10</v>
      </c>
      <c r="D3733" s="17">
        <v>-1</v>
      </c>
      <c r="E3733" s="17">
        <v>2.4500000000000002</v>
      </c>
      <c r="F3733" s="17"/>
      <c r="G3733" s="17">
        <v>1.35</v>
      </c>
      <c r="H3733" s="18">
        <f t="shared" si="530"/>
        <v>-3.3075000000000006</v>
      </c>
    </row>
    <row r="3734" spans="1:8" s="948" customFormat="1">
      <c r="A3734" s="485"/>
      <c r="B3734" s="485"/>
      <c r="C3734" s="17" t="s">
        <v>10</v>
      </c>
      <c r="D3734" s="485">
        <v>1</v>
      </c>
      <c r="E3734" s="485">
        <v>3.4</v>
      </c>
      <c r="F3734" s="485"/>
      <c r="G3734" s="485">
        <v>2.6</v>
      </c>
      <c r="H3734" s="487">
        <f t="shared" si="530"/>
        <v>8.84</v>
      </c>
    </row>
    <row r="3735" spans="1:8" s="948" customFormat="1">
      <c r="A3735" s="17"/>
      <c r="B3735" s="17" t="s">
        <v>1301</v>
      </c>
      <c r="C3735" s="17" t="s">
        <v>10</v>
      </c>
      <c r="D3735" s="17">
        <v>-1</v>
      </c>
      <c r="E3735" s="17">
        <v>2.4500000000000002</v>
      </c>
      <c r="F3735" s="17"/>
      <c r="G3735" s="17">
        <v>1.35</v>
      </c>
      <c r="H3735" s="18">
        <f t="shared" si="530"/>
        <v>-3.3075000000000006</v>
      </c>
    </row>
    <row r="3736" spans="1:8" s="948" customFormat="1">
      <c r="A3736" s="485"/>
      <c r="B3736" s="485"/>
      <c r="C3736" s="17" t="s">
        <v>10</v>
      </c>
      <c r="D3736" s="485">
        <v>1</v>
      </c>
      <c r="E3736" s="485">
        <v>3.4</v>
      </c>
      <c r="F3736" s="485"/>
      <c r="G3736" s="485">
        <v>2.6</v>
      </c>
      <c r="H3736" s="487">
        <f t="shared" si="530"/>
        <v>8.84</v>
      </c>
    </row>
    <row r="3737" spans="1:8" s="948" customFormat="1">
      <c r="A3737" s="17"/>
      <c r="B3737" s="17" t="s">
        <v>1201</v>
      </c>
      <c r="C3737" s="17" t="s">
        <v>10</v>
      </c>
      <c r="D3737" s="17">
        <v>-1</v>
      </c>
      <c r="E3737" s="17">
        <v>2.7</v>
      </c>
      <c r="F3737" s="17"/>
      <c r="G3737" s="17">
        <v>1.35</v>
      </c>
      <c r="H3737" s="18">
        <f t="shared" si="530"/>
        <v>-3.6450000000000005</v>
      </c>
    </row>
    <row r="3738" spans="1:8" s="948" customFormat="1">
      <c r="A3738" s="485"/>
      <c r="B3738" s="485"/>
      <c r="C3738" s="17" t="s">
        <v>10</v>
      </c>
      <c r="D3738" s="485">
        <v>1</v>
      </c>
      <c r="E3738" s="485">
        <v>3.6</v>
      </c>
      <c r="F3738" s="485"/>
      <c r="G3738" s="17">
        <v>2.6</v>
      </c>
      <c r="H3738" s="18">
        <f t="shared" si="530"/>
        <v>9.3600000000000012</v>
      </c>
    </row>
    <row r="3739" spans="1:8" s="948" customFormat="1">
      <c r="A3739" s="17"/>
      <c r="B3739" s="17" t="s">
        <v>1202</v>
      </c>
      <c r="C3739" s="17" t="s">
        <v>10</v>
      </c>
      <c r="D3739" s="17">
        <v>-1</v>
      </c>
      <c r="E3739" s="17">
        <v>2.7</v>
      </c>
      <c r="F3739" s="17"/>
      <c r="G3739" s="17">
        <v>1.35</v>
      </c>
      <c r="H3739" s="18">
        <f t="shared" si="530"/>
        <v>-3.6450000000000005</v>
      </c>
    </row>
    <row r="3740" spans="1:8" s="948" customFormat="1">
      <c r="A3740" s="485"/>
      <c r="B3740" s="485"/>
      <c r="C3740" s="17" t="s">
        <v>10</v>
      </c>
      <c r="D3740" s="485">
        <v>1</v>
      </c>
      <c r="E3740" s="485">
        <v>3.6</v>
      </c>
      <c r="F3740" s="485"/>
      <c r="G3740" s="17">
        <v>2.6</v>
      </c>
      <c r="H3740" s="18">
        <f t="shared" si="530"/>
        <v>9.3600000000000012</v>
      </c>
    </row>
    <row r="3741" spans="1:8" s="948" customFormat="1">
      <c r="A3741" s="17"/>
      <c r="B3741" s="17" t="s">
        <v>2038</v>
      </c>
      <c r="C3741" s="17" t="s">
        <v>10</v>
      </c>
      <c r="D3741" s="17">
        <v>-2</v>
      </c>
      <c r="E3741" s="17">
        <v>2.4</v>
      </c>
      <c r="F3741" s="17"/>
      <c r="G3741" s="17">
        <v>1.35</v>
      </c>
      <c r="H3741" s="18">
        <f t="shared" si="530"/>
        <v>-6.48</v>
      </c>
    </row>
    <row r="3742" spans="1:8" s="948" customFormat="1">
      <c r="A3742" s="485"/>
      <c r="B3742" s="485"/>
      <c r="C3742" s="17" t="s">
        <v>10</v>
      </c>
      <c r="D3742" s="485">
        <v>1</v>
      </c>
      <c r="E3742" s="485">
        <v>3.6</v>
      </c>
      <c r="F3742" s="485"/>
      <c r="G3742" s="485">
        <v>2.6</v>
      </c>
      <c r="H3742" s="487">
        <f t="shared" si="530"/>
        <v>9.3600000000000012</v>
      </c>
    </row>
    <row r="3743" spans="1:8" s="948" customFormat="1">
      <c r="A3743" s="485"/>
      <c r="B3743" s="485"/>
      <c r="C3743" s="17" t="s">
        <v>10</v>
      </c>
      <c r="D3743" s="485">
        <v>1</v>
      </c>
      <c r="E3743" s="485">
        <v>2.8</v>
      </c>
      <c r="F3743" s="485"/>
      <c r="G3743" s="485">
        <v>2.6</v>
      </c>
      <c r="H3743" s="487">
        <f t="shared" si="530"/>
        <v>7.2799999999999994</v>
      </c>
    </row>
    <row r="3744" spans="1:8" s="948" customFormat="1">
      <c r="A3744" s="485"/>
      <c r="B3744" s="485" t="s">
        <v>1216</v>
      </c>
      <c r="C3744" s="17" t="s">
        <v>10</v>
      </c>
      <c r="D3744" s="485">
        <v>-1</v>
      </c>
      <c r="E3744" s="485">
        <v>3.2</v>
      </c>
      <c r="F3744" s="485"/>
      <c r="G3744" s="485">
        <v>1.35</v>
      </c>
      <c r="H3744" s="487">
        <f t="shared" si="530"/>
        <v>-4.32</v>
      </c>
    </row>
    <row r="3745" spans="1:8" s="948" customFormat="1">
      <c r="A3745" s="485"/>
      <c r="B3745" s="485"/>
      <c r="C3745" s="17" t="s">
        <v>10</v>
      </c>
      <c r="D3745" s="485">
        <v>-1</v>
      </c>
      <c r="E3745" s="485">
        <v>3.9</v>
      </c>
      <c r="F3745" s="485"/>
      <c r="G3745" s="485">
        <v>1.35</v>
      </c>
      <c r="H3745" s="487">
        <f t="shared" si="530"/>
        <v>-5.2650000000000006</v>
      </c>
    </row>
    <row r="3746" spans="1:8" s="948" customFormat="1">
      <c r="A3746" s="485"/>
      <c r="B3746" s="485"/>
      <c r="C3746" s="17" t="s">
        <v>10</v>
      </c>
      <c r="D3746" s="485">
        <v>1</v>
      </c>
      <c r="E3746" s="485">
        <v>4.3499999999999996</v>
      </c>
      <c r="F3746" s="485"/>
      <c r="G3746" s="485">
        <v>2.6</v>
      </c>
      <c r="H3746" s="487">
        <f t="shared" si="530"/>
        <v>11.309999999999999</v>
      </c>
    </row>
    <row r="3747" spans="1:8" s="948" customFormat="1">
      <c r="A3747" s="485"/>
      <c r="B3747" s="485"/>
      <c r="C3747" s="17" t="s">
        <v>10</v>
      </c>
      <c r="D3747" s="485">
        <v>1</v>
      </c>
      <c r="E3747" s="485">
        <v>3.6</v>
      </c>
      <c r="F3747" s="485"/>
      <c r="G3747" s="485">
        <v>2.6</v>
      </c>
      <c r="H3747" s="487">
        <f t="shared" si="530"/>
        <v>9.3600000000000012</v>
      </c>
    </row>
    <row r="3748" spans="1:8" s="948" customFormat="1">
      <c r="A3748" s="485"/>
      <c r="B3748" s="485" t="s">
        <v>1310</v>
      </c>
      <c r="C3748" s="17" t="s">
        <v>10</v>
      </c>
      <c r="D3748" s="485">
        <v>-1</v>
      </c>
      <c r="E3748" s="485">
        <v>3.2</v>
      </c>
      <c r="F3748" s="485"/>
      <c r="G3748" s="485">
        <v>1.35</v>
      </c>
      <c r="H3748" s="487">
        <f t="shared" si="530"/>
        <v>-4.32</v>
      </c>
    </row>
    <row r="3749" spans="1:8" s="948" customFormat="1">
      <c r="A3749" s="485"/>
      <c r="B3749" s="485"/>
      <c r="C3749" s="17" t="s">
        <v>10</v>
      </c>
      <c r="D3749" s="485">
        <v>-1</v>
      </c>
      <c r="E3749" s="485">
        <v>3.2</v>
      </c>
      <c r="F3749" s="485"/>
      <c r="G3749" s="485">
        <v>1.35</v>
      </c>
      <c r="H3749" s="487">
        <f t="shared" si="530"/>
        <v>-4.32</v>
      </c>
    </row>
    <row r="3750" spans="1:8" s="948" customFormat="1">
      <c r="A3750" s="485"/>
      <c r="B3750" s="485"/>
      <c r="C3750" s="17" t="s">
        <v>10</v>
      </c>
      <c r="D3750" s="485">
        <v>2</v>
      </c>
      <c r="E3750" s="485">
        <v>3.6</v>
      </c>
      <c r="F3750" s="485"/>
      <c r="G3750" s="485">
        <v>2.6</v>
      </c>
      <c r="H3750" s="487">
        <f t="shared" si="530"/>
        <v>18.720000000000002</v>
      </c>
    </row>
    <row r="3751" spans="1:8" s="948" customFormat="1">
      <c r="A3751" s="17"/>
      <c r="B3751" s="17" t="s">
        <v>1213</v>
      </c>
      <c r="C3751" s="17" t="s">
        <v>10</v>
      </c>
      <c r="D3751" s="17">
        <v>-1</v>
      </c>
      <c r="E3751" s="17">
        <v>2.5499999999999998</v>
      </c>
      <c r="F3751" s="17"/>
      <c r="G3751" s="17">
        <v>1.35</v>
      </c>
      <c r="H3751" s="18">
        <f t="shared" si="530"/>
        <v>-3.4424999999999999</v>
      </c>
    </row>
    <row r="3752" spans="1:8" s="948" customFormat="1">
      <c r="A3752" s="485"/>
      <c r="B3752" s="485"/>
      <c r="C3752" s="17" t="s">
        <v>10</v>
      </c>
      <c r="D3752" s="17">
        <v>1</v>
      </c>
      <c r="E3752" s="17">
        <v>3.45</v>
      </c>
      <c r="F3752" s="17"/>
      <c r="G3752" s="17">
        <v>2.6</v>
      </c>
      <c r="H3752" s="18">
        <f t="shared" si="530"/>
        <v>8.9700000000000006</v>
      </c>
    </row>
    <row r="3753" spans="1:8" s="948" customFormat="1">
      <c r="A3753" s="17"/>
      <c r="B3753" s="17" t="s">
        <v>1214</v>
      </c>
      <c r="C3753" s="17" t="s">
        <v>10</v>
      </c>
      <c r="D3753" s="17">
        <v>-1</v>
      </c>
      <c r="E3753" s="17">
        <v>2.5499999999999998</v>
      </c>
      <c r="F3753" s="17"/>
      <c r="G3753" s="17">
        <v>1.35</v>
      </c>
      <c r="H3753" s="18">
        <f t="shared" si="530"/>
        <v>-3.4424999999999999</v>
      </c>
    </row>
    <row r="3754" spans="1:8" s="948" customFormat="1">
      <c r="A3754" s="485"/>
      <c r="B3754" s="485"/>
      <c r="C3754" s="17" t="s">
        <v>10</v>
      </c>
      <c r="D3754" s="485">
        <v>1</v>
      </c>
      <c r="E3754" s="485">
        <v>3.45</v>
      </c>
      <c r="F3754" s="485"/>
      <c r="G3754" s="485">
        <v>2.6</v>
      </c>
      <c r="H3754" s="487">
        <f t="shared" si="530"/>
        <v>8.9700000000000006</v>
      </c>
    </row>
    <row r="3755" spans="1:8" s="948" customFormat="1">
      <c r="A3755" s="485"/>
      <c r="B3755" s="485" t="s">
        <v>1314</v>
      </c>
      <c r="C3755" s="17" t="s">
        <v>10</v>
      </c>
      <c r="D3755" s="485">
        <v>-1</v>
      </c>
      <c r="E3755" s="17">
        <v>3.7</v>
      </c>
      <c r="F3755" s="485"/>
      <c r="G3755" s="17">
        <v>1.35</v>
      </c>
      <c r="H3755" s="18">
        <f t="shared" si="530"/>
        <v>-4.995000000000001</v>
      </c>
    </row>
    <row r="3756" spans="1:8" s="948" customFormat="1">
      <c r="A3756" s="485"/>
      <c r="B3756" s="485"/>
      <c r="C3756" s="17" t="s">
        <v>10</v>
      </c>
      <c r="D3756" s="485">
        <v>-1</v>
      </c>
      <c r="E3756" s="485">
        <v>3</v>
      </c>
      <c r="F3756" s="485"/>
      <c r="G3756" s="17">
        <v>1.35</v>
      </c>
      <c r="H3756" s="18">
        <f t="shared" si="530"/>
        <v>-4.0500000000000007</v>
      </c>
    </row>
    <row r="3757" spans="1:8" s="948" customFormat="1">
      <c r="A3757" s="485"/>
      <c r="B3757" s="485"/>
      <c r="C3757" s="17" t="s">
        <v>10</v>
      </c>
      <c r="D3757" s="485">
        <v>1</v>
      </c>
      <c r="E3757" s="485">
        <v>3.45</v>
      </c>
      <c r="F3757" s="485"/>
      <c r="G3757" s="485">
        <v>2.6</v>
      </c>
      <c r="H3757" s="487">
        <f t="shared" si="530"/>
        <v>8.9700000000000006</v>
      </c>
    </row>
    <row r="3758" spans="1:8" s="948" customFormat="1">
      <c r="A3758" s="485"/>
      <c r="B3758" s="485"/>
      <c r="C3758" s="17" t="s">
        <v>10</v>
      </c>
      <c r="D3758" s="485">
        <v>1</v>
      </c>
      <c r="E3758" s="485">
        <v>4.13</v>
      </c>
      <c r="F3758" s="485"/>
      <c r="G3758" s="485">
        <v>2.6</v>
      </c>
      <c r="H3758" s="487">
        <f t="shared" si="530"/>
        <v>10.738</v>
      </c>
    </row>
    <row r="3759" spans="1:8" s="948" customFormat="1">
      <c r="A3759" s="485"/>
      <c r="B3759" s="485" t="s">
        <v>1230</v>
      </c>
      <c r="C3759" s="17" t="s">
        <v>10</v>
      </c>
      <c r="D3759" s="485">
        <v>-1</v>
      </c>
      <c r="E3759" s="17">
        <v>2.5499999999999998</v>
      </c>
      <c r="F3759" s="485"/>
      <c r="G3759" s="17">
        <v>1.35</v>
      </c>
      <c r="H3759" s="18">
        <f t="shared" si="530"/>
        <v>-3.4424999999999999</v>
      </c>
    </row>
    <row r="3760" spans="1:8" s="948" customFormat="1">
      <c r="A3760" s="485"/>
      <c r="B3760" s="485"/>
      <c r="C3760" s="17" t="s">
        <v>10</v>
      </c>
      <c r="D3760" s="485">
        <v>1</v>
      </c>
      <c r="E3760" s="485">
        <v>3.45</v>
      </c>
      <c r="F3760" s="485"/>
      <c r="G3760" s="485">
        <v>2.6</v>
      </c>
      <c r="H3760" s="487">
        <f t="shared" si="530"/>
        <v>8.9700000000000006</v>
      </c>
    </row>
    <row r="3761" spans="1:8" s="948" customFormat="1">
      <c r="A3761" s="485"/>
      <c r="B3761" s="485" t="s">
        <v>1229</v>
      </c>
      <c r="C3761" s="17" t="s">
        <v>10</v>
      </c>
      <c r="D3761" s="485">
        <v>-1</v>
      </c>
      <c r="E3761" s="17">
        <v>2.5499999999999998</v>
      </c>
      <c r="F3761" s="485"/>
      <c r="G3761" s="17">
        <v>1.35</v>
      </c>
      <c r="H3761" s="18">
        <f t="shared" si="530"/>
        <v>-3.4424999999999999</v>
      </c>
    </row>
    <row r="3762" spans="1:8" s="948" customFormat="1">
      <c r="A3762" s="485"/>
      <c r="B3762" s="485"/>
      <c r="C3762" s="17" t="s">
        <v>10</v>
      </c>
      <c r="D3762" s="485">
        <v>1</v>
      </c>
      <c r="E3762" s="485">
        <v>3.45</v>
      </c>
      <c r="F3762" s="485"/>
      <c r="G3762" s="485">
        <v>2.6</v>
      </c>
      <c r="H3762" s="487">
        <f t="shared" si="530"/>
        <v>8.9700000000000006</v>
      </c>
    </row>
    <row r="3763" spans="1:8" s="948" customFormat="1">
      <c r="A3763" s="485"/>
      <c r="B3763" s="485" t="s">
        <v>2039</v>
      </c>
      <c r="C3763" s="17" t="s">
        <v>10</v>
      </c>
      <c r="D3763" s="485">
        <v>-1</v>
      </c>
      <c r="E3763" s="17">
        <v>4.1500000000000004</v>
      </c>
      <c r="F3763" s="485"/>
      <c r="G3763" s="17">
        <v>1.35</v>
      </c>
      <c r="H3763" s="18">
        <f t="shared" si="530"/>
        <v>-5.6025000000000009</v>
      </c>
    </row>
    <row r="3764" spans="1:8" s="948" customFormat="1">
      <c r="A3764" s="485"/>
      <c r="B3764" s="485"/>
      <c r="C3764" s="17" t="s">
        <v>10</v>
      </c>
      <c r="D3764" s="485">
        <v>0</v>
      </c>
      <c r="E3764" s="17">
        <v>3.8</v>
      </c>
      <c r="F3764" s="485"/>
      <c r="G3764" s="17">
        <v>2.6</v>
      </c>
      <c r="H3764" s="18">
        <f t="shared" si="530"/>
        <v>0</v>
      </c>
    </row>
    <row r="3765" spans="1:8" s="948" customFormat="1">
      <c r="A3765" s="485"/>
      <c r="B3765" s="485"/>
      <c r="C3765" s="17" t="s">
        <v>10</v>
      </c>
      <c r="D3765" s="485">
        <v>1</v>
      </c>
      <c r="E3765" s="485">
        <v>5.05</v>
      </c>
      <c r="F3765" s="485"/>
      <c r="G3765" s="17">
        <v>2.6</v>
      </c>
      <c r="H3765" s="18">
        <f t="shared" si="530"/>
        <v>13.13</v>
      </c>
    </row>
    <row r="3766" spans="1:8" s="948" customFormat="1">
      <c r="A3766" s="485"/>
      <c r="B3766" s="485" t="s">
        <v>1195</v>
      </c>
      <c r="C3766" s="17" t="s">
        <v>10</v>
      </c>
      <c r="D3766" s="485">
        <v>-1</v>
      </c>
      <c r="E3766" s="485">
        <v>2.7</v>
      </c>
      <c r="F3766" s="485"/>
      <c r="G3766" s="17">
        <v>1.35</v>
      </c>
      <c r="H3766" s="18">
        <f t="shared" si="530"/>
        <v>-3.6450000000000005</v>
      </c>
    </row>
    <row r="3767" spans="1:8" s="948" customFormat="1">
      <c r="A3767" s="485"/>
      <c r="B3767" s="485"/>
      <c r="C3767" s="17" t="s">
        <v>10</v>
      </c>
      <c r="D3767" s="485">
        <v>1</v>
      </c>
      <c r="E3767" s="485">
        <v>3.6</v>
      </c>
      <c r="F3767" s="485"/>
      <c r="G3767" s="485">
        <v>2.6</v>
      </c>
      <c r="H3767" s="487">
        <f t="shared" si="530"/>
        <v>9.3600000000000012</v>
      </c>
    </row>
    <row r="3768" spans="1:8" s="948" customFormat="1">
      <c r="A3768" s="17"/>
      <c r="B3768" s="17"/>
      <c r="C3768" s="17"/>
      <c r="D3768" s="17"/>
      <c r="E3768" s="17"/>
      <c r="F3768" s="17"/>
      <c r="G3768" s="17"/>
      <c r="H3768" s="18"/>
    </row>
    <row r="3769" spans="1:8" s="948" customFormat="1">
      <c r="A3769" s="15"/>
      <c r="B3769" s="15" t="s">
        <v>21</v>
      </c>
      <c r="C3769" s="15"/>
      <c r="D3769" s="15"/>
      <c r="E3769" s="15"/>
      <c r="F3769" s="15"/>
      <c r="G3769" s="15"/>
      <c r="H3769" s="20">
        <f>SUM(H3718:H3768)</f>
        <v>138.26750000000001</v>
      </c>
    </row>
    <row r="3770" spans="1:8" s="948" customFormat="1">
      <c r="A3770" s="17"/>
      <c r="B3770" s="17" t="s">
        <v>22</v>
      </c>
      <c r="C3770" s="17"/>
      <c r="D3770" s="17"/>
      <c r="E3770" s="17"/>
      <c r="F3770" s="17"/>
      <c r="G3770" s="17"/>
      <c r="H3770" s="18"/>
    </row>
    <row r="3771" spans="1:8" s="948" customFormat="1">
      <c r="A3771" s="15"/>
      <c r="B3771" s="15" t="s">
        <v>23</v>
      </c>
      <c r="C3771" s="15"/>
      <c r="D3771" s="15"/>
      <c r="E3771" s="15"/>
      <c r="F3771" s="15"/>
      <c r="G3771" s="15"/>
      <c r="H3771" s="20">
        <f>ROUND(SUM(H3769:H3770),0)</f>
        <v>138</v>
      </c>
    </row>
    <row r="3773" spans="1:8">
      <c r="A3773" s="17">
        <v>4</v>
      </c>
      <c r="B3773" s="15" t="s">
        <v>1403</v>
      </c>
      <c r="C3773" s="17"/>
      <c r="D3773" s="17"/>
      <c r="E3773" s="17"/>
      <c r="F3773" s="17"/>
      <c r="G3773" s="17"/>
      <c r="H3773" s="18"/>
    </row>
    <row r="3774" spans="1:8">
      <c r="A3774" s="17"/>
      <c r="B3774" s="17" t="s">
        <v>1404</v>
      </c>
      <c r="C3774" s="17" t="s">
        <v>10</v>
      </c>
      <c r="D3774" s="17">
        <v>2</v>
      </c>
      <c r="E3774" s="17">
        <v>3.8</v>
      </c>
      <c r="F3774" s="17"/>
      <c r="G3774" s="17">
        <v>2.65</v>
      </c>
      <c r="H3774" s="18">
        <f t="shared" ref="H3774:H3776" si="531">PRODUCT(D3774:G3774)</f>
        <v>20.139999999999997</v>
      </c>
    </row>
    <row r="3775" spans="1:8">
      <c r="A3775" s="485"/>
      <c r="B3775" s="485"/>
      <c r="C3775" s="17" t="s">
        <v>10</v>
      </c>
      <c r="D3775" s="17">
        <v>2</v>
      </c>
      <c r="E3775" s="17">
        <v>4.45</v>
      </c>
      <c r="F3775" s="17"/>
      <c r="G3775" s="17">
        <v>2.65</v>
      </c>
      <c r="H3775" s="18">
        <f t="shared" si="531"/>
        <v>23.585000000000001</v>
      </c>
    </row>
    <row r="3776" spans="1:8">
      <c r="A3776" s="17"/>
      <c r="B3776" s="17"/>
      <c r="C3776" s="17" t="s">
        <v>10</v>
      </c>
      <c r="D3776" s="17">
        <v>-1</v>
      </c>
      <c r="E3776" s="17">
        <v>1</v>
      </c>
      <c r="F3776" s="17"/>
      <c r="G3776" s="17">
        <v>2.4</v>
      </c>
      <c r="H3776" s="18">
        <f t="shared" si="531"/>
        <v>-2.4</v>
      </c>
    </row>
    <row r="3777" spans="1:8">
      <c r="A3777" s="17"/>
      <c r="B3777" s="17"/>
      <c r="C3777" s="17"/>
      <c r="D3777" s="17"/>
      <c r="E3777" s="17"/>
      <c r="F3777" s="17"/>
      <c r="G3777" s="17"/>
      <c r="H3777" s="18"/>
    </row>
    <row r="3778" spans="1:8">
      <c r="A3778" s="15"/>
      <c r="B3778" s="15" t="s">
        <v>21</v>
      </c>
      <c r="C3778" s="15"/>
      <c r="D3778" s="15"/>
      <c r="E3778" s="15"/>
      <c r="F3778" s="15"/>
      <c r="G3778" s="15"/>
      <c r="H3778" s="20">
        <f>SUM(H3774:H3777)</f>
        <v>41.324999999999996</v>
      </c>
    </row>
    <row r="3779" spans="1:8">
      <c r="A3779" s="17"/>
      <c r="B3779" s="17" t="s">
        <v>22</v>
      </c>
      <c r="C3779" s="17"/>
      <c r="D3779" s="17"/>
      <c r="E3779" s="17"/>
      <c r="F3779" s="17"/>
      <c r="G3779" s="17"/>
      <c r="H3779" s="18"/>
    </row>
    <row r="3780" spans="1:8">
      <c r="A3780" s="15"/>
      <c r="B3780" s="15" t="s">
        <v>23</v>
      </c>
      <c r="C3780" s="15"/>
      <c r="D3780" s="15"/>
      <c r="E3780" s="15"/>
      <c r="F3780" s="15"/>
      <c r="G3780" s="15"/>
      <c r="H3780" s="20">
        <f>ROUND(SUM(H3778:H3779),0)</f>
        <v>41</v>
      </c>
    </row>
    <row r="3782" spans="1:8">
      <c r="A3782" s="17">
        <v>4</v>
      </c>
      <c r="B3782" s="15" t="s">
        <v>1405</v>
      </c>
      <c r="C3782" s="17"/>
      <c r="D3782" s="17"/>
      <c r="E3782" s="17"/>
      <c r="F3782" s="17"/>
      <c r="G3782" s="17"/>
      <c r="H3782" s="18"/>
    </row>
    <row r="3783" spans="1:8">
      <c r="A3783" s="485"/>
      <c r="B3783" s="485" t="s">
        <v>2144</v>
      </c>
      <c r="C3783" s="17" t="s">
        <v>10</v>
      </c>
      <c r="D3783" s="17">
        <v>1</v>
      </c>
      <c r="E3783" s="17">
        <f>1.175+1.175+1.078+1.078</f>
        <v>4.5060000000000002</v>
      </c>
      <c r="F3783" s="17"/>
      <c r="G3783" s="17">
        <v>2.6</v>
      </c>
      <c r="H3783" s="18">
        <f t="shared" ref="H3783:H3784" si="532">PRODUCT(D3783:G3783)</f>
        <v>11.7156</v>
      </c>
    </row>
    <row r="3784" spans="1:8">
      <c r="A3784" s="485"/>
      <c r="B3784" s="485" t="s">
        <v>2012</v>
      </c>
      <c r="C3784" s="17" t="s">
        <v>10</v>
      </c>
      <c r="D3784" s="485">
        <v>1</v>
      </c>
      <c r="E3784" s="485">
        <f>1.525+1.7+1.525</f>
        <v>4.75</v>
      </c>
      <c r="F3784" s="485"/>
      <c r="G3784" s="17">
        <v>2.6</v>
      </c>
      <c r="H3784" s="18">
        <f t="shared" si="532"/>
        <v>12.35</v>
      </c>
    </row>
    <row r="3785" spans="1:8">
      <c r="A3785" s="485"/>
      <c r="B3785" s="485" t="s">
        <v>201</v>
      </c>
      <c r="C3785" s="17" t="s">
        <v>10</v>
      </c>
      <c r="D3785" s="485">
        <v>1</v>
      </c>
      <c r="E3785" s="485">
        <f>1.2+2.3+2.3+0.32+0.32+0.8</f>
        <v>7.24</v>
      </c>
      <c r="F3785" s="485"/>
      <c r="G3785" s="17">
        <v>2.6</v>
      </c>
      <c r="H3785" s="18">
        <f t="shared" ref="H3785:H3786" si="533">PRODUCT(D3785:G3785)</f>
        <v>18.824000000000002</v>
      </c>
    </row>
    <row r="3786" spans="1:8" s="948" customFormat="1">
      <c r="A3786" s="485"/>
      <c r="B3786" s="485"/>
      <c r="C3786" s="17" t="s">
        <v>10</v>
      </c>
      <c r="D3786" s="485">
        <v>-1</v>
      </c>
      <c r="E3786" s="485">
        <v>1.1499999999999999</v>
      </c>
      <c r="F3786" s="485"/>
      <c r="G3786" s="17">
        <v>2.6</v>
      </c>
      <c r="H3786" s="18">
        <f t="shared" si="533"/>
        <v>-2.9899999999999998</v>
      </c>
    </row>
    <row r="3787" spans="1:8">
      <c r="A3787" s="485"/>
      <c r="B3787" s="485" t="s">
        <v>2145</v>
      </c>
      <c r="C3787" s="17" t="s">
        <v>10</v>
      </c>
      <c r="D3787" s="485">
        <v>4</v>
      </c>
      <c r="E3787" s="485">
        <f>3.14*1.43</f>
        <v>4.4901999999999997</v>
      </c>
      <c r="F3787" s="485"/>
      <c r="G3787" s="17">
        <v>2.6</v>
      </c>
      <c r="H3787" s="18">
        <f t="shared" ref="H3787" si="534">PRODUCT(D3787:G3787)</f>
        <v>46.698079999999997</v>
      </c>
    </row>
    <row r="3788" spans="1:8">
      <c r="A3788" s="485"/>
      <c r="B3788" s="485" t="s">
        <v>1917</v>
      </c>
      <c r="C3788" s="17" t="s">
        <v>10</v>
      </c>
      <c r="D3788" s="485">
        <v>1</v>
      </c>
      <c r="E3788" s="485">
        <v>5.5</v>
      </c>
      <c r="F3788" s="485"/>
      <c r="G3788" s="17">
        <v>2.6</v>
      </c>
      <c r="H3788" s="18">
        <f t="shared" ref="H3788" si="535">PRODUCT(D3788:G3788)</f>
        <v>14.3</v>
      </c>
    </row>
    <row r="3789" spans="1:8">
      <c r="A3789" s="17"/>
      <c r="B3789" s="17"/>
      <c r="C3789" s="17"/>
      <c r="D3789" s="17"/>
      <c r="E3789" s="17"/>
      <c r="F3789" s="17"/>
      <c r="G3789" s="17"/>
      <c r="H3789" s="18"/>
    </row>
    <row r="3790" spans="1:8">
      <c r="A3790" s="15"/>
      <c r="B3790" s="15" t="s">
        <v>21</v>
      </c>
      <c r="C3790" s="15"/>
      <c r="D3790" s="15"/>
      <c r="E3790" s="15"/>
      <c r="F3790" s="15"/>
      <c r="G3790" s="15"/>
      <c r="H3790" s="20">
        <f>SUM(H3783:H3789)</f>
        <v>100.89767999999999</v>
      </c>
    </row>
    <row r="3791" spans="1:8">
      <c r="A3791" s="17"/>
      <c r="B3791" s="17" t="s">
        <v>22</v>
      </c>
      <c r="C3791" s="17"/>
      <c r="D3791" s="17"/>
      <c r="E3791" s="17"/>
      <c r="F3791" s="17"/>
      <c r="G3791" s="17"/>
      <c r="H3791" s="18"/>
    </row>
    <row r="3792" spans="1:8">
      <c r="A3792" s="15"/>
      <c r="B3792" s="15" t="s">
        <v>23</v>
      </c>
      <c r="C3792" s="15"/>
      <c r="D3792" s="15"/>
      <c r="E3792" s="15"/>
      <c r="F3792" s="15"/>
      <c r="G3792" s="15"/>
      <c r="H3792" s="20">
        <f>ROUND(SUM(H3790:H3791),0)</f>
        <v>101</v>
      </c>
    </row>
    <row r="3794" spans="1:8">
      <c r="A3794" s="17">
        <v>4</v>
      </c>
      <c r="B3794" s="15" t="s">
        <v>1408</v>
      </c>
      <c r="C3794" s="17"/>
      <c r="D3794" s="17"/>
      <c r="E3794" s="17"/>
      <c r="F3794" s="17"/>
      <c r="G3794" s="17"/>
      <c r="H3794" s="18"/>
    </row>
    <row r="3795" spans="1:8">
      <c r="A3795" s="17"/>
      <c r="B3795" s="17" t="s">
        <v>114</v>
      </c>
      <c r="C3795" s="17" t="s">
        <v>10</v>
      </c>
      <c r="D3795" s="17">
        <v>3</v>
      </c>
      <c r="E3795" s="17">
        <v>5.4</v>
      </c>
      <c r="F3795" s="17"/>
      <c r="G3795" s="17">
        <v>2.65</v>
      </c>
      <c r="H3795" s="18">
        <f t="shared" ref="H3795:H3801" si="536">PRODUCT(D3795:G3795)</f>
        <v>42.930000000000007</v>
      </c>
    </row>
    <row r="3796" spans="1:8">
      <c r="A3796" s="485"/>
      <c r="B3796" s="485" t="s">
        <v>196</v>
      </c>
      <c r="C3796" s="17" t="s">
        <v>10</v>
      </c>
      <c r="D3796" s="17">
        <v>1</v>
      </c>
      <c r="E3796" s="17">
        <f>2.2+1.4+1.4+0.1+0.25</f>
        <v>5.35</v>
      </c>
      <c r="F3796" s="17"/>
      <c r="G3796" s="17">
        <v>2.65</v>
      </c>
      <c r="H3796" s="18">
        <f t="shared" si="536"/>
        <v>14.177499999999998</v>
      </c>
    </row>
    <row r="3797" spans="1:8">
      <c r="A3797" s="485"/>
      <c r="B3797" s="485" t="s">
        <v>282</v>
      </c>
      <c r="C3797" s="17" t="s">
        <v>10</v>
      </c>
      <c r="D3797" s="17">
        <v>1</v>
      </c>
      <c r="E3797" s="17">
        <v>10.199999999999999</v>
      </c>
      <c r="F3797" s="17"/>
      <c r="G3797" s="17">
        <v>2.65</v>
      </c>
      <c r="H3797" s="18">
        <f t="shared" si="536"/>
        <v>27.029999999999998</v>
      </c>
    </row>
    <row r="3798" spans="1:8">
      <c r="A3798" s="485"/>
      <c r="B3798" s="485"/>
      <c r="C3798" s="17" t="s">
        <v>10</v>
      </c>
      <c r="D3798" s="485">
        <v>1</v>
      </c>
      <c r="E3798" s="485">
        <v>6.5</v>
      </c>
      <c r="F3798" s="485"/>
      <c r="G3798" s="17">
        <v>2.65</v>
      </c>
      <c r="H3798" s="18">
        <f t="shared" si="536"/>
        <v>17.224999999999998</v>
      </c>
    </row>
    <row r="3799" spans="1:8">
      <c r="A3799" s="485"/>
      <c r="B3799" s="485" t="s">
        <v>1362</v>
      </c>
      <c r="C3799" s="17" t="s">
        <v>10</v>
      </c>
      <c r="D3799" s="485">
        <v>1</v>
      </c>
      <c r="E3799" s="485">
        <f>2.45+1.2+15+0.3+0.3</f>
        <v>19.25</v>
      </c>
      <c r="F3799" s="485"/>
      <c r="G3799" s="17">
        <v>2.65</v>
      </c>
      <c r="H3799" s="18">
        <f t="shared" si="536"/>
        <v>51.012499999999996</v>
      </c>
    </row>
    <row r="3800" spans="1:8">
      <c r="A3800" s="485"/>
      <c r="B3800" s="485" t="s">
        <v>297</v>
      </c>
      <c r="C3800" s="17" t="s">
        <v>10</v>
      </c>
      <c r="D3800" s="485">
        <v>2</v>
      </c>
      <c r="E3800" s="485">
        <f>2.55</f>
        <v>2.5499999999999998</v>
      </c>
      <c r="F3800" s="485"/>
      <c r="G3800" s="17">
        <v>2.65</v>
      </c>
      <c r="H3800" s="18">
        <f t="shared" si="536"/>
        <v>13.514999999999999</v>
      </c>
    </row>
    <row r="3801" spans="1:8">
      <c r="A3801" s="485"/>
      <c r="B3801" s="485" t="s">
        <v>1362</v>
      </c>
      <c r="C3801" s="17" t="s">
        <v>10</v>
      </c>
      <c r="D3801" s="485">
        <v>2</v>
      </c>
      <c r="E3801" s="485">
        <v>6</v>
      </c>
      <c r="F3801" s="485"/>
      <c r="G3801" s="17">
        <v>2.65</v>
      </c>
      <c r="H3801" s="18">
        <f t="shared" si="536"/>
        <v>31.799999999999997</v>
      </c>
    </row>
    <row r="3802" spans="1:8">
      <c r="A3802" s="485"/>
      <c r="B3802" s="485"/>
      <c r="C3802" s="485"/>
      <c r="D3802" s="485"/>
      <c r="E3802" s="485"/>
      <c r="F3802" s="485"/>
      <c r="G3802" s="485"/>
      <c r="H3802" s="487"/>
    </row>
    <row r="3803" spans="1:8">
      <c r="A3803" s="17"/>
      <c r="B3803" s="17"/>
      <c r="C3803" s="17"/>
      <c r="D3803" s="17"/>
      <c r="E3803" s="17"/>
      <c r="F3803" s="17"/>
      <c r="G3803" s="17"/>
      <c r="H3803" s="18"/>
    </row>
    <row r="3804" spans="1:8">
      <c r="A3804" s="15"/>
      <c r="B3804" s="15" t="s">
        <v>21</v>
      </c>
      <c r="C3804" s="15"/>
      <c r="D3804" s="15"/>
      <c r="E3804" s="15"/>
      <c r="F3804" s="15"/>
      <c r="G3804" s="15"/>
      <c r="H3804" s="20">
        <f>SUM(H3795:H3803)</f>
        <v>197.69</v>
      </c>
    </row>
    <row r="3805" spans="1:8">
      <c r="A3805" s="17"/>
      <c r="B3805" s="17" t="s">
        <v>22</v>
      </c>
      <c r="C3805" s="17"/>
      <c r="D3805" s="17"/>
      <c r="E3805" s="17"/>
      <c r="F3805" s="17"/>
      <c r="G3805" s="17"/>
      <c r="H3805" s="18"/>
    </row>
    <row r="3806" spans="1:8">
      <c r="A3806" s="15"/>
      <c r="B3806" s="15" t="s">
        <v>23</v>
      </c>
      <c r="C3806" s="15"/>
      <c r="D3806" s="15"/>
      <c r="E3806" s="15"/>
      <c r="F3806" s="15"/>
      <c r="G3806" s="15"/>
      <c r="H3806" s="20">
        <f>ROUND(SUM(H3804:H3805),0)</f>
        <v>198</v>
      </c>
    </row>
    <row r="3808" spans="1:8">
      <c r="A3808" s="17">
        <v>4</v>
      </c>
      <c r="B3808" s="15" t="s">
        <v>56</v>
      </c>
      <c r="C3808" s="17" t="s">
        <v>10</v>
      </c>
      <c r="D3808" s="17"/>
      <c r="E3808" s="17"/>
      <c r="F3808" s="17"/>
      <c r="G3808" s="17"/>
      <c r="H3808" s="18"/>
    </row>
    <row r="3809" spans="1:8">
      <c r="A3809" s="485"/>
      <c r="B3809" s="485" t="s">
        <v>202</v>
      </c>
      <c r="C3809" s="16" t="s">
        <v>10</v>
      </c>
      <c r="D3809" s="485">
        <v>1</v>
      </c>
      <c r="E3809" s="485">
        <v>1.6</v>
      </c>
      <c r="F3809" s="485"/>
      <c r="G3809" s="17">
        <v>2.4</v>
      </c>
      <c r="H3809" s="18">
        <f t="shared" ref="H3809" si="537">PRODUCT(D3809:G3809)</f>
        <v>3.84</v>
      </c>
    </row>
    <row r="3810" spans="1:8">
      <c r="A3810" s="485"/>
      <c r="B3810" s="485" t="s">
        <v>1199</v>
      </c>
      <c r="C3810" s="16" t="s">
        <v>10</v>
      </c>
      <c r="D3810" s="485">
        <v>1</v>
      </c>
      <c r="E3810" s="485">
        <v>1.5</v>
      </c>
      <c r="F3810" s="485"/>
      <c r="G3810" s="17">
        <v>2.4</v>
      </c>
      <c r="H3810" s="18">
        <f t="shared" ref="H3810" si="538">PRODUCT(D3810:G3810)</f>
        <v>3.5999999999999996</v>
      </c>
    </row>
    <row r="3811" spans="1:8">
      <c r="A3811" s="485"/>
      <c r="B3811" s="485" t="s">
        <v>1327</v>
      </c>
      <c r="C3811" s="16" t="s">
        <v>10</v>
      </c>
      <c r="D3811" s="485">
        <v>1</v>
      </c>
      <c r="E3811" s="485">
        <v>1.32</v>
      </c>
      <c r="F3811" s="485"/>
      <c r="G3811" s="17">
        <v>2.4</v>
      </c>
      <c r="H3811" s="18">
        <f t="shared" ref="H3811" si="539">PRODUCT(D3811:G3811)</f>
        <v>3.1680000000000001</v>
      </c>
    </row>
    <row r="3812" spans="1:8">
      <c r="A3812" s="17"/>
      <c r="B3812" s="17" t="s">
        <v>1207</v>
      </c>
      <c r="C3812" s="16" t="s">
        <v>10</v>
      </c>
      <c r="D3812" s="17">
        <v>1</v>
      </c>
      <c r="E3812" s="17">
        <v>3.415</v>
      </c>
      <c r="F3812" s="17"/>
      <c r="G3812" s="17">
        <v>2.4</v>
      </c>
      <c r="H3812" s="18">
        <f t="shared" ref="H3812:H3813" si="540">PRODUCT(D3812:G3812)</f>
        <v>8.1959999999999997</v>
      </c>
    </row>
    <row r="3813" spans="1:8">
      <c r="A3813" s="17"/>
      <c r="B3813" s="17" t="s">
        <v>1299</v>
      </c>
      <c r="C3813" s="16" t="s">
        <v>10</v>
      </c>
      <c r="D3813" s="17">
        <v>1</v>
      </c>
      <c r="E3813" s="17">
        <v>1.5</v>
      </c>
      <c r="F3813" s="17"/>
      <c r="G3813" s="17">
        <v>2.4</v>
      </c>
      <c r="H3813" s="18">
        <f t="shared" si="540"/>
        <v>3.5999999999999996</v>
      </c>
    </row>
    <row r="3814" spans="1:8">
      <c r="A3814" s="485"/>
      <c r="B3814" s="17" t="s">
        <v>1300</v>
      </c>
      <c r="C3814" s="16" t="s">
        <v>10</v>
      </c>
      <c r="D3814" s="17">
        <v>1</v>
      </c>
      <c r="E3814" s="17">
        <v>1.5</v>
      </c>
      <c r="F3814" s="17"/>
      <c r="G3814" s="17">
        <v>2.4</v>
      </c>
      <c r="H3814" s="18">
        <f t="shared" ref="H3814" si="541">PRODUCT(D3814:G3814)</f>
        <v>3.5999999999999996</v>
      </c>
    </row>
    <row r="3815" spans="1:8">
      <c r="A3815" s="485"/>
      <c r="B3815" s="17" t="s">
        <v>1301</v>
      </c>
      <c r="C3815" s="16" t="s">
        <v>10</v>
      </c>
      <c r="D3815" s="17">
        <v>1</v>
      </c>
      <c r="E3815" s="17">
        <v>1.5</v>
      </c>
      <c r="F3815" s="17"/>
      <c r="G3815" s="17">
        <v>2.4</v>
      </c>
      <c r="H3815" s="18">
        <f t="shared" ref="H3815" si="542">PRODUCT(D3815:G3815)</f>
        <v>3.5999999999999996</v>
      </c>
    </row>
    <row r="3816" spans="1:8">
      <c r="A3816" s="485"/>
      <c r="B3816" s="485" t="s">
        <v>1201</v>
      </c>
      <c r="C3816" s="16" t="s">
        <v>10</v>
      </c>
      <c r="D3816" s="17">
        <v>1</v>
      </c>
      <c r="E3816" s="17">
        <v>1.5</v>
      </c>
      <c r="F3816" s="17"/>
      <c r="G3816" s="17">
        <v>2.4</v>
      </c>
      <c r="H3816" s="18">
        <f t="shared" ref="H3816" si="543">PRODUCT(D3816:G3816)</f>
        <v>3.5999999999999996</v>
      </c>
    </row>
    <row r="3817" spans="1:8">
      <c r="A3817" s="485"/>
      <c r="B3817" s="485" t="s">
        <v>1202</v>
      </c>
      <c r="C3817" s="16" t="s">
        <v>10</v>
      </c>
      <c r="D3817" s="17">
        <v>1</v>
      </c>
      <c r="E3817" s="17">
        <v>1.5</v>
      </c>
      <c r="F3817" s="17"/>
      <c r="G3817" s="17">
        <v>2.4</v>
      </c>
      <c r="H3817" s="18">
        <f t="shared" ref="H3817" si="544">PRODUCT(D3817:G3817)</f>
        <v>3.5999999999999996</v>
      </c>
    </row>
    <row r="3818" spans="1:8">
      <c r="A3818" s="485"/>
      <c r="B3818" s="485" t="s">
        <v>216</v>
      </c>
      <c r="C3818" s="16" t="s">
        <v>10</v>
      </c>
      <c r="D3818" s="485">
        <v>1</v>
      </c>
      <c r="E3818" s="485">
        <v>2.6</v>
      </c>
      <c r="F3818" s="485"/>
      <c r="G3818" s="17">
        <v>2.4</v>
      </c>
      <c r="H3818" s="18">
        <f t="shared" ref="H3818" si="545">PRODUCT(D3818:G3818)</f>
        <v>6.24</v>
      </c>
    </row>
    <row r="3819" spans="1:8">
      <c r="A3819" s="485"/>
      <c r="B3819" s="485" t="s">
        <v>216</v>
      </c>
      <c r="C3819" s="16" t="s">
        <v>10</v>
      </c>
      <c r="D3819" s="485">
        <v>1</v>
      </c>
      <c r="E3819" s="485">
        <v>2.6</v>
      </c>
      <c r="F3819" s="485"/>
      <c r="G3819" s="17">
        <v>2.4</v>
      </c>
      <c r="H3819" s="18">
        <f t="shared" ref="H3819" si="546">PRODUCT(D3819:G3819)</f>
        <v>6.24</v>
      </c>
    </row>
    <row r="3820" spans="1:8">
      <c r="A3820" s="485"/>
      <c r="B3820" s="485" t="s">
        <v>202</v>
      </c>
      <c r="C3820" s="16" t="s">
        <v>10</v>
      </c>
      <c r="D3820" s="485">
        <v>1</v>
      </c>
      <c r="E3820" s="485">
        <v>2</v>
      </c>
      <c r="F3820" s="485"/>
      <c r="G3820" s="17">
        <v>2.4</v>
      </c>
      <c r="H3820" s="18">
        <f t="shared" ref="H3820" si="547">PRODUCT(D3820:G3820)</f>
        <v>4.8</v>
      </c>
    </row>
    <row r="3821" spans="1:8">
      <c r="A3821" s="485"/>
      <c r="B3821" s="485" t="s">
        <v>2090</v>
      </c>
      <c r="C3821" s="16" t="s">
        <v>10</v>
      </c>
      <c r="D3821" s="485">
        <v>1</v>
      </c>
      <c r="E3821" s="485">
        <v>1.7</v>
      </c>
      <c r="F3821" s="485"/>
      <c r="G3821" s="17">
        <v>2.4</v>
      </c>
      <c r="H3821" s="18">
        <f t="shared" ref="H3821" si="548">PRODUCT(D3821:G3821)</f>
        <v>4.08</v>
      </c>
    </row>
    <row r="3822" spans="1:8">
      <c r="A3822" s="485"/>
      <c r="B3822" s="485" t="s">
        <v>2091</v>
      </c>
      <c r="C3822" s="16" t="s">
        <v>10</v>
      </c>
      <c r="D3822" s="485">
        <v>1</v>
      </c>
      <c r="E3822" s="485">
        <v>1.7</v>
      </c>
      <c r="F3822" s="485"/>
      <c r="G3822" s="17">
        <v>2.4</v>
      </c>
      <c r="H3822" s="18">
        <f t="shared" ref="H3822" si="549">PRODUCT(D3822:G3822)</f>
        <v>4.08</v>
      </c>
    </row>
    <row r="3823" spans="1:8">
      <c r="A3823" s="485"/>
      <c r="B3823" s="485" t="s">
        <v>1213</v>
      </c>
      <c r="C3823" s="16" t="s">
        <v>10</v>
      </c>
      <c r="D3823" s="485">
        <v>1</v>
      </c>
      <c r="E3823" s="485">
        <v>1.5</v>
      </c>
      <c r="F3823" s="485"/>
      <c r="G3823" s="17">
        <v>2.4</v>
      </c>
      <c r="H3823" s="18">
        <f t="shared" ref="H3823" si="550">PRODUCT(D3823:G3823)</f>
        <v>3.5999999999999996</v>
      </c>
    </row>
    <row r="3824" spans="1:8">
      <c r="A3824" s="485"/>
      <c r="B3824" s="485" t="s">
        <v>1214</v>
      </c>
      <c r="C3824" s="16" t="s">
        <v>10</v>
      </c>
      <c r="D3824" s="485">
        <v>1</v>
      </c>
      <c r="E3824" s="485">
        <v>1.3</v>
      </c>
      <c r="F3824" s="485"/>
      <c r="G3824" s="17">
        <v>2.4</v>
      </c>
      <c r="H3824" s="18">
        <f t="shared" ref="H3824" si="551">PRODUCT(D3824:G3824)</f>
        <v>3.12</v>
      </c>
    </row>
    <row r="3825" spans="1:8">
      <c r="A3825" s="485"/>
      <c r="B3825" s="485" t="s">
        <v>1217</v>
      </c>
      <c r="C3825" s="16" t="s">
        <v>10</v>
      </c>
      <c r="D3825" s="485">
        <v>1</v>
      </c>
      <c r="E3825" s="485">
        <v>8.9499999999999993</v>
      </c>
      <c r="F3825" s="485"/>
      <c r="G3825" s="17">
        <v>1.2</v>
      </c>
      <c r="H3825" s="18">
        <f t="shared" ref="H3825" si="552">PRODUCT(D3825:G3825)</f>
        <v>10.739999999999998</v>
      </c>
    </row>
    <row r="3826" spans="1:8">
      <c r="A3826" s="485"/>
      <c r="B3826" s="485" t="s">
        <v>286</v>
      </c>
      <c r="C3826" s="16" t="s">
        <v>10</v>
      </c>
      <c r="D3826" s="485">
        <v>1</v>
      </c>
      <c r="E3826" s="485">
        <v>1.45</v>
      </c>
      <c r="F3826" s="485"/>
      <c r="G3826" s="17">
        <v>2.4</v>
      </c>
      <c r="H3826" s="18">
        <f t="shared" ref="H3826" si="553">PRODUCT(D3826:G3826)</f>
        <v>3.48</v>
      </c>
    </row>
    <row r="3827" spans="1:8">
      <c r="A3827" s="485"/>
      <c r="B3827" s="485" t="s">
        <v>1219</v>
      </c>
      <c r="C3827" s="16" t="s">
        <v>10</v>
      </c>
      <c r="D3827" s="485">
        <v>1</v>
      </c>
      <c r="E3827" s="485">
        <v>3.1</v>
      </c>
      <c r="F3827" s="485"/>
      <c r="G3827" s="17">
        <v>2.4</v>
      </c>
      <c r="H3827" s="18">
        <f t="shared" ref="H3827" si="554">PRODUCT(D3827:G3827)</f>
        <v>7.4399999999999995</v>
      </c>
    </row>
    <row r="3828" spans="1:8">
      <c r="A3828" s="485"/>
      <c r="B3828" s="485" t="s">
        <v>1012</v>
      </c>
      <c r="C3828" s="16" t="s">
        <v>10</v>
      </c>
      <c r="D3828" s="485">
        <v>1</v>
      </c>
      <c r="E3828" s="485">
        <v>0.55000000000000004</v>
      </c>
      <c r="F3828" s="485"/>
      <c r="G3828" s="17">
        <v>2.4</v>
      </c>
      <c r="H3828" s="18">
        <f t="shared" ref="H3828" si="555">PRODUCT(D3828:G3828)</f>
        <v>1.32</v>
      </c>
    </row>
    <row r="3829" spans="1:8">
      <c r="A3829" s="485"/>
      <c r="B3829" s="485"/>
      <c r="C3829" s="16" t="s">
        <v>10</v>
      </c>
      <c r="D3829" s="485">
        <v>1</v>
      </c>
      <c r="E3829" s="485">
        <v>2.4500000000000002</v>
      </c>
      <c r="F3829" s="485"/>
      <c r="G3829" s="17">
        <v>2.4</v>
      </c>
      <c r="H3829" s="18">
        <f t="shared" ref="H3829" si="556">PRODUCT(D3829:G3829)</f>
        <v>5.88</v>
      </c>
    </row>
    <row r="3830" spans="1:8">
      <c r="A3830" s="485"/>
      <c r="B3830" s="485" t="s">
        <v>1990</v>
      </c>
      <c r="C3830" s="16" t="s">
        <v>10</v>
      </c>
      <c r="D3830" s="485">
        <v>1</v>
      </c>
      <c r="E3830" s="485">
        <v>4.0999999999999996</v>
      </c>
      <c r="F3830" s="485"/>
      <c r="G3830" s="17">
        <v>2.4</v>
      </c>
      <c r="H3830" s="18">
        <f t="shared" ref="H3830" si="557">PRODUCT(D3830:G3830)</f>
        <v>9.8399999999999981</v>
      </c>
    </row>
    <row r="3831" spans="1:8">
      <c r="A3831" s="485"/>
      <c r="B3831" s="485" t="s">
        <v>297</v>
      </c>
      <c r="C3831" s="16" t="s">
        <v>10</v>
      </c>
      <c r="D3831" s="485">
        <v>2</v>
      </c>
      <c r="E3831" s="485">
        <v>0.875</v>
      </c>
      <c r="F3831" s="485"/>
      <c r="G3831" s="17">
        <v>2.4</v>
      </c>
      <c r="H3831" s="18">
        <f t="shared" ref="H3831" si="558">PRODUCT(D3831:G3831)</f>
        <v>4.2</v>
      </c>
    </row>
    <row r="3832" spans="1:8">
      <c r="A3832" s="485"/>
      <c r="B3832" s="485" t="s">
        <v>2012</v>
      </c>
      <c r="C3832" s="16" t="s">
        <v>10</v>
      </c>
      <c r="D3832" s="485">
        <v>1</v>
      </c>
      <c r="E3832" s="485">
        <v>2.5</v>
      </c>
      <c r="F3832" s="485"/>
      <c r="G3832" s="17">
        <v>2.4</v>
      </c>
      <c r="H3832" s="18">
        <f t="shared" ref="H3832" si="559">PRODUCT(D3832:G3832)</f>
        <v>6</v>
      </c>
    </row>
    <row r="3833" spans="1:8">
      <c r="A3833" s="485"/>
      <c r="B3833" s="485" t="s">
        <v>286</v>
      </c>
      <c r="C3833" s="16" t="s">
        <v>10</v>
      </c>
      <c r="D3833" s="485">
        <v>1</v>
      </c>
      <c r="E3833" s="485">
        <v>1.6</v>
      </c>
      <c r="F3833" s="485"/>
      <c r="G3833" s="17">
        <v>2.4</v>
      </c>
      <c r="H3833" s="18">
        <f t="shared" ref="H3833" si="560">PRODUCT(D3833:G3833)</f>
        <v>3.84</v>
      </c>
    </row>
    <row r="3834" spans="1:8">
      <c r="A3834" s="485"/>
      <c r="B3834" s="485" t="s">
        <v>216</v>
      </c>
      <c r="C3834" s="16" t="s">
        <v>10</v>
      </c>
      <c r="D3834" s="485">
        <v>1</v>
      </c>
      <c r="E3834" s="485">
        <v>2.52</v>
      </c>
      <c r="F3834" s="485"/>
      <c r="G3834" s="17">
        <v>2.4</v>
      </c>
      <c r="H3834" s="18">
        <f t="shared" ref="H3834" si="561">PRODUCT(D3834:G3834)</f>
        <v>6.048</v>
      </c>
    </row>
    <row r="3835" spans="1:8">
      <c r="A3835" s="485"/>
      <c r="B3835" s="485" t="s">
        <v>1230</v>
      </c>
      <c r="C3835" s="16" t="s">
        <v>10</v>
      </c>
      <c r="D3835" s="485">
        <v>1</v>
      </c>
      <c r="E3835" s="485">
        <v>1.63</v>
      </c>
      <c r="F3835" s="485"/>
      <c r="G3835" s="17">
        <v>2.4</v>
      </c>
      <c r="H3835" s="18">
        <f t="shared" ref="H3835" si="562">PRODUCT(D3835:G3835)</f>
        <v>3.9119999999999995</v>
      </c>
    </row>
    <row r="3836" spans="1:8">
      <c r="A3836" s="485"/>
      <c r="B3836" s="485" t="s">
        <v>1229</v>
      </c>
      <c r="C3836" s="16" t="s">
        <v>10</v>
      </c>
      <c r="D3836" s="485">
        <v>1</v>
      </c>
      <c r="E3836" s="485">
        <v>1.35</v>
      </c>
      <c r="F3836" s="485"/>
      <c r="G3836" s="17">
        <v>2.4</v>
      </c>
      <c r="H3836" s="18">
        <f t="shared" ref="H3836" si="563">PRODUCT(D3836:G3836)</f>
        <v>3.24</v>
      </c>
    </row>
    <row r="3837" spans="1:8">
      <c r="A3837" s="485"/>
      <c r="B3837" s="485" t="s">
        <v>1207</v>
      </c>
      <c r="C3837" s="16" t="s">
        <v>10</v>
      </c>
      <c r="D3837" s="485">
        <v>1</v>
      </c>
      <c r="E3837" s="485">
        <v>3.3</v>
      </c>
      <c r="F3837" s="485"/>
      <c r="G3837" s="17">
        <v>2.4</v>
      </c>
      <c r="H3837" s="18">
        <f t="shared" ref="H3837" si="564">PRODUCT(D3837:G3837)</f>
        <v>7.919999999999999</v>
      </c>
    </row>
    <row r="3838" spans="1:8">
      <c r="A3838" s="485"/>
      <c r="B3838" s="485"/>
      <c r="C3838" s="16" t="s">
        <v>10</v>
      </c>
      <c r="D3838" s="485">
        <v>1</v>
      </c>
      <c r="E3838" s="485">
        <v>3.35</v>
      </c>
      <c r="F3838" s="485"/>
      <c r="G3838" s="17">
        <v>2.4</v>
      </c>
      <c r="H3838" s="18">
        <f t="shared" ref="H3838" si="565">PRODUCT(D3838:G3838)</f>
        <v>8.0399999999999991</v>
      </c>
    </row>
    <row r="3839" spans="1:8">
      <c r="A3839" s="485"/>
      <c r="B3839" s="485" t="s">
        <v>1195</v>
      </c>
      <c r="C3839" s="16" t="s">
        <v>10</v>
      </c>
      <c r="D3839" s="485">
        <v>1</v>
      </c>
      <c r="E3839" s="485">
        <v>1.55</v>
      </c>
      <c r="F3839" s="485"/>
      <c r="G3839" s="17">
        <v>2.4</v>
      </c>
      <c r="H3839" s="18">
        <f t="shared" ref="H3839" si="566">PRODUCT(D3839:G3839)</f>
        <v>3.7199999999999998</v>
      </c>
    </row>
    <row r="3840" spans="1:8">
      <c r="A3840" s="485"/>
      <c r="B3840" s="485" t="s">
        <v>202</v>
      </c>
      <c r="C3840" s="16" t="s">
        <v>10</v>
      </c>
      <c r="D3840" s="485">
        <v>1</v>
      </c>
      <c r="E3840" s="485">
        <v>1.4</v>
      </c>
      <c r="F3840" s="485"/>
      <c r="G3840" s="17">
        <v>2.4</v>
      </c>
      <c r="H3840" s="18">
        <f t="shared" ref="H3840" si="567">PRODUCT(D3840:G3840)</f>
        <v>3.36</v>
      </c>
    </row>
    <row r="3841" spans="1:8" s="948" customFormat="1">
      <c r="A3841" s="485"/>
      <c r="B3841" s="485" t="s">
        <v>2103</v>
      </c>
      <c r="C3841" s="16" t="s">
        <v>10</v>
      </c>
      <c r="D3841" s="485">
        <v>1</v>
      </c>
      <c r="E3841" s="485">
        <v>0.43</v>
      </c>
      <c r="F3841" s="485"/>
      <c r="G3841" s="17">
        <v>2.4</v>
      </c>
      <c r="H3841" s="18">
        <f t="shared" ref="H3841" si="568">PRODUCT(D3841:G3841)</f>
        <v>1.032</v>
      </c>
    </row>
    <row r="3842" spans="1:8" s="948" customFormat="1">
      <c r="A3842" s="485"/>
      <c r="B3842" s="485" t="s">
        <v>2104</v>
      </c>
      <c r="C3842" s="16" t="s">
        <v>10</v>
      </c>
      <c r="D3842" s="485">
        <v>1</v>
      </c>
      <c r="E3842" s="485">
        <v>0.42</v>
      </c>
      <c r="F3842" s="485"/>
      <c r="G3842" s="17">
        <v>2.4</v>
      </c>
      <c r="H3842" s="18">
        <f t="shared" ref="H3842" si="569">PRODUCT(D3842:G3842)</f>
        <v>1.008</v>
      </c>
    </row>
    <row r="3843" spans="1:8" s="948" customFormat="1">
      <c r="A3843" s="485"/>
      <c r="B3843" s="485" t="s">
        <v>2105</v>
      </c>
      <c r="C3843" s="16" t="s">
        <v>10</v>
      </c>
      <c r="D3843" s="485">
        <v>1</v>
      </c>
      <c r="E3843" s="485">
        <v>0.32</v>
      </c>
      <c r="F3843" s="485"/>
      <c r="G3843" s="17">
        <v>2.4</v>
      </c>
      <c r="H3843" s="18">
        <f t="shared" ref="H3843" si="570">PRODUCT(D3843:G3843)</f>
        <v>0.76800000000000002</v>
      </c>
    </row>
    <row r="3844" spans="1:8" s="948" customFormat="1">
      <c r="A3844" s="485"/>
      <c r="B3844" s="485" t="s">
        <v>2106</v>
      </c>
      <c r="C3844" s="16" t="s">
        <v>10</v>
      </c>
      <c r="D3844" s="485">
        <v>1</v>
      </c>
      <c r="E3844" s="485">
        <v>1.5</v>
      </c>
      <c r="F3844" s="485"/>
      <c r="G3844" s="17">
        <v>2.4</v>
      </c>
      <c r="H3844" s="18">
        <f t="shared" ref="H3844:H3846" si="571">PRODUCT(D3844:G3844)</f>
        <v>3.5999999999999996</v>
      </c>
    </row>
    <row r="3845" spans="1:8" s="948" customFormat="1">
      <c r="A3845" s="485"/>
      <c r="B3845" s="485" t="s">
        <v>2146</v>
      </c>
      <c r="C3845" s="16" t="s">
        <v>10</v>
      </c>
      <c r="D3845" s="485">
        <v>1</v>
      </c>
      <c r="E3845" s="485">
        <v>1.3</v>
      </c>
      <c r="F3845" s="485"/>
      <c r="G3845" s="17">
        <v>2.4</v>
      </c>
      <c r="H3845" s="18">
        <f t="shared" si="571"/>
        <v>3.12</v>
      </c>
    </row>
    <row r="3846" spans="1:8" s="948" customFormat="1">
      <c r="A3846" s="485"/>
      <c r="B3846" s="485" t="s">
        <v>1936</v>
      </c>
      <c r="C3846" s="16" t="s">
        <v>10</v>
      </c>
      <c r="D3846" s="485">
        <v>3</v>
      </c>
      <c r="E3846" s="485">
        <v>0.41</v>
      </c>
      <c r="F3846" s="485"/>
      <c r="G3846" s="17">
        <v>2.4</v>
      </c>
      <c r="H3846" s="18">
        <f t="shared" si="571"/>
        <v>2.952</v>
      </c>
    </row>
    <row r="3847" spans="1:8" s="948" customFormat="1">
      <c r="A3847" s="485"/>
      <c r="B3847" s="485" t="s">
        <v>1293</v>
      </c>
      <c r="C3847" s="16" t="s">
        <v>10</v>
      </c>
      <c r="D3847" s="485">
        <v>1</v>
      </c>
      <c r="E3847" s="485">
        <v>2.7</v>
      </c>
      <c r="F3847" s="485"/>
      <c r="G3847" s="17">
        <v>2.4</v>
      </c>
      <c r="H3847" s="18">
        <f t="shared" ref="H3847" si="572">PRODUCT(D3847:G3847)</f>
        <v>6.48</v>
      </c>
    </row>
    <row r="3848" spans="1:8">
      <c r="A3848" s="17"/>
      <c r="B3848" s="17"/>
      <c r="C3848" s="17"/>
      <c r="D3848" s="17"/>
      <c r="E3848" s="17"/>
      <c r="F3848" s="17"/>
      <c r="G3848" s="17"/>
      <c r="H3848" s="18"/>
    </row>
    <row r="3849" spans="1:8">
      <c r="A3849" s="15"/>
      <c r="B3849" s="15" t="s">
        <v>21</v>
      </c>
      <c r="C3849" s="15"/>
      <c r="D3849" s="15"/>
      <c r="E3849" s="15"/>
      <c r="F3849" s="15"/>
      <c r="G3849" s="15"/>
      <c r="H3849" s="20">
        <f>SUM(H3809:H3848)</f>
        <v>176.90400000000002</v>
      </c>
    </row>
    <row r="3850" spans="1:8">
      <c r="A3850" s="17"/>
      <c r="B3850" s="17" t="s">
        <v>22</v>
      </c>
      <c r="C3850" s="17"/>
      <c r="D3850" s="17"/>
      <c r="E3850" s="17"/>
      <c r="F3850" s="17"/>
      <c r="G3850" s="17"/>
      <c r="H3850" s="18"/>
    </row>
    <row r="3851" spans="1:8">
      <c r="A3851" s="15"/>
      <c r="B3851" s="15" t="s">
        <v>23</v>
      </c>
      <c r="C3851" s="15"/>
      <c r="D3851" s="15"/>
      <c r="E3851" s="15"/>
      <c r="F3851" s="15"/>
      <c r="G3851" s="15"/>
      <c r="H3851" s="20">
        <f>ROUND(SUM(H3849:H3850),0)</f>
        <v>177</v>
      </c>
    </row>
    <row r="3853" spans="1:8">
      <c r="A3853" s="17">
        <v>4</v>
      </c>
      <c r="B3853" s="15" t="s">
        <v>2092</v>
      </c>
      <c r="C3853" s="17" t="s">
        <v>10</v>
      </c>
      <c r="D3853" s="17"/>
      <c r="E3853" s="17"/>
      <c r="F3853" s="17"/>
      <c r="G3853" s="17"/>
      <c r="H3853" s="18"/>
    </row>
    <row r="3854" spans="1:8">
      <c r="A3854" s="485"/>
      <c r="B3854" s="485" t="s">
        <v>1242</v>
      </c>
      <c r="C3854" s="16" t="s">
        <v>10</v>
      </c>
      <c r="D3854" s="485">
        <v>1</v>
      </c>
      <c r="E3854" s="485">
        <v>1.85</v>
      </c>
      <c r="F3854" s="485"/>
      <c r="G3854" s="17">
        <v>2.4</v>
      </c>
      <c r="H3854" s="18">
        <f t="shared" ref="H3854:H3856" si="573">PRODUCT(D3854:G3854)</f>
        <v>4.4400000000000004</v>
      </c>
    </row>
    <row r="3855" spans="1:8">
      <c r="A3855" s="485"/>
      <c r="B3855" s="485" t="s">
        <v>1242</v>
      </c>
      <c r="C3855" s="16" t="s">
        <v>10</v>
      </c>
      <c r="D3855" s="485">
        <v>1</v>
      </c>
      <c r="E3855" s="485">
        <v>3.05</v>
      </c>
      <c r="F3855" s="485"/>
      <c r="G3855" s="17">
        <v>2.4</v>
      </c>
      <c r="H3855" s="18">
        <f t="shared" si="573"/>
        <v>7.3199999999999994</v>
      </c>
    </row>
    <row r="3856" spans="1:8">
      <c r="A3856" s="485"/>
      <c r="B3856" s="485" t="s">
        <v>1243</v>
      </c>
      <c r="C3856" s="16" t="s">
        <v>10</v>
      </c>
      <c r="D3856" s="485">
        <v>1</v>
      </c>
      <c r="E3856" s="485">
        <v>3.4</v>
      </c>
      <c r="F3856" s="485"/>
      <c r="G3856" s="17">
        <v>2.4</v>
      </c>
      <c r="H3856" s="18">
        <f t="shared" si="573"/>
        <v>8.16</v>
      </c>
    </row>
    <row r="3857" spans="1:8">
      <c r="A3857" s="17"/>
      <c r="B3857" s="17"/>
      <c r="C3857" s="17"/>
      <c r="D3857" s="17"/>
      <c r="E3857" s="17"/>
      <c r="F3857" s="17"/>
      <c r="G3857" s="17"/>
      <c r="H3857" s="18"/>
    </row>
    <row r="3858" spans="1:8">
      <c r="A3858" s="15"/>
      <c r="B3858" s="15" t="s">
        <v>21</v>
      </c>
      <c r="C3858" s="15"/>
      <c r="D3858" s="15"/>
      <c r="E3858" s="15"/>
      <c r="F3858" s="15"/>
      <c r="G3858" s="15"/>
      <c r="H3858" s="20">
        <f>SUM(H3854:H3857)</f>
        <v>19.920000000000002</v>
      </c>
    </row>
    <row r="3859" spans="1:8">
      <c r="A3859" s="17"/>
      <c r="B3859" s="17" t="s">
        <v>22</v>
      </c>
      <c r="C3859" s="17"/>
      <c r="D3859" s="17"/>
      <c r="E3859" s="17"/>
      <c r="F3859" s="17"/>
      <c r="G3859" s="17"/>
      <c r="H3859" s="18"/>
    </row>
    <row r="3860" spans="1:8">
      <c r="A3860" s="15"/>
      <c r="B3860" s="15" t="s">
        <v>23</v>
      </c>
      <c r="C3860" s="15"/>
      <c r="D3860" s="15"/>
      <c r="E3860" s="15"/>
      <c r="F3860" s="15"/>
      <c r="G3860" s="15"/>
      <c r="H3860" s="20">
        <f>ROUND(SUM(H3858:H3859),0)</f>
        <v>20</v>
      </c>
    </row>
    <row r="3862" spans="1:8">
      <c r="A3862" s="17">
        <v>4</v>
      </c>
      <c r="B3862" s="15" t="s">
        <v>232</v>
      </c>
      <c r="C3862" s="17" t="s">
        <v>16</v>
      </c>
      <c r="D3862" s="17"/>
      <c r="E3862" s="17"/>
      <c r="F3862" s="17"/>
      <c r="G3862" s="17"/>
      <c r="H3862" s="18"/>
    </row>
    <row r="3863" spans="1:8">
      <c r="A3863" s="485"/>
      <c r="B3863" s="485" t="s">
        <v>202</v>
      </c>
      <c r="C3863" s="17" t="s">
        <v>16</v>
      </c>
      <c r="D3863" s="485">
        <v>1</v>
      </c>
      <c r="E3863" s="485"/>
      <c r="F3863" s="485"/>
      <c r="G3863" s="17"/>
      <c r="H3863" s="18">
        <f t="shared" ref="H3863:H3891" si="574">PRODUCT(D3863:G3863)</f>
        <v>1</v>
      </c>
    </row>
    <row r="3864" spans="1:8">
      <c r="A3864" s="485"/>
      <c r="B3864" s="485" t="s">
        <v>1199</v>
      </c>
      <c r="C3864" s="17" t="s">
        <v>16</v>
      </c>
      <c r="D3864" s="485">
        <v>1</v>
      </c>
      <c r="E3864" s="485"/>
      <c r="F3864" s="485"/>
      <c r="G3864" s="17"/>
      <c r="H3864" s="18">
        <f t="shared" si="574"/>
        <v>1</v>
      </c>
    </row>
    <row r="3865" spans="1:8">
      <c r="A3865" s="485"/>
      <c r="B3865" s="485" t="s">
        <v>1327</v>
      </c>
      <c r="C3865" s="17" t="s">
        <v>16</v>
      </c>
      <c r="D3865" s="485">
        <v>1</v>
      </c>
      <c r="E3865" s="485"/>
      <c r="F3865" s="485"/>
      <c r="G3865" s="17"/>
      <c r="H3865" s="18">
        <f t="shared" si="574"/>
        <v>1</v>
      </c>
    </row>
    <row r="3866" spans="1:8">
      <c r="A3866" s="17"/>
      <c r="B3866" s="17" t="s">
        <v>1207</v>
      </c>
      <c r="C3866" s="17" t="s">
        <v>16</v>
      </c>
      <c r="D3866" s="17">
        <v>1</v>
      </c>
      <c r="E3866" s="17"/>
      <c r="F3866" s="17"/>
      <c r="G3866" s="17"/>
      <c r="H3866" s="18">
        <f t="shared" si="574"/>
        <v>1</v>
      </c>
    </row>
    <row r="3867" spans="1:8">
      <c r="A3867" s="17"/>
      <c r="B3867" s="17" t="s">
        <v>1299</v>
      </c>
      <c r="C3867" s="17" t="s">
        <v>16</v>
      </c>
      <c r="D3867" s="17">
        <v>1</v>
      </c>
      <c r="E3867" s="17"/>
      <c r="F3867" s="17"/>
      <c r="G3867" s="17"/>
      <c r="H3867" s="18">
        <f t="shared" si="574"/>
        <v>1</v>
      </c>
    </row>
    <row r="3868" spans="1:8">
      <c r="A3868" s="485"/>
      <c r="B3868" s="17" t="s">
        <v>1300</v>
      </c>
      <c r="C3868" s="17" t="s">
        <v>16</v>
      </c>
      <c r="D3868" s="17">
        <v>1</v>
      </c>
      <c r="E3868" s="17"/>
      <c r="F3868" s="17"/>
      <c r="G3868" s="17"/>
      <c r="H3868" s="18">
        <f t="shared" si="574"/>
        <v>1</v>
      </c>
    </row>
    <row r="3869" spans="1:8">
      <c r="A3869" s="485"/>
      <c r="B3869" s="17" t="s">
        <v>1301</v>
      </c>
      <c r="C3869" s="17" t="s">
        <v>16</v>
      </c>
      <c r="D3869" s="17">
        <v>1</v>
      </c>
      <c r="E3869" s="17"/>
      <c r="F3869" s="17"/>
      <c r="G3869" s="17"/>
      <c r="H3869" s="18">
        <f t="shared" si="574"/>
        <v>1</v>
      </c>
    </row>
    <row r="3870" spans="1:8">
      <c r="A3870" s="485"/>
      <c r="B3870" s="485" t="s">
        <v>1201</v>
      </c>
      <c r="C3870" s="17" t="s">
        <v>16</v>
      </c>
      <c r="D3870" s="17">
        <v>1</v>
      </c>
      <c r="E3870" s="17"/>
      <c r="F3870" s="17"/>
      <c r="G3870" s="17"/>
      <c r="H3870" s="18">
        <f t="shared" si="574"/>
        <v>1</v>
      </c>
    </row>
    <row r="3871" spans="1:8">
      <c r="A3871" s="485"/>
      <c r="B3871" s="485" t="s">
        <v>1202</v>
      </c>
      <c r="C3871" s="17" t="s">
        <v>16</v>
      </c>
      <c r="D3871" s="17">
        <v>1</v>
      </c>
      <c r="E3871" s="17"/>
      <c r="F3871" s="17"/>
      <c r="G3871" s="17"/>
      <c r="H3871" s="18">
        <f t="shared" si="574"/>
        <v>1</v>
      </c>
    </row>
    <row r="3872" spans="1:8">
      <c r="A3872" s="485"/>
      <c r="B3872" s="485" t="s">
        <v>216</v>
      </c>
      <c r="C3872" s="17" t="s">
        <v>16</v>
      </c>
      <c r="D3872" s="485">
        <v>1</v>
      </c>
      <c r="E3872" s="485"/>
      <c r="F3872" s="485"/>
      <c r="G3872" s="17"/>
      <c r="H3872" s="18">
        <f t="shared" si="574"/>
        <v>1</v>
      </c>
    </row>
    <row r="3873" spans="1:8" s="948" customFormat="1">
      <c r="A3873" s="485"/>
      <c r="B3873" s="485" t="s">
        <v>2535</v>
      </c>
      <c r="C3873" s="17" t="s">
        <v>16</v>
      </c>
      <c r="D3873" s="485">
        <v>1</v>
      </c>
      <c r="E3873" s="485"/>
      <c r="F3873" s="485"/>
      <c r="G3873" s="485"/>
      <c r="H3873" s="18">
        <f t="shared" si="574"/>
        <v>1</v>
      </c>
    </row>
    <row r="3874" spans="1:8" s="948" customFormat="1">
      <c r="A3874" s="485"/>
      <c r="B3874" s="485" t="s">
        <v>1243</v>
      </c>
      <c r="C3874" s="17" t="s">
        <v>16</v>
      </c>
      <c r="D3874" s="485">
        <v>1</v>
      </c>
      <c r="E3874" s="485"/>
      <c r="F3874" s="485"/>
      <c r="G3874" s="485"/>
      <c r="H3874" s="18">
        <f t="shared" si="574"/>
        <v>1</v>
      </c>
    </row>
    <row r="3875" spans="1:8">
      <c r="A3875" s="485"/>
      <c r="B3875" s="485" t="s">
        <v>216</v>
      </c>
      <c r="C3875" s="17" t="s">
        <v>16</v>
      </c>
      <c r="D3875" s="485">
        <v>1</v>
      </c>
      <c r="E3875" s="485"/>
      <c r="F3875" s="485"/>
      <c r="G3875" s="17"/>
      <c r="H3875" s="18">
        <f t="shared" si="574"/>
        <v>1</v>
      </c>
    </row>
    <row r="3876" spans="1:8">
      <c r="A3876" s="485"/>
      <c r="B3876" s="485" t="s">
        <v>202</v>
      </c>
      <c r="C3876" s="17" t="s">
        <v>16</v>
      </c>
      <c r="D3876" s="485">
        <v>1</v>
      </c>
      <c r="E3876" s="485"/>
      <c r="F3876" s="485"/>
      <c r="G3876" s="17"/>
      <c r="H3876" s="18">
        <f t="shared" si="574"/>
        <v>1</v>
      </c>
    </row>
    <row r="3877" spans="1:8">
      <c r="A3877" s="485"/>
      <c r="B3877" s="485" t="s">
        <v>2090</v>
      </c>
      <c r="C3877" s="17" t="s">
        <v>16</v>
      </c>
      <c r="D3877" s="485">
        <v>1</v>
      </c>
      <c r="E3877" s="485"/>
      <c r="F3877" s="485"/>
      <c r="G3877" s="17"/>
      <c r="H3877" s="18">
        <f t="shared" si="574"/>
        <v>1</v>
      </c>
    </row>
    <row r="3878" spans="1:8">
      <c r="A3878" s="485"/>
      <c r="B3878" s="485" t="s">
        <v>2091</v>
      </c>
      <c r="C3878" s="17" t="s">
        <v>16</v>
      </c>
      <c r="D3878" s="485">
        <v>1</v>
      </c>
      <c r="E3878" s="485"/>
      <c r="F3878" s="485"/>
      <c r="G3878" s="17"/>
      <c r="H3878" s="18">
        <f t="shared" si="574"/>
        <v>1</v>
      </c>
    </row>
    <row r="3879" spans="1:8">
      <c r="A3879" s="485"/>
      <c r="B3879" s="485" t="s">
        <v>1213</v>
      </c>
      <c r="C3879" s="17" t="s">
        <v>16</v>
      </c>
      <c r="D3879" s="485">
        <v>1</v>
      </c>
      <c r="E3879" s="485"/>
      <c r="F3879" s="485"/>
      <c r="G3879" s="17"/>
      <c r="H3879" s="18">
        <f t="shared" si="574"/>
        <v>1</v>
      </c>
    </row>
    <row r="3880" spans="1:8">
      <c r="A3880" s="485"/>
      <c r="B3880" s="485" t="s">
        <v>1214</v>
      </c>
      <c r="C3880" s="17" t="s">
        <v>16</v>
      </c>
      <c r="D3880" s="485">
        <v>1</v>
      </c>
      <c r="E3880" s="485"/>
      <c r="F3880" s="485"/>
      <c r="G3880" s="17"/>
      <c r="H3880" s="18">
        <f t="shared" si="574"/>
        <v>1</v>
      </c>
    </row>
    <row r="3881" spans="1:8">
      <c r="A3881" s="485"/>
      <c r="B3881" s="485" t="s">
        <v>1217</v>
      </c>
      <c r="C3881" s="17" t="s">
        <v>16</v>
      </c>
      <c r="D3881" s="485">
        <v>2</v>
      </c>
      <c r="E3881" s="485"/>
      <c r="F3881" s="485"/>
      <c r="G3881" s="17"/>
      <c r="H3881" s="18">
        <f t="shared" si="574"/>
        <v>2</v>
      </c>
    </row>
    <row r="3882" spans="1:8">
      <c r="A3882" s="485"/>
      <c r="B3882" s="485" t="s">
        <v>286</v>
      </c>
      <c r="C3882" s="17" t="s">
        <v>16</v>
      </c>
      <c r="D3882" s="485">
        <v>1</v>
      </c>
      <c r="E3882" s="485"/>
      <c r="F3882" s="485"/>
      <c r="G3882" s="17"/>
      <c r="H3882" s="18">
        <f t="shared" si="574"/>
        <v>1</v>
      </c>
    </row>
    <row r="3883" spans="1:8">
      <c r="A3883" s="485"/>
      <c r="B3883" s="485" t="s">
        <v>1990</v>
      </c>
      <c r="C3883" s="17" t="s">
        <v>16</v>
      </c>
      <c r="D3883" s="485">
        <v>1</v>
      </c>
      <c r="E3883" s="485"/>
      <c r="F3883" s="485"/>
      <c r="G3883" s="17"/>
      <c r="H3883" s="18">
        <f t="shared" si="574"/>
        <v>1</v>
      </c>
    </row>
    <row r="3884" spans="1:8">
      <c r="A3884" s="485"/>
      <c r="B3884" s="485" t="s">
        <v>2012</v>
      </c>
      <c r="C3884" s="17" t="s">
        <v>16</v>
      </c>
      <c r="D3884" s="485">
        <v>1</v>
      </c>
      <c r="E3884" s="485"/>
      <c r="F3884" s="485"/>
      <c r="G3884" s="17"/>
      <c r="H3884" s="18">
        <f t="shared" si="574"/>
        <v>1</v>
      </c>
    </row>
    <row r="3885" spans="1:8">
      <c r="A3885" s="485"/>
      <c r="B3885" s="485" t="s">
        <v>286</v>
      </c>
      <c r="C3885" s="17" t="s">
        <v>16</v>
      </c>
      <c r="D3885" s="485">
        <v>1</v>
      </c>
      <c r="E3885" s="485"/>
      <c r="F3885" s="485"/>
      <c r="G3885" s="17"/>
      <c r="H3885" s="18">
        <f t="shared" ref="H3885" si="575">PRODUCT(D3885:G3885)</f>
        <v>1</v>
      </c>
    </row>
    <row r="3886" spans="1:8">
      <c r="A3886" s="485"/>
      <c r="B3886" s="485" t="s">
        <v>216</v>
      </c>
      <c r="C3886" s="17" t="s">
        <v>16</v>
      </c>
      <c r="D3886" s="485">
        <v>1</v>
      </c>
      <c r="E3886" s="485"/>
      <c r="F3886" s="485"/>
      <c r="G3886" s="17"/>
      <c r="H3886" s="18">
        <f t="shared" si="574"/>
        <v>1</v>
      </c>
    </row>
    <row r="3887" spans="1:8">
      <c r="A3887" s="485"/>
      <c r="B3887" s="485" t="s">
        <v>1230</v>
      </c>
      <c r="C3887" s="17" t="s">
        <v>16</v>
      </c>
      <c r="D3887" s="485">
        <v>1</v>
      </c>
      <c r="E3887" s="485"/>
      <c r="F3887" s="485"/>
      <c r="G3887" s="17"/>
      <c r="H3887" s="18">
        <f t="shared" si="574"/>
        <v>1</v>
      </c>
    </row>
    <row r="3888" spans="1:8">
      <c r="A3888" s="485"/>
      <c r="B3888" s="485" t="s">
        <v>1229</v>
      </c>
      <c r="C3888" s="17" t="s">
        <v>16</v>
      </c>
      <c r="D3888" s="485">
        <v>1</v>
      </c>
      <c r="E3888" s="485"/>
      <c r="F3888" s="485"/>
      <c r="G3888" s="17"/>
      <c r="H3888" s="18">
        <f t="shared" si="574"/>
        <v>1</v>
      </c>
    </row>
    <row r="3889" spans="1:8">
      <c r="A3889" s="485"/>
      <c r="B3889" s="485" t="s">
        <v>1207</v>
      </c>
      <c r="C3889" s="17" t="s">
        <v>16</v>
      </c>
      <c r="D3889" s="485">
        <v>1</v>
      </c>
      <c r="E3889" s="485"/>
      <c r="F3889" s="485"/>
      <c r="G3889" s="17"/>
      <c r="H3889" s="18">
        <f t="shared" si="574"/>
        <v>1</v>
      </c>
    </row>
    <row r="3890" spans="1:8">
      <c r="A3890" s="485"/>
      <c r="B3890" s="485" t="s">
        <v>1195</v>
      </c>
      <c r="C3890" s="17" t="s">
        <v>16</v>
      </c>
      <c r="D3890" s="485">
        <v>1</v>
      </c>
      <c r="E3890" s="485"/>
      <c r="F3890" s="485"/>
      <c r="G3890" s="17"/>
      <c r="H3890" s="18">
        <f t="shared" si="574"/>
        <v>1</v>
      </c>
    </row>
    <row r="3891" spans="1:8">
      <c r="A3891" s="485"/>
      <c r="B3891" s="485" t="s">
        <v>202</v>
      </c>
      <c r="C3891" s="17" t="s">
        <v>16</v>
      </c>
      <c r="D3891" s="485">
        <v>1</v>
      </c>
      <c r="E3891" s="485"/>
      <c r="F3891" s="485"/>
      <c r="G3891" s="17"/>
      <c r="H3891" s="18">
        <f t="shared" si="574"/>
        <v>1</v>
      </c>
    </row>
    <row r="3892" spans="1:8" s="948" customFormat="1">
      <c r="A3892" s="485"/>
      <c r="B3892" s="485" t="s">
        <v>1293</v>
      </c>
      <c r="C3892" s="17" t="s">
        <v>16</v>
      </c>
      <c r="D3892" s="485">
        <v>1</v>
      </c>
      <c r="E3892" s="485"/>
      <c r="F3892" s="485"/>
      <c r="G3892" s="485"/>
      <c r="H3892" s="18">
        <f t="shared" ref="H3892" si="576">PRODUCT(D3892:G3892)</f>
        <v>1</v>
      </c>
    </row>
    <row r="3893" spans="1:8">
      <c r="A3893" s="17"/>
      <c r="B3893" s="17"/>
      <c r="C3893" s="17"/>
      <c r="D3893" s="17"/>
      <c r="E3893" s="17"/>
      <c r="F3893" s="17"/>
      <c r="G3893" s="17"/>
      <c r="H3893" s="18"/>
    </row>
    <row r="3894" spans="1:8">
      <c r="A3894" s="15"/>
      <c r="B3894" s="15" t="s">
        <v>21</v>
      </c>
      <c r="C3894" s="15"/>
      <c r="D3894" s="15"/>
      <c r="E3894" s="15"/>
      <c r="F3894" s="15"/>
      <c r="G3894" s="15"/>
      <c r="H3894" s="20">
        <f>SUM(H3862:H3893)</f>
        <v>31</v>
      </c>
    </row>
    <row r="3895" spans="1:8">
      <c r="A3895" s="17"/>
      <c r="B3895" s="17" t="s">
        <v>22</v>
      </c>
      <c r="C3895" s="17"/>
      <c r="D3895" s="17"/>
      <c r="E3895" s="17"/>
      <c r="F3895" s="17"/>
      <c r="G3895" s="17"/>
      <c r="H3895" s="18"/>
    </row>
    <row r="3896" spans="1:8">
      <c r="A3896" s="15"/>
      <c r="B3896" s="15" t="s">
        <v>23</v>
      </c>
      <c r="C3896" s="15"/>
      <c r="D3896" s="15"/>
      <c r="E3896" s="15"/>
      <c r="F3896" s="15"/>
      <c r="G3896" s="15"/>
      <c r="H3896" s="20">
        <f>ROUND(SUM(H3894:H3895),0)</f>
        <v>31</v>
      </c>
    </row>
    <row r="3898" spans="1:8">
      <c r="A3898" s="17">
        <v>4</v>
      </c>
      <c r="B3898" s="15" t="s">
        <v>1144</v>
      </c>
      <c r="C3898" s="17"/>
      <c r="D3898" s="17"/>
      <c r="E3898" s="17"/>
      <c r="F3898" s="17"/>
      <c r="G3898" s="17"/>
      <c r="H3898" s="18"/>
    </row>
    <row r="3899" spans="1:8">
      <c r="A3899" s="17"/>
      <c r="B3899" s="17" t="s">
        <v>201</v>
      </c>
      <c r="C3899" s="16" t="s">
        <v>10</v>
      </c>
      <c r="D3899" s="17">
        <v>1</v>
      </c>
      <c r="E3899" s="17">
        <v>7.65</v>
      </c>
      <c r="F3899" s="17"/>
      <c r="G3899" s="17">
        <v>2.6</v>
      </c>
      <c r="H3899" s="18">
        <f t="shared" ref="H3899:H3902" si="577">PRODUCT(D3899:G3899)</f>
        <v>19.89</v>
      </c>
    </row>
    <row r="3900" spans="1:8">
      <c r="A3900" s="17"/>
      <c r="B3900" s="17"/>
      <c r="C3900" s="16" t="s">
        <v>10</v>
      </c>
      <c r="D3900" s="17">
        <v>2</v>
      </c>
      <c r="E3900" s="17">
        <v>1.65</v>
      </c>
      <c r="F3900" s="17"/>
      <c r="G3900" s="17">
        <v>2.6</v>
      </c>
      <c r="H3900" s="18">
        <f t="shared" si="577"/>
        <v>8.58</v>
      </c>
    </row>
    <row r="3901" spans="1:8">
      <c r="A3901" s="17"/>
      <c r="B3901" s="17" t="s">
        <v>201</v>
      </c>
      <c r="C3901" s="16" t="s">
        <v>10</v>
      </c>
      <c r="D3901" s="17">
        <v>1</v>
      </c>
      <c r="E3901" s="17">
        <v>6.42</v>
      </c>
      <c r="F3901" s="17"/>
      <c r="G3901" s="17">
        <v>2.6</v>
      </c>
      <c r="H3901" s="18">
        <f t="shared" si="577"/>
        <v>16.692</v>
      </c>
    </row>
    <row r="3902" spans="1:8">
      <c r="A3902" s="17"/>
      <c r="B3902" s="17"/>
      <c r="C3902" s="16" t="s">
        <v>10</v>
      </c>
      <c r="D3902" s="17">
        <v>2</v>
      </c>
      <c r="E3902" s="17">
        <v>1.65</v>
      </c>
      <c r="F3902" s="17"/>
      <c r="G3902" s="17">
        <v>2.6</v>
      </c>
      <c r="H3902" s="18">
        <f t="shared" si="577"/>
        <v>8.58</v>
      </c>
    </row>
    <row r="3903" spans="1:8">
      <c r="A3903" s="17"/>
      <c r="B3903" s="17" t="s">
        <v>201</v>
      </c>
      <c r="C3903" s="16" t="s">
        <v>10</v>
      </c>
      <c r="D3903" s="17">
        <v>1</v>
      </c>
      <c r="E3903" s="17">
        <v>2.15</v>
      </c>
      <c r="F3903" s="17"/>
      <c r="G3903" s="17">
        <v>2.6</v>
      </c>
      <c r="H3903" s="18">
        <f t="shared" ref="H3903:H3904" si="578">PRODUCT(D3903:G3903)</f>
        <v>5.59</v>
      </c>
    </row>
    <row r="3904" spans="1:8">
      <c r="A3904" s="17"/>
      <c r="B3904" s="17"/>
      <c r="C3904" s="16" t="s">
        <v>10</v>
      </c>
      <c r="D3904" s="17">
        <v>2</v>
      </c>
      <c r="E3904" s="17">
        <v>1.65</v>
      </c>
      <c r="F3904" s="17"/>
      <c r="G3904" s="17">
        <v>2.6</v>
      </c>
      <c r="H3904" s="18">
        <f t="shared" si="578"/>
        <v>8.58</v>
      </c>
    </row>
    <row r="3905" spans="1:8">
      <c r="A3905" s="17"/>
      <c r="B3905" s="17" t="s">
        <v>296</v>
      </c>
      <c r="C3905" s="16" t="s">
        <v>10</v>
      </c>
      <c r="D3905" s="17">
        <v>2</v>
      </c>
      <c r="E3905" s="17">
        <v>1.2</v>
      </c>
      <c r="F3905" s="17"/>
      <c r="G3905" s="17">
        <v>2.6</v>
      </c>
      <c r="H3905" s="18">
        <f t="shared" ref="H3905:H3906" si="579">PRODUCT(D3905:G3905)</f>
        <v>6.24</v>
      </c>
    </row>
    <row r="3906" spans="1:8">
      <c r="A3906" s="17"/>
      <c r="B3906" s="17"/>
      <c r="C3906" s="16" t="s">
        <v>10</v>
      </c>
      <c r="D3906" s="17">
        <v>1</v>
      </c>
      <c r="E3906" s="17">
        <v>1.35</v>
      </c>
      <c r="F3906" s="17"/>
      <c r="G3906" s="17">
        <v>2.6</v>
      </c>
      <c r="H3906" s="18">
        <f t="shared" si="579"/>
        <v>3.5100000000000002</v>
      </c>
    </row>
    <row r="3907" spans="1:8">
      <c r="A3907" s="17"/>
      <c r="B3907" s="17"/>
      <c r="C3907" s="16"/>
      <c r="D3907" s="17"/>
      <c r="E3907" s="17"/>
      <c r="F3907" s="17"/>
      <c r="G3907" s="17"/>
      <c r="H3907" s="18"/>
    </row>
    <row r="3908" spans="1:8">
      <c r="A3908" s="17"/>
      <c r="B3908" s="17"/>
      <c r="C3908" s="17"/>
      <c r="D3908" s="17"/>
      <c r="E3908" s="17"/>
      <c r="F3908" s="17"/>
      <c r="G3908" s="17"/>
      <c r="H3908" s="18"/>
    </row>
    <row r="3909" spans="1:8">
      <c r="A3909" s="15"/>
      <c r="B3909" s="15" t="s">
        <v>21</v>
      </c>
      <c r="C3909" s="15"/>
      <c r="D3909" s="15"/>
      <c r="E3909" s="15"/>
      <c r="F3909" s="15"/>
      <c r="G3909" s="15"/>
      <c r="H3909" s="20">
        <f>SUM(H3899:H3908)</f>
        <v>77.661999999999992</v>
      </c>
    </row>
    <row r="3910" spans="1:8">
      <c r="A3910" s="17"/>
      <c r="B3910" s="17" t="s">
        <v>22</v>
      </c>
      <c r="C3910" s="17"/>
      <c r="D3910" s="17"/>
      <c r="E3910" s="17"/>
      <c r="F3910" s="17"/>
      <c r="G3910" s="17"/>
      <c r="H3910" s="18"/>
    </row>
    <row r="3911" spans="1:8">
      <c r="A3911" s="15"/>
      <c r="B3911" s="15" t="s">
        <v>23</v>
      </c>
      <c r="C3911" s="15"/>
      <c r="D3911" s="15"/>
      <c r="E3911" s="15"/>
      <c r="F3911" s="15"/>
      <c r="G3911" s="15"/>
      <c r="H3911" s="20">
        <f>ROUND(SUM(H3909:H3910),0)</f>
        <v>78</v>
      </c>
    </row>
    <row r="3913" spans="1:8">
      <c r="A3913" s="17">
        <v>4</v>
      </c>
      <c r="B3913" s="15" t="s">
        <v>1145</v>
      </c>
      <c r="C3913" s="17"/>
      <c r="D3913" s="17"/>
      <c r="E3913" s="17"/>
      <c r="F3913" s="17"/>
      <c r="G3913" s="17"/>
      <c r="H3913" s="18"/>
    </row>
    <row r="3914" spans="1:8">
      <c r="A3914" s="17"/>
      <c r="B3914" s="17" t="s">
        <v>1146</v>
      </c>
      <c r="C3914" s="16" t="s">
        <v>10</v>
      </c>
      <c r="D3914" s="17">
        <v>1</v>
      </c>
      <c r="E3914" s="17">
        <v>7.93</v>
      </c>
      <c r="F3914" s="17"/>
      <c r="G3914" s="17">
        <v>0.2</v>
      </c>
      <c r="H3914" s="18">
        <f t="shared" ref="H3914:H3933" si="580">PRODUCT(D3914:G3914)</f>
        <v>1.5860000000000001</v>
      </c>
    </row>
    <row r="3915" spans="1:8">
      <c r="A3915" s="17"/>
      <c r="B3915" s="17"/>
      <c r="C3915" s="16" t="s">
        <v>10</v>
      </c>
      <c r="D3915" s="17">
        <v>1</v>
      </c>
      <c r="E3915" s="17">
        <v>0.15</v>
      </c>
      <c r="F3915" s="17"/>
      <c r="G3915" s="17">
        <v>2.4</v>
      </c>
      <c r="H3915" s="18">
        <f t="shared" si="580"/>
        <v>0.36</v>
      </c>
    </row>
    <row r="3916" spans="1:8">
      <c r="A3916" s="17"/>
      <c r="B3916" s="17"/>
      <c r="C3916" s="16" t="s">
        <v>10</v>
      </c>
      <c r="D3916" s="17">
        <v>1</v>
      </c>
      <c r="E3916" s="17">
        <v>0.25</v>
      </c>
      <c r="F3916" s="17"/>
      <c r="G3916" s="17">
        <v>2.4</v>
      </c>
      <c r="H3916" s="18">
        <f t="shared" si="580"/>
        <v>0.6</v>
      </c>
    </row>
    <row r="3917" spans="1:8">
      <c r="A3917" s="17"/>
      <c r="B3917" s="17"/>
      <c r="C3917" s="16" t="s">
        <v>10</v>
      </c>
      <c r="D3917" s="17">
        <v>1</v>
      </c>
      <c r="E3917" s="17">
        <v>1.05</v>
      </c>
      <c r="F3917" s="17"/>
      <c r="G3917" s="17">
        <v>2.4</v>
      </c>
      <c r="H3917" s="18">
        <f t="shared" si="580"/>
        <v>2.52</v>
      </c>
    </row>
    <row r="3918" spans="1:8">
      <c r="A3918" s="17"/>
      <c r="B3918" s="17" t="s">
        <v>196</v>
      </c>
      <c r="C3918" s="16" t="s">
        <v>10</v>
      </c>
      <c r="D3918" s="17">
        <v>2</v>
      </c>
      <c r="E3918" s="17">
        <v>5.2</v>
      </c>
      <c r="F3918" s="17"/>
      <c r="G3918" s="17">
        <f>2.6-1.35</f>
        <v>1.25</v>
      </c>
      <c r="H3918" s="18">
        <f t="shared" ref="H3918:H3919" si="581">PRODUCT(D3918:G3918)</f>
        <v>13</v>
      </c>
    </row>
    <row r="3919" spans="1:8">
      <c r="A3919" s="17"/>
      <c r="B3919" s="17"/>
      <c r="C3919" s="16" t="s">
        <v>10</v>
      </c>
      <c r="D3919" s="17">
        <v>-1</v>
      </c>
      <c r="E3919" s="17">
        <v>1</v>
      </c>
      <c r="F3919" s="17"/>
      <c r="G3919" s="17">
        <f>2.4-1.35</f>
        <v>1.0499999999999998</v>
      </c>
      <c r="H3919" s="18">
        <f t="shared" si="581"/>
        <v>-1.0499999999999998</v>
      </c>
    </row>
    <row r="3920" spans="1:8">
      <c r="A3920" s="17"/>
      <c r="B3920" s="17" t="s">
        <v>1147</v>
      </c>
      <c r="C3920" s="16" t="s">
        <v>10</v>
      </c>
      <c r="D3920" s="17">
        <v>1</v>
      </c>
      <c r="E3920" s="17">
        <v>4.5</v>
      </c>
      <c r="F3920" s="17"/>
      <c r="G3920" s="17">
        <v>0.2</v>
      </c>
      <c r="H3920" s="18">
        <f t="shared" si="580"/>
        <v>0.9</v>
      </c>
    </row>
    <row r="3921" spans="1:8">
      <c r="A3921" s="17"/>
      <c r="B3921" s="17"/>
      <c r="C3921" s="16" t="s">
        <v>10</v>
      </c>
      <c r="D3921" s="17">
        <v>2</v>
      </c>
      <c r="E3921" s="17">
        <v>0.15</v>
      </c>
      <c r="F3921" s="17"/>
      <c r="G3921" s="17">
        <v>2.4</v>
      </c>
      <c r="H3921" s="18">
        <f t="shared" si="580"/>
        <v>0.72</v>
      </c>
    </row>
    <row r="3922" spans="1:8">
      <c r="A3922" s="17"/>
      <c r="B3922" s="17" t="s">
        <v>202</v>
      </c>
      <c r="C3922" s="16" t="s">
        <v>10</v>
      </c>
      <c r="D3922" s="17">
        <v>1</v>
      </c>
      <c r="E3922" s="17">
        <v>7.49</v>
      </c>
      <c r="F3922" s="17"/>
      <c r="G3922" s="17">
        <v>0.2</v>
      </c>
      <c r="H3922" s="18">
        <f t="shared" si="580"/>
        <v>1.4980000000000002</v>
      </c>
    </row>
    <row r="3923" spans="1:8">
      <c r="A3923" s="17"/>
      <c r="B3923" s="17"/>
      <c r="C3923" s="16" t="s">
        <v>10</v>
      </c>
      <c r="D3923" s="17">
        <v>2</v>
      </c>
      <c r="E3923" s="17">
        <v>0.25</v>
      </c>
      <c r="F3923" s="17"/>
      <c r="G3923" s="17">
        <v>2.4</v>
      </c>
      <c r="H3923" s="18">
        <f t="shared" si="580"/>
        <v>1.2</v>
      </c>
    </row>
    <row r="3924" spans="1:8">
      <c r="A3924" s="17"/>
      <c r="B3924" s="17"/>
      <c r="C3924" s="16" t="s">
        <v>10</v>
      </c>
      <c r="D3924" s="17">
        <v>1</v>
      </c>
      <c r="E3924" s="17">
        <v>1.05</v>
      </c>
      <c r="F3924" s="17"/>
      <c r="G3924" s="17">
        <v>2.4</v>
      </c>
      <c r="H3924" s="18">
        <f t="shared" si="580"/>
        <v>2.52</v>
      </c>
    </row>
    <row r="3925" spans="1:8">
      <c r="A3925" s="17"/>
      <c r="B3925" s="17" t="s">
        <v>203</v>
      </c>
      <c r="C3925" s="16" t="s">
        <v>10</v>
      </c>
      <c r="D3925" s="17">
        <v>1</v>
      </c>
      <c r="E3925" s="17">
        <v>1.73</v>
      </c>
      <c r="F3925" s="17"/>
      <c r="G3925" s="17">
        <v>2.6</v>
      </c>
      <c r="H3925" s="18">
        <f t="shared" si="580"/>
        <v>4.4980000000000002</v>
      </c>
    </row>
    <row r="3926" spans="1:8">
      <c r="A3926" s="17"/>
      <c r="B3926" s="17"/>
      <c r="C3926" s="16" t="s">
        <v>10</v>
      </c>
      <c r="D3926" s="17">
        <v>1</v>
      </c>
      <c r="E3926" s="17">
        <v>5.75</v>
      </c>
      <c r="F3926" s="17"/>
      <c r="G3926" s="17">
        <v>0.2</v>
      </c>
      <c r="H3926" s="18">
        <f t="shared" si="580"/>
        <v>1.1500000000000001</v>
      </c>
    </row>
    <row r="3927" spans="1:8">
      <c r="A3927" s="17"/>
      <c r="B3927" s="17"/>
      <c r="C3927" s="16" t="s">
        <v>10</v>
      </c>
      <c r="D3927" s="17">
        <v>1</v>
      </c>
      <c r="E3927" s="17">
        <v>2.7749999999999999</v>
      </c>
      <c r="F3927" s="17"/>
      <c r="G3927" s="17">
        <v>2.4</v>
      </c>
      <c r="H3927" s="18">
        <f t="shared" si="580"/>
        <v>6.6599999999999993</v>
      </c>
    </row>
    <row r="3928" spans="1:8">
      <c r="A3928" s="17"/>
      <c r="B3928" s="17" t="s">
        <v>204</v>
      </c>
      <c r="C3928" s="16" t="s">
        <v>10</v>
      </c>
      <c r="D3928" s="17">
        <v>1</v>
      </c>
      <c r="E3928" s="17">
        <v>4.9000000000000004</v>
      </c>
      <c r="F3928" s="17"/>
      <c r="G3928" s="17">
        <v>2.6</v>
      </c>
      <c r="H3928" s="18">
        <f t="shared" ref="H3928:H3929" si="582">PRODUCT(D3928:G3928)</f>
        <v>12.740000000000002</v>
      </c>
    </row>
    <row r="3929" spans="1:8">
      <c r="A3929" s="17"/>
      <c r="B3929" s="17"/>
      <c r="C3929" s="16" t="s">
        <v>10</v>
      </c>
      <c r="D3929" s="17">
        <v>-1</v>
      </c>
      <c r="E3929" s="17">
        <v>1</v>
      </c>
      <c r="F3929" s="17"/>
      <c r="G3929" s="17">
        <v>2.4</v>
      </c>
      <c r="H3929" s="18">
        <f t="shared" si="582"/>
        <v>-2.4</v>
      </c>
    </row>
    <row r="3930" spans="1:8">
      <c r="A3930" s="17"/>
      <c r="B3930" s="17" t="s">
        <v>205</v>
      </c>
      <c r="C3930" s="16" t="s">
        <v>10</v>
      </c>
      <c r="D3930" s="17">
        <v>1</v>
      </c>
      <c r="E3930" s="17">
        <v>11.425000000000001</v>
      </c>
      <c r="F3930" s="17"/>
      <c r="G3930" s="17">
        <v>0.2</v>
      </c>
      <c r="H3930" s="18">
        <f t="shared" si="580"/>
        <v>2.2850000000000001</v>
      </c>
    </row>
    <row r="3931" spans="1:8">
      <c r="A3931" s="17"/>
      <c r="B3931" s="17"/>
      <c r="C3931" s="16" t="s">
        <v>10</v>
      </c>
      <c r="D3931" s="17">
        <v>1</v>
      </c>
      <c r="E3931" s="17">
        <v>3.5</v>
      </c>
      <c r="F3931" s="17"/>
      <c r="G3931" s="17">
        <v>2.4</v>
      </c>
      <c r="H3931" s="18">
        <f t="shared" si="580"/>
        <v>8.4</v>
      </c>
    </row>
    <row r="3932" spans="1:8">
      <c r="A3932" s="17"/>
      <c r="B3932" s="17"/>
      <c r="C3932" s="16" t="s">
        <v>10</v>
      </c>
      <c r="D3932" s="17">
        <v>2</v>
      </c>
      <c r="E3932" s="17">
        <v>0.25</v>
      </c>
      <c r="F3932" s="17"/>
      <c r="G3932" s="17">
        <v>2.4</v>
      </c>
      <c r="H3932" s="18">
        <f t="shared" si="580"/>
        <v>1.2</v>
      </c>
    </row>
    <row r="3933" spans="1:8">
      <c r="A3933" s="17"/>
      <c r="B3933" s="17"/>
      <c r="C3933" s="16" t="s">
        <v>10</v>
      </c>
      <c r="D3933" s="17">
        <v>1</v>
      </c>
      <c r="E3933" s="17">
        <v>3.55</v>
      </c>
      <c r="F3933" s="17"/>
      <c r="G3933" s="17">
        <v>2.6</v>
      </c>
      <c r="H3933" s="18">
        <f t="shared" si="580"/>
        <v>9.23</v>
      </c>
    </row>
    <row r="3934" spans="1:8">
      <c r="A3934" s="17"/>
      <c r="B3934" s="17" t="s">
        <v>206</v>
      </c>
      <c r="C3934" s="16" t="s">
        <v>10</v>
      </c>
      <c r="D3934" s="17">
        <v>1</v>
      </c>
      <c r="E3934" s="17">
        <v>3.5</v>
      </c>
      <c r="F3934" s="17"/>
      <c r="G3934" s="17">
        <v>0.2</v>
      </c>
      <c r="H3934" s="18">
        <f t="shared" ref="H3934:H3939" si="583">PRODUCT(D3934:G3934)</f>
        <v>0.70000000000000007</v>
      </c>
    </row>
    <row r="3935" spans="1:8">
      <c r="A3935" s="17"/>
      <c r="B3935" s="17"/>
      <c r="C3935" s="16" t="s">
        <v>10</v>
      </c>
      <c r="D3935" s="17">
        <v>1</v>
      </c>
      <c r="E3935" s="17">
        <v>9.1999999999999993</v>
      </c>
      <c r="F3935" s="17"/>
      <c r="G3935" s="17">
        <v>0.2</v>
      </c>
      <c r="H3935" s="18">
        <f t="shared" si="583"/>
        <v>1.8399999999999999</v>
      </c>
    </row>
    <row r="3936" spans="1:8">
      <c r="A3936" s="17"/>
      <c r="B3936" s="17"/>
      <c r="C3936" s="16" t="s">
        <v>10</v>
      </c>
      <c r="D3936" s="17">
        <v>1</v>
      </c>
      <c r="E3936" s="17">
        <v>1.64</v>
      </c>
      <c r="F3936" s="17"/>
      <c r="G3936" s="17">
        <v>2.4</v>
      </c>
      <c r="H3936" s="18">
        <f t="shared" si="583"/>
        <v>3.9359999999999995</v>
      </c>
    </row>
    <row r="3937" spans="1:8">
      <c r="A3937" s="17"/>
      <c r="B3937" s="17"/>
      <c r="C3937" s="16" t="s">
        <v>10</v>
      </c>
      <c r="D3937" s="17">
        <v>-1</v>
      </c>
      <c r="E3937" s="17">
        <v>1</v>
      </c>
      <c r="F3937" s="17"/>
      <c r="G3937" s="17">
        <v>2.4</v>
      </c>
      <c r="H3937" s="18">
        <f t="shared" si="583"/>
        <v>-2.4</v>
      </c>
    </row>
    <row r="3938" spans="1:8">
      <c r="A3938" s="17"/>
      <c r="B3938" s="17"/>
      <c r="C3938" s="16" t="s">
        <v>10</v>
      </c>
      <c r="D3938" s="17">
        <v>1</v>
      </c>
      <c r="E3938" s="17">
        <v>3.55</v>
      </c>
      <c r="F3938" s="17"/>
      <c r="G3938" s="17">
        <v>2.6</v>
      </c>
      <c r="H3938" s="18">
        <f t="shared" si="583"/>
        <v>9.23</v>
      </c>
    </row>
    <row r="3939" spans="1:8">
      <c r="A3939" s="17"/>
      <c r="B3939" s="17"/>
      <c r="C3939" s="16" t="s">
        <v>10</v>
      </c>
      <c r="D3939" s="17">
        <v>2</v>
      </c>
      <c r="E3939" s="17">
        <v>0.25</v>
      </c>
      <c r="F3939" s="17"/>
      <c r="G3939" s="17">
        <v>2.6</v>
      </c>
      <c r="H3939" s="18">
        <f t="shared" si="583"/>
        <v>1.3</v>
      </c>
    </row>
    <row r="3940" spans="1:8">
      <c r="A3940" s="17"/>
      <c r="B3940" s="17" t="s">
        <v>191</v>
      </c>
      <c r="C3940" s="16" t="s">
        <v>10</v>
      </c>
      <c r="D3940" s="17">
        <v>1</v>
      </c>
      <c r="E3940" s="17">
        <v>3.8</v>
      </c>
      <c r="F3940" s="17"/>
      <c r="G3940" s="17">
        <v>0.2</v>
      </c>
      <c r="H3940" s="18">
        <f t="shared" ref="H3940:H3942" si="584">PRODUCT(D3940:G3940)</f>
        <v>0.76</v>
      </c>
    </row>
    <row r="3941" spans="1:8">
      <c r="A3941" s="17"/>
      <c r="B3941" s="17"/>
      <c r="C3941" s="16" t="s">
        <v>10</v>
      </c>
      <c r="D3941" s="17">
        <v>1</v>
      </c>
      <c r="E3941" s="17">
        <v>2.35</v>
      </c>
      <c r="F3941" s="17"/>
      <c r="G3941" s="17">
        <v>2.6</v>
      </c>
      <c r="H3941" s="18">
        <f t="shared" si="584"/>
        <v>6.11</v>
      </c>
    </row>
    <row r="3942" spans="1:8">
      <c r="A3942" s="17"/>
      <c r="B3942" s="17"/>
      <c r="C3942" s="16" t="s">
        <v>10</v>
      </c>
      <c r="D3942" s="17">
        <v>3</v>
      </c>
      <c r="E3942" s="17">
        <v>0.1</v>
      </c>
      <c r="F3942" s="17"/>
      <c r="G3942" s="17">
        <v>2.4</v>
      </c>
      <c r="H3942" s="18">
        <f t="shared" si="584"/>
        <v>0.72000000000000008</v>
      </c>
    </row>
    <row r="3943" spans="1:8">
      <c r="A3943" s="17"/>
      <c r="B3943" s="17"/>
      <c r="C3943" s="17"/>
      <c r="D3943" s="17"/>
      <c r="E3943" s="17"/>
      <c r="F3943" s="17"/>
      <c r="G3943" s="17"/>
      <c r="H3943" s="18"/>
    </row>
    <row r="3944" spans="1:8">
      <c r="A3944" s="15"/>
      <c r="B3944" s="15" t="s">
        <v>21</v>
      </c>
      <c r="C3944" s="15"/>
      <c r="D3944" s="15"/>
      <c r="E3944" s="15"/>
      <c r="F3944" s="15"/>
      <c r="G3944" s="15"/>
      <c r="H3944" s="20">
        <f>SUM(H3914:H3943)</f>
        <v>89.813000000000002</v>
      </c>
    </row>
    <row r="3945" spans="1:8">
      <c r="A3945" s="17"/>
      <c r="B3945" s="17" t="s">
        <v>22</v>
      </c>
      <c r="C3945" s="17"/>
      <c r="D3945" s="17"/>
      <c r="E3945" s="17"/>
      <c r="F3945" s="17"/>
      <c r="G3945" s="17"/>
      <c r="H3945" s="18"/>
    </row>
    <row r="3946" spans="1:8">
      <c r="A3946" s="15"/>
      <c r="B3946" s="15" t="s">
        <v>23</v>
      </c>
      <c r="C3946" s="15"/>
      <c r="D3946" s="15"/>
      <c r="E3946" s="15"/>
      <c r="F3946" s="15"/>
      <c r="G3946" s="15"/>
      <c r="H3946" s="20">
        <f>ROUND(SUM(H3944:H3945),0)</f>
        <v>90</v>
      </c>
    </row>
    <row r="3948" spans="1:8">
      <c r="A3948" s="17">
        <v>4</v>
      </c>
      <c r="B3948" s="15" t="s">
        <v>217</v>
      </c>
      <c r="C3948" s="17" t="s">
        <v>10</v>
      </c>
      <c r="D3948" s="17"/>
      <c r="E3948" s="17"/>
      <c r="F3948" s="17"/>
      <c r="G3948" s="17"/>
      <c r="H3948" s="18"/>
    </row>
    <row r="3949" spans="1:8">
      <c r="A3949" s="17"/>
      <c r="B3949" s="17" t="s">
        <v>194</v>
      </c>
      <c r="C3949" s="16" t="s">
        <v>10</v>
      </c>
      <c r="D3949" s="17">
        <v>1</v>
      </c>
      <c r="E3949" s="17">
        <v>3.2</v>
      </c>
      <c r="F3949" s="17"/>
      <c r="G3949" s="17">
        <v>2.7</v>
      </c>
      <c r="H3949" s="18">
        <f t="shared" ref="H3949:H3954" si="585">PRODUCT(D3949:G3949)</f>
        <v>8.64</v>
      </c>
    </row>
    <row r="3950" spans="1:8">
      <c r="A3950" s="17"/>
      <c r="B3950" s="17" t="s">
        <v>194</v>
      </c>
      <c r="C3950" s="16" t="s">
        <v>10</v>
      </c>
      <c r="D3950" s="17">
        <v>1</v>
      </c>
      <c r="E3950" s="17">
        <v>3.2</v>
      </c>
      <c r="F3950" s="17"/>
      <c r="G3950" s="17">
        <v>2.7</v>
      </c>
      <c r="H3950" s="18">
        <f t="shared" si="585"/>
        <v>8.64</v>
      </c>
    </row>
    <row r="3951" spans="1:8">
      <c r="A3951" s="17"/>
      <c r="B3951" s="17" t="s">
        <v>297</v>
      </c>
      <c r="C3951" s="16" t="s">
        <v>10</v>
      </c>
      <c r="D3951" s="17">
        <v>1</v>
      </c>
      <c r="E3951" s="17">
        <v>11.1</v>
      </c>
      <c r="F3951" s="17"/>
      <c r="G3951" s="17">
        <v>2.7</v>
      </c>
      <c r="H3951" s="18">
        <f t="shared" si="585"/>
        <v>29.970000000000002</v>
      </c>
    </row>
    <row r="3952" spans="1:8">
      <c r="A3952" s="17"/>
      <c r="B3952" s="17"/>
      <c r="C3952" s="16" t="s">
        <v>10</v>
      </c>
      <c r="D3952" s="17">
        <v>-1</v>
      </c>
      <c r="E3952" s="17">
        <v>3.4</v>
      </c>
      <c r="F3952" s="17"/>
      <c r="G3952" s="17">
        <v>2.4</v>
      </c>
      <c r="H3952" s="18">
        <f t="shared" si="585"/>
        <v>-8.16</v>
      </c>
    </row>
    <row r="3953" spans="1:8">
      <c r="A3953" s="17"/>
      <c r="B3953" s="17"/>
      <c r="C3953" s="16" t="s">
        <v>10</v>
      </c>
      <c r="D3953" s="17">
        <v>-1</v>
      </c>
      <c r="E3953" s="17">
        <v>1.1000000000000001</v>
      </c>
      <c r="F3953" s="17"/>
      <c r="G3953" s="17">
        <v>2.4</v>
      </c>
      <c r="H3953" s="18">
        <f t="shared" si="585"/>
        <v>-2.64</v>
      </c>
    </row>
    <row r="3954" spans="1:8">
      <c r="A3954" s="17"/>
      <c r="B3954" s="17" t="s">
        <v>194</v>
      </c>
      <c r="C3954" s="16" t="s">
        <v>10</v>
      </c>
      <c r="D3954" s="17">
        <v>1</v>
      </c>
      <c r="E3954" s="17">
        <v>3.55</v>
      </c>
      <c r="F3954" s="17"/>
      <c r="G3954" s="17">
        <v>2.7</v>
      </c>
      <c r="H3954" s="18">
        <f t="shared" si="585"/>
        <v>9.5850000000000009</v>
      </c>
    </row>
    <row r="3955" spans="1:8">
      <c r="A3955" s="17"/>
      <c r="B3955" s="17"/>
      <c r="C3955" s="16"/>
      <c r="D3955" s="17"/>
      <c r="E3955" s="17"/>
      <c r="F3955" s="17"/>
      <c r="G3955" s="17"/>
      <c r="H3955" s="18"/>
    </row>
    <row r="3956" spans="1:8">
      <c r="A3956" s="17"/>
      <c r="B3956" s="17"/>
      <c r="C3956" s="17"/>
      <c r="D3956" s="17"/>
      <c r="E3956" s="17"/>
      <c r="F3956" s="17"/>
      <c r="G3956" s="17"/>
      <c r="H3956" s="18"/>
    </row>
    <row r="3957" spans="1:8">
      <c r="A3957" s="15"/>
      <c r="B3957" s="15" t="s">
        <v>21</v>
      </c>
      <c r="C3957" s="15"/>
      <c r="D3957" s="15"/>
      <c r="E3957" s="15"/>
      <c r="F3957" s="15"/>
      <c r="G3957" s="15"/>
      <c r="H3957" s="20">
        <f>SUM(H3949:H3956)</f>
        <v>46.035000000000004</v>
      </c>
    </row>
    <row r="3958" spans="1:8">
      <c r="A3958" s="17"/>
      <c r="B3958" s="17" t="s">
        <v>22</v>
      </c>
      <c r="C3958" s="17"/>
      <c r="D3958" s="17"/>
      <c r="E3958" s="17"/>
      <c r="F3958" s="17"/>
      <c r="G3958" s="17"/>
      <c r="H3958" s="18"/>
    </row>
    <row r="3959" spans="1:8">
      <c r="A3959" s="15"/>
      <c r="B3959" s="15" t="s">
        <v>23</v>
      </c>
      <c r="C3959" s="15"/>
      <c r="D3959" s="15"/>
      <c r="E3959" s="15"/>
      <c r="F3959" s="15"/>
      <c r="G3959" s="15"/>
      <c r="H3959" s="20">
        <f>ROUND(SUM(H3957:H3958),0)</f>
        <v>46</v>
      </c>
    </row>
    <row r="3961" spans="1:8">
      <c r="A3961" s="17">
        <v>4</v>
      </c>
      <c r="B3961" s="15" t="s">
        <v>220</v>
      </c>
      <c r="C3961" s="17" t="s">
        <v>10</v>
      </c>
      <c r="D3961" s="17"/>
      <c r="E3961" s="17"/>
      <c r="F3961" s="17"/>
      <c r="G3961" s="17"/>
      <c r="H3961" s="18"/>
    </row>
    <row r="3962" spans="1:8">
      <c r="A3962" s="17"/>
      <c r="B3962" s="17" t="s">
        <v>99</v>
      </c>
      <c r="C3962" s="17" t="s">
        <v>10</v>
      </c>
      <c r="D3962" s="17">
        <v>1</v>
      </c>
      <c r="E3962" s="17">
        <v>7.65</v>
      </c>
      <c r="F3962" s="17"/>
      <c r="G3962" s="17">
        <v>2.7</v>
      </c>
      <c r="H3962" s="18">
        <f>PRODUCT(D3962:G3962)</f>
        <v>20.655000000000001</v>
      </c>
    </row>
    <row r="3963" spans="1:8">
      <c r="A3963" s="17"/>
      <c r="B3963" s="17"/>
      <c r="C3963" s="17" t="s">
        <v>10</v>
      </c>
      <c r="D3963" s="17">
        <v>1</v>
      </c>
      <c r="E3963" s="17">
        <v>5.08</v>
      </c>
      <c r="F3963" s="17"/>
      <c r="G3963" s="17">
        <v>2.7</v>
      </c>
      <c r="H3963" s="18">
        <f>PRODUCT(D3963:G3963)</f>
        <v>13.716000000000001</v>
      </c>
    </row>
    <row r="3964" spans="1:8" s="948" customFormat="1">
      <c r="A3964" s="485"/>
      <c r="B3964" s="485"/>
      <c r="C3964" s="485"/>
      <c r="D3964" s="485"/>
      <c r="E3964" s="485"/>
      <c r="F3964" s="485"/>
      <c r="G3964" s="485"/>
      <c r="H3964" s="487"/>
    </row>
    <row r="3965" spans="1:8">
      <c r="A3965" s="17"/>
      <c r="B3965" s="17"/>
      <c r="C3965" s="16"/>
      <c r="D3965" s="17"/>
      <c r="E3965" s="17"/>
      <c r="F3965" s="17"/>
      <c r="G3965" s="17"/>
      <c r="H3965" s="18"/>
    </row>
    <row r="3966" spans="1:8">
      <c r="A3966" s="17"/>
      <c r="B3966" s="17"/>
      <c r="C3966" s="17"/>
      <c r="D3966" s="17"/>
      <c r="E3966" s="17"/>
      <c r="F3966" s="17"/>
      <c r="G3966" s="17"/>
      <c r="H3966" s="18"/>
    </row>
    <row r="3967" spans="1:8">
      <c r="A3967" s="15"/>
      <c r="B3967" s="15" t="s">
        <v>21</v>
      </c>
      <c r="C3967" s="15"/>
      <c r="D3967" s="15"/>
      <c r="E3967" s="15"/>
      <c r="F3967" s="15"/>
      <c r="G3967" s="15"/>
      <c r="H3967" s="20">
        <f>SUM(H3962:H3966)</f>
        <v>34.371000000000002</v>
      </c>
    </row>
    <row r="3968" spans="1:8">
      <c r="A3968" s="17"/>
      <c r="B3968" s="17" t="s">
        <v>22</v>
      </c>
      <c r="C3968" s="17"/>
      <c r="D3968" s="17"/>
      <c r="E3968" s="17"/>
      <c r="F3968" s="17"/>
      <c r="G3968" s="17"/>
      <c r="H3968" s="18"/>
    </row>
    <row r="3969" spans="1:8">
      <c r="A3969" s="15"/>
      <c r="B3969" s="15" t="s">
        <v>23</v>
      </c>
      <c r="C3969" s="15"/>
      <c r="D3969" s="15"/>
      <c r="E3969" s="15"/>
      <c r="F3969" s="15"/>
      <c r="G3969" s="15"/>
      <c r="H3969" s="20">
        <f>ROUND(SUM(H3967:H3968),0)</f>
        <v>34</v>
      </c>
    </row>
    <row r="3971" spans="1:8">
      <c r="A3971" s="17">
        <v>4</v>
      </c>
      <c r="B3971" s="15" t="s">
        <v>224</v>
      </c>
      <c r="C3971" s="17" t="s">
        <v>31</v>
      </c>
      <c r="D3971" s="17"/>
      <c r="E3971" s="17"/>
      <c r="F3971" s="17"/>
      <c r="G3971" s="17"/>
      <c r="H3971" s="18"/>
    </row>
    <row r="3972" spans="1:8">
      <c r="A3972" s="17"/>
      <c r="B3972" s="17" t="s">
        <v>298</v>
      </c>
      <c r="C3972" s="17" t="s">
        <v>31</v>
      </c>
      <c r="D3972" s="17">
        <f>30*2</f>
        <v>60</v>
      </c>
      <c r="E3972" s="17">
        <v>1</v>
      </c>
      <c r="F3972" s="17"/>
      <c r="G3972" s="17"/>
      <c r="H3972" s="18">
        <f t="shared" ref="H3972:H3973" si="586">PRODUCT(D3972:G3972)</f>
        <v>60</v>
      </c>
    </row>
    <row r="3973" spans="1:8">
      <c r="A3973" s="17"/>
      <c r="B3973" s="17"/>
      <c r="C3973" s="17" t="s">
        <v>31</v>
      </c>
      <c r="D3973" s="17">
        <f>30*2</f>
        <v>60</v>
      </c>
      <c r="E3973" s="17">
        <v>1.2</v>
      </c>
      <c r="F3973" s="17"/>
      <c r="G3973" s="17"/>
      <c r="H3973" s="18">
        <f t="shared" si="586"/>
        <v>72</v>
      </c>
    </row>
    <row r="3974" spans="1:8">
      <c r="A3974" s="17"/>
      <c r="B3974" s="17"/>
      <c r="C3974" s="17"/>
      <c r="D3974" s="17"/>
      <c r="E3974" s="17"/>
      <c r="F3974" s="17"/>
      <c r="G3974" s="17"/>
      <c r="H3974" s="18"/>
    </row>
    <row r="3975" spans="1:8">
      <c r="A3975" s="15"/>
      <c r="B3975" s="15" t="s">
        <v>21</v>
      </c>
      <c r="C3975" s="15"/>
      <c r="D3975" s="15"/>
      <c r="E3975" s="15"/>
      <c r="F3975" s="15"/>
      <c r="G3975" s="15"/>
      <c r="H3975" s="20">
        <f>SUM(H3971:H3974)</f>
        <v>132</v>
      </c>
    </row>
    <row r="3976" spans="1:8">
      <c r="A3976" s="17"/>
      <c r="B3976" s="17" t="s">
        <v>22</v>
      </c>
      <c r="C3976" s="17"/>
      <c r="D3976" s="17"/>
      <c r="E3976" s="17"/>
      <c r="F3976" s="17"/>
      <c r="G3976" s="17"/>
      <c r="H3976" s="18"/>
    </row>
    <row r="3977" spans="1:8">
      <c r="A3977" s="15"/>
      <c r="B3977" s="15" t="s">
        <v>23</v>
      </c>
      <c r="C3977" s="15"/>
      <c r="D3977" s="15"/>
      <c r="E3977" s="15"/>
      <c r="F3977" s="15"/>
      <c r="G3977" s="15"/>
      <c r="H3977" s="20">
        <f>ROUND(SUM(H3975:H3976),0)</f>
        <v>132</v>
      </c>
    </row>
    <row r="3978" spans="1:8" s="948" customFormat="1">
      <c r="H3978" s="21"/>
    </row>
    <row r="3979" spans="1:8" s="948" customFormat="1">
      <c r="A3979" s="17">
        <v>4</v>
      </c>
      <c r="B3979" s="15" t="s">
        <v>2153</v>
      </c>
      <c r="C3979" s="17" t="s">
        <v>10</v>
      </c>
      <c r="D3979" s="17"/>
      <c r="E3979" s="17"/>
      <c r="F3979" s="17"/>
      <c r="G3979" s="17"/>
      <c r="H3979" s="18"/>
    </row>
    <row r="3980" spans="1:8" s="948" customFormat="1">
      <c r="A3980" s="17"/>
      <c r="B3980" s="17" t="s">
        <v>156</v>
      </c>
      <c r="C3980" s="17" t="s">
        <v>10</v>
      </c>
      <c r="D3980" s="17">
        <v>1</v>
      </c>
      <c r="E3980" s="17">
        <v>0.92500000000000004</v>
      </c>
      <c r="F3980" s="17"/>
      <c r="G3980" s="17">
        <v>2.6</v>
      </c>
      <c r="H3980" s="18">
        <f t="shared" ref="H3980:H3981" si="587">PRODUCT(D3980:G3980)</f>
        <v>2.4050000000000002</v>
      </c>
    </row>
    <row r="3981" spans="1:8" s="948" customFormat="1">
      <c r="A3981" s="17"/>
      <c r="B3981" s="17"/>
      <c r="C3981" s="17" t="s">
        <v>10</v>
      </c>
      <c r="D3981" s="17">
        <v>1</v>
      </c>
      <c r="E3981" s="17">
        <v>1.3</v>
      </c>
      <c r="F3981" s="17"/>
      <c r="G3981" s="17">
        <v>2.6</v>
      </c>
      <c r="H3981" s="18">
        <f t="shared" si="587"/>
        <v>3.3800000000000003</v>
      </c>
    </row>
    <row r="3982" spans="1:8" s="948" customFormat="1">
      <c r="A3982" s="485"/>
      <c r="B3982" s="485" t="s">
        <v>99</v>
      </c>
      <c r="C3982" s="17" t="s">
        <v>10</v>
      </c>
      <c r="D3982" s="17">
        <v>3</v>
      </c>
      <c r="E3982" s="17">
        <v>0.75</v>
      </c>
      <c r="F3982" s="17"/>
      <c r="G3982" s="17">
        <v>2.6</v>
      </c>
      <c r="H3982" s="18">
        <f t="shared" ref="H3982:H3983" si="588">PRODUCT(D3982:G3982)</f>
        <v>5.8500000000000005</v>
      </c>
    </row>
    <row r="3983" spans="1:8" s="948" customFormat="1">
      <c r="A3983" s="485"/>
      <c r="B3983" s="485"/>
      <c r="C3983" s="17" t="s">
        <v>10</v>
      </c>
      <c r="D3983" s="485">
        <v>2</v>
      </c>
      <c r="E3983" s="485">
        <v>0.3</v>
      </c>
      <c r="F3983" s="485"/>
      <c r="G3983" s="17">
        <v>2.6</v>
      </c>
      <c r="H3983" s="18">
        <f t="shared" si="588"/>
        <v>1.56</v>
      </c>
    </row>
    <row r="3984" spans="1:8" s="948" customFormat="1">
      <c r="A3984" s="485"/>
      <c r="B3984" s="485" t="s">
        <v>1252</v>
      </c>
      <c r="C3984" s="17" t="s">
        <v>10</v>
      </c>
      <c r="D3984" s="485">
        <v>1</v>
      </c>
      <c r="E3984" s="485">
        <v>3.45</v>
      </c>
      <c r="F3984" s="485"/>
      <c r="G3984" s="17">
        <v>2.6</v>
      </c>
      <c r="H3984" s="18">
        <f t="shared" ref="H3984:H3985" si="589">PRODUCT(D3984:G3984)</f>
        <v>8.9700000000000006</v>
      </c>
    </row>
    <row r="3985" spans="1:8" s="948" customFormat="1">
      <c r="A3985" s="485"/>
      <c r="B3985" s="485"/>
      <c r="C3985" s="17" t="s">
        <v>10</v>
      </c>
      <c r="D3985" s="485">
        <v>1</v>
      </c>
      <c r="E3985" s="485">
        <v>1.18</v>
      </c>
      <c r="F3985" s="485"/>
      <c r="G3985" s="17">
        <v>2.6</v>
      </c>
      <c r="H3985" s="18">
        <f t="shared" si="589"/>
        <v>3.0680000000000001</v>
      </c>
    </row>
    <row r="3986" spans="1:8" s="948" customFormat="1">
      <c r="A3986" s="485"/>
      <c r="B3986" s="485"/>
      <c r="C3986" s="17" t="s">
        <v>10</v>
      </c>
      <c r="D3986" s="485">
        <v>1</v>
      </c>
      <c r="E3986" s="485">
        <v>4.84</v>
      </c>
      <c r="F3986" s="485"/>
      <c r="G3986" s="17">
        <v>2.6</v>
      </c>
      <c r="H3986" s="18">
        <f t="shared" ref="H3986" si="590">PRODUCT(D3986:G3986)</f>
        <v>12.584</v>
      </c>
    </row>
    <row r="3987" spans="1:8" s="948" customFormat="1">
      <c r="A3987" s="485"/>
      <c r="B3987" s="485"/>
      <c r="C3987" s="17" t="s">
        <v>10</v>
      </c>
      <c r="D3987" s="485">
        <v>1</v>
      </c>
      <c r="E3987" s="485">
        <v>0.8</v>
      </c>
      <c r="F3987" s="485"/>
      <c r="G3987" s="17">
        <v>2.6</v>
      </c>
      <c r="H3987" s="18">
        <f t="shared" ref="H3987:H3988" si="591">PRODUCT(D3987:G3987)</f>
        <v>2.08</v>
      </c>
    </row>
    <row r="3988" spans="1:8" s="948" customFormat="1">
      <c r="A3988" s="485"/>
      <c r="B3988" s="485"/>
      <c r="C3988" s="17" t="s">
        <v>10</v>
      </c>
      <c r="D3988" s="485">
        <v>1</v>
      </c>
      <c r="E3988" s="485">
        <v>0.16</v>
      </c>
      <c r="F3988" s="485"/>
      <c r="G3988" s="17">
        <v>2.6</v>
      </c>
      <c r="H3988" s="18">
        <f t="shared" si="591"/>
        <v>0.41600000000000004</v>
      </c>
    </row>
    <row r="3989" spans="1:8" s="948" customFormat="1">
      <c r="A3989" s="485"/>
      <c r="B3989" s="485"/>
      <c r="C3989" s="17" t="s">
        <v>10</v>
      </c>
      <c r="D3989" s="485">
        <v>1</v>
      </c>
      <c r="E3989" s="485">
        <v>1.61</v>
      </c>
      <c r="F3989" s="485"/>
      <c r="G3989" s="17">
        <v>2.6</v>
      </c>
      <c r="H3989" s="18">
        <f t="shared" ref="H3989" si="592">PRODUCT(D3989:G3989)</f>
        <v>4.1860000000000008</v>
      </c>
    </row>
    <row r="3990" spans="1:8" s="948" customFormat="1">
      <c r="A3990" s="485"/>
      <c r="B3990" s="485" t="s">
        <v>201</v>
      </c>
      <c r="C3990" s="17" t="s">
        <v>10</v>
      </c>
      <c r="D3990" s="485">
        <v>2</v>
      </c>
      <c r="E3990" s="485">
        <v>1.45</v>
      </c>
      <c r="F3990" s="485"/>
      <c r="G3990" s="17">
        <v>2.6</v>
      </c>
      <c r="H3990" s="18">
        <f t="shared" ref="H3990" si="593">PRODUCT(D3990:G3990)</f>
        <v>7.54</v>
      </c>
    </row>
    <row r="3991" spans="1:8" s="948" customFormat="1">
      <c r="A3991" s="485"/>
      <c r="B3991" s="485"/>
      <c r="C3991" s="17" t="s">
        <v>10</v>
      </c>
      <c r="D3991" s="485">
        <v>1</v>
      </c>
      <c r="E3991" s="485">
        <v>4.4000000000000004</v>
      </c>
      <c r="F3991" s="485"/>
      <c r="G3991" s="17">
        <v>2.6</v>
      </c>
      <c r="H3991" s="18">
        <f t="shared" ref="H3991" si="594">PRODUCT(D3991:G3991)</f>
        <v>11.440000000000001</v>
      </c>
    </row>
    <row r="3992" spans="1:8" s="948" customFormat="1">
      <c r="A3992" s="485"/>
      <c r="B3992" s="485"/>
      <c r="C3992" s="17" t="s">
        <v>10</v>
      </c>
      <c r="D3992" s="485">
        <v>2</v>
      </c>
      <c r="E3992" s="485">
        <v>0.1</v>
      </c>
      <c r="F3992" s="485"/>
      <c r="G3992" s="17">
        <v>2.6</v>
      </c>
      <c r="H3992" s="18">
        <f t="shared" ref="H3992" si="595">PRODUCT(D3992:G3992)</f>
        <v>0.52</v>
      </c>
    </row>
    <row r="3993" spans="1:8" s="948" customFormat="1">
      <c r="A3993" s="485"/>
      <c r="B3993" s="485" t="s">
        <v>1917</v>
      </c>
      <c r="C3993" s="17" t="s">
        <v>10</v>
      </c>
      <c r="D3993" s="485">
        <v>1</v>
      </c>
      <c r="E3993" s="485">
        <v>1.45</v>
      </c>
      <c r="F3993" s="485"/>
      <c r="G3993" s="17">
        <v>2.6</v>
      </c>
      <c r="H3993" s="18">
        <f t="shared" ref="H3993" si="596">PRODUCT(D3993:G3993)</f>
        <v>3.77</v>
      </c>
    </row>
    <row r="3994" spans="1:8" s="948" customFormat="1">
      <c r="A3994" s="485"/>
      <c r="B3994" s="485"/>
      <c r="C3994" s="17" t="s">
        <v>10</v>
      </c>
      <c r="D3994" s="485">
        <v>2</v>
      </c>
      <c r="E3994" s="485">
        <v>0.75</v>
      </c>
      <c r="F3994" s="485"/>
      <c r="G3994" s="17">
        <v>2.6</v>
      </c>
      <c r="H3994" s="18">
        <f t="shared" ref="H3994" si="597">PRODUCT(D3994:G3994)</f>
        <v>3.9000000000000004</v>
      </c>
    </row>
    <row r="3995" spans="1:8" s="948" customFormat="1">
      <c r="A3995" s="485"/>
      <c r="B3995" s="485"/>
      <c r="C3995" s="17" t="s">
        <v>10</v>
      </c>
      <c r="D3995" s="485">
        <v>1</v>
      </c>
      <c r="E3995" s="485">
        <v>0.1</v>
      </c>
      <c r="F3995" s="485"/>
      <c r="G3995" s="17">
        <v>2.6</v>
      </c>
      <c r="H3995" s="18">
        <f t="shared" ref="H3995" si="598">PRODUCT(D3995:G3995)</f>
        <v>0.26</v>
      </c>
    </row>
    <row r="3996" spans="1:8" s="948" customFormat="1">
      <c r="A3996" s="485"/>
      <c r="B3996" s="485"/>
      <c r="C3996" s="17" t="s">
        <v>10</v>
      </c>
      <c r="D3996" s="485">
        <v>1</v>
      </c>
      <c r="E3996" s="485">
        <v>3.4</v>
      </c>
      <c r="F3996" s="485"/>
      <c r="G3996" s="17">
        <v>2.6</v>
      </c>
      <c r="H3996" s="18">
        <f t="shared" ref="H3996" si="599">PRODUCT(D3996:G3996)</f>
        <v>8.84</v>
      </c>
    </row>
    <row r="3997" spans="1:8" s="948" customFormat="1">
      <c r="A3997" s="485"/>
      <c r="B3997" s="485"/>
      <c r="C3997" s="17" t="s">
        <v>10</v>
      </c>
      <c r="D3997" s="485">
        <v>2</v>
      </c>
      <c r="E3997" s="485">
        <v>0.6</v>
      </c>
      <c r="F3997" s="485"/>
      <c r="G3997" s="17">
        <v>2.6</v>
      </c>
      <c r="H3997" s="18">
        <f t="shared" ref="H3997" si="600">PRODUCT(D3997:G3997)</f>
        <v>3.12</v>
      </c>
    </row>
    <row r="3998" spans="1:8" s="948" customFormat="1">
      <c r="A3998" s="485"/>
      <c r="B3998" s="485" t="s">
        <v>99</v>
      </c>
      <c r="C3998" s="17" t="s">
        <v>10</v>
      </c>
      <c r="D3998" s="485">
        <v>2</v>
      </c>
      <c r="E3998" s="485">
        <v>0.6</v>
      </c>
      <c r="F3998" s="485"/>
      <c r="G3998" s="17">
        <v>2.6</v>
      </c>
      <c r="H3998" s="18">
        <f t="shared" ref="H3998:H3999" si="601">PRODUCT(D3998:G3998)</f>
        <v>3.12</v>
      </c>
    </row>
    <row r="3999" spans="1:8" s="948" customFormat="1">
      <c r="A3999" s="485"/>
      <c r="B3999" s="485"/>
      <c r="C3999" s="17" t="s">
        <v>10</v>
      </c>
      <c r="D3999" s="485">
        <v>2</v>
      </c>
      <c r="E3999" s="485">
        <v>0.1</v>
      </c>
      <c r="F3999" s="485"/>
      <c r="G3999" s="17">
        <v>2.6</v>
      </c>
      <c r="H3999" s="18">
        <f t="shared" si="601"/>
        <v>0.52</v>
      </c>
    </row>
    <row r="4000" spans="1:8" s="948" customFormat="1">
      <c r="A4000" s="485"/>
      <c r="B4000" s="485"/>
      <c r="C4000" s="17" t="s">
        <v>10</v>
      </c>
      <c r="D4000" s="485">
        <v>1</v>
      </c>
      <c r="E4000" s="485">
        <v>0.84</v>
      </c>
      <c r="F4000" s="485"/>
      <c r="G4000" s="17">
        <v>2.6</v>
      </c>
      <c r="H4000" s="18">
        <f t="shared" ref="H4000" si="602">PRODUCT(D4000:G4000)</f>
        <v>2.1840000000000002</v>
      </c>
    </row>
    <row r="4001" spans="1:8" s="948" customFormat="1">
      <c r="A4001" s="485"/>
      <c r="B4001" s="485" t="s">
        <v>201</v>
      </c>
      <c r="C4001" s="17" t="s">
        <v>10</v>
      </c>
      <c r="D4001" s="485">
        <v>1</v>
      </c>
      <c r="E4001" s="485">
        <v>0.3</v>
      </c>
      <c r="F4001" s="485"/>
      <c r="G4001" s="17">
        <v>2.6</v>
      </c>
      <c r="H4001" s="18">
        <f t="shared" ref="H4001" si="603">PRODUCT(D4001:G4001)</f>
        <v>0.78</v>
      </c>
    </row>
    <row r="4002" spans="1:8" s="948" customFormat="1">
      <c r="A4002" s="485"/>
      <c r="B4002" s="485"/>
      <c r="C4002" s="17" t="s">
        <v>10</v>
      </c>
      <c r="D4002" s="485">
        <v>1</v>
      </c>
      <c r="E4002" s="485">
        <v>0.6</v>
      </c>
      <c r="F4002" s="485"/>
      <c r="G4002" s="17">
        <v>2.6</v>
      </c>
      <c r="H4002" s="18">
        <f t="shared" ref="H4002:H4003" si="604">PRODUCT(D4002:G4002)</f>
        <v>1.56</v>
      </c>
    </row>
    <row r="4003" spans="1:8" s="948" customFormat="1">
      <c r="A4003" s="485"/>
      <c r="B4003" s="485"/>
      <c r="C4003" s="17" t="s">
        <v>10</v>
      </c>
      <c r="D4003" s="485">
        <v>1</v>
      </c>
      <c r="E4003" s="485">
        <v>1.53</v>
      </c>
      <c r="F4003" s="485"/>
      <c r="G4003" s="17">
        <v>2.6</v>
      </c>
      <c r="H4003" s="18">
        <f t="shared" si="604"/>
        <v>3.9780000000000002</v>
      </c>
    </row>
    <row r="4004" spans="1:8" s="948" customFormat="1">
      <c r="A4004" s="485"/>
      <c r="B4004" s="485"/>
      <c r="C4004" s="17" t="s">
        <v>10</v>
      </c>
      <c r="D4004" s="485">
        <v>1</v>
      </c>
      <c r="E4004" s="485">
        <v>0.6</v>
      </c>
      <c r="F4004" s="485"/>
      <c r="G4004" s="17">
        <v>2.6</v>
      </c>
      <c r="H4004" s="18">
        <f t="shared" ref="H4004:H4005" si="605">PRODUCT(D4004:G4004)</f>
        <v>1.56</v>
      </c>
    </row>
    <row r="4005" spans="1:8" s="948" customFormat="1">
      <c r="A4005" s="485"/>
      <c r="B4005" s="485"/>
      <c r="C4005" s="17" t="s">
        <v>10</v>
      </c>
      <c r="D4005" s="485">
        <v>1</v>
      </c>
      <c r="E4005" s="485">
        <v>0.1</v>
      </c>
      <c r="F4005" s="485"/>
      <c r="G4005" s="17">
        <v>2.6</v>
      </c>
      <c r="H4005" s="18">
        <f t="shared" si="605"/>
        <v>0.26</v>
      </c>
    </row>
    <row r="4006" spans="1:8" s="948" customFormat="1">
      <c r="A4006" s="485"/>
      <c r="B4006" s="485"/>
      <c r="C4006" s="17" t="s">
        <v>10</v>
      </c>
      <c r="D4006" s="485">
        <v>4</v>
      </c>
      <c r="E4006" s="485">
        <v>1.4</v>
      </c>
      <c r="F4006" s="485"/>
      <c r="G4006" s="17">
        <v>2.6</v>
      </c>
      <c r="H4006" s="18">
        <f t="shared" ref="H4006:H4007" si="606">PRODUCT(D4006:G4006)</f>
        <v>14.559999999999999</v>
      </c>
    </row>
    <row r="4007" spans="1:8" s="948" customFormat="1">
      <c r="A4007" s="485"/>
      <c r="B4007" s="485"/>
      <c r="C4007" s="17" t="s">
        <v>10</v>
      </c>
      <c r="D4007" s="485">
        <v>1</v>
      </c>
      <c r="E4007" s="485">
        <v>7.5</v>
      </c>
      <c r="F4007" s="485"/>
      <c r="G4007" s="17">
        <v>2.6</v>
      </c>
      <c r="H4007" s="18">
        <f t="shared" si="606"/>
        <v>19.5</v>
      </c>
    </row>
    <row r="4008" spans="1:8" s="948" customFormat="1">
      <c r="A4008" s="485"/>
      <c r="B4008" s="485" t="s">
        <v>1339</v>
      </c>
      <c r="C4008" s="17" t="s">
        <v>10</v>
      </c>
      <c r="D4008" s="485">
        <v>5</v>
      </c>
      <c r="E4008" s="485">
        <v>0.6</v>
      </c>
      <c r="F4008" s="485"/>
      <c r="G4008" s="17">
        <v>2.6</v>
      </c>
      <c r="H4008" s="18">
        <f t="shared" ref="H4008" si="607">PRODUCT(D4008:G4008)</f>
        <v>7.8000000000000007</v>
      </c>
    </row>
    <row r="4009" spans="1:8" s="948" customFormat="1">
      <c r="A4009" s="485"/>
      <c r="B4009" s="485"/>
      <c r="C4009" s="17" t="s">
        <v>10</v>
      </c>
      <c r="D4009" s="485">
        <v>1</v>
      </c>
      <c r="E4009" s="485">
        <v>0.85</v>
      </c>
      <c r="F4009" s="485"/>
      <c r="G4009" s="17">
        <v>2.6</v>
      </c>
      <c r="H4009" s="18">
        <f t="shared" ref="H4009:H4010" si="608">PRODUCT(D4009:G4009)</f>
        <v>2.21</v>
      </c>
    </row>
    <row r="4010" spans="1:8" s="948" customFormat="1">
      <c r="A4010" s="485"/>
      <c r="B4010" s="485"/>
      <c r="C4010" s="17" t="s">
        <v>10</v>
      </c>
      <c r="D4010" s="485">
        <v>3</v>
      </c>
      <c r="E4010" s="485">
        <v>0.1</v>
      </c>
      <c r="F4010" s="485"/>
      <c r="G4010" s="17">
        <v>2.6</v>
      </c>
      <c r="H4010" s="18">
        <f t="shared" si="608"/>
        <v>0.78000000000000014</v>
      </c>
    </row>
    <row r="4011" spans="1:8" s="948" customFormat="1">
      <c r="A4011" s="485"/>
      <c r="B4011" s="485" t="s">
        <v>186</v>
      </c>
      <c r="C4011" s="17" t="s">
        <v>10</v>
      </c>
      <c r="D4011" s="485">
        <v>2</v>
      </c>
      <c r="E4011" s="485">
        <v>0.6</v>
      </c>
      <c r="F4011" s="485"/>
      <c r="G4011" s="17">
        <v>2.6</v>
      </c>
      <c r="H4011" s="18">
        <f t="shared" ref="H4011" si="609">PRODUCT(D4011:G4011)</f>
        <v>3.12</v>
      </c>
    </row>
    <row r="4012" spans="1:8" s="948" customFormat="1">
      <c r="A4012" s="485"/>
      <c r="B4012" s="485"/>
      <c r="C4012" s="17" t="s">
        <v>10</v>
      </c>
      <c r="D4012" s="485">
        <v>1</v>
      </c>
      <c r="E4012" s="485">
        <v>3.05</v>
      </c>
      <c r="F4012" s="485"/>
      <c r="G4012" s="17">
        <v>2.6</v>
      </c>
      <c r="H4012" s="18">
        <f t="shared" ref="H4012:H4014" si="610">PRODUCT(D4012:G4012)</f>
        <v>7.93</v>
      </c>
    </row>
    <row r="4013" spans="1:8" s="948" customFormat="1">
      <c r="A4013" s="485"/>
      <c r="B4013" s="485"/>
      <c r="C4013" s="17" t="s">
        <v>10</v>
      </c>
      <c r="D4013" s="485">
        <v>1</v>
      </c>
      <c r="E4013" s="485">
        <v>2</v>
      </c>
      <c r="F4013" s="485"/>
      <c r="G4013" s="485">
        <v>2.6</v>
      </c>
      <c r="H4013" s="487">
        <f t="shared" si="610"/>
        <v>5.2</v>
      </c>
    </row>
    <row r="4014" spans="1:8" s="948" customFormat="1">
      <c r="A4014" s="485"/>
      <c r="B4014" s="485"/>
      <c r="C4014" s="17" t="s">
        <v>10</v>
      </c>
      <c r="D4014" s="485">
        <v>1</v>
      </c>
      <c r="E4014" s="485">
        <f>0.63+0.5</f>
        <v>1.1299999999999999</v>
      </c>
      <c r="F4014" s="485"/>
      <c r="G4014" s="485">
        <v>2.6</v>
      </c>
      <c r="H4014" s="487">
        <f t="shared" si="610"/>
        <v>2.9379999999999997</v>
      </c>
    </row>
    <row r="4015" spans="1:8" s="948" customFormat="1">
      <c r="A4015" s="17"/>
      <c r="B4015" s="17"/>
      <c r="C4015" s="17"/>
      <c r="D4015" s="17"/>
      <c r="E4015" s="17"/>
      <c r="F4015" s="17"/>
      <c r="G4015" s="17"/>
      <c r="H4015" s="18"/>
    </row>
    <row r="4016" spans="1:8" s="948" customFormat="1">
      <c r="A4016" s="15"/>
      <c r="B4016" s="15" t="s">
        <v>21</v>
      </c>
      <c r="C4016" s="15"/>
      <c r="D4016" s="15"/>
      <c r="E4016" s="15"/>
      <c r="F4016" s="15"/>
      <c r="G4016" s="15"/>
      <c r="H4016" s="20">
        <f>SUM(H3979:H4015)</f>
        <v>161.88900000000004</v>
      </c>
    </row>
    <row r="4017" spans="1:8" s="948" customFormat="1">
      <c r="A4017" s="17"/>
      <c r="B4017" s="17" t="s">
        <v>22</v>
      </c>
      <c r="C4017" s="17"/>
      <c r="D4017" s="17"/>
      <c r="E4017" s="17"/>
      <c r="F4017" s="17"/>
      <c r="G4017" s="17"/>
      <c r="H4017" s="18"/>
    </row>
    <row r="4018" spans="1:8" s="948" customFormat="1">
      <c r="A4018" s="15"/>
      <c r="B4018" s="15" t="s">
        <v>23</v>
      </c>
      <c r="C4018" s="15"/>
      <c r="D4018" s="15"/>
      <c r="E4018" s="15"/>
      <c r="F4018" s="15"/>
      <c r="G4018" s="15"/>
      <c r="H4018" s="20">
        <f>ROUND(SUM(H4016:H4017),0)</f>
        <v>162</v>
      </c>
    </row>
    <row r="4019" spans="1:8" s="948" customFormat="1">
      <c r="H4019" s="21"/>
    </row>
    <row r="4020" spans="1:8" s="948" customFormat="1">
      <c r="A4020" s="17">
        <v>4</v>
      </c>
      <c r="B4020" s="15" t="s">
        <v>2157</v>
      </c>
      <c r="C4020" s="17" t="s">
        <v>10</v>
      </c>
      <c r="D4020" s="17"/>
      <c r="E4020" s="17"/>
      <c r="F4020" s="17"/>
      <c r="G4020" s="17"/>
      <c r="H4020" s="18"/>
    </row>
    <row r="4021" spans="1:8" s="948" customFormat="1">
      <c r="A4021" s="17"/>
      <c r="B4021" s="17" t="s">
        <v>2157</v>
      </c>
      <c r="C4021" s="17" t="s">
        <v>10</v>
      </c>
      <c r="D4021" s="17">
        <v>1</v>
      </c>
      <c r="E4021" s="17">
        <v>2</v>
      </c>
      <c r="F4021" s="17"/>
      <c r="G4021" s="17">
        <v>2.6</v>
      </c>
      <c r="H4021" s="18">
        <f t="shared" ref="H4021:H4022" si="611">PRODUCT(D4021:G4021)</f>
        <v>5.2</v>
      </c>
    </row>
    <row r="4022" spans="1:8" s="948" customFormat="1">
      <c r="A4022" s="17"/>
      <c r="B4022" s="17"/>
      <c r="C4022" s="17" t="s">
        <v>10</v>
      </c>
      <c r="D4022" s="17">
        <v>1</v>
      </c>
      <c r="E4022" s="17">
        <v>0.45</v>
      </c>
      <c r="F4022" s="17"/>
      <c r="G4022" s="17">
        <v>2.6</v>
      </c>
      <c r="H4022" s="18">
        <f t="shared" si="611"/>
        <v>1.1700000000000002</v>
      </c>
    </row>
    <row r="4023" spans="1:8" s="948" customFormat="1">
      <c r="A4023" s="485"/>
      <c r="B4023" s="485"/>
      <c r="C4023" s="17" t="s">
        <v>10</v>
      </c>
      <c r="D4023" s="17">
        <v>1</v>
      </c>
      <c r="E4023" s="17">
        <v>2.9</v>
      </c>
      <c r="F4023" s="17"/>
      <c r="G4023" s="17">
        <v>0.6</v>
      </c>
      <c r="H4023" s="18">
        <f t="shared" ref="H4023" si="612">PRODUCT(D4023:G4023)</f>
        <v>1.74</v>
      </c>
    </row>
    <row r="4024" spans="1:8" s="948" customFormat="1">
      <c r="A4024" s="485"/>
      <c r="B4024" s="485"/>
      <c r="C4024" s="17" t="s">
        <v>10</v>
      </c>
      <c r="D4024" s="17">
        <v>1</v>
      </c>
      <c r="E4024" s="17">
        <v>0.16</v>
      </c>
      <c r="F4024" s="17"/>
      <c r="G4024" s="17">
        <v>0.6</v>
      </c>
      <c r="H4024" s="18">
        <f t="shared" ref="H4024" si="613">PRODUCT(D4024:G4024)</f>
        <v>9.6000000000000002E-2</v>
      </c>
    </row>
    <row r="4025" spans="1:8" s="948" customFormat="1">
      <c r="A4025" s="485"/>
      <c r="B4025" s="485"/>
      <c r="C4025" s="17" t="s">
        <v>10</v>
      </c>
      <c r="D4025" s="17">
        <v>1</v>
      </c>
      <c r="E4025" s="17">
        <v>7.3</v>
      </c>
      <c r="F4025" s="17"/>
      <c r="G4025" s="17">
        <v>0.6</v>
      </c>
      <c r="H4025" s="18">
        <f t="shared" ref="H4025:H4026" si="614">PRODUCT(D4025:G4025)</f>
        <v>4.38</v>
      </c>
    </row>
    <row r="4026" spans="1:8" s="948" customFormat="1">
      <c r="A4026" s="485"/>
      <c r="B4026" s="485"/>
      <c r="C4026" s="17" t="s">
        <v>10</v>
      </c>
      <c r="D4026" s="485">
        <v>1</v>
      </c>
      <c r="E4026" s="485">
        <v>0.315</v>
      </c>
      <c r="F4026" s="485"/>
      <c r="G4026" s="17">
        <v>0.6</v>
      </c>
      <c r="H4026" s="18">
        <f t="shared" si="614"/>
        <v>0.189</v>
      </c>
    </row>
    <row r="4027" spans="1:8" s="948" customFormat="1">
      <c r="A4027" s="485"/>
      <c r="B4027" s="485"/>
      <c r="C4027" s="17" t="s">
        <v>10</v>
      </c>
      <c r="D4027" s="485">
        <v>1</v>
      </c>
      <c r="E4027" s="485">
        <v>0.4</v>
      </c>
      <c r="F4027" s="485"/>
      <c r="G4027" s="17">
        <v>0.6</v>
      </c>
      <c r="H4027" s="18">
        <f t="shared" ref="H4027" si="615">PRODUCT(D4027:G4027)</f>
        <v>0.24</v>
      </c>
    </row>
    <row r="4028" spans="1:8" s="948" customFormat="1">
      <c r="A4028" s="17"/>
      <c r="B4028" s="17"/>
      <c r="C4028" s="17"/>
      <c r="D4028" s="17"/>
      <c r="E4028" s="17"/>
      <c r="F4028" s="17"/>
      <c r="G4028" s="17"/>
      <c r="H4028" s="18"/>
    </row>
    <row r="4029" spans="1:8" s="948" customFormat="1">
      <c r="A4029" s="15"/>
      <c r="B4029" s="15" t="s">
        <v>21</v>
      </c>
      <c r="C4029" s="15"/>
      <c r="D4029" s="15"/>
      <c r="E4029" s="15"/>
      <c r="F4029" s="15"/>
      <c r="G4029" s="15"/>
      <c r="H4029" s="20">
        <f>SUM(H4020:H4028)</f>
        <v>13.014999999999999</v>
      </c>
    </row>
    <row r="4030" spans="1:8" s="948" customFormat="1">
      <c r="A4030" s="17"/>
      <c r="B4030" s="17" t="s">
        <v>22</v>
      </c>
      <c r="C4030" s="17"/>
      <c r="D4030" s="17"/>
      <c r="E4030" s="17"/>
      <c r="F4030" s="17"/>
      <c r="G4030" s="17"/>
      <c r="H4030" s="18"/>
    </row>
    <row r="4031" spans="1:8" s="948" customFormat="1">
      <c r="A4031" s="15"/>
      <c r="B4031" s="15" t="s">
        <v>23</v>
      </c>
      <c r="C4031" s="15"/>
      <c r="D4031" s="15"/>
      <c r="E4031" s="15"/>
      <c r="F4031" s="15"/>
      <c r="G4031" s="15"/>
      <c r="H4031" s="20">
        <f>ROUND(SUM(H4029:H4030),0)</f>
        <v>13</v>
      </c>
    </row>
    <row r="4032" spans="1:8" s="948" customFormat="1">
      <c r="H4032" s="21"/>
    </row>
    <row r="4033" spans="1:8" s="948" customFormat="1">
      <c r="A4033" s="17">
        <v>4</v>
      </c>
      <c r="B4033" s="15" t="s">
        <v>2161</v>
      </c>
      <c r="C4033" s="17" t="s">
        <v>10</v>
      </c>
      <c r="D4033" s="17"/>
      <c r="E4033" s="17"/>
      <c r="F4033" s="17"/>
      <c r="G4033" s="17"/>
      <c r="H4033" s="18"/>
    </row>
    <row r="4034" spans="1:8" s="948" customFormat="1">
      <c r="A4034" s="17"/>
      <c r="B4034" s="17" t="s">
        <v>186</v>
      </c>
      <c r="C4034" s="17" t="s">
        <v>10</v>
      </c>
      <c r="D4034" s="17">
        <v>1</v>
      </c>
      <c r="E4034" s="17">
        <v>3.85</v>
      </c>
      <c r="F4034" s="17"/>
      <c r="G4034" s="17">
        <v>2</v>
      </c>
      <c r="H4034" s="18">
        <f t="shared" ref="H4034:H4038" si="616">PRODUCT(D4034:G4034)</f>
        <v>7.7</v>
      </c>
    </row>
    <row r="4035" spans="1:8" s="948" customFormat="1">
      <c r="A4035" s="17"/>
      <c r="B4035" s="17"/>
      <c r="C4035" s="17" t="s">
        <v>10</v>
      </c>
      <c r="D4035" s="17">
        <v>1</v>
      </c>
      <c r="E4035" s="17">
        <v>0.16</v>
      </c>
      <c r="F4035" s="17"/>
      <c r="G4035" s="17">
        <v>2</v>
      </c>
      <c r="H4035" s="18">
        <f t="shared" si="616"/>
        <v>0.32</v>
      </c>
    </row>
    <row r="4036" spans="1:8" s="948" customFormat="1">
      <c r="A4036" s="485"/>
      <c r="B4036" s="485"/>
      <c r="C4036" s="17" t="s">
        <v>10</v>
      </c>
      <c r="D4036" s="17">
        <v>1</v>
      </c>
      <c r="E4036" s="17">
        <v>2.9</v>
      </c>
      <c r="F4036" s="17"/>
      <c r="G4036" s="17">
        <v>2</v>
      </c>
      <c r="H4036" s="18">
        <f t="shared" si="616"/>
        <v>5.8</v>
      </c>
    </row>
    <row r="4037" spans="1:8" s="948" customFormat="1">
      <c r="A4037" s="485"/>
      <c r="B4037" s="485"/>
      <c r="C4037" s="17" t="s">
        <v>10</v>
      </c>
      <c r="D4037" s="17">
        <v>1</v>
      </c>
      <c r="E4037" s="17">
        <v>1.5</v>
      </c>
      <c r="F4037" s="17"/>
      <c r="G4037" s="17">
        <f>2.1-1.2</f>
        <v>0.90000000000000013</v>
      </c>
      <c r="H4037" s="18">
        <f t="shared" si="616"/>
        <v>1.35</v>
      </c>
    </row>
    <row r="4038" spans="1:8" s="948" customFormat="1">
      <c r="A4038" s="485"/>
      <c r="B4038" s="485"/>
      <c r="C4038" s="17" t="s">
        <v>10</v>
      </c>
      <c r="D4038" s="17">
        <v>1</v>
      </c>
      <c r="E4038" s="17">
        <v>1.5</v>
      </c>
      <c r="F4038" s="17"/>
      <c r="G4038" s="17">
        <v>2.6</v>
      </c>
      <c r="H4038" s="18">
        <f t="shared" si="616"/>
        <v>3.9000000000000004</v>
      </c>
    </row>
    <row r="4039" spans="1:8" s="948" customFormat="1">
      <c r="A4039" s="17"/>
      <c r="B4039" s="17"/>
      <c r="C4039" s="17"/>
      <c r="D4039" s="17"/>
      <c r="E4039" s="17"/>
      <c r="F4039" s="17"/>
      <c r="G4039" s="17"/>
      <c r="H4039" s="18"/>
    </row>
    <row r="4040" spans="1:8" s="948" customFormat="1">
      <c r="A4040" s="15"/>
      <c r="B4040" s="15" t="s">
        <v>21</v>
      </c>
      <c r="C4040" s="15"/>
      <c r="D4040" s="15"/>
      <c r="E4040" s="15"/>
      <c r="F4040" s="15"/>
      <c r="G4040" s="15"/>
      <c r="H4040" s="20">
        <f>SUM(H4033:H4039)</f>
        <v>19.07</v>
      </c>
    </row>
    <row r="4041" spans="1:8" s="948" customFormat="1">
      <c r="A4041" s="17"/>
      <c r="B4041" s="17" t="s">
        <v>22</v>
      </c>
      <c r="C4041" s="17"/>
      <c r="D4041" s="17"/>
      <c r="E4041" s="17"/>
      <c r="F4041" s="17"/>
      <c r="G4041" s="17"/>
      <c r="H4041" s="18"/>
    </row>
    <row r="4042" spans="1:8" s="948" customFormat="1">
      <c r="A4042" s="15"/>
      <c r="B4042" s="15" t="s">
        <v>23</v>
      </c>
      <c r="C4042" s="15"/>
      <c r="D4042" s="15"/>
      <c r="E4042" s="15"/>
      <c r="F4042" s="15"/>
      <c r="G4042" s="15"/>
      <c r="H4042" s="20">
        <f>ROUND(SUM(H4040:H4041),0)</f>
        <v>19</v>
      </c>
    </row>
    <row r="4044" spans="1:8">
      <c r="A4044" s="17">
        <v>4</v>
      </c>
      <c r="B4044" s="15" t="s">
        <v>89</v>
      </c>
      <c r="C4044" s="17" t="s">
        <v>10</v>
      </c>
      <c r="D4044" s="17"/>
      <c r="E4044" s="17"/>
      <c r="F4044" s="17"/>
      <c r="G4044" s="17"/>
      <c r="H4044" s="18"/>
    </row>
    <row r="4045" spans="1:8">
      <c r="A4045" s="17"/>
      <c r="B4045" s="17" t="s">
        <v>196</v>
      </c>
      <c r="C4045" s="16"/>
      <c r="D4045" s="17"/>
      <c r="E4045" s="17"/>
      <c r="F4045" s="17"/>
      <c r="G4045" s="17"/>
      <c r="H4045" s="18"/>
    </row>
    <row r="4046" spans="1:8">
      <c r="A4046" s="17"/>
      <c r="B4046" s="17" t="s">
        <v>2095</v>
      </c>
      <c r="C4046" s="16" t="s">
        <v>10</v>
      </c>
      <c r="D4046" s="17">
        <v>1</v>
      </c>
      <c r="E4046" s="17">
        <v>2.415</v>
      </c>
      <c r="F4046" s="17"/>
      <c r="G4046" s="17">
        <v>2.6</v>
      </c>
      <c r="H4046" s="18">
        <f t="shared" ref="H4046:H4052" si="617">PRODUCT(D4046:G4046)</f>
        <v>6.2789999999999999</v>
      </c>
    </row>
    <row r="4047" spans="1:8">
      <c r="A4047" s="485"/>
      <c r="B4047" s="485" t="s">
        <v>2096</v>
      </c>
      <c r="C4047" s="16" t="s">
        <v>10</v>
      </c>
      <c r="D4047" s="17">
        <v>2</v>
      </c>
      <c r="E4047" s="17">
        <v>2.4</v>
      </c>
      <c r="F4047" s="17"/>
      <c r="G4047" s="17">
        <v>2.6</v>
      </c>
      <c r="H4047" s="18">
        <f t="shared" si="617"/>
        <v>12.48</v>
      </c>
    </row>
    <row r="4048" spans="1:8">
      <c r="A4048" s="485"/>
      <c r="B4048" s="485" t="s">
        <v>2086</v>
      </c>
      <c r="C4048" s="16" t="s">
        <v>10</v>
      </c>
      <c r="D4048" s="17">
        <v>2</v>
      </c>
      <c r="E4048" s="17">
        <v>2.4</v>
      </c>
      <c r="F4048" s="17"/>
      <c r="G4048" s="17">
        <v>2.6</v>
      </c>
      <c r="H4048" s="18">
        <f t="shared" si="617"/>
        <v>12.48</v>
      </c>
    </row>
    <row r="4049" spans="1:8">
      <c r="A4049" s="485"/>
      <c r="B4049" s="485"/>
      <c r="C4049" s="16" t="s">
        <v>10</v>
      </c>
      <c r="D4049" s="485">
        <v>1</v>
      </c>
      <c r="E4049" s="485">
        <v>2</v>
      </c>
      <c r="F4049" s="485"/>
      <c r="G4049" s="17">
        <v>2.6</v>
      </c>
      <c r="H4049" s="18">
        <f t="shared" si="617"/>
        <v>5.2</v>
      </c>
    </row>
    <row r="4050" spans="1:8">
      <c r="A4050" s="485"/>
      <c r="B4050" s="485" t="s">
        <v>2097</v>
      </c>
      <c r="C4050" s="16" t="s">
        <v>10</v>
      </c>
      <c r="D4050" s="17">
        <v>4</v>
      </c>
      <c r="E4050" s="17">
        <v>2.4</v>
      </c>
      <c r="F4050" s="17"/>
      <c r="G4050" s="17">
        <v>2.6</v>
      </c>
      <c r="H4050" s="18">
        <f t="shared" si="617"/>
        <v>24.96</v>
      </c>
    </row>
    <row r="4051" spans="1:8">
      <c r="A4051" s="485"/>
      <c r="B4051" s="485" t="s">
        <v>2098</v>
      </c>
      <c r="C4051" s="16" t="s">
        <v>10</v>
      </c>
      <c r="D4051" s="17">
        <v>1</v>
      </c>
      <c r="E4051" s="17">
        <v>3.88</v>
      </c>
      <c r="F4051" s="17"/>
      <c r="G4051" s="17">
        <v>2.6</v>
      </c>
      <c r="H4051" s="18">
        <f t="shared" si="617"/>
        <v>10.087999999999999</v>
      </c>
    </row>
    <row r="4052" spans="1:8">
      <c r="A4052" s="485"/>
      <c r="B4052" s="485" t="s">
        <v>2099</v>
      </c>
      <c r="C4052" s="16" t="s">
        <v>10</v>
      </c>
      <c r="D4052" s="17">
        <v>2</v>
      </c>
      <c r="E4052" s="17">
        <v>2.4</v>
      </c>
      <c r="F4052" s="17"/>
      <c r="G4052" s="17">
        <v>2.6</v>
      </c>
      <c r="H4052" s="18">
        <f t="shared" si="617"/>
        <v>12.48</v>
      </c>
    </row>
    <row r="4053" spans="1:8">
      <c r="A4053" s="17"/>
      <c r="B4053" s="17"/>
      <c r="C4053" s="17"/>
      <c r="D4053" s="17"/>
      <c r="E4053" s="17"/>
      <c r="F4053" s="17"/>
      <c r="G4053" s="17"/>
      <c r="H4053" s="18"/>
    </row>
    <row r="4054" spans="1:8">
      <c r="A4054" s="15"/>
      <c r="B4054" s="15" t="s">
        <v>21</v>
      </c>
      <c r="C4054" s="15"/>
      <c r="D4054" s="15"/>
      <c r="E4054" s="15"/>
      <c r="F4054" s="15"/>
      <c r="G4054" s="15"/>
      <c r="H4054" s="20">
        <f>SUM(H4045:H4053)</f>
        <v>83.966999999999999</v>
      </c>
    </row>
    <row r="4055" spans="1:8">
      <c r="A4055" s="17"/>
      <c r="B4055" s="17" t="s">
        <v>22</v>
      </c>
      <c r="C4055" s="17"/>
      <c r="D4055" s="17"/>
      <c r="E4055" s="17"/>
      <c r="F4055" s="17"/>
      <c r="G4055" s="17"/>
      <c r="H4055" s="18"/>
    </row>
    <row r="4056" spans="1:8">
      <c r="A4056" s="15"/>
      <c r="B4056" s="15" t="s">
        <v>23</v>
      </c>
      <c r="C4056" s="15"/>
      <c r="D4056" s="15"/>
      <c r="E4056" s="15"/>
      <c r="F4056" s="15"/>
      <c r="G4056" s="15"/>
      <c r="H4056" s="20">
        <f>ROUND(SUM(H4054:H4055),0)</f>
        <v>84</v>
      </c>
    </row>
    <row r="4058" spans="1:8">
      <c r="A4058" s="17">
        <v>4</v>
      </c>
      <c r="B4058" s="15" t="s">
        <v>300</v>
      </c>
      <c r="C4058" s="17" t="s">
        <v>10</v>
      </c>
      <c r="D4058" s="17"/>
      <c r="E4058" s="17"/>
      <c r="F4058" s="17"/>
      <c r="G4058" s="17"/>
      <c r="H4058" s="18"/>
    </row>
    <row r="4059" spans="1:8">
      <c r="A4059" s="17"/>
      <c r="B4059" s="17" t="s">
        <v>300</v>
      </c>
      <c r="C4059" s="16" t="s">
        <v>10</v>
      </c>
      <c r="D4059" s="17">
        <v>1</v>
      </c>
      <c r="E4059" s="17">
        <v>3.1</v>
      </c>
      <c r="F4059" s="17"/>
      <c r="G4059" s="17">
        <v>2.7</v>
      </c>
      <c r="H4059" s="18">
        <f>PRODUCT(D4059:G4059)</f>
        <v>8.370000000000001</v>
      </c>
    </row>
    <row r="4060" spans="1:8">
      <c r="A4060" s="485"/>
      <c r="B4060" s="485"/>
      <c r="C4060" s="16" t="s">
        <v>10</v>
      </c>
      <c r="D4060" s="485">
        <v>1</v>
      </c>
      <c r="E4060" s="485">
        <v>2.4</v>
      </c>
      <c r="F4060" s="485"/>
      <c r="G4060" s="17">
        <v>2.7</v>
      </c>
      <c r="H4060" s="18">
        <f>PRODUCT(D4060:G4060)</f>
        <v>6.48</v>
      </c>
    </row>
    <row r="4061" spans="1:8">
      <c r="A4061" s="17"/>
      <c r="B4061" s="17"/>
      <c r="C4061" s="16"/>
      <c r="D4061" s="17"/>
      <c r="E4061" s="17"/>
      <c r="F4061" s="17"/>
      <c r="G4061" s="17"/>
      <c r="H4061" s="18"/>
    </row>
    <row r="4062" spans="1:8">
      <c r="A4062" s="17"/>
      <c r="B4062" s="17"/>
      <c r="C4062" s="17"/>
      <c r="D4062" s="17"/>
      <c r="E4062" s="17"/>
      <c r="F4062" s="17"/>
      <c r="G4062" s="17"/>
      <c r="H4062" s="18"/>
    </row>
    <row r="4063" spans="1:8">
      <c r="A4063" s="15"/>
      <c r="B4063" s="15" t="s">
        <v>21</v>
      </c>
      <c r="C4063" s="15"/>
      <c r="D4063" s="15"/>
      <c r="E4063" s="15"/>
      <c r="F4063" s="15"/>
      <c r="G4063" s="15"/>
      <c r="H4063" s="20">
        <f>SUM(H4059:H4062)</f>
        <v>14.850000000000001</v>
      </c>
    </row>
    <row r="4064" spans="1:8">
      <c r="A4064" s="17"/>
      <c r="B4064" s="17" t="s">
        <v>22</v>
      </c>
      <c r="C4064" s="17"/>
      <c r="D4064" s="17"/>
      <c r="E4064" s="17"/>
      <c r="F4064" s="17"/>
      <c r="G4064" s="17"/>
      <c r="H4064" s="18"/>
    </row>
    <row r="4065" spans="1:8">
      <c r="A4065" s="15"/>
      <c r="B4065" s="15" t="s">
        <v>23</v>
      </c>
      <c r="C4065" s="15"/>
      <c r="D4065" s="15"/>
      <c r="E4065" s="15"/>
      <c r="F4065" s="15"/>
      <c r="G4065" s="15"/>
      <c r="H4065" s="20">
        <f>ROUND(SUM(H4063:H4064),0)</f>
        <v>15</v>
      </c>
    </row>
    <row r="4067" spans="1:8">
      <c r="A4067" s="17">
        <v>4</v>
      </c>
      <c r="B4067" s="15" t="s">
        <v>93</v>
      </c>
      <c r="C4067" s="17" t="s">
        <v>10</v>
      </c>
      <c r="D4067" s="17"/>
      <c r="E4067" s="17"/>
      <c r="F4067" s="17"/>
      <c r="G4067" s="17"/>
      <c r="H4067" s="18"/>
    </row>
    <row r="4068" spans="1:8">
      <c r="A4068" s="17"/>
      <c r="B4068" s="17" t="s">
        <v>156</v>
      </c>
      <c r="C4068" s="16" t="s">
        <v>10</v>
      </c>
      <c r="D4068" s="17"/>
      <c r="E4068" s="17"/>
      <c r="F4068" s="17"/>
      <c r="G4068" s="17"/>
      <c r="H4068" s="18">
        <f t="shared" ref="H4068:H4082" si="618">PRODUCT(D4068:G4068)</f>
        <v>0</v>
      </c>
    </row>
    <row r="4069" spans="1:8">
      <c r="A4069" s="17"/>
      <c r="B4069" s="17" t="s">
        <v>156</v>
      </c>
      <c r="C4069" s="16" t="s">
        <v>10</v>
      </c>
      <c r="D4069" s="17"/>
      <c r="E4069" s="17"/>
      <c r="F4069" s="17"/>
      <c r="G4069" s="17"/>
      <c r="H4069" s="18">
        <f t="shared" si="618"/>
        <v>0</v>
      </c>
    </row>
    <row r="4070" spans="1:8">
      <c r="A4070" s="17"/>
      <c r="B4070" s="17"/>
      <c r="C4070" s="16" t="s">
        <v>10</v>
      </c>
      <c r="D4070" s="17"/>
      <c r="E4070" s="17"/>
      <c r="F4070" s="17"/>
      <c r="G4070" s="17"/>
      <c r="H4070" s="18">
        <f t="shared" si="618"/>
        <v>0</v>
      </c>
    </row>
    <row r="4071" spans="1:8">
      <c r="A4071" s="17"/>
      <c r="B4071" s="17"/>
      <c r="C4071" s="16" t="s">
        <v>10</v>
      </c>
      <c r="D4071" s="17">
        <v>1</v>
      </c>
      <c r="E4071" s="17">
        <v>6.6</v>
      </c>
      <c r="F4071" s="17">
        <v>2.6</v>
      </c>
      <c r="G4071" s="17"/>
      <c r="H4071" s="18">
        <f t="shared" si="618"/>
        <v>17.16</v>
      </c>
    </row>
    <row r="4072" spans="1:8">
      <c r="A4072" s="17"/>
      <c r="B4072" s="17"/>
      <c r="C4072" s="16" t="s">
        <v>10</v>
      </c>
      <c r="D4072" s="17">
        <v>1</v>
      </c>
      <c r="E4072" s="17">
        <v>2.1</v>
      </c>
      <c r="F4072" s="17">
        <v>2.6</v>
      </c>
      <c r="G4072" s="17"/>
      <c r="H4072" s="18">
        <f t="shared" si="618"/>
        <v>5.4600000000000009</v>
      </c>
    </row>
    <row r="4073" spans="1:8">
      <c r="A4073" s="17"/>
      <c r="B4073" s="17"/>
      <c r="C4073" s="16" t="s">
        <v>10</v>
      </c>
      <c r="D4073" s="17">
        <v>2</v>
      </c>
      <c r="E4073" s="17">
        <v>0.8</v>
      </c>
      <c r="F4073" s="17">
        <v>2.6</v>
      </c>
      <c r="G4073" s="17"/>
      <c r="H4073" s="18">
        <f t="shared" si="618"/>
        <v>4.16</v>
      </c>
    </row>
    <row r="4074" spans="1:8">
      <c r="A4074" s="17"/>
      <c r="B4074" s="17"/>
      <c r="C4074" s="16" t="s">
        <v>10</v>
      </c>
      <c r="D4074" s="17">
        <v>-1</v>
      </c>
      <c r="E4074" s="17">
        <v>1.5</v>
      </c>
      <c r="F4074" s="17">
        <v>2.4</v>
      </c>
      <c r="G4074" s="17"/>
      <c r="H4074" s="18">
        <f t="shared" si="618"/>
        <v>-3.5999999999999996</v>
      </c>
    </row>
    <row r="4075" spans="1:8">
      <c r="A4075" s="17"/>
      <c r="B4075" s="17"/>
      <c r="C4075" s="16" t="s">
        <v>10</v>
      </c>
      <c r="D4075" s="17">
        <v>1</v>
      </c>
      <c r="E4075" s="17">
        <v>1.85</v>
      </c>
      <c r="F4075" s="17">
        <v>2.6</v>
      </c>
      <c r="G4075" s="17"/>
      <c r="H4075" s="18">
        <f t="shared" si="618"/>
        <v>4.8100000000000005</v>
      </c>
    </row>
    <row r="4076" spans="1:8">
      <c r="A4076" s="17"/>
      <c r="B4076" s="17"/>
      <c r="C4076" s="16" t="s">
        <v>10</v>
      </c>
      <c r="D4076" s="17">
        <v>1</v>
      </c>
      <c r="E4076" s="17">
        <v>1.85</v>
      </c>
      <c r="F4076" s="17">
        <v>2.6</v>
      </c>
      <c r="G4076" s="17"/>
      <c r="H4076" s="18">
        <f t="shared" si="618"/>
        <v>4.8100000000000005</v>
      </c>
    </row>
    <row r="4077" spans="1:8">
      <c r="A4077" s="17"/>
      <c r="B4077" s="17"/>
      <c r="C4077" s="16" t="s">
        <v>10</v>
      </c>
      <c r="D4077" s="17">
        <v>1</v>
      </c>
      <c r="E4077" s="17">
        <v>2.5499999999999998</v>
      </c>
      <c r="F4077" s="17">
        <v>2.6</v>
      </c>
      <c r="G4077" s="17"/>
      <c r="H4077" s="18">
        <f t="shared" si="618"/>
        <v>6.63</v>
      </c>
    </row>
    <row r="4078" spans="1:8">
      <c r="A4078" s="17"/>
      <c r="B4078" s="17"/>
      <c r="C4078" s="16" t="s">
        <v>10</v>
      </c>
      <c r="D4078" s="17">
        <v>1</v>
      </c>
      <c r="E4078" s="17">
        <v>3.28</v>
      </c>
      <c r="F4078" s="17">
        <v>2.6</v>
      </c>
      <c r="G4078" s="17"/>
      <c r="H4078" s="18">
        <f t="shared" si="618"/>
        <v>8.5280000000000005</v>
      </c>
    </row>
    <row r="4079" spans="1:8">
      <c r="A4079" s="17"/>
      <c r="B4079" s="17"/>
      <c r="C4079" s="16" t="s">
        <v>10</v>
      </c>
      <c r="D4079" s="17">
        <v>-1</v>
      </c>
      <c r="E4079" s="17">
        <v>1.5</v>
      </c>
      <c r="F4079" s="17">
        <v>2.4</v>
      </c>
      <c r="G4079" s="17"/>
      <c r="H4079" s="18">
        <f t="shared" si="618"/>
        <v>-3.5999999999999996</v>
      </c>
    </row>
    <row r="4080" spans="1:8">
      <c r="A4080" s="17"/>
      <c r="B4080" s="17"/>
      <c r="C4080" s="16" t="s">
        <v>10</v>
      </c>
      <c r="D4080" s="17">
        <v>1</v>
      </c>
      <c r="E4080" s="17">
        <v>2.5499999999999998</v>
      </c>
      <c r="F4080" s="17">
        <v>2.6</v>
      </c>
      <c r="G4080" s="17"/>
      <c r="H4080" s="18">
        <f t="shared" si="618"/>
        <v>6.63</v>
      </c>
    </row>
    <row r="4081" spans="1:8">
      <c r="A4081" s="17"/>
      <c r="B4081" s="17"/>
      <c r="C4081" s="16" t="s">
        <v>10</v>
      </c>
      <c r="D4081" s="17">
        <v>2</v>
      </c>
      <c r="E4081" s="17">
        <v>0.77500000000000002</v>
      </c>
      <c r="F4081" s="17">
        <v>2.6</v>
      </c>
      <c r="G4081" s="17"/>
      <c r="H4081" s="18">
        <f t="shared" si="618"/>
        <v>4.03</v>
      </c>
    </row>
    <row r="4082" spans="1:8">
      <c r="A4082" s="17"/>
      <c r="B4082" s="17"/>
      <c r="C4082" s="16" t="s">
        <v>10</v>
      </c>
      <c r="D4082" s="17">
        <v>-1</v>
      </c>
      <c r="E4082" s="17">
        <v>0.85</v>
      </c>
      <c r="F4082" s="17">
        <v>2.4</v>
      </c>
      <c r="G4082" s="17"/>
      <c r="H4082" s="18">
        <f t="shared" si="618"/>
        <v>-2.04</v>
      </c>
    </row>
    <row r="4083" spans="1:8">
      <c r="A4083" s="17"/>
      <c r="B4083" s="17"/>
      <c r="C4083" s="16"/>
      <c r="D4083" s="17"/>
      <c r="E4083" s="17"/>
      <c r="F4083" s="17"/>
      <c r="G4083" s="17"/>
      <c r="H4083" s="18"/>
    </row>
    <row r="4084" spans="1:8">
      <c r="A4084" s="17"/>
      <c r="B4084" s="17"/>
      <c r="C4084" s="17"/>
      <c r="D4084" s="17"/>
      <c r="E4084" s="17"/>
      <c r="F4084" s="17"/>
      <c r="G4084" s="17"/>
      <c r="H4084" s="18"/>
    </row>
    <row r="4085" spans="1:8">
      <c r="A4085" s="15"/>
      <c r="B4085" s="15" t="s">
        <v>21</v>
      </c>
      <c r="C4085" s="15"/>
      <c r="D4085" s="15"/>
      <c r="E4085" s="15"/>
      <c r="F4085" s="15"/>
      <c r="G4085" s="15"/>
      <c r="H4085" s="20">
        <f>SUM(H4068:H4084)</f>
        <v>52.978000000000009</v>
      </c>
    </row>
    <row r="4086" spans="1:8">
      <c r="A4086" s="17"/>
      <c r="B4086" s="17" t="s">
        <v>22</v>
      </c>
      <c r="C4086" s="17"/>
      <c r="D4086" s="17"/>
      <c r="E4086" s="17"/>
      <c r="F4086" s="17"/>
      <c r="G4086" s="17"/>
      <c r="H4086" s="18"/>
    </row>
    <row r="4087" spans="1:8">
      <c r="A4087" s="15"/>
      <c r="B4087" s="15" t="s">
        <v>23</v>
      </c>
      <c r="C4087" s="15"/>
      <c r="D4087" s="15"/>
      <c r="E4087" s="15"/>
      <c r="F4087" s="15"/>
      <c r="G4087" s="15"/>
      <c r="H4087" s="20">
        <f>ROUND(SUM(H4085:H4086),0)</f>
        <v>53</v>
      </c>
    </row>
    <row r="4089" spans="1:8">
      <c r="A4089" s="17">
        <v>4</v>
      </c>
      <c r="B4089" s="15" t="s">
        <v>93</v>
      </c>
      <c r="C4089" s="17" t="s">
        <v>10</v>
      </c>
      <c r="D4089" s="17"/>
      <c r="E4089" s="17"/>
      <c r="F4089" s="17"/>
      <c r="G4089" s="17"/>
      <c r="H4089" s="18"/>
    </row>
    <row r="4090" spans="1:8">
      <c r="A4090" s="17"/>
      <c r="B4090" s="17"/>
      <c r="C4090" s="16"/>
      <c r="D4090" s="17"/>
      <c r="E4090" s="17"/>
      <c r="F4090" s="17"/>
      <c r="G4090" s="17"/>
      <c r="H4090" s="18">
        <f t="shared" ref="H4090:H4092" si="619">PRODUCT(D4090:G4090)</f>
        <v>0</v>
      </c>
    </row>
    <row r="4091" spans="1:8">
      <c r="A4091" s="17"/>
      <c r="B4091" s="17" t="s">
        <v>156</v>
      </c>
      <c r="C4091" s="16" t="s">
        <v>10</v>
      </c>
      <c r="D4091" s="17">
        <v>1</v>
      </c>
      <c r="E4091" s="17">
        <v>8.6140000000000008</v>
      </c>
      <c r="F4091" s="17">
        <f>2.7-0.9</f>
        <v>1.8000000000000003</v>
      </c>
      <c r="G4091" s="17"/>
      <c r="H4091" s="18">
        <f t="shared" si="619"/>
        <v>15.505200000000004</v>
      </c>
    </row>
    <row r="4092" spans="1:8">
      <c r="A4092" s="17"/>
      <c r="B4092" s="17" t="s">
        <v>156</v>
      </c>
      <c r="C4092" s="16" t="s">
        <v>10</v>
      </c>
      <c r="D4092" s="17">
        <v>1</v>
      </c>
      <c r="E4092" s="17">
        <v>2.75</v>
      </c>
      <c r="F4092" s="17">
        <f>2.7-0.9</f>
        <v>1.8000000000000003</v>
      </c>
      <c r="G4092" s="17"/>
      <c r="H4092" s="18">
        <f t="shared" si="619"/>
        <v>4.9500000000000011</v>
      </c>
    </row>
    <row r="4093" spans="1:8">
      <c r="A4093" s="17"/>
      <c r="B4093" s="17" t="s">
        <v>156</v>
      </c>
      <c r="C4093" s="16" t="s">
        <v>10</v>
      </c>
      <c r="D4093" s="17">
        <v>1</v>
      </c>
      <c r="E4093" s="17">
        <v>1.75</v>
      </c>
      <c r="F4093" s="17">
        <f>2.7-0.9</f>
        <v>1.8000000000000003</v>
      </c>
      <c r="G4093" s="17"/>
      <c r="H4093" s="18">
        <f t="shared" ref="H4093" si="620">PRODUCT(D4093:G4093)</f>
        <v>3.1500000000000004</v>
      </c>
    </row>
    <row r="4094" spans="1:8">
      <c r="A4094" s="17"/>
      <c r="B4094" s="17"/>
      <c r="C4094" s="17"/>
      <c r="D4094" s="17"/>
      <c r="E4094" s="17"/>
      <c r="F4094" s="17"/>
      <c r="G4094" s="17"/>
      <c r="H4094" s="18"/>
    </row>
    <row r="4095" spans="1:8">
      <c r="A4095" s="15"/>
      <c r="B4095" s="15" t="s">
        <v>21</v>
      </c>
      <c r="C4095" s="15"/>
      <c r="D4095" s="15"/>
      <c r="E4095" s="15"/>
      <c r="F4095" s="15"/>
      <c r="G4095" s="15"/>
      <c r="H4095" s="20">
        <f>SUM(H4090:H4094)</f>
        <v>23.605200000000004</v>
      </c>
    </row>
    <row r="4096" spans="1:8">
      <c r="A4096" s="17"/>
      <c r="B4096" s="17" t="s">
        <v>22</v>
      </c>
      <c r="C4096" s="17"/>
      <c r="D4096" s="17"/>
      <c r="E4096" s="17"/>
      <c r="F4096" s="17"/>
      <c r="G4096" s="17"/>
      <c r="H4096" s="18"/>
    </row>
    <row r="4097" spans="1:8">
      <c r="A4097" s="15"/>
      <c r="B4097" s="15" t="s">
        <v>23</v>
      </c>
      <c r="C4097" s="15"/>
      <c r="D4097" s="15"/>
      <c r="E4097" s="15"/>
      <c r="F4097" s="15"/>
      <c r="G4097" s="15"/>
      <c r="H4097" s="20">
        <f>ROUND(SUM(H4095:H4096),0)</f>
        <v>24</v>
      </c>
    </row>
    <row r="4099" spans="1:8">
      <c r="A4099" s="17">
        <v>4</v>
      </c>
      <c r="B4099" s="15" t="s">
        <v>94</v>
      </c>
      <c r="C4099" s="17" t="s">
        <v>10</v>
      </c>
      <c r="D4099" s="17"/>
      <c r="E4099" s="17"/>
      <c r="F4099" s="17"/>
      <c r="G4099" s="17"/>
      <c r="H4099" s="18"/>
    </row>
    <row r="4100" spans="1:8">
      <c r="A4100" s="17"/>
      <c r="B4100" s="17"/>
      <c r="C4100" s="16"/>
      <c r="D4100" s="17"/>
      <c r="E4100" s="17"/>
      <c r="F4100" s="17"/>
      <c r="G4100" s="17"/>
      <c r="H4100" s="18">
        <f t="shared" ref="H4100:H4107" si="621">PRODUCT(D4100:G4100)</f>
        <v>0</v>
      </c>
    </row>
    <row r="4101" spans="1:8">
      <c r="A4101" s="17"/>
      <c r="B4101" s="17" t="s">
        <v>2150</v>
      </c>
      <c r="C4101" s="16" t="s">
        <v>10</v>
      </c>
      <c r="D4101" s="17">
        <v>1</v>
      </c>
      <c r="E4101" s="17">
        <f>0.975+1.2</f>
        <v>2.1749999999999998</v>
      </c>
      <c r="F4101" s="17">
        <v>2.7</v>
      </c>
      <c r="G4101" s="17"/>
      <c r="H4101" s="18">
        <f t="shared" si="621"/>
        <v>5.8724999999999996</v>
      </c>
    </row>
    <row r="4102" spans="1:8" s="948" customFormat="1">
      <c r="A4102" s="485"/>
      <c r="B4102" s="17" t="s">
        <v>2150</v>
      </c>
      <c r="C4102" s="16" t="s">
        <v>10</v>
      </c>
      <c r="D4102" s="17">
        <v>1</v>
      </c>
      <c r="E4102" s="17">
        <f>1.05+1.41+1.325</f>
        <v>3.7850000000000001</v>
      </c>
      <c r="F4102" s="17">
        <v>2.7</v>
      </c>
      <c r="G4102" s="17"/>
      <c r="H4102" s="18">
        <f t="shared" ref="H4102" si="622">PRODUCT(D4102:G4102)</f>
        <v>10.219500000000002</v>
      </c>
    </row>
    <row r="4103" spans="1:8">
      <c r="A4103" s="17"/>
      <c r="B4103" s="17" t="s">
        <v>1409</v>
      </c>
      <c r="C4103" s="16" t="s">
        <v>10</v>
      </c>
      <c r="D4103" s="17">
        <v>1</v>
      </c>
      <c r="E4103" s="17">
        <v>2.2000000000000002</v>
      </c>
      <c r="F4103" s="17">
        <v>2.7</v>
      </c>
      <c r="G4103" s="17"/>
      <c r="H4103" s="18">
        <f t="shared" si="621"/>
        <v>5.9400000000000013</v>
      </c>
    </row>
    <row r="4104" spans="1:8">
      <c r="A4104" s="17"/>
      <c r="B4104" s="17"/>
      <c r="C4104" s="16" t="s">
        <v>10</v>
      </c>
      <c r="D4104" s="17">
        <v>1</v>
      </c>
      <c r="E4104" s="17">
        <v>6.5</v>
      </c>
      <c r="F4104" s="17">
        <v>1.1000000000000001</v>
      </c>
      <c r="G4104" s="17"/>
      <c r="H4104" s="18">
        <f t="shared" si="621"/>
        <v>7.15</v>
      </c>
    </row>
    <row r="4105" spans="1:8" s="948" customFormat="1">
      <c r="A4105" s="485"/>
      <c r="B4105" s="485"/>
      <c r="C4105" s="16" t="s">
        <v>10</v>
      </c>
      <c r="D4105" s="17">
        <v>1</v>
      </c>
      <c r="E4105" s="17">
        <v>3.6</v>
      </c>
      <c r="F4105" s="17">
        <v>1.9</v>
      </c>
      <c r="G4105" s="17"/>
      <c r="H4105" s="18">
        <f t="shared" ref="H4105" si="623">PRODUCT(D4105:G4105)</f>
        <v>6.84</v>
      </c>
    </row>
    <row r="4106" spans="1:8">
      <c r="A4106" s="485"/>
      <c r="B4106" s="485" t="s">
        <v>1917</v>
      </c>
      <c r="C4106" s="16" t="s">
        <v>10</v>
      </c>
      <c r="D4106" s="485">
        <v>1</v>
      </c>
      <c r="E4106" s="485">
        <v>1.98</v>
      </c>
      <c r="F4106" s="485">
        <f>2.7-0.8</f>
        <v>1.9000000000000001</v>
      </c>
      <c r="G4106" s="485"/>
      <c r="H4106" s="18">
        <f t="shared" si="621"/>
        <v>3.762</v>
      </c>
    </row>
    <row r="4107" spans="1:8">
      <c r="A4107" s="17"/>
      <c r="B4107" s="17"/>
      <c r="C4107" s="16" t="s">
        <v>10</v>
      </c>
      <c r="D4107" s="17">
        <v>1</v>
      </c>
      <c r="E4107" s="17">
        <v>4.9000000000000004</v>
      </c>
      <c r="F4107" s="485">
        <f>2.7-0.8</f>
        <v>1.9000000000000001</v>
      </c>
      <c r="G4107" s="17"/>
      <c r="H4107" s="18">
        <f t="shared" si="621"/>
        <v>9.31</v>
      </c>
    </row>
    <row r="4108" spans="1:8" s="948" customFormat="1">
      <c r="A4108" s="485"/>
      <c r="B4108" s="485" t="s">
        <v>1339</v>
      </c>
      <c r="C4108" s="16" t="s">
        <v>10</v>
      </c>
      <c r="D4108" s="17">
        <v>1</v>
      </c>
      <c r="E4108" s="17">
        <v>4</v>
      </c>
      <c r="F4108" s="485">
        <f>2.7-0.8</f>
        <v>1.9000000000000001</v>
      </c>
      <c r="G4108" s="17"/>
      <c r="H4108" s="18">
        <f t="shared" ref="H4108" si="624">PRODUCT(D4108:G4108)</f>
        <v>7.6000000000000005</v>
      </c>
    </row>
    <row r="4109" spans="1:8">
      <c r="A4109" s="17"/>
      <c r="B4109" s="17"/>
      <c r="C4109" s="17"/>
      <c r="D4109" s="17"/>
      <c r="E4109" s="17"/>
      <c r="F4109" s="17"/>
      <c r="G4109" s="17"/>
      <c r="H4109" s="18"/>
    </row>
    <row r="4110" spans="1:8">
      <c r="A4110" s="15"/>
      <c r="B4110" s="15" t="s">
        <v>21</v>
      </c>
      <c r="C4110" s="15"/>
      <c r="D4110" s="15"/>
      <c r="E4110" s="15"/>
      <c r="F4110" s="15"/>
      <c r="G4110" s="15"/>
      <c r="H4110" s="20">
        <f>SUM(H4100:H4109)</f>
        <v>56.69400000000001</v>
      </c>
    </row>
    <row r="4111" spans="1:8">
      <c r="A4111" s="17"/>
      <c r="B4111" s="17" t="s">
        <v>22</v>
      </c>
      <c r="C4111" s="17"/>
      <c r="D4111" s="17"/>
      <c r="E4111" s="17"/>
      <c r="F4111" s="17"/>
      <c r="G4111" s="17"/>
      <c r="H4111" s="18"/>
    </row>
    <row r="4112" spans="1:8">
      <c r="A4112" s="15"/>
      <c r="B4112" s="15" t="s">
        <v>23</v>
      </c>
      <c r="C4112" s="15"/>
      <c r="D4112" s="15"/>
      <c r="E4112" s="15"/>
      <c r="F4112" s="15"/>
      <c r="G4112" s="15"/>
      <c r="H4112" s="20">
        <f>ROUND(SUM(H4110:H4111),0)</f>
        <v>57</v>
      </c>
    </row>
    <row r="4114" spans="1:8">
      <c r="A4114" s="17">
        <v>4</v>
      </c>
      <c r="B4114" s="15" t="s">
        <v>94</v>
      </c>
      <c r="C4114" s="17" t="s">
        <v>10</v>
      </c>
      <c r="D4114" s="17"/>
      <c r="E4114" s="17"/>
      <c r="F4114" s="17"/>
      <c r="G4114" s="17"/>
      <c r="H4114" s="18"/>
    </row>
    <row r="4115" spans="1:8">
      <c r="A4115" s="17"/>
      <c r="B4115" s="17"/>
      <c r="C4115" s="16"/>
      <c r="D4115" s="17"/>
      <c r="E4115" s="17"/>
      <c r="F4115" s="17"/>
      <c r="G4115" s="17"/>
      <c r="H4115" s="18">
        <f t="shared" ref="H4115" si="625">PRODUCT(D4115:G4115)</f>
        <v>0</v>
      </c>
    </row>
    <row r="4116" spans="1:8">
      <c r="A4116" s="17"/>
      <c r="B4116" s="17" t="s">
        <v>284</v>
      </c>
      <c r="C4116" s="17" t="s">
        <v>10</v>
      </c>
      <c r="D4116" s="17"/>
      <c r="E4116" s="17"/>
      <c r="F4116" s="17"/>
      <c r="G4116" s="17"/>
      <c r="H4116" s="18">
        <f t="shared" ref="H4116:H4134" si="626">PRODUCT(D4116:G4116)</f>
        <v>0</v>
      </c>
    </row>
    <row r="4117" spans="1:8">
      <c r="A4117" s="485"/>
      <c r="B4117" s="485"/>
      <c r="C4117" s="17" t="s">
        <v>10</v>
      </c>
      <c r="D4117" s="485"/>
      <c r="E4117" s="485"/>
      <c r="F4117" s="485"/>
      <c r="G4117" s="485"/>
      <c r="H4117" s="18">
        <f t="shared" si="626"/>
        <v>0</v>
      </c>
    </row>
    <row r="4118" spans="1:8">
      <c r="A4118" s="485"/>
      <c r="B4118" s="485" t="s">
        <v>1185</v>
      </c>
      <c r="C4118" s="17" t="s">
        <v>10</v>
      </c>
      <c r="D4118" s="485">
        <v>1</v>
      </c>
      <c r="E4118" s="485">
        <v>4.5999999999999996</v>
      </c>
      <c r="F4118" s="485"/>
      <c r="G4118" s="485">
        <v>2.7</v>
      </c>
      <c r="H4118" s="18">
        <f t="shared" si="626"/>
        <v>12.42</v>
      </c>
    </row>
    <row r="4119" spans="1:8">
      <c r="A4119" s="485"/>
      <c r="B4119" s="485"/>
      <c r="C4119" s="17" t="s">
        <v>10</v>
      </c>
      <c r="D4119" s="485">
        <v>1</v>
      </c>
      <c r="E4119" s="485">
        <v>2.9</v>
      </c>
      <c r="F4119" s="485"/>
      <c r="G4119" s="485">
        <v>2.7</v>
      </c>
      <c r="H4119" s="18">
        <f t="shared" si="626"/>
        <v>7.83</v>
      </c>
    </row>
    <row r="4120" spans="1:8" s="948" customFormat="1">
      <c r="A4120" s="485"/>
      <c r="B4120" s="485"/>
      <c r="C4120" s="17" t="s">
        <v>10</v>
      </c>
      <c r="D4120" s="485">
        <v>-1</v>
      </c>
      <c r="E4120" s="485">
        <v>1.5</v>
      </c>
      <c r="F4120" s="485"/>
      <c r="G4120" s="485">
        <v>2.4</v>
      </c>
      <c r="H4120" s="18">
        <f t="shared" si="626"/>
        <v>-3.5999999999999996</v>
      </c>
    </row>
    <row r="4121" spans="1:8" s="948" customFormat="1">
      <c r="A4121" s="485"/>
      <c r="B4121" s="485"/>
      <c r="C4121" s="17" t="s">
        <v>10</v>
      </c>
      <c r="D4121" s="485">
        <v>-1</v>
      </c>
      <c r="E4121" s="485">
        <v>1.135</v>
      </c>
      <c r="F4121" s="485"/>
      <c r="G4121" s="485">
        <f>2.7-1.1</f>
        <v>1.6</v>
      </c>
      <c r="H4121" s="18">
        <f t="shared" si="626"/>
        <v>-1.8160000000000001</v>
      </c>
    </row>
    <row r="4122" spans="1:8">
      <c r="A4122" s="485"/>
      <c r="B4122" s="485" t="s">
        <v>1177</v>
      </c>
      <c r="C4122" s="17" t="s">
        <v>10</v>
      </c>
      <c r="D4122" s="485"/>
      <c r="E4122" s="485"/>
      <c r="F4122" s="485"/>
      <c r="G4122" s="485"/>
      <c r="H4122" s="487">
        <f t="shared" si="626"/>
        <v>0</v>
      </c>
    </row>
    <row r="4123" spans="1:8">
      <c r="A4123" s="485"/>
      <c r="B4123" s="485"/>
      <c r="C4123" s="17" t="s">
        <v>10</v>
      </c>
      <c r="D4123" s="485">
        <v>1</v>
      </c>
      <c r="E4123" s="485">
        <v>4.2</v>
      </c>
      <c r="F4123" s="485"/>
      <c r="G4123" s="485">
        <v>2.4</v>
      </c>
      <c r="H4123" s="487">
        <f t="shared" si="626"/>
        <v>10.08</v>
      </c>
    </row>
    <row r="4124" spans="1:8" s="948" customFormat="1">
      <c r="A4124" s="485"/>
      <c r="B4124" s="485"/>
      <c r="C4124" s="17" t="s">
        <v>10</v>
      </c>
      <c r="D4124" s="485">
        <v>2</v>
      </c>
      <c r="E4124" s="485">
        <v>4</v>
      </c>
      <c r="F4124" s="485"/>
      <c r="G4124" s="485">
        <v>2.4</v>
      </c>
      <c r="H4124" s="487">
        <f t="shared" si="626"/>
        <v>19.2</v>
      </c>
    </row>
    <row r="4125" spans="1:8">
      <c r="A4125" s="485"/>
      <c r="B4125" s="485"/>
      <c r="C4125" s="17" t="s">
        <v>10</v>
      </c>
      <c r="D4125" s="485">
        <v>-2</v>
      </c>
      <c r="E4125" s="485">
        <v>1</v>
      </c>
      <c r="F4125" s="485"/>
      <c r="G4125" s="485">
        <v>2.4</v>
      </c>
      <c r="H4125" s="487">
        <f t="shared" si="626"/>
        <v>-4.8</v>
      </c>
    </row>
    <row r="4126" spans="1:8" s="948" customFormat="1">
      <c r="A4126" s="485"/>
      <c r="B4126" s="485"/>
      <c r="C4126" s="17" t="s">
        <v>10</v>
      </c>
      <c r="D4126" s="485">
        <v>1</v>
      </c>
      <c r="E4126" s="485">
        <v>4.2</v>
      </c>
      <c r="F4126" s="485"/>
      <c r="G4126" s="485">
        <v>1.1000000000000001</v>
      </c>
      <c r="H4126" s="487">
        <f t="shared" ref="H4126" si="627">PRODUCT(D4126:G4126)</f>
        <v>4.620000000000001</v>
      </c>
    </row>
    <row r="4127" spans="1:8">
      <c r="A4127" s="485"/>
      <c r="B4127" s="485" t="s">
        <v>1178</v>
      </c>
      <c r="C4127" s="17" t="s">
        <v>10</v>
      </c>
      <c r="D4127" s="485">
        <v>1</v>
      </c>
      <c r="E4127" s="485">
        <v>4</v>
      </c>
      <c r="F4127" s="485"/>
      <c r="G4127" s="485">
        <v>2.4</v>
      </c>
      <c r="H4127" s="487">
        <f t="shared" si="626"/>
        <v>9.6</v>
      </c>
    </row>
    <row r="4128" spans="1:8">
      <c r="A4128" s="485"/>
      <c r="B4128" s="485"/>
      <c r="C4128" s="17" t="s">
        <v>10</v>
      </c>
      <c r="D4128" s="485">
        <v>1</v>
      </c>
      <c r="E4128" s="485">
        <v>0.6</v>
      </c>
      <c r="F4128" s="485"/>
      <c r="G4128" s="485">
        <v>2.4</v>
      </c>
      <c r="H4128" s="487">
        <f t="shared" si="626"/>
        <v>1.44</v>
      </c>
    </row>
    <row r="4129" spans="1:8" s="948" customFormat="1">
      <c r="A4129" s="485"/>
      <c r="B4129" s="485"/>
      <c r="C4129" s="17" t="s">
        <v>10</v>
      </c>
      <c r="D4129" s="485">
        <v>1</v>
      </c>
      <c r="E4129" s="485">
        <v>1.4</v>
      </c>
      <c r="F4129" s="485"/>
      <c r="G4129" s="485">
        <v>2.4</v>
      </c>
      <c r="H4129" s="487">
        <f t="shared" ref="H4129:H4130" si="628">PRODUCT(D4129:G4129)</f>
        <v>3.36</v>
      </c>
    </row>
    <row r="4130" spans="1:8" s="948" customFormat="1">
      <c r="A4130" s="485"/>
      <c r="B4130" s="485"/>
      <c r="C4130" s="17" t="s">
        <v>10</v>
      </c>
      <c r="D4130" s="485">
        <v>-1</v>
      </c>
      <c r="E4130" s="485">
        <v>1</v>
      </c>
      <c r="F4130" s="485"/>
      <c r="G4130" s="485">
        <v>2.4</v>
      </c>
      <c r="H4130" s="487">
        <f t="shared" si="628"/>
        <v>-2.4</v>
      </c>
    </row>
    <row r="4131" spans="1:8" s="948" customFormat="1">
      <c r="A4131" s="485"/>
      <c r="B4131" s="485" t="s">
        <v>114</v>
      </c>
      <c r="C4131" s="17" t="s">
        <v>10</v>
      </c>
      <c r="D4131" s="485">
        <v>2</v>
      </c>
      <c r="E4131" s="485">
        <v>0.9</v>
      </c>
      <c r="F4131" s="485"/>
      <c r="G4131" s="485">
        <v>2.4</v>
      </c>
      <c r="H4131" s="487">
        <f t="shared" ref="H4131" si="629">PRODUCT(D4131:G4131)</f>
        <v>4.32</v>
      </c>
    </row>
    <row r="4132" spans="1:8" s="948" customFormat="1">
      <c r="A4132" s="485"/>
      <c r="B4132" s="485"/>
      <c r="C4132" s="17" t="s">
        <v>10</v>
      </c>
      <c r="D4132" s="485">
        <v>1</v>
      </c>
      <c r="E4132" s="485">
        <v>0.9</v>
      </c>
      <c r="F4132" s="485"/>
      <c r="G4132" s="485">
        <v>2.4</v>
      </c>
      <c r="H4132" s="487">
        <f t="shared" ref="H4132" si="630">PRODUCT(D4132:G4132)</f>
        <v>2.16</v>
      </c>
    </row>
    <row r="4133" spans="1:8">
      <c r="A4133" s="485"/>
      <c r="B4133" s="485" t="s">
        <v>1185</v>
      </c>
      <c r="C4133" s="17" t="s">
        <v>10</v>
      </c>
      <c r="D4133" s="485">
        <v>1</v>
      </c>
      <c r="E4133" s="485">
        <v>5.7</v>
      </c>
      <c r="F4133" s="485"/>
      <c r="G4133" s="485">
        <v>1.1000000000000001</v>
      </c>
      <c r="H4133" s="487">
        <f t="shared" si="626"/>
        <v>6.2700000000000005</v>
      </c>
    </row>
    <row r="4134" spans="1:8">
      <c r="A4134" s="485"/>
      <c r="B4134" s="485"/>
      <c r="C4134" s="17" t="s">
        <v>10</v>
      </c>
      <c r="D4134" s="485">
        <v>1</v>
      </c>
      <c r="E4134" s="485">
        <v>3.7</v>
      </c>
      <c r="F4134" s="485"/>
      <c r="G4134" s="485">
        <v>2.4</v>
      </c>
      <c r="H4134" s="487">
        <f t="shared" si="626"/>
        <v>8.8800000000000008</v>
      </c>
    </row>
    <row r="4135" spans="1:8" s="948" customFormat="1">
      <c r="A4135" s="485"/>
      <c r="B4135" s="485" t="s">
        <v>2162</v>
      </c>
      <c r="C4135" s="17" t="s">
        <v>10</v>
      </c>
      <c r="D4135" s="485">
        <v>1</v>
      </c>
      <c r="E4135" s="485">
        <v>12.5</v>
      </c>
      <c r="F4135" s="485"/>
      <c r="G4135" s="485">
        <v>2.7</v>
      </c>
      <c r="H4135" s="487">
        <f t="shared" ref="H4135" si="631">PRODUCT(D4135:G4135)</f>
        <v>33.75</v>
      </c>
    </row>
    <row r="4136" spans="1:8" s="948" customFormat="1">
      <c r="A4136" s="485"/>
      <c r="B4136" s="485"/>
      <c r="C4136" s="17" t="s">
        <v>10</v>
      </c>
      <c r="D4136" s="485">
        <v>-1</v>
      </c>
      <c r="E4136" s="485">
        <v>1.6</v>
      </c>
      <c r="F4136" s="485"/>
      <c r="G4136" s="485">
        <v>0.45</v>
      </c>
      <c r="H4136" s="487">
        <f t="shared" ref="H4136:H4138" si="632">PRODUCT(D4136:G4136)</f>
        <v>-0.72000000000000008</v>
      </c>
    </row>
    <row r="4137" spans="1:8" s="948" customFormat="1">
      <c r="A4137" s="485"/>
      <c r="B4137" s="485"/>
      <c r="C4137" s="17" t="s">
        <v>10</v>
      </c>
      <c r="D4137" s="485">
        <v>-1</v>
      </c>
      <c r="E4137" s="485">
        <v>1.5</v>
      </c>
      <c r="F4137" s="485"/>
      <c r="G4137" s="485">
        <v>2.4</v>
      </c>
      <c r="H4137" s="487">
        <f t="shared" si="632"/>
        <v>-3.5999999999999996</v>
      </c>
    </row>
    <row r="4138" spans="1:8" s="948" customFormat="1">
      <c r="A4138" s="485"/>
      <c r="B4138" s="485"/>
      <c r="C4138" s="17" t="s">
        <v>10</v>
      </c>
      <c r="D4138" s="485">
        <v>-2</v>
      </c>
      <c r="E4138" s="485">
        <v>1</v>
      </c>
      <c r="F4138" s="485"/>
      <c r="G4138" s="485">
        <v>2.4</v>
      </c>
      <c r="H4138" s="487">
        <f t="shared" si="632"/>
        <v>-4.8</v>
      </c>
    </row>
    <row r="4139" spans="1:8" s="948" customFormat="1">
      <c r="A4139" s="485"/>
      <c r="B4139" s="485"/>
      <c r="C4139" s="17" t="s">
        <v>10</v>
      </c>
      <c r="D4139" s="485">
        <v>2</v>
      </c>
      <c r="E4139" s="485">
        <v>0.6</v>
      </c>
      <c r="F4139" s="485"/>
      <c r="G4139" s="485">
        <v>2.4</v>
      </c>
      <c r="H4139" s="487">
        <f t="shared" ref="H4139" si="633">PRODUCT(D4139:G4139)</f>
        <v>2.88</v>
      </c>
    </row>
    <row r="4140" spans="1:8" s="948" customFormat="1">
      <c r="A4140" s="485"/>
      <c r="B4140" s="485"/>
      <c r="C4140" s="17" t="s">
        <v>10</v>
      </c>
      <c r="D4140" s="485">
        <v>1</v>
      </c>
      <c r="E4140" s="485">
        <v>8.23</v>
      </c>
      <c r="F4140" s="485"/>
      <c r="G4140" s="485">
        <v>1.1000000000000001</v>
      </c>
      <c r="H4140" s="487">
        <f t="shared" ref="H4140:H4141" si="634">PRODUCT(D4140:G4140)</f>
        <v>9.0530000000000008</v>
      </c>
    </row>
    <row r="4141" spans="1:8" s="948" customFormat="1">
      <c r="A4141" s="485"/>
      <c r="B4141" s="485"/>
      <c r="C4141" s="17" t="s">
        <v>10</v>
      </c>
      <c r="D4141" s="485">
        <v>1</v>
      </c>
      <c r="E4141" s="485">
        <v>5.4</v>
      </c>
      <c r="F4141" s="485"/>
      <c r="G4141" s="485">
        <v>1.1000000000000001</v>
      </c>
      <c r="H4141" s="487">
        <f t="shared" si="634"/>
        <v>5.9400000000000013</v>
      </c>
    </row>
    <row r="4142" spans="1:8" s="948" customFormat="1">
      <c r="A4142" s="485"/>
      <c r="B4142" s="485"/>
      <c r="C4142" s="485"/>
      <c r="D4142" s="485"/>
      <c r="E4142" s="485"/>
      <c r="F4142" s="485"/>
      <c r="G4142" s="485"/>
      <c r="H4142" s="487"/>
    </row>
    <row r="4143" spans="1:8">
      <c r="A4143" s="17"/>
      <c r="B4143" s="17"/>
      <c r="C4143" s="17"/>
      <c r="D4143" s="17"/>
      <c r="E4143" s="17"/>
      <c r="F4143" s="17"/>
      <c r="G4143" s="17"/>
      <c r="H4143" s="18"/>
    </row>
    <row r="4144" spans="1:8">
      <c r="A4144" s="15"/>
      <c r="B4144" s="15" t="s">
        <v>21</v>
      </c>
      <c r="C4144" s="15"/>
      <c r="D4144" s="15"/>
      <c r="E4144" s="15"/>
      <c r="F4144" s="15"/>
      <c r="G4144" s="15"/>
      <c r="H4144" s="20">
        <f>SUM(H4115:H4143)</f>
        <v>120.06699999999999</v>
      </c>
    </row>
    <row r="4145" spans="1:8">
      <c r="A4145" s="17"/>
      <c r="B4145" s="17" t="s">
        <v>22</v>
      </c>
      <c r="C4145" s="17"/>
      <c r="D4145" s="17"/>
      <c r="E4145" s="17"/>
      <c r="F4145" s="17"/>
      <c r="G4145" s="17"/>
      <c r="H4145" s="18"/>
    </row>
    <row r="4146" spans="1:8">
      <c r="A4146" s="15"/>
      <c r="B4146" s="15" t="s">
        <v>23</v>
      </c>
      <c r="C4146" s="15"/>
      <c r="D4146" s="15"/>
      <c r="E4146" s="15"/>
      <c r="F4146" s="15"/>
      <c r="G4146" s="15"/>
      <c r="H4146" s="20">
        <f>ROUND(SUM(H4144:H4145),0)</f>
        <v>120</v>
      </c>
    </row>
    <row r="4147" spans="1:8" s="948" customFormat="1">
      <c r="H4147" s="21"/>
    </row>
    <row r="4148" spans="1:8" s="948" customFormat="1">
      <c r="A4148" s="17">
        <v>4</v>
      </c>
      <c r="B4148" s="15" t="s">
        <v>95</v>
      </c>
      <c r="C4148" s="17" t="s">
        <v>10</v>
      </c>
      <c r="D4148" s="17"/>
      <c r="E4148" s="17"/>
      <c r="F4148" s="17"/>
      <c r="G4148" s="17"/>
      <c r="H4148" s="18"/>
    </row>
    <row r="4149" spans="1:8" s="948" customFormat="1">
      <c r="A4149" s="17"/>
      <c r="B4149" s="17"/>
      <c r="C4149" s="16"/>
      <c r="D4149" s="17"/>
      <c r="E4149" s="17"/>
      <c r="F4149" s="17"/>
      <c r="G4149" s="17"/>
      <c r="H4149" s="18">
        <f t="shared" ref="H4149:H4151" si="635">PRODUCT(D4149:G4149)</f>
        <v>0</v>
      </c>
    </row>
    <row r="4150" spans="1:8" s="948" customFormat="1">
      <c r="A4150" s="17"/>
      <c r="B4150" s="17" t="s">
        <v>1252</v>
      </c>
      <c r="C4150" s="17" t="s">
        <v>10</v>
      </c>
      <c r="D4150" s="17">
        <v>1</v>
      </c>
      <c r="E4150" s="17">
        <v>2.2999999999999998</v>
      </c>
      <c r="F4150" s="17"/>
      <c r="G4150" s="17">
        <v>2.6</v>
      </c>
      <c r="H4150" s="18">
        <f t="shared" si="635"/>
        <v>5.9799999999999995</v>
      </c>
    </row>
    <row r="4151" spans="1:8" s="948" customFormat="1">
      <c r="A4151" s="485"/>
      <c r="B4151" s="485"/>
      <c r="C4151" s="17" t="s">
        <v>10</v>
      </c>
      <c r="D4151" s="485">
        <v>1</v>
      </c>
      <c r="E4151" s="485">
        <v>3.91</v>
      </c>
      <c r="F4151" s="485"/>
      <c r="G4151" s="17">
        <v>2.6</v>
      </c>
      <c r="H4151" s="18">
        <f t="shared" si="635"/>
        <v>10.166</v>
      </c>
    </row>
    <row r="4152" spans="1:8" s="948" customFormat="1">
      <c r="A4152" s="17"/>
      <c r="B4152" s="17"/>
      <c r="C4152" s="17"/>
      <c r="D4152" s="17"/>
      <c r="E4152" s="17"/>
      <c r="F4152" s="17"/>
      <c r="G4152" s="17"/>
      <c r="H4152" s="18"/>
    </row>
    <row r="4153" spans="1:8" s="948" customFormat="1">
      <c r="A4153" s="15"/>
      <c r="B4153" s="15" t="s">
        <v>21</v>
      </c>
      <c r="C4153" s="15"/>
      <c r="D4153" s="15"/>
      <c r="E4153" s="15"/>
      <c r="F4153" s="15"/>
      <c r="G4153" s="15"/>
      <c r="H4153" s="20">
        <f>SUM(H4149:H4152)</f>
        <v>16.146000000000001</v>
      </c>
    </row>
    <row r="4154" spans="1:8" s="948" customFormat="1">
      <c r="A4154" s="17"/>
      <c r="B4154" s="17" t="s">
        <v>22</v>
      </c>
      <c r="C4154" s="17"/>
      <c r="D4154" s="17"/>
      <c r="E4154" s="17"/>
      <c r="F4154" s="17"/>
      <c r="G4154" s="17"/>
      <c r="H4154" s="18"/>
    </row>
    <row r="4155" spans="1:8" s="948" customFormat="1">
      <c r="A4155" s="15"/>
      <c r="B4155" s="15" t="s">
        <v>23</v>
      </c>
      <c r="C4155" s="15"/>
      <c r="D4155" s="15"/>
      <c r="E4155" s="15"/>
      <c r="F4155" s="15"/>
      <c r="G4155" s="15"/>
      <c r="H4155" s="20">
        <f>ROUND(SUM(H4153:H4154),0)</f>
        <v>16</v>
      </c>
    </row>
    <row r="4157" spans="1:8">
      <c r="A4157" s="17">
        <v>4</v>
      </c>
      <c r="B4157" s="15" t="s">
        <v>1410</v>
      </c>
      <c r="C4157" s="17" t="s">
        <v>10</v>
      </c>
      <c r="D4157" s="17"/>
      <c r="E4157" s="17"/>
      <c r="F4157" s="17"/>
      <c r="G4157" s="17"/>
      <c r="H4157" s="18"/>
    </row>
    <row r="4158" spans="1:8">
      <c r="A4158" s="485"/>
      <c r="B4158" s="485" t="s">
        <v>1217</v>
      </c>
      <c r="C4158" s="17" t="s">
        <v>10</v>
      </c>
      <c r="D4158" s="485">
        <v>1</v>
      </c>
      <c r="E4158" s="485">
        <v>6.625</v>
      </c>
      <c r="F4158" s="485"/>
      <c r="G4158" s="485">
        <v>3.5</v>
      </c>
      <c r="H4158" s="18">
        <f t="shared" ref="H4158" si="636">PRODUCT(D4158:G4158)</f>
        <v>23.1875</v>
      </c>
    </row>
    <row r="4159" spans="1:8">
      <c r="A4159" s="17"/>
      <c r="B4159" s="17"/>
      <c r="C4159" s="17"/>
      <c r="D4159" s="17"/>
      <c r="E4159" s="17"/>
      <c r="F4159" s="17"/>
      <c r="G4159" s="17"/>
      <c r="H4159" s="18"/>
    </row>
    <row r="4160" spans="1:8">
      <c r="A4160" s="15"/>
      <c r="B4160" s="15" t="s">
        <v>21</v>
      </c>
      <c r="C4160" s="15"/>
      <c r="D4160" s="15"/>
      <c r="E4160" s="15"/>
      <c r="F4160" s="15"/>
      <c r="G4160" s="15"/>
      <c r="H4160" s="20">
        <f>SUM(H4158:H4159)</f>
        <v>23.1875</v>
      </c>
    </row>
    <row r="4161" spans="1:8">
      <c r="A4161" s="17"/>
      <c r="B4161" s="17" t="s">
        <v>22</v>
      </c>
      <c r="C4161" s="17"/>
      <c r="D4161" s="17"/>
      <c r="E4161" s="17"/>
      <c r="F4161" s="17"/>
      <c r="G4161" s="17"/>
      <c r="H4161" s="18">
        <f>H4160*5%</f>
        <v>1.159375</v>
      </c>
    </row>
    <row r="4162" spans="1:8">
      <c r="A4162" s="15"/>
      <c r="B4162" s="15" t="s">
        <v>23</v>
      </c>
      <c r="C4162" s="15"/>
      <c r="D4162" s="15"/>
      <c r="E4162" s="15"/>
      <c r="F4162" s="15"/>
      <c r="G4162" s="15"/>
      <c r="H4162" s="20">
        <f>ROUND(SUM(H4160:H4161),0)</f>
        <v>24</v>
      </c>
    </row>
    <row r="4164" spans="1:8">
      <c r="A4164" s="17">
        <v>4</v>
      </c>
      <c r="B4164" s="15" t="s">
        <v>2101</v>
      </c>
      <c r="C4164" s="17" t="s">
        <v>16</v>
      </c>
      <c r="D4164" s="17"/>
      <c r="E4164" s="17"/>
      <c r="F4164" s="17"/>
      <c r="G4164" s="17"/>
      <c r="H4164" s="18"/>
    </row>
    <row r="4165" spans="1:8">
      <c r="A4165" s="485"/>
      <c r="B4165" s="485" t="s">
        <v>1252</v>
      </c>
      <c r="C4165" s="17" t="s">
        <v>16</v>
      </c>
      <c r="D4165" s="485">
        <v>1</v>
      </c>
      <c r="E4165" s="485"/>
      <c r="F4165" s="485"/>
      <c r="G4165" s="17"/>
      <c r="H4165" s="18">
        <f t="shared" ref="H4165:H4200" si="637">PRODUCT(D4165:G4165)</f>
        <v>1</v>
      </c>
    </row>
    <row r="4166" spans="1:8">
      <c r="A4166" s="485"/>
      <c r="B4166" s="485" t="s">
        <v>202</v>
      </c>
      <c r="C4166" s="17" t="s">
        <v>16</v>
      </c>
      <c r="D4166" s="485">
        <v>1</v>
      </c>
      <c r="E4166" s="485"/>
      <c r="F4166" s="485"/>
      <c r="G4166" s="17"/>
      <c r="H4166" s="18">
        <f t="shared" ref="H4166" si="638">PRODUCT(D4166:G4166)</f>
        <v>1</v>
      </c>
    </row>
    <row r="4167" spans="1:8">
      <c r="A4167" s="485"/>
      <c r="B4167" s="485" t="s">
        <v>1199</v>
      </c>
      <c r="C4167" s="17" t="s">
        <v>16</v>
      </c>
      <c r="D4167" s="485">
        <v>1</v>
      </c>
      <c r="E4167" s="485"/>
      <c r="F4167" s="485"/>
      <c r="G4167" s="17"/>
      <c r="H4167" s="18">
        <f t="shared" si="637"/>
        <v>1</v>
      </c>
    </row>
    <row r="4168" spans="1:8">
      <c r="A4168" s="485"/>
      <c r="B4168" s="485" t="s">
        <v>1327</v>
      </c>
      <c r="C4168" s="17" t="s">
        <v>16</v>
      </c>
      <c r="D4168" s="485">
        <v>1</v>
      </c>
      <c r="E4168" s="485"/>
      <c r="F4168" s="485"/>
      <c r="G4168" s="17"/>
      <c r="H4168" s="18">
        <f t="shared" si="637"/>
        <v>1</v>
      </c>
    </row>
    <row r="4169" spans="1:8">
      <c r="A4169" s="17"/>
      <c r="B4169" s="17" t="s">
        <v>1207</v>
      </c>
      <c r="C4169" s="17" t="s">
        <v>16</v>
      </c>
      <c r="D4169" s="17">
        <v>1</v>
      </c>
      <c r="E4169" s="17"/>
      <c r="F4169" s="17"/>
      <c r="G4169" s="17"/>
      <c r="H4169" s="18">
        <f t="shared" si="637"/>
        <v>1</v>
      </c>
    </row>
    <row r="4170" spans="1:8">
      <c r="A4170" s="17"/>
      <c r="B4170" s="17" t="s">
        <v>1299</v>
      </c>
      <c r="C4170" s="17" t="s">
        <v>16</v>
      </c>
      <c r="D4170" s="17">
        <v>1</v>
      </c>
      <c r="E4170" s="17"/>
      <c r="F4170" s="17"/>
      <c r="G4170" s="17"/>
      <c r="H4170" s="18">
        <f t="shared" si="637"/>
        <v>1</v>
      </c>
    </row>
    <row r="4171" spans="1:8">
      <c r="A4171" s="485"/>
      <c r="B4171" s="17" t="s">
        <v>1300</v>
      </c>
      <c r="C4171" s="17" t="s">
        <v>16</v>
      </c>
      <c r="D4171" s="17">
        <v>1</v>
      </c>
      <c r="E4171" s="17"/>
      <c r="F4171" s="17"/>
      <c r="G4171" s="17"/>
      <c r="H4171" s="18">
        <f t="shared" si="637"/>
        <v>1</v>
      </c>
    </row>
    <row r="4172" spans="1:8">
      <c r="A4172" s="485"/>
      <c r="B4172" s="17" t="s">
        <v>1301</v>
      </c>
      <c r="C4172" s="17" t="s">
        <v>16</v>
      </c>
      <c r="D4172" s="17">
        <v>1</v>
      </c>
      <c r="E4172" s="17"/>
      <c r="F4172" s="17"/>
      <c r="G4172" s="17"/>
      <c r="H4172" s="18">
        <f t="shared" si="637"/>
        <v>1</v>
      </c>
    </row>
    <row r="4173" spans="1:8">
      <c r="A4173" s="485"/>
      <c r="B4173" s="485" t="s">
        <v>1201</v>
      </c>
      <c r="C4173" s="17" t="s">
        <v>16</v>
      </c>
      <c r="D4173" s="17">
        <v>1</v>
      </c>
      <c r="E4173" s="17"/>
      <c r="F4173" s="17"/>
      <c r="G4173" s="17"/>
      <c r="H4173" s="18">
        <f t="shared" si="637"/>
        <v>1</v>
      </c>
    </row>
    <row r="4174" spans="1:8">
      <c r="A4174" s="485"/>
      <c r="B4174" s="485" t="s">
        <v>1202</v>
      </c>
      <c r="C4174" s="17" t="s">
        <v>16</v>
      </c>
      <c r="D4174" s="17">
        <v>1</v>
      </c>
      <c r="E4174" s="17"/>
      <c r="F4174" s="17"/>
      <c r="G4174" s="17"/>
      <c r="H4174" s="18">
        <f t="shared" si="637"/>
        <v>1</v>
      </c>
    </row>
    <row r="4175" spans="1:8">
      <c r="A4175" s="485"/>
      <c r="B4175" s="485" t="s">
        <v>216</v>
      </c>
      <c r="C4175" s="17" t="s">
        <v>16</v>
      </c>
      <c r="D4175" s="485">
        <v>1</v>
      </c>
      <c r="E4175" s="485"/>
      <c r="F4175" s="485"/>
      <c r="G4175" s="17"/>
      <c r="H4175" s="18">
        <f t="shared" si="637"/>
        <v>1</v>
      </c>
    </row>
    <row r="4176" spans="1:8">
      <c r="A4176" s="485"/>
      <c r="B4176" s="485" t="s">
        <v>1242</v>
      </c>
      <c r="C4176" s="17" t="s">
        <v>16</v>
      </c>
      <c r="D4176" s="485">
        <v>1</v>
      </c>
      <c r="E4176" s="485"/>
      <c r="F4176" s="485"/>
      <c r="G4176" s="17"/>
      <c r="H4176" s="18">
        <f t="shared" ref="H4176" si="639">PRODUCT(D4176:G4176)</f>
        <v>1</v>
      </c>
    </row>
    <row r="4177" spans="1:8">
      <c r="A4177" s="485"/>
      <c r="B4177" s="485" t="s">
        <v>1243</v>
      </c>
      <c r="C4177" s="17" t="s">
        <v>16</v>
      </c>
      <c r="D4177" s="485">
        <v>1</v>
      </c>
      <c r="E4177" s="485"/>
      <c r="F4177" s="485"/>
      <c r="G4177" s="17"/>
      <c r="H4177" s="18">
        <f t="shared" ref="H4177" si="640">PRODUCT(D4177:G4177)</f>
        <v>1</v>
      </c>
    </row>
    <row r="4178" spans="1:8">
      <c r="A4178" s="485"/>
      <c r="B4178" s="485" t="s">
        <v>216</v>
      </c>
      <c r="C4178" s="17" t="s">
        <v>16</v>
      </c>
      <c r="D4178" s="485">
        <v>1</v>
      </c>
      <c r="E4178" s="485"/>
      <c r="F4178" s="485"/>
      <c r="G4178" s="17"/>
      <c r="H4178" s="18">
        <f t="shared" si="637"/>
        <v>1</v>
      </c>
    </row>
    <row r="4179" spans="1:8">
      <c r="A4179" s="485"/>
      <c r="B4179" s="485" t="s">
        <v>202</v>
      </c>
      <c r="C4179" s="17" t="s">
        <v>16</v>
      </c>
      <c r="D4179" s="485">
        <v>1</v>
      </c>
      <c r="E4179" s="485"/>
      <c r="F4179" s="485"/>
      <c r="G4179" s="17"/>
      <c r="H4179" s="18">
        <f t="shared" si="637"/>
        <v>1</v>
      </c>
    </row>
    <row r="4180" spans="1:8">
      <c r="A4180" s="485"/>
      <c r="B4180" s="485" t="s">
        <v>2090</v>
      </c>
      <c r="C4180" s="17" t="s">
        <v>16</v>
      </c>
      <c r="D4180" s="485">
        <v>1</v>
      </c>
      <c r="E4180" s="485"/>
      <c r="F4180" s="485"/>
      <c r="G4180" s="17"/>
      <c r="H4180" s="18">
        <f t="shared" si="637"/>
        <v>1</v>
      </c>
    </row>
    <row r="4181" spans="1:8">
      <c r="A4181" s="485"/>
      <c r="B4181" s="485" t="s">
        <v>2091</v>
      </c>
      <c r="C4181" s="17" t="s">
        <v>16</v>
      </c>
      <c r="D4181" s="485">
        <v>1</v>
      </c>
      <c r="E4181" s="485"/>
      <c r="F4181" s="485"/>
      <c r="G4181" s="17"/>
      <c r="H4181" s="18">
        <f t="shared" si="637"/>
        <v>1</v>
      </c>
    </row>
    <row r="4182" spans="1:8">
      <c r="A4182" s="485"/>
      <c r="B4182" s="485" t="s">
        <v>1213</v>
      </c>
      <c r="C4182" s="17" t="s">
        <v>16</v>
      </c>
      <c r="D4182" s="485">
        <v>1</v>
      </c>
      <c r="E4182" s="485"/>
      <c r="F4182" s="485"/>
      <c r="G4182" s="17"/>
      <c r="H4182" s="18">
        <f t="shared" si="637"/>
        <v>1</v>
      </c>
    </row>
    <row r="4183" spans="1:8">
      <c r="A4183" s="485"/>
      <c r="B4183" s="485" t="s">
        <v>1214</v>
      </c>
      <c r="C4183" s="17" t="s">
        <v>16</v>
      </c>
      <c r="D4183" s="485">
        <v>1</v>
      </c>
      <c r="E4183" s="485"/>
      <c r="F4183" s="485"/>
      <c r="G4183" s="17"/>
      <c r="H4183" s="18">
        <f t="shared" si="637"/>
        <v>1</v>
      </c>
    </row>
    <row r="4184" spans="1:8">
      <c r="A4184" s="485"/>
      <c r="B4184" s="485" t="s">
        <v>286</v>
      </c>
      <c r="C4184" s="17" t="s">
        <v>16</v>
      </c>
      <c r="D4184" s="485">
        <v>1</v>
      </c>
      <c r="E4184" s="485"/>
      <c r="F4184" s="485"/>
      <c r="G4184" s="17"/>
      <c r="H4184" s="18">
        <f t="shared" si="637"/>
        <v>1</v>
      </c>
    </row>
    <row r="4185" spans="1:8">
      <c r="A4185" s="485"/>
      <c r="B4185" s="485" t="s">
        <v>1219</v>
      </c>
      <c r="C4185" s="17" t="s">
        <v>16</v>
      </c>
      <c r="D4185" s="485">
        <v>1</v>
      </c>
      <c r="E4185" s="485"/>
      <c r="F4185" s="485"/>
      <c r="G4185" s="17"/>
      <c r="H4185" s="18">
        <f t="shared" ref="H4185" si="641">PRODUCT(D4185:G4185)</f>
        <v>1</v>
      </c>
    </row>
    <row r="4186" spans="1:8">
      <c r="A4186" s="485"/>
      <c r="B4186" s="485" t="s">
        <v>446</v>
      </c>
      <c r="C4186" s="17" t="s">
        <v>16</v>
      </c>
      <c r="D4186" s="485">
        <v>1</v>
      </c>
      <c r="E4186" s="485"/>
      <c r="F4186" s="485"/>
      <c r="G4186" s="17"/>
      <c r="H4186" s="18">
        <f t="shared" ref="H4186" si="642">PRODUCT(D4186:G4186)</f>
        <v>1</v>
      </c>
    </row>
    <row r="4187" spans="1:8">
      <c r="A4187" s="485"/>
      <c r="B4187" s="485" t="s">
        <v>1990</v>
      </c>
      <c r="C4187" s="17" t="s">
        <v>16</v>
      </c>
      <c r="D4187" s="485">
        <v>1</v>
      </c>
      <c r="E4187" s="485"/>
      <c r="F4187" s="485"/>
      <c r="G4187" s="17"/>
      <c r="H4187" s="18">
        <f t="shared" si="637"/>
        <v>1</v>
      </c>
    </row>
    <row r="4188" spans="1:8">
      <c r="A4188" s="485"/>
      <c r="B4188" s="485" t="s">
        <v>205</v>
      </c>
      <c r="C4188" s="17" t="s">
        <v>16</v>
      </c>
      <c r="D4188" s="485">
        <v>1</v>
      </c>
      <c r="E4188" s="485"/>
      <c r="F4188" s="485"/>
      <c r="G4188" s="485"/>
      <c r="H4188" s="18">
        <f t="shared" si="637"/>
        <v>1</v>
      </c>
    </row>
    <row r="4189" spans="1:8">
      <c r="A4189" s="485"/>
      <c r="B4189" s="485" t="s">
        <v>206</v>
      </c>
      <c r="C4189" s="17" t="s">
        <v>16</v>
      </c>
      <c r="D4189" s="485">
        <v>1</v>
      </c>
      <c r="E4189" s="485"/>
      <c r="F4189" s="485"/>
      <c r="G4189" s="485"/>
      <c r="H4189" s="18">
        <f t="shared" si="637"/>
        <v>1</v>
      </c>
    </row>
    <row r="4190" spans="1:8">
      <c r="A4190" s="485"/>
      <c r="B4190" s="485" t="s">
        <v>2012</v>
      </c>
      <c r="C4190" s="17" t="s">
        <v>16</v>
      </c>
      <c r="D4190" s="485">
        <v>2</v>
      </c>
      <c r="E4190" s="485"/>
      <c r="F4190" s="485"/>
      <c r="G4190" s="17"/>
      <c r="H4190" s="18">
        <f t="shared" si="637"/>
        <v>2</v>
      </c>
    </row>
    <row r="4191" spans="1:8">
      <c r="A4191" s="485"/>
      <c r="B4191" s="485" t="s">
        <v>99</v>
      </c>
      <c r="C4191" s="17" t="s">
        <v>16</v>
      </c>
      <c r="D4191" s="485">
        <v>1</v>
      </c>
      <c r="E4191" s="485"/>
      <c r="F4191" s="485"/>
      <c r="G4191" s="17"/>
      <c r="H4191" s="18">
        <f t="shared" ref="H4191" si="643">PRODUCT(D4191:G4191)</f>
        <v>1</v>
      </c>
    </row>
    <row r="4192" spans="1:8">
      <c r="A4192" s="485"/>
      <c r="B4192" s="485" t="s">
        <v>286</v>
      </c>
      <c r="C4192" s="17" t="s">
        <v>16</v>
      </c>
      <c r="D4192" s="485">
        <v>1</v>
      </c>
      <c r="E4192" s="485"/>
      <c r="F4192" s="485"/>
      <c r="G4192" s="17"/>
      <c r="H4192" s="18">
        <f t="shared" ref="H4192" si="644">PRODUCT(D4192:G4192)</f>
        <v>1</v>
      </c>
    </row>
    <row r="4193" spans="1:8">
      <c r="A4193" s="485"/>
      <c r="B4193" s="485" t="s">
        <v>216</v>
      </c>
      <c r="C4193" s="17" t="s">
        <v>16</v>
      </c>
      <c r="D4193" s="485">
        <v>1</v>
      </c>
      <c r="E4193" s="485"/>
      <c r="F4193" s="485"/>
      <c r="G4193" s="17"/>
      <c r="H4193" s="18">
        <f t="shared" si="637"/>
        <v>1</v>
      </c>
    </row>
    <row r="4194" spans="1:8">
      <c r="A4194" s="485"/>
      <c r="B4194" s="485" t="s">
        <v>1230</v>
      </c>
      <c r="C4194" s="17" t="s">
        <v>16</v>
      </c>
      <c r="D4194" s="485">
        <v>1</v>
      </c>
      <c r="E4194" s="485"/>
      <c r="F4194" s="485"/>
      <c r="G4194" s="17"/>
      <c r="H4194" s="18">
        <f t="shared" si="637"/>
        <v>1</v>
      </c>
    </row>
    <row r="4195" spans="1:8">
      <c r="A4195" s="485"/>
      <c r="B4195" s="485" t="s">
        <v>1229</v>
      </c>
      <c r="C4195" s="17" t="s">
        <v>16</v>
      </c>
      <c r="D4195" s="485">
        <v>1</v>
      </c>
      <c r="E4195" s="485"/>
      <c r="F4195" s="485"/>
      <c r="G4195" s="17"/>
      <c r="H4195" s="18">
        <f t="shared" si="637"/>
        <v>1</v>
      </c>
    </row>
    <row r="4196" spans="1:8">
      <c r="A4196" s="485"/>
      <c r="B4196" s="485" t="s">
        <v>1207</v>
      </c>
      <c r="C4196" s="17" t="s">
        <v>16</v>
      </c>
      <c r="D4196" s="485">
        <v>1</v>
      </c>
      <c r="E4196" s="485"/>
      <c r="F4196" s="485"/>
      <c r="G4196" s="17"/>
      <c r="H4196" s="18">
        <f t="shared" si="637"/>
        <v>1</v>
      </c>
    </row>
    <row r="4197" spans="1:8">
      <c r="A4197" s="485"/>
      <c r="B4197" s="485" t="s">
        <v>1195</v>
      </c>
      <c r="C4197" s="17" t="s">
        <v>16</v>
      </c>
      <c r="D4197" s="485">
        <v>1</v>
      </c>
      <c r="E4197" s="485"/>
      <c r="F4197" s="485"/>
      <c r="G4197" s="17"/>
      <c r="H4197" s="18">
        <f t="shared" si="637"/>
        <v>1</v>
      </c>
    </row>
    <row r="4198" spans="1:8">
      <c r="A4198" s="485"/>
      <c r="B4198" s="485" t="s">
        <v>202</v>
      </c>
      <c r="C4198" s="17" t="s">
        <v>16</v>
      </c>
      <c r="D4198" s="485">
        <v>1</v>
      </c>
      <c r="E4198" s="485"/>
      <c r="F4198" s="485"/>
      <c r="G4198" s="17"/>
      <c r="H4198" s="18">
        <f t="shared" si="637"/>
        <v>1</v>
      </c>
    </row>
    <row r="4199" spans="1:8">
      <c r="A4199" s="485"/>
      <c r="B4199" s="485" t="s">
        <v>1293</v>
      </c>
      <c r="C4199" s="17" t="s">
        <v>16</v>
      </c>
      <c r="D4199" s="485">
        <v>1</v>
      </c>
      <c r="E4199" s="485"/>
      <c r="F4199" s="485"/>
      <c r="G4199" s="485"/>
      <c r="H4199" s="18">
        <f t="shared" si="637"/>
        <v>1</v>
      </c>
    </row>
    <row r="4200" spans="1:8">
      <c r="A4200" s="485"/>
      <c r="B4200" s="485" t="s">
        <v>204</v>
      </c>
      <c r="C4200" s="17" t="s">
        <v>16</v>
      </c>
      <c r="D4200" s="485">
        <v>1</v>
      </c>
      <c r="E4200" s="485"/>
      <c r="F4200" s="485"/>
      <c r="G4200" s="485"/>
      <c r="H4200" s="18">
        <f t="shared" si="637"/>
        <v>1</v>
      </c>
    </row>
    <row r="4201" spans="1:8">
      <c r="A4201" s="485"/>
      <c r="B4201" s="485" t="s">
        <v>203</v>
      </c>
      <c r="C4201" s="17" t="s">
        <v>16</v>
      </c>
      <c r="D4201" s="485">
        <v>1</v>
      </c>
      <c r="E4201" s="485"/>
      <c r="F4201" s="485"/>
      <c r="G4201" s="485"/>
      <c r="H4201" s="18">
        <f t="shared" ref="H4201" si="645">PRODUCT(D4201:G4201)</f>
        <v>1</v>
      </c>
    </row>
    <row r="4202" spans="1:8">
      <c r="A4202" s="485"/>
      <c r="B4202" s="485" t="s">
        <v>1217</v>
      </c>
      <c r="C4202" s="17" t="s">
        <v>16</v>
      </c>
      <c r="D4202" s="485">
        <v>0</v>
      </c>
      <c r="E4202" s="485"/>
      <c r="F4202" s="485"/>
      <c r="G4202" s="485"/>
      <c r="H4202" s="18">
        <f t="shared" ref="H4202" si="646">PRODUCT(D4202:G4202)</f>
        <v>0</v>
      </c>
    </row>
    <row r="4203" spans="1:8">
      <c r="A4203" s="17"/>
      <c r="B4203" s="17"/>
      <c r="C4203" s="17"/>
      <c r="D4203" s="17"/>
      <c r="E4203" s="17"/>
      <c r="F4203" s="17"/>
      <c r="G4203" s="17"/>
      <c r="H4203" s="18"/>
    </row>
    <row r="4204" spans="1:8">
      <c r="A4204" s="15"/>
      <c r="B4204" s="15" t="s">
        <v>21</v>
      </c>
      <c r="C4204" s="15"/>
      <c r="D4204" s="15"/>
      <c r="E4204" s="15"/>
      <c r="F4204" s="15"/>
      <c r="G4204" s="15"/>
      <c r="H4204" s="20">
        <f>SUM(H4164:H4203)</f>
        <v>38</v>
      </c>
    </row>
    <row r="4205" spans="1:8">
      <c r="A4205" s="17"/>
      <c r="B4205" s="17" t="s">
        <v>22</v>
      </c>
      <c r="C4205" s="17"/>
      <c r="D4205" s="17"/>
      <c r="E4205" s="17"/>
      <c r="F4205" s="17"/>
      <c r="G4205" s="17"/>
      <c r="H4205" s="18"/>
    </row>
    <row r="4206" spans="1:8">
      <c r="A4206" s="15"/>
      <c r="B4206" s="15" t="s">
        <v>23</v>
      </c>
      <c r="C4206" s="15"/>
      <c r="D4206" s="15"/>
      <c r="E4206" s="15"/>
      <c r="F4206" s="15"/>
      <c r="G4206" s="15"/>
      <c r="H4206" s="20">
        <f>ROUND(SUM(H4204:H4205),0)</f>
        <v>38</v>
      </c>
    </row>
    <row r="4208" spans="1:8">
      <c r="A4208" s="17">
        <v>4</v>
      </c>
      <c r="B4208" s="15" t="s">
        <v>2102</v>
      </c>
      <c r="C4208" s="17" t="s">
        <v>16</v>
      </c>
      <c r="D4208" s="17"/>
      <c r="E4208" s="17"/>
      <c r="F4208" s="17"/>
      <c r="G4208" s="17"/>
      <c r="H4208" s="18"/>
    </row>
    <row r="4209" spans="1:8">
      <c r="A4209" s="485"/>
      <c r="B4209" s="485" t="s">
        <v>2103</v>
      </c>
      <c r="C4209" s="17" t="s">
        <v>16</v>
      </c>
      <c r="D4209" s="485">
        <v>1</v>
      </c>
      <c r="E4209" s="485"/>
      <c r="F4209" s="485"/>
      <c r="G4209" s="17"/>
      <c r="H4209" s="18">
        <f t="shared" ref="H4209:H4218" si="647">PRODUCT(D4209:G4209)</f>
        <v>1</v>
      </c>
    </row>
    <row r="4210" spans="1:8">
      <c r="A4210" s="485"/>
      <c r="B4210" s="485" t="s">
        <v>2104</v>
      </c>
      <c r="C4210" s="17" t="s">
        <v>16</v>
      </c>
      <c r="D4210" s="485">
        <v>1</v>
      </c>
      <c r="E4210" s="485"/>
      <c r="F4210" s="485"/>
      <c r="G4210" s="17"/>
      <c r="H4210" s="18">
        <f t="shared" si="647"/>
        <v>1</v>
      </c>
    </row>
    <row r="4211" spans="1:8">
      <c r="A4211" s="485"/>
      <c r="B4211" s="485" t="s">
        <v>2105</v>
      </c>
      <c r="C4211" s="17" t="s">
        <v>16</v>
      </c>
      <c r="D4211" s="485">
        <v>1</v>
      </c>
      <c r="E4211" s="485"/>
      <c r="F4211" s="485"/>
      <c r="G4211" s="17"/>
      <c r="H4211" s="18">
        <f t="shared" si="647"/>
        <v>1</v>
      </c>
    </row>
    <row r="4212" spans="1:8">
      <c r="A4212" s="485"/>
      <c r="B4212" s="485" t="s">
        <v>2106</v>
      </c>
      <c r="C4212" s="17" t="s">
        <v>16</v>
      </c>
      <c r="D4212" s="485">
        <v>1</v>
      </c>
      <c r="E4212" s="485"/>
      <c r="F4212" s="485"/>
      <c r="G4212" s="17"/>
      <c r="H4212" s="18">
        <f t="shared" si="647"/>
        <v>1</v>
      </c>
    </row>
    <row r="4213" spans="1:8">
      <c r="A4213" s="17"/>
      <c r="B4213" s="485" t="s">
        <v>2107</v>
      </c>
      <c r="C4213" s="17" t="s">
        <v>16</v>
      </c>
      <c r="D4213" s="17">
        <v>1</v>
      </c>
      <c r="E4213" s="17"/>
      <c r="F4213" s="17"/>
      <c r="G4213" s="17"/>
      <c r="H4213" s="18">
        <f t="shared" si="647"/>
        <v>1</v>
      </c>
    </row>
    <row r="4214" spans="1:8">
      <c r="A4214" s="17"/>
      <c r="B4214" s="17" t="s">
        <v>2108</v>
      </c>
      <c r="C4214" s="17" t="s">
        <v>16</v>
      </c>
      <c r="D4214" s="17">
        <v>0</v>
      </c>
      <c r="E4214" s="17"/>
      <c r="F4214" s="17"/>
      <c r="G4214" s="17"/>
      <c r="H4214" s="18">
        <f t="shared" si="647"/>
        <v>0</v>
      </c>
    </row>
    <row r="4215" spans="1:8">
      <c r="A4215" s="485"/>
      <c r="B4215" s="17" t="s">
        <v>2109</v>
      </c>
      <c r="C4215" s="17" t="s">
        <v>16</v>
      </c>
      <c r="D4215" s="17">
        <v>0</v>
      </c>
      <c r="E4215" s="17"/>
      <c r="F4215" s="17"/>
      <c r="G4215" s="17"/>
      <c r="H4215" s="18">
        <f t="shared" si="647"/>
        <v>0</v>
      </c>
    </row>
    <row r="4216" spans="1:8">
      <c r="A4216" s="485"/>
      <c r="B4216" s="17" t="s">
        <v>1237</v>
      </c>
      <c r="C4216" s="17" t="s">
        <v>16</v>
      </c>
      <c r="D4216" s="17">
        <v>1</v>
      </c>
      <c r="E4216" s="17"/>
      <c r="F4216" s="17"/>
      <c r="G4216" s="17"/>
      <c r="H4216" s="18">
        <f t="shared" si="647"/>
        <v>1</v>
      </c>
    </row>
    <row r="4217" spans="1:8">
      <c r="A4217" s="485"/>
      <c r="B4217" s="17" t="s">
        <v>1236</v>
      </c>
      <c r="C4217" s="17" t="s">
        <v>16</v>
      </c>
      <c r="D4217" s="17">
        <v>1</v>
      </c>
      <c r="E4217" s="17"/>
      <c r="F4217" s="17"/>
      <c r="G4217" s="17"/>
      <c r="H4217" s="18">
        <f t="shared" si="647"/>
        <v>1</v>
      </c>
    </row>
    <row r="4218" spans="1:8">
      <c r="A4218" s="485"/>
      <c r="B4218" s="17" t="s">
        <v>2040</v>
      </c>
      <c r="C4218" s="17" t="s">
        <v>16</v>
      </c>
      <c r="D4218" s="17">
        <v>1</v>
      </c>
      <c r="E4218" s="17"/>
      <c r="F4218" s="17"/>
      <c r="G4218" s="17"/>
      <c r="H4218" s="18">
        <f t="shared" si="647"/>
        <v>1</v>
      </c>
    </row>
    <row r="4219" spans="1:8">
      <c r="A4219" s="485"/>
      <c r="B4219" s="485"/>
      <c r="C4219" s="485"/>
      <c r="D4219" s="485"/>
      <c r="E4219" s="485"/>
      <c r="F4219" s="485"/>
      <c r="G4219" s="485"/>
      <c r="H4219" s="487"/>
    </row>
    <row r="4220" spans="1:8">
      <c r="A4220" s="17"/>
      <c r="B4220" s="17"/>
      <c r="C4220" s="17"/>
      <c r="D4220" s="17"/>
      <c r="E4220" s="17"/>
      <c r="F4220" s="17"/>
      <c r="G4220" s="17"/>
      <c r="H4220" s="18"/>
    </row>
    <row r="4221" spans="1:8">
      <c r="A4221" s="15"/>
      <c r="B4221" s="15" t="s">
        <v>21</v>
      </c>
      <c r="C4221" s="15"/>
      <c r="D4221" s="15"/>
      <c r="E4221" s="15"/>
      <c r="F4221" s="15"/>
      <c r="G4221" s="15"/>
      <c r="H4221" s="20">
        <f>SUM(H4208:H4220)</f>
        <v>8</v>
      </c>
    </row>
    <row r="4222" spans="1:8">
      <c r="A4222" s="17"/>
      <c r="B4222" s="17" t="s">
        <v>22</v>
      </c>
      <c r="C4222" s="17"/>
      <c r="D4222" s="17"/>
      <c r="E4222" s="17"/>
      <c r="F4222" s="17"/>
      <c r="G4222" s="17"/>
      <c r="H4222" s="18"/>
    </row>
    <row r="4223" spans="1:8">
      <c r="A4223" s="15"/>
      <c r="B4223" s="15" t="s">
        <v>23</v>
      </c>
      <c r="C4223" s="15"/>
      <c r="D4223" s="15"/>
      <c r="E4223" s="15"/>
      <c r="F4223" s="15"/>
      <c r="G4223" s="15"/>
      <c r="H4223" s="20">
        <f>ROUND(SUM(H4221:H4222),0)</f>
        <v>8</v>
      </c>
    </row>
    <row r="4224" spans="1:8" s="948" customFormat="1">
      <c r="H4224" s="21"/>
    </row>
    <row r="4225" spans="1:8" s="948" customFormat="1">
      <c r="A4225" s="17">
        <v>4</v>
      </c>
      <c r="B4225" s="15" t="s">
        <v>2534</v>
      </c>
      <c r="C4225" s="17" t="s">
        <v>16</v>
      </c>
      <c r="D4225" s="17"/>
      <c r="E4225" s="17"/>
      <c r="F4225" s="17"/>
      <c r="G4225" s="17"/>
      <c r="H4225" s="18"/>
    </row>
    <row r="4226" spans="1:8" s="948" customFormat="1">
      <c r="A4226" s="485"/>
      <c r="B4226" s="485" t="s">
        <v>1217</v>
      </c>
      <c r="C4226" s="17" t="s">
        <v>16</v>
      </c>
      <c r="D4226" s="485">
        <v>1</v>
      </c>
      <c r="E4226" s="485"/>
      <c r="F4226" s="485"/>
      <c r="G4226" s="485"/>
      <c r="H4226" s="18">
        <f t="shared" ref="H4226" si="648">PRODUCT(D4226:G4226)</f>
        <v>1</v>
      </c>
    </row>
    <row r="4227" spans="1:8" s="948" customFormat="1">
      <c r="A4227" s="17"/>
      <c r="B4227" s="17"/>
      <c r="C4227" s="17"/>
      <c r="D4227" s="17"/>
      <c r="E4227" s="17"/>
      <c r="F4227" s="17"/>
      <c r="G4227" s="17"/>
      <c r="H4227" s="18"/>
    </row>
    <row r="4228" spans="1:8" s="948" customFormat="1">
      <c r="A4228" s="15"/>
      <c r="B4228" s="15" t="s">
        <v>21</v>
      </c>
      <c r="C4228" s="15"/>
      <c r="D4228" s="15"/>
      <c r="E4228" s="15"/>
      <c r="F4228" s="15"/>
      <c r="G4228" s="15"/>
      <c r="H4228" s="20">
        <f>SUM(H4225:H4227)</f>
        <v>1</v>
      </c>
    </row>
    <row r="4229" spans="1:8" s="948" customFormat="1">
      <c r="A4229" s="17"/>
      <c r="B4229" s="17" t="s">
        <v>22</v>
      </c>
      <c r="C4229" s="17"/>
      <c r="D4229" s="17"/>
      <c r="E4229" s="17"/>
      <c r="F4229" s="17"/>
      <c r="G4229" s="17"/>
      <c r="H4229" s="18"/>
    </row>
    <row r="4230" spans="1:8" s="948" customFormat="1">
      <c r="A4230" s="15"/>
      <c r="B4230" s="15" t="s">
        <v>23</v>
      </c>
      <c r="C4230" s="15"/>
      <c r="D4230" s="15"/>
      <c r="E4230" s="15"/>
      <c r="F4230" s="15"/>
      <c r="G4230" s="15"/>
      <c r="H4230" s="20">
        <f>ROUND(SUM(H4228:H4229),0)</f>
        <v>1</v>
      </c>
    </row>
    <row r="4231" spans="1:8" s="948" customFormat="1">
      <c r="H4231" s="21"/>
    </row>
    <row r="4232" spans="1:8" s="948" customFormat="1">
      <c r="A4232" s="17">
        <v>4</v>
      </c>
      <c r="B4232" s="15" t="s">
        <v>2102</v>
      </c>
      <c r="C4232" s="17" t="s">
        <v>16</v>
      </c>
      <c r="D4232" s="17"/>
      <c r="E4232" s="17"/>
      <c r="F4232" s="17"/>
      <c r="G4232" s="17"/>
      <c r="H4232" s="18"/>
    </row>
    <row r="4233" spans="1:8" s="948" customFormat="1">
      <c r="A4233" s="485"/>
      <c r="B4233" s="485" t="s">
        <v>2103</v>
      </c>
      <c r="C4233" s="17" t="s">
        <v>16</v>
      </c>
      <c r="D4233" s="485">
        <v>1</v>
      </c>
      <c r="E4233" s="485"/>
      <c r="F4233" s="485"/>
      <c r="G4233" s="17"/>
      <c r="H4233" s="18">
        <f t="shared" ref="H4233:H4242" si="649">PRODUCT(D4233:G4233)</f>
        <v>1</v>
      </c>
    </row>
    <row r="4234" spans="1:8" s="948" customFormat="1">
      <c r="A4234" s="485"/>
      <c r="B4234" s="485" t="s">
        <v>2104</v>
      </c>
      <c r="C4234" s="17" t="s">
        <v>16</v>
      </c>
      <c r="D4234" s="485">
        <v>1</v>
      </c>
      <c r="E4234" s="485"/>
      <c r="F4234" s="485"/>
      <c r="G4234" s="17"/>
      <c r="H4234" s="18">
        <f t="shared" si="649"/>
        <v>1</v>
      </c>
    </row>
    <row r="4235" spans="1:8" s="948" customFormat="1">
      <c r="A4235" s="485"/>
      <c r="B4235" s="485" t="s">
        <v>2105</v>
      </c>
      <c r="C4235" s="17" t="s">
        <v>16</v>
      </c>
      <c r="D4235" s="485">
        <v>1</v>
      </c>
      <c r="E4235" s="485"/>
      <c r="F4235" s="485"/>
      <c r="G4235" s="17"/>
      <c r="H4235" s="18">
        <f t="shared" si="649"/>
        <v>1</v>
      </c>
    </row>
    <row r="4236" spans="1:8" s="948" customFormat="1">
      <c r="A4236" s="485"/>
      <c r="B4236" s="485" t="s">
        <v>2106</v>
      </c>
      <c r="C4236" s="17" t="s">
        <v>16</v>
      </c>
      <c r="D4236" s="485">
        <v>1</v>
      </c>
      <c r="E4236" s="485"/>
      <c r="F4236" s="485"/>
      <c r="G4236" s="17"/>
      <c r="H4236" s="18">
        <f t="shared" si="649"/>
        <v>1</v>
      </c>
    </row>
    <row r="4237" spans="1:8" s="948" customFormat="1">
      <c r="A4237" s="17"/>
      <c r="B4237" s="485" t="s">
        <v>2107</v>
      </c>
      <c r="C4237" s="17" t="s">
        <v>16</v>
      </c>
      <c r="D4237" s="17">
        <v>1</v>
      </c>
      <c r="E4237" s="17"/>
      <c r="F4237" s="17"/>
      <c r="G4237" s="17"/>
      <c r="H4237" s="18">
        <f t="shared" si="649"/>
        <v>1</v>
      </c>
    </row>
    <row r="4238" spans="1:8" s="948" customFormat="1">
      <c r="A4238" s="17"/>
      <c r="B4238" s="17" t="s">
        <v>2108</v>
      </c>
      <c r="C4238" s="17" t="s">
        <v>16</v>
      </c>
      <c r="D4238" s="17">
        <v>1</v>
      </c>
      <c r="E4238" s="17"/>
      <c r="F4238" s="17"/>
      <c r="G4238" s="17"/>
      <c r="H4238" s="18">
        <f t="shared" si="649"/>
        <v>1</v>
      </c>
    </row>
    <row r="4239" spans="1:8" s="948" customFormat="1">
      <c r="A4239" s="485"/>
      <c r="B4239" s="17" t="s">
        <v>2109</v>
      </c>
      <c r="C4239" s="17" t="s">
        <v>16</v>
      </c>
      <c r="D4239" s="17">
        <v>1</v>
      </c>
      <c r="E4239" s="17"/>
      <c r="F4239" s="17"/>
      <c r="G4239" s="17"/>
      <c r="H4239" s="18">
        <f t="shared" si="649"/>
        <v>1</v>
      </c>
    </row>
    <row r="4240" spans="1:8" s="948" customFormat="1">
      <c r="A4240" s="485"/>
      <c r="B4240" s="17" t="s">
        <v>1237</v>
      </c>
      <c r="C4240" s="17" t="s">
        <v>16</v>
      </c>
      <c r="D4240" s="17">
        <v>1</v>
      </c>
      <c r="E4240" s="17"/>
      <c r="F4240" s="17"/>
      <c r="G4240" s="17"/>
      <c r="H4240" s="18">
        <f t="shared" si="649"/>
        <v>1</v>
      </c>
    </row>
    <row r="4241" spans="1:8" s="948" customFormat="1">
      <c r="A4241" s="485"/>
      <c r="B4241" s="17" t="s">
        <v>1236</v>
      </c>
      <c r="C4241" s="17" t="s">
        <v>16</v>
      </c>
      <c r="D4241" s="17">
        <v>1</v>
      </c>
      <c r="E4241" s="17"/>
      <c r="F4241" s="17"/>
      <c r="G4241" s="17"/>
      <c r="H4241" s="18">
        <f t="shared" si="649"/>
        <v>1</v>
      </c>
    </row>
    <row r="4242" spans="1:8" s="948" customFormat="1">
      <c r="A4242" s="485"/>
      <c r="B4242" s="17" t="s">
        <v>2040</v>
      </c>
      <c r="C4242" s="17" t="s">
        <v>16</v>
      </c>
      <c r="D4242" s="17">
        <v>1</v>
      </c>
      <c r="E4242" s="17"/>
      <c r="F4242" s="17"/>
      <c r="G4242" s="17"/>
      <c r="H4242" s="18">
        <f t="shared" si="649"/>
        <v>1</v>
      </c>
    </row>
    <row r="4243" spans="1:8" s="948" customFormat="1">
      <c r="A4243" s="485"/>
      <c r="B4243" s="485"/>
      <c r="C4243" s="485"/>
      <c r="D4243" s="485"/>
      <c r="E4243" s="485"/>
      <c r="F4243" s="485"/>
      <c r="G4243" s="485"/>
      <c r="H4243" s="487"/>
    </row>
    <row r="4244" spans="1:8" s="948" customFormat="1">
      <c r="A4244" s="17"/>
      <c r="B4244" s="17"/>
      <c r="C4244" s="17"/>
      <c r="D4244" s="17"/>
      <c r="E4244" s="17"/>
      <c r="F4244" s="17"/>
      <c r="G4244" s="17"/>
      <c r="H4244" s="18"/>
    </row>
    <row r="4245" spans="1:8" s="948" customFormat="1">
      <c r="A4245" s="15"/>
      <c r="B4245" s="15" t="s">
        <v>21</v>
      </c>
      <c r="C4245" s="15"/>
      <c r="D4245" s="15"/>
      <c r="E4245" s="15"/>
      <c r="F4245" s="15"/>
      <c r="G4245" s="15"/>
      <c r="H4245" s="20">
        <f>SUM(H4232:H4244)</f>
        <v>10</v>
      </c>
    </row>
    <row r="4246" spans="1:8" s="948" customFormat="1">
      <c r="A4246" s="17"/>
      <c r="B4246" s="17" t="s">
        <v>22</v>
      </c>
      <c r="C4246" s="17"/>
      <c r="D4246" s="17"/>
      <c r="E4246" s="17"/>
      <c r="F4246" s="17"/>
      <c r="G4246" s="17"/>
      <c r="H4246" s="18"/>
    </row>
    <row r="4247" spans="1:8" s="948" customFormat="1">
      <c r="A4247" s="15"/>
      <c r="B4247" s="15" t="s">
        <v>23</v>
      </c>
      <c r="C4247" s="15"/>
      <c r="D4247" s="15"/>
      <c r="E4247" s="15"/>
      <c r="F4247" s="15"/>
      <c r="G4247" s="15"/>
      <c r="H4247" s="20">
        <f>ROUND(SUM(H4245:H4246),0)</f>
        <v>10</v>
      </c>
    </row>
    <row r="4249" spans="1:8">
      <c r="A4249" s="17">
        <v>4</v>
      </c>
      <c r="B4249" s="15" t="s">
        <v>2110</v>
      </c>
      <c r="C4249" s="17" t="s">
        <v>16</v>
      </c>
      <c r="D4249" s="17"/>
      <c r="E4249" s="17"/>
      <c r="F4249" s="17"/>
      <c r="G4249" s="17"/>
      <c r="H4249" s="18"/>
    </row>
    <row r="4250" spans="1:8">
      <c r="A4250" s="485"/>
      <c r="B4250" s="485" t="s">
        <v>156</v>
      </c>
      <c r="C4250" s="17" t="s">
        <v>16</v>
      </c>
      <c r="D4250" s="485">
        <v>1</v>
      </c>
      <c r="E4250" s="485"/>
      <c r="F4250" s="485"/>
      <c r="G4250" s="17"/>
      <c r="H4250" s="18">
        <f t="shared" ref="H4250" si="650">PRODUCT(D4250:G4250)</f>
        <v>1</v>
      </c>
    </row>
    <row r="4251" spans="1:8">
      <c r="A4251" s="485"/>
      <c r="B4251" s="485"/>
      <c r="C4251" s="485"/>
      <c r="D4251" s="485"/>
      <c r="E4251" s="485"/>
      <c r="F4251" s="485"/>
      <c r="G4251" s="485"/>
      <c r="H4251" s="487"/>
    </row>
    <row r="4252" spans="1:8">
      <c r="A4252" s="17"/>
      <c r="B4252" s="17"/>
      <c r="C4252" s="17"/>
      <c r="D4252" s="17"/>
      <c r="E4252" s="17"/>
      <c r="F4252" s="17"/>
      <c r="G4252" s="17"/>
      <c r="H4252" s="18"/>
    </row>
    <row r="4253" spans="1:8">
      <c r="A4253" s="15"/>
      <c r="B4253" s="15" t="s">
        <v>21</v>
      </c>
      <c r="C4253" s="15"/>
      <c r="D4253" s="15"/>
      <c r="E4253" s="15"/>
      <c r="F4253" s="15"/>
      <c r="G4253" s="15"/>
      <c r="H4253" s="20">
        <f>SUM(H4249:H4252)</f>
        <v>1</v>
      </c>
    </row>
    <row r="4254" spans="1:8">
      <c r="A4254" s="17"/>
      <c r="B4254" s="17" t="s">
        <v>22</v>
      </c>
      <c r="C4254" s="17"/>
      <c r="D4254" s="17"/>
      <c r="E4254" s="17"/>
      <c r="F4254" s="17"/>
      <c r="G4254" s="17"/>
      <c r="H4254" s="18"/>
    </row>
    <row r="4255" spans="1:8">
      <c r="A4255" s="15"/>
      <c r="B4255" s="15" t="s">
        <v>23</v>
      </c>
      <c r="C4255" s="15"/>
      <c r="D4255" s="15"/>
      <c r="E4255" s="15"/>
      <c r="F4255" s="15"/>
      <c r="G4255" s="15"/>
      <c r="H4255" s="20">
        <f>ROUND(SUM(H4253:H4254),0)</f>
        <v>1</v>
      </c>
    </row>
    <row r="4257" spans="1:8">
      <c r="A4257" s="17">
        <v>4</v>
      </c>
      <c r="B4257" s="15" t="s">
        <v>163</v>
      </c>
      <c r="C4257" s="17" t="s">
        <v>16</v>
      </c>
      <c r="D4257" s="17"/>
      <c r="E4257" s="17"/>
      <c r="F4257" s="17"/>
      <c r="G4257" s="17"/>
      <c r="H4257" s="18"/>
    </row>
    <row r="4258" spans="1:8">
      <c r="A4258" s="485"/>
      <c r="B4258" s="485" t="s">
        <v>297</v>
      </c>
      <c r="C4258" s="17" t="s">
        <v>16</v>
      </c>
      <c r="D4258" s="485">
        <v>0</v>
      </c>
      <c r="E4258" s="485"/>
      <c r="F4258" s="485"/>
      <c r="G4258" s="17"/>
      <c r="H4258" s="18">
        <f t="shared" ref="H4258" si="651">PRODUCT(D4258:G4258)</f>
        <v>0</v>
      </c>
    </row>
    <row r="4259" spans="1:8">
      <c r="A4259" s="485"/>
      <c r="B4259" s="485" t="s">
        <v>1227</v>
      </c>
      <c r="C4259" s="17" t="s">
        <v>16</v>
      </c>
      <c r="D4259" s="485">
        <v>1</v>
      </c>
      <c r="E4259" s="485"/>
      <c r="F4259" s="485"/>
      <c r="G4259" s="17"/>
      <c r="H4259" s="18">
        <f t="shared" ref="H4259" si="652">PRODUCT(D4259:G4259)</f>
        <v>1</v>
      </c>
    </row>
    <row r="4260" spans="1:8">
      <c r="A4260" s="17"/>
      <c r="B4260" s="17"/>
      <c r="C4260" s="17"/>
      <c r="D4260" s="17"/>
      <c r="E4260" s="17"/>
      <c r="F4260" s="17"/>
      <c r="G4260" s="17"/>
      <c r="H4260" s="18"/>
    </row>
    <row r="4261" spans="1:8">
      <c r="A4261" s="15"/>
      <c r="B4261" s="15" t="s">
        <v>21</v>
      </c>
      <c r="C4261" s="15"/>
      <c r="D4261" s="15"/>
      <c r="E4261" s="15"/>
      <c r="F4261" s="15"/>
      <c r="G4261" s="15"/>
      <c r="H4261" s="20">
        <f>SUM(H4257:H4260)</f>
        <v>1</v>
      </c>
    </row>
    <row r="4262" spans="1:8">
      <c r="A4262" s="17"/>
      <c r="B4262" s="17" t="s">
        <v>22</v>
      </c>
      <c r="C4262" s="17"/>
      <c r="D4262" s="17"/>
      <c r="E4262" s="17"/>
      <c r="F4262" s="17"/>
      <c r="G4262" s="17"/>
      <c r="H4262" s="18"/>
    </row>
    <row r="4263" spans="1:8">
      <c r="A4263" s="15"/>
      <c r="B4263" s="15" t="s">
        <v>23</v>
      </c>
      <c r="C4263" s="15"/>
      <c r="D4263" s="15"/>
      <c r="E4263" s="15"/>
      <c r="F4263" s="15"/>
      <c r="G4263" s="15"/>
      <c r="H4263" s="20">
        <f>ROUND(SUM(H4261:H4262),0)</f>
        <v>1</v>
      </c>
    </row>
    <row r="4265" spans="1:8">
      <c r="A4265" s="17">
        <v>4</v>
      </c>
      <c r="B4265" s="15" t="s">
        <v>2111</v>
      </c>
      <c r="C4265" s="17" t="s">
        <v>16</v>
      </c>
      <c r="D4265" s="17"/>
      <c r="E4265" s="17"/>
      <c r="F4265" s="17"/>
      <c r="G4265" s="17"/>
      <c r="H4265" s="18"/>
    </row>
    <row r="4266" spans="1:8">
      <c r="A4266" s="485"/>
      <c r="B4266" s="485" t="s">
        <v>2112</v>
      </c>
      <c r="C4266" s="17" t="s">
        <v>16</v>
      </c>
      <c r="D4266" s="485">
        <v>1</v>
      </c>
      <c r="E4266" s="485"/>
      <c r="F4266" s="485"/>
      <c r="G4266" s="17"/>
      <c r="H4266" s="18">
        <f t="shared" ref="H4266:H4267" si="653">PRODUCT(D4266:G4266)</f>
        <v>1</v>
      </c>
    </row>
    <row r="4267" spans="1:8">
      <c r="A4267" s="485"/>
      <c r="B4267" s="485" t="s">
        <v>181</v>
      </c>
      <c r="C4267" s="17" t="s">
        <v>16</v>
      </c>
      <c r="D4267" s="485">
        <v>1</v>
      </c>
      <c r="E4267" s="485"/>
      <c r="F4267" s="485"/>
      <c r="G4267" s="17"/>
      <c r="H4267" s="18">
        <f t="shared" si="653"/>
        <v>1</v>
      </c>
    </row>
    <row r="4268" spans="1:8">
      <c r="A4268" s="485"/>
      <c r="B4268" s="485" t="s">
        <v>161</v>
      </c>
      <c r="C4268" s="17" t="s">
        <v>16</v>
      </c>
      <c r="D4268" s="485">
        <v>1</v>
      </c>
      <c r="E4268" s="485"/>
      <c r="F4268" s="485"/>
      <c r="G4268" s="17"/>
      <c r="H4268" s="18">
        <f t="shared" ref="H4268" si="654">PRODUCT(D4268:G4268)</f>
        <v>1</v>
      </c>
    </row>
    <row r="4269" spans="1:8">
      <c r="A4269" s="485"/>
      <c r="B4269" s="485" t="s">
        <v>280</v>
      </c>
      <c r="C4269" s="17" t="s">
        <v>16</v>
      </c>
      <c r="D4269" s="485">
        <v>1</v>
      </c>
      <c r="E4269" s="485"/>
      <c r="F4269" s="485"/>
      <c r="G4269" s="17"/>
      <c r="H4269" s="18">
        <f t="shared" ref="H4269" si="655">PRODUCT(D4269:G4269)</f>
        <v>1</v>
      </c>
    </row>
    <row r="4270" spans="1:8">
      <c r="A4270" s="485"/>
      <c r="B4270" s="485" t="s">
        <v>162</v>
      </c>
      <c r="C4270" s="17" t="s">
        <v>16</v>
      </c>
      <c r="D4270" s="485">
        <v>1</v>
      </c>
      <c r="E4270" s="485"/>
      <c r="F4270" s="485"/>
      <c r="G4270" s="17"/>
      <c r="H4270" s="18">
        <f t="shared" ref="H4270" si="656">PRODUCT(D4270:G4270)</f>
        <v>1</v>
      </c>
    </row>
    <row r="4271" spans="1:8">
      <c r="A4271" s="485"/>
      <c r="B4271" s="485"/>
      <c r="C4271" s="485"/>
      <c r="D4271" s="485"/>
      <c r="E4271" s="485"/>
      <c r="F4271" s="485"/>
      <c r="G4271" s="485"/>
      <c r="H4271" s="487"/>
    </row>
    <row r="4272" spans="1:8">
      <c r="A4272" s="485"/>
      <c r="B4272" s="485"/>
      <c r="C4272" s="485"/>
      <c r="D4272" s="485"/>
      <c r="E4272" s="485"/>
      <c r="F4272" s="485"/>
      <c r="G4272" s="485"/>
      <c r="H4272" s="487"/>
    </row>
    <row r="4273" spans="1:8">
      <c r="A4273" s="17"/>
      <c r="B4273" s="17"/>
      <c r="C4273" s="17"/>
      <c r="D4273" s="17"/>
      <c r="E4273" s="17"/>
      <c r="F4273" s="17"/>
      <c r="G4273" s="17"/>
      <c r="H4273" s="18"/>
    </row>
    <row r="4274" spans="1:8">
      <c r="A4274" s="15"/>
      <c r="B4274" s="15" t="s">
        <v>21</v>
      </c>
      <c r="C4274" s="15"/>
      <c r="D4274" s="15"/>
      <c r="E4274" s="15"/>
      <c r="F4274" s="15"/>
      <c r="G4274" s="15"/>
      <c r="H4274" s="20">
        <f>SUM(H4265:H4273)</f>
        <v>5</v>
      </c>
    </row>
    <row r="4275" spans="1:8">
      <c r="A4275" s="17"/>
      <c r="B4275" s="17" t="s">
        <v>22</v>
      </c>
      <c r="C4275" s="17"/>
      <c r="D4275" s="17"/>
      <c r="E4275" s="17"/>
      <c r="F4275" s="17"/>
      <c r="G4275" s="17"/>
      <c r="H4275" s="18"/>
    </row>
    <row r="4276" spans="1:8">
      <c r="A4276" s="15"/>
      <c r="B4276" s="15" t="s">
        <v>23</v>
      </c>
      <c r="C4276" s="15"/>
      <c r="D4276" s="15"/>
      <c r="E4276" s="15"/>
      <c r="F4276" s="15"/>
      <c r="G4276" s="15"/>
      <c r="H4276" s="20">
        <f>ROUND(SUM(H4274:H4275),0)</f>
        <v>5</v>
      </c>
    </row>
    <row r="4278" spans="1:8">
      <c r="A4278" s="17">
        <v>4</v>
      </c>
      <c r="B4278" s="15" t="s">
        <v>167</v>
      </c>
      <c r="C4278" s="17" t="s">
        <v>16</v>
      </c>
      <c r="D4278" s="17"/>
      <c r="E4278" s="17"/>
      <c r="F4278" s="17"/>
      <c r="G4278" s="17"/>
      <c r="H4278" s="18"/>
    </row>
    <row r="4279" spans="1:8">
      <c r="A4279" s="485"/>
      <c r="B4279" s="485" t="s">
        <v>1178</v>
      </c>
      <c r="C4279" s="17" t="s">
        <v>16</v>
      </c>
      <c r="D4279" s="485">
        <v>2</v>
      </c>
      <c r="E4279" s="485"/>
      <c r="F4279" s="485"/>
      <c r="G4279" s="17"/>
      <c r="H4279" s="18">
        <f t="shared" ref="H4279:H4283" si="657">PRODUCT(D4279:G4279)</f>
        <v>2</v>
      </c>
    </row>
    <row r="4280" spans="1:8">
      <c r="A4280" s="485"/>
      <c r="B4280" s="485" t="s">
        <v>1177</v>
      </c>
      <c r="C4280" s="17" t="s">
        <v>16</v>
      </c>
      <c r="D4280" s="485">
        <v>1</v>
      </c>
      <c r="E4280" s="485"/>
      <c r="F4280" s="485"/>
      <c r="G4280" s="17"/>
      <c r="H4280" s="18">
        <f t="shared" si="657"/>
        <v>1</v>
      </c>
    </row>
    <row r="4281" spans="1:8">
      <c r="A4281" s="485"/>
      <c r="B4281" s="485" t="s">
        <v>2113</v>
      </c>
      <c r="C4281" s="17" t="s">
        <v>16</v>
      </c>
      <c r="D4281" s="485">
        <v>1</v>
      </c>
      <c r="E4281" s="485"/>
      <c r="F4281" s="485"/>
      <c r="G4281" s="17"/>
      <c r="H4281" s="18">
        <f t="shared" si="657"/>
        <v>1</v>
      </c>
    </row>
    <row r="4282" spans="1:8">
      <c r="A4282" s="485"/>
      <c r="B4282" s="485" t="s">
        <v>1218</v>
      </c>
      <c r="C4282" s="17" t="s">
        <v>16</v>
      </c>
      <c r="D4282" s="485">
        <v>1</v>
      </c>
      <c r="E4282" s="485"/>
      <c r="F4282" s="485"/>
      <c r="G4282" s="17"/>
      <c r="H4282" s="18">
        <f t="shared" si="657"/>
        <v>1</v>
      </c>
    </row>
    <row r="4283" spans="1:8">
      <c r="A4283" s="485"/>
      <c r="B4283" s="485" t="s">
        <v>2114</v>
      </c>
      <c r="C4283" s="17" t="s">
        <v>16</v>
      </c>
      <c r="D4283" s="485">
        <v>1</v>
      </c>
      <c r="E4283" s="485"/>
      <c r="F4283" s="485"/>
      <c r="G4283" s="17"/>
      <c r="H4283" s="18">
        <f t="shared" si="657"/>
        <v>1</v>
      </c>
    </row>
    <row r="4284" spans="1:8">
      <c r="A4284" s="485"/>
      <c r="B4284" s="485" t="s">
        <v>2115</v>
      </c>
      <c r="C4284" s="17" t="s">
        <v>16</v>
      </c>
      <c r="D4284" s="485">
        <v>1</v>
      </c>
      <c r="E4284" s="485"/>
      <c r="F4284" s="485"/>
      <c r="G4284" s="17"/>
      <c r="H4284" s="18">
        <f t="shared" ref="H4284" si="658">PRODUCT(D4284:G4284)</f>
        <v>1</v>
      </c>
    </row>
    <row r="4285" spans="1:8">
      <c r="A4285" s="485"/>
      <c r="B4285" s="485" t="s">
        <v>2116</v>
      </c>
      <c r="C4285" s="17" t="s">
        <v>16</v>
      </c>
      <c r="D4285" s="485">
        <v>1</v>
      </c>
      <c r="E4285" s="485"/>
      <c r="F4285" s="485"/>
      <c r="G4285" s="17"/>
      <c r="H4285" s="18">
        <f t="shared" ref="H4285" si="659">PRODUCT(D4285:G4285)</f>
        <v>1</v>
      </c>
    </row>
    <row r="4286" spans="1:8">
      <c r="A4286" s="485"/>
      <c r="B4286" s="485" t="s">
        <v>2117</v>
      </c>
      <c r="C4286" s="17" t="s">
        <v>16</v>
      </c>
      <c r="D4286" s="485">
        <v>1</v>
      </c>
      <c r="E4286" s="485"/>
      <c r="F4286" s="485"/>
      <c r="G4286" s="17"/>
      <c r="H4286" s="18">
        <f t="shared" ref="H4286" si="660">PRODUCT(D4286:G4286)</f>
        <v>1</v>
      </c>
    </row>
    <row r="4287" spans="1:8">
      <c r="A4287" s="485"/>
      <c r="B4287" s="485" t="s">
        <v>1329</v>
      </c>
      <c r="C4287" s="17" t="s">
        <v>16</v>
      </c>
      <c r="D4287" s="485">
        <v>1</v>
      </c>
      <c r="E4287" s="485"/>
      <c r="F4287" s="485"/>
      <c r="G4287" s="17"/>
      <c r="H4287" s="18">
        <f t="shared" ref="H4287" si="661">PRODUCT(D4287:G4287)</f>
        <v>1</v>
      </c>
    </row>
    <row r="4288" spans="1:8">
      <c r="A4288" s="17"/>
      <c r="B4288" s="17"/>
      <c r="C4288" s="17"/>
      <c r="D4288" s="17"/>
      <c r="E4288" s="17"/>
      <c r="F4288" s="17"/>
      <c r="G4288" s="17"/>
      <c r="H4288" s="18"/>
    </row>
    <row r="4289" spans="1:8">
      <c r="A4289" s="15"/>
      <c r="B4289" s="15" t="s">
        <v>21</v>
      </c>
      <c r="C4289" s="15"/>
      <c r="D4289" s="15"/>
      <c r="E4289" s="15"/>
      <c r="F4289" s="15"/>
      <c r="G4289" s="15"/>
      <c r="H4289" s="20">
        <f>SUM(H4278:H4288)</f>
        <v>10</v>
      </c>
    </row>
    <row r="4290" spans="1:8">
      <c r="A4290" s="17"/>
      <c r="B4290" s="17" t="s">
        <v>22</v>
      </c>
      <c r="C4290" s="17"/>
      <c r="D4290" s="17"/>
      <c r="E4290" s="17"/>
      <c r="F4290" s="17"/>
      <c r="G4290" s="17"/>
      <c r="H4290" s="18"/>
    </row>
    <row r="4291" spans="1:8">
      <c r="A4291" s="15"/>
      <c r="B4291" s="15" t="s">
        <v>23</v>
      </c>
      <c r="C4291" s="15"/>
      <c r="D4291" s="15"/>
      <c r="E4291" s="15"/>
      <c r="F4291" s="15"/>
      <c r="G4291" s="15"/>
      <c r="H4291" s="20">
        <f>ROUND(SUM(H4289:H4290),0)</f>
        <v>10</v>
      </c>
    </row>
    <row r="4293" spans="1:8">
      <c r="A4293" s="17">
        <v>4</v>
      </c>
      <c r="B4293" s="15" t="s">
        <v>135</v>
      </c>
      <c r="C4293" s="17" t="s">
        <v>31</v>
      </c>
      <c r="D4293" s="17"/>
      <c r="E4293" s="17"/>
      <c r="F4293" s="17"/>
      <c r="G4293" s="17"/>
      <c r="H4293" s="18"/>
    </row>
    <row r="4294" spans="1:8">
      <c r="A4294" s="17"/>
      <c r="B4294" s="17" t="s">
        <v>99</v>
      </c>
      <c r="C4294" s="17" t="s">
        <v>31</v>
      </c>
      <c r="D4294" s="17">
        <v>1</v>
      </c>
      <c r="E4294" s="17">
        <v>5</v>
      </c>
      <c r="F4294" s="17"/>
      <c r="G4294" s="17"/>
      <c r="H4294" s="18">
        <f>PRODUCT(D4294:G4294)</f>
        <v>5</v>
      </c>
    </row>
    <row r="4295" spans="1:8">
      <c r="A4295" s="17"/>
      <c r="B4295" s="17" t="s">
        <v>156</v>
      </c>
      <c r="C4295" s="17" t="s">
        <v>31</v>
      </c>
      <c r="D4295" s="17">
        <v>1</v>
      </c>
      <c r="E4295" s="17">
        <v>3.25</v>
      </c>
      <c r="F4295" s="17"/>
      <c r="G4295" s="17"/>
      <c r="H4295" s="18">
        <f>PRODUCT(D4295:G4295)</f>
        <v>3.25</v>
      </c>
    </row>
    <row r="4296" spans="1:8">
      <c r="A4296" s="17"/>
      <c r="B4296" s="17"/>
      <c r="C4296" s="17"/>
      <c r="D4296" s="17"/>
      <c r="E4296" s="17"/>
      <c r="F4296" s="17"/>
      <c r="G4296" s="17"/>
      <c r="H4296" s="18"/>
    </row>
    <row r="4297" spans="1:8">
      <c r="A4297" s="15"/>
      <c r="B4297" s="15" t="s">
        <v>21</v>
      </c>
      <c r="C4297" s="15"/>
      <c r="D4297" s="15"/>
      <c r="E4297" s="15"/>
      <c r="F4297" s="15"/>
      <c r="G4297" s="15"/>
      <c r="H4297" s="20">
        <f>SUM(H4294:H4296)</f>
        <v>8.25</v>
      </c>
    </row>
    <row r="4298" spans="1:8">
      <c r="A4298" s="17"/>
      <c r="B4298" s="17" t="s">
        <v>22</v>
      </c>
      <c r="C4298" s="17"/>
      <c r="D4298" s="17"/>
      <c r="E4298" s="17"/>
      <c r="F4298" s="17"/>
      <c r="G4298" s="17"/>
      <c r="H4298" s="18">
        <f>H4297*5%</f>
        <v>0.41250000000000003</v>
      </c>
    </row>
    <row r="4299" spans="1:8">
      <c r="A4299" s="15"/>
      <c r="B4299" s="15" t="s">
        <v>23</v>
      </c>
      <c r="C4299" s="15"/>
      <c r="D4299" s="15"/>
      <c r="E4299" s="15"/>
      <c r="F4299" s="15"/>
      <c r="G4299" s="15"/>
      <c r="H4299" s="20">
        <f>ROUND(SUM(H4297:H4298),0)</f>
        <v>9</v>
      </c>
    </row>
    <row r="4300" spans="1:8" s="948" customFormat="1">
      <c r="H4300" s="21"/>
    </row>
    <row r="4301" spans="1:8" s="948" customFormat="1">
      <c r="A4301" s="17">
        <v>4</v>
      </c>
      <c r="B4301" s="15" t="s">
        <v>2163</v>
      </c>
      <c r="C4301" s="17" t="s">
        <v>31</v>
      </c>
      <c r="D4301" s="17"/>
      <c r="E4301" s="17"/>
      <c r="F4301" s="17"/>
      <c r="G4301" s="17"/>
      <c r="H4301" s="18"/>
    </row>
    <row r="4302" spans="1:8" s="948" customFormat="1">
      <c r="A4302" s="17"/>
      <c r="B4302" s="17" t="s">
        <v>2164</v>
      </c>
      <c r="C4302" s="17" t="s">
        <v>31</v>
      </c>
      <c r="D4302" s="17">
        <v>1</v>
      </c>
      <c r="E4302" s="17">
        <v>1.8</v>
      </c>
      <c r="F4302" s="17"/>
      <c r="G4302" s="17"/>
      <c r="H4302" s="18">
        <f t="shared" ref="H4302:H4308" si="662">PRODUCT(D4302:G4302)</f>
        <v>1.8</v>
      </c>
    </row>
    <row r="4303" spans="1:8" s="948" customFormat="1">
      <c r="A4303" s="485"/>
      <c r="B4303" s="485" t="s">
        <v>2165</v>
      </c>
      <c r="C4303" s="17" t="s">
        <v>31</v>
      </c>
      <c r="D4303" s="17">
        <v>1</v>
      </c>
      <c r="E4303" s="17">
        <v>0.83</v>
      </c>
      <c r="F4303" s="17"/>
      <c r="G4303" s="17"/>
      <c r="H4303" s="18">
        <f t="shared" si="662"/>
        <v>0.83</v>
      </c>
    </row>
    <row r="4304" spans="1:8" s="948" customFormat="1">
      <c r="A4304" s="485"/>
      <c r="B4304" s="485" t="s">
        <v>1181</v>
      </c>
      <c r="C4304" s="17" t="s">
        <v>31</v>
      </c>
      <c r="D4304" s="17">
        <v>1</v>
      </c>
      <c r="E4304" s="17">
        <v>2.9</v>
      </c>
      <c r="F4304" s="17"/>
      <c r="G4304" s="17"/>
      <c r="H4304" s="18">
        <f t="shared" si="662"/>
        <v>2.9</v>
      </c>
    </row>
    <row r="4305" spans="1:8" s="948" customFormat="1">
      <c r="A4305" s="485"/>
      <c r="B4305" s="485" t="s">
        <v>2166</v>
      </c>
      <c r="C4305" s="17" t="s">
        <v>31</v>
      </c>
      <c r="D4305" s="17">
        <v>1</v>
      </c>
      <c r="E4305" s="17">
        <v>3.61</v>
      </c>
      <c r="F4305" s="17"/>
      <c r="G4305" s="17"/>
      <c r="H4305" s="18">
        <f t="shared" si="662"/>
        <v>3.61</v>
      </c>
    </row>
    <row r="4306" spans="1:8" s="948" customFormat="1">
      <c r="A4306" s="485"/>
      <c r="B4306" s="485" t="s">
        <v>1917</v>
      </c>
      <c r="C4306" s="17" t="s">
        <v>31</v>
      </c>
      <c r="D4306" s="17">
        <v>1</v>
      </c>
      <c r="E4306" s="17">
        <v>1.98</v>
      </c>
      <c r="F4306" s="17"/>
      <c r="G4306" s="17"/>
      <c r="H4306" s="18">
        <f t="shared" si="662"/>
        <v>1.98</v>
      </c>
    </row>
    <row r="4307" spans="1:8" s="948" customFormat="1">
      <c r="A4307" s="485"/>
      <c r="B4307" s="485" t="s">
        <v>1340</v>
      </c>
      <c r="C4307" s="17" t="s">
        <v>31</v>
      </c>
      <c r="D4307" s="17">
        <v>1</v>
      </c>
      <c r="E4307" s="17">
        <v>4.9000000000000004</v>
      </c>
      <c r="F4307" s="17"/>
      <c r="G4307" s="17"/>
      <c r="H4307" s="18">
        <f t="shared" si="662"/>
        <v>4.9000000000000004</v>
      </c>
    </row>
    <row r="4308" spans="1:8" s="948" customFormat="1">
      <c r="A4308" s="485"/>
      <c r="B4308" s="485" t="s">
        <v>1339</v>
      </c>
      <c r="C4308" s="17" t="s">
        <v>31</v>
      </c>
      <c r="D4308" s="17">
        <v>1</v>
      </c>
      <c r="E4308" s="17">
        <v>4</v>
      </c>
      <c r="F4308" s="17"/>
      <c r="G4308" s="17"/>
      <c r="H4308" s="18">
        <f t="shared" si="662"/>
        <v>4</v>
      </c>
    </row>
    <row r="4309" spans="1:8" s="948" customFormat="1">
      <c r="A4309" s="485"/>
      <c r="B4309" s="485"/>
      <c r="C4309" s="485"/>
      <c r="D4309" s="485"/>
      <c r="E4309" s="485"/>
      <c r="F4309" s="485"/>
      <c r="G4309" s="485"/>
      <c r="H4309" s="487"/>
    </row>
    <row r="4310" spans="1:8" s="948" customFormat="1">
      <c r="A4310" s="17"/>
      <c r="B4310" s="17"/>
      <c r="C4310" s="17"/>
      <c r="D4310" s="17"/>
      <c r="E4310" s="17"/>
      <c r="F4310" s="17"/>
      <c r="G4310" s="17"/>
      <c r="H4310" s="18"/>
    </row>
    <row r="4311" spans="1:8" s="948" customFormat="1">
      <c r="A4311" s="15"/>
      <c r="B4311" s="15" t="s">
        <v>21</v>
      </c>
      <c r="C4311" s="15"/>
      <c r="D4311" s="15"/>
      <c r="E4311" s="15"/>
      <c r="F4311" s="15"/>
      <c r="G4311" s="15"/>
      <c r="H4311" s="20">
        <f>SUM(H4302:H4310)</f>
        <v>20.02</v>
      </c>
    </row>
    <row r="4312" spans="1:8" s="948" customFormat="1">
      <c r="A4312" s="17"/>
      <c r="B4312" s="17" t="s">
        <v>22</v>
      </c>
      <c r="C4312" s="17"/>
      <c r="D4312" s="17"/>
      <c r="E4312" s="17"/>
      <c r="F4312" s="17"/>
      <c r="G4312" s="17"/>
      <c r="H4312" s="18">
        <f>H4311*5%</f>
        <v>1.0010000000000001</v>
      </c>
    </row>
    <row r="4313" spans="1:8" s="948" customFormat="1">
      <c r="A4313" s="15"/>
      <c r="B4313" s="15" t="s">
        <v>23</v>
      </c>
      <c r="C4313" s="15"/>
      <c r="D4313" s="15"/>
      <c r="E4313" s="15"/>
      <c r="F4313" s="15"/>
      <c r="G4313" s="15"/>
      <c r="H4313" s="20">
        <f>ROUND(SUM(H4311:H4312),0)</f>
        <v>21</v>
      </c>
    </row>
    <row r="4315" spans="1:8">
      <c r="A4315" s="17">
        <v>4</v>
      </c>
      <c r="B4315" s="15" t="s">
        <v>306</v>
      </c>
      <c r="C4315" s="17" t="s">
        <v>31</v>
      </c>
      <c r="D4315" s="17"/>
      <c r="E4315" s="17"/>
      <c r="F4315" s="17"/>
      <c r="G4315" s="17"/>
      <c r="H4315" s="18"/>
    </row>
    <row r="4316" spans="1:8">
      <c r="A4316" s="17"/>
      <c r="B4316" s="17" t="s">
        <v>306</v>
      </c>
      <c r="C4316" s="17" t="s">
        <v>31</v>
      </c>
      <c r="D4316" s="17">
        <v>1</v>
      </c>
      <c r="E4316" s="17">
        <v>4.5</v>
      </c>
      <c r="F4316" s="17"/>
      <c r="G4316" s="17"/>
      <c r="H4316" s="18">
        <f>PRODUCT(D4316:G4316)</f>
        <v>4.5</v>
      </c>
    </row>
    <row r="4317" spans="1:8">
      <c r="A4317" s="485"/>
      <c r="B4317" s="485"/>
      <c r="C4317" s="485"/>
      <c r="D4317" s="485"/>
      <c r="E4317" s="485"/>
      <c r="F4317" s="485"/>
      <c r="G4317" s="485"/>
      <c r="H4317" s="487"/>
    </row>
    <row r="4318" spans="1:8">
      <c r="A4318" s="17"/>
      <c r="B4318" s="17"/>
      <c r="C4318" s="17"/>
      <c r="D4318" s="17"/>
      <c r="E4318" s="17"/>
      <c r="F4318" s="17"/>
      <c r="G4318" s="17"/>
      <c r="H4318" s="18"/>
    </row>
    <row r="4319" spans="1:8">
      <c r="A4319" s="15"/>
      <c r="B4319" s="15" t="s">
        <v>21</v>
      </c>
      <c r="C4319" s="15"/>
      <c r="D4319" s="15"/>
      <c r="E4319" s="15"/>
      <c r="F4319" s="15"/>
      <c r="G4319" s="15"/>
      <c r="H4319" s="20">
        <f>SUM(H4316:H4318)</f>
        <v>4.5</v>
      </c>
    </row>
    <row r="4320" spans="1:8">
      <c r="A4320" s="17"/>
      <c r="B4320" s="17" t="s">
        <v>22</v>
      </c>
      <c r="C4320" s="17"/>
      <c r="D4320" s="17"/>
      <c r="E4320" s="17"/>
      <c r="F4320" s="17"/>
      <c r="G4320" s="17"/>
      <c r="H4320" s="18">
        <f>H4319*5%</f>
        <v>0.22500000000000001</v>
      </c>
    </row>
    <row r="4321" spans="1:8">
      <c r="A4321" s="15"/>
      <c r="B4321" s="15" t="s">
        <v>23</v>
      </c>
      <c r="C4321" s="15"/>
      <c r="D4321" s="15"/>
      <c r="E4321" s="15"/>
      <c r="F4321" s="15"/>
      <c r="G4321" s="15"/>
      <c r="H4321" s="20">
        <f>ROUND(SUM(H4319:H4320),0)</f>
        <v>5</v>
      </c>
    </row>
    <row r="4323" spans="1:8">
      <c r="A4323" s="17">
        <v>4</v>
      </c>
      <c r="B4323" s="15" t="s">
        <v>229</v>
      </c>
      <c r="C4323" s="17" t="s">
        <v>10</v>
      </c>
      <c r="D4323" s="17"/>
      <c r="E4323" s="17"/>
      <c r="F4323" s="17"/>
      <c r="G4323" s="17"/>
      <c r="H4323" s="18"/>
    </row>
    <row r="4324" spans="1:8">
      <c r="A4324" s="17"/>
      <c r="B4324" s="17" t="s">
        <v>99</v>
      </c>
      <c r="C4324" s="17" t="s">
        <v>10</v>
      </c>
      <c r="D4324" s="17">
        <v>1</v>
      </c>
      <c r="E4324" s="17">
        <v>9.8000000000000007</v>
      </c>
      <c r="F4324" s="17"/>
      <c r="G4324" s="17">
        <v>1.05</v>
      </c>
      <c r="H4324" s="18">
        <f t="shared" ref="H4324:H4327" si="663">PRODUCT(D4324:G4324)</f>
        <v>10.290000000000001</v>
      </c>
    </row>
    <row r="4325" spans="1:8">
      <c r="A4325" s="17"/>
      <c r="B4325" s="17"/>
      <c r="C4325" s="17" t="s">
        <v>10</v>
      </c>
      <c r="D4325" s="17">
        <v>12</v>
      </c>
      <c r="E4325" s="17">
        <v>1.5</v>
      </c>
      <c r="F4325" s="17"/>
      <c r="G4325" s="17">
        <v>1.05</v>
      </c>
      <c r="H4325" s="18">
        <f t="shared" si="663"/>
        <v>18.900000000000002</v>
      </c>
    </row>
    <row r="4326" spans="1:8">
      <c r="A4326" s="17"/>
      <c r="B4326" s="17"/>
      <c r="C4326" s="17" t="s">
        <v>10</v>
      </c>
      <c r="D4326" s="17">
        <v>5</v>
      </c>
      <c r="E4326" s="17">
        <v>0.75</v>
      </c>
      <c r="F4326" s="17"/>
      <c r="G4326" s="17">
        <v>1.05</v>
      </c>
      <c r="H4326" s="18">
        <f t="shared" ref="H4326" si="664">PRODUCT(D4326:G4326)</f>
        <v>3.9375</v>
      </c>
    </row>
    <row r="4327" spans="1:8">
      <c r="A4327" s="485"/>
      <c r="B4327" s="485"/>
      <c r="C4327" s="17" t="s">
        <v>10</v>
      </c>
      <c r="D4327" s="485">
        <v>1</v>
      </c>
      <c r="E4327" s="485">
        <v>3.5750000000000002</v>
      </c>
      <c r="F4327" s="485"/>
      <c r="G4327" s="17">
        <v>1.05</v>
      </c>
      <c r="H4327" s="18">
        <f t="shared" si="663"/>
        <v>3.7537500000000001</v>
      </c>
    </row>
    <row r="4328" spans="1:8">
      <c r="A4328" s="485"/>
      <c r="B4328" s="485"/>
      <c r="C4328" s="485"/>
      <c r="D4328" s="485"/>
      <c r="E4328" s="485"/>
      <c r="F4328" s="485"/>
      <c r="G4328" s="485"/>
      <c r="H4328" s="487"/>
    </row>
    <row r="4329" spans="1:8">
      <c r="A4329" s="17"/>
      <c r="B4329" s="17"/>
      <c r="C4329" s="17"/>
      <c r="D4329" s="17"/>
      <c r="E4329" s="17"/>
      <c r="F4329" s="17"/>
      <c r="G4329" s="17"/>
      <c r="H4329" s="18"/>
    </row>
    <row r="4330" spans="1:8">
      <c r="A4330" s="17"/>
      <c r="B4330" s="17"/>
      <c r="C4330" s="17"/>
      <c r="D4330" s="17"/>
      <c r="E4330" s="17"/>
      <c r="F4330" s="17"/>
      <c r="G4330" s="17"/>
      <c r="H4330" s="18"/>
    </row>
    <row r="4331" spans="1:8">
      <c r="A4331" s="15"/>
      <c r="B4331" s="15" t="s">
        <v>21</v>
      </c>
      <c r="C4331" s="15"/>
      <c r="D4331" s="15"/>
      <c r="E4331" s="15"/>
      <c r="F4331" s="15"/>
      <c r="G4331" s="15"/>
      <c r="H4331" s="20">
        <f>SUM(H4324:H4330)</f>
        <v>36.881250000000009</v>
      </c>
    </row>
    <row r="4332" spans="1:8">
      <c r="A4332" s="17"/>
      <c r="B4332" s="17" t="s">
        <v>22</v>
      </c>
      <c r="C4332" s="17"/>
      <c r="D4332" s="17"/>
      <c r="E4332" s="17"/>
      <c r="F4332" s="17"/>
      <c r="G4332" s="17"/>
      <c r="H4332" s="18">
        <f>H4331*5%</f>
        <v>1.8440625000000006</v>
      </c>
    </row>
    <row r="4333" spans="1:8">
      <c r="A4333" s="15"/>
      <c r="B4333" s="15" t="s">
        <v>23</v>
      </c>
      <c r="C4333" s="15"/>
      <c r="D4333" s="15"/>
      <c r="E4333" s="15"/>
      <c r="F4333" s="15"/>
      <c r="G4333" s="15"/>
      <c r="H4333" s="20">
        <f>ROUND(SUM(H4331:H4332),0)</f>
        <v>39</v>
      </c>
    </row>
    <row r="4335" spans="1:8">
      <c r="A4335" s="17">
        <v>4</v>
      </c>
      <c r="B4335" s="15" t="s">
        <v>1942</v>
      </c>
      <c r="C4335" s="17" t="s">
        <v>10</v>
      </c>
      <c r="D4335" s="17"/>
      <c r="E4335" s="17"/>
      <c r="F4335" s="17"/>
      <c r="G4335" s="17"/>
      <c r="H4335" s="18"/>
    </row>
    <row r="4336" spans="1:8">
      <c r="A4336" s="17"/>
      <c r="B4336" s="17" t="s">
        <v>202</v>
      </c>
      <c r="C4336" s="17" t="s">
        <v>16</v>
      </c>
      <c r="D4336" s="17">
        <v>1</v>
      </c>
      <c r="E4336" s="17"/>
      <c r="F4336" s="17"/>
      <c r="G4336" s="17"/>
      <c r="H4336" s="18">
        <f t="shared" ref="H4336:H4339" si="665">PRODUCT(D4336:G4336)</f>
        <v>1</v>
      </c>
    </row>
    <row r="4337" spans="1:8">
      <c r="A4337" s="17"/>
      <c r="B4337" s="17"/>
      <c r="C4337" s="17" t="s">
        <v>16</v>
      </c>
      <c r="D4337" s="17">
        <v>1</v>
      </c>
      <c r="E4337" s="17"/>
      <c r="F4337" s="17"/>
      <c r="G4337" s="17"/>
      <c r="H4337" s="18">
        <f t="shared" si="665"/>
        <v>1</v>
      </c>
    </row>
    <row r="4338" spans="1:8">
      <c r="A4338" s="17"/>
      <c r="B4338" s="17"/>
      <c r="C4338" s="17" t="s">
        <v>16</v>
      </c>
      <c r="D4338" s="17">
        <v>1</v>
      </c>
      <c r="E4338" s="17"/>
      <c r="F4338" s="17"/>
      <c r="G4338" s="17"/>
      <c r="H4338" s="18">
        <f t="shared" si="665"/>
        <v>1</v>
      </c>
    </row>
    <row r="4339" spans="1:8">
      <c r="A4339" s="485"/>
      <c r="B4339" s="485"/>
      <c r="C4339" s="17" t="s">
        <v>10</v>
      </c>
      <c r="D4339" s="485">
        <v>4</v>
      </c>
      <c r="E4339" s="485"/>
      <c r="F4339" s="485"/>
      <c r="G4339" s="17"/>
      <c r="H4339" s="18">
        <f t="shared" si="665"/>
        <v>4</v>
      </c>
    </row>
    <row r="4340" spans="1:8">
      <c r="A4340" s="485"/>
      <c r="B4340" s="485"/>
      <c r="C4340" s="485"/>
      <c r="D4340" s="485"/>
      <c r="E4340" s="485"/>
      <c r="F4340" s="485"/>
      <c r="G4340" s="485"/>
      <c r="H4340" s="487"/>
    </row>
    <row r="4341" spans="1:8">
      <c r="A4341" s="17"/>
      <c r="B4341" s="17"/>
      <c r="C4341" s="17"/>
      <c r="D4341" s="17"/>
      <c r="E4341" s="17"/>
      <c r="F4341" s="17"/>
      <c r="G4341" s="17"/>
      <c r="H4341" s="18"/>
    </row>
    <row r="4342" spans="1:8">
      <c r="A4342" s="17"/>
      <c r="B4342" s="17"/>
      <c r="C4342" s="17"/>
      <c r="D4342" s="17"/>
      <c r="E4342" s="17"/>
      <c r="F4342" s="17"/>
      <c r="G4342" s="17"/>
      <c r="H4342" s="18"/>
    </row>
    <row r="4343" spans="1:8">
      <c r="A4343" s="15"/>
      <c r="B4343" s="15" t="s">
        <v>21</v>
      </c>
      <c r="C4343" s="15"/>
      <c r="D4343" s="15"/>
      <c r="E4343" s="15"/>
      <c r="F4343" s="15"/>
      <c r="G4343" s="15"/>
      <c r="H4343" s="20">
        <f>SUM(H4336:H4342)</f>
        <v>7</v>
      </c>
    </row>
    <row r="4344" spans="1:8">
      <c r="A4344" s="17"/>
      <c r="B4344" s="17" t="s">
        <v>22</v>
      </c>
      <c r="C4344" s="17"/>
      <c r="D4344" s="17"/>
      <c r="E4344" s="17"/>
      <c r="F4344" s="17"/>
      <c r="G4344" s="17"/>
      <c r="H4344" s="18">
        <f>H4343*5%</f>
        <v>0.35000000000000003</v>
      </c>
    </row>
    <row r="4345" spans="1:8">
      <c r="A4345" s="15"/>
      <c r="B4345" s="15" t="s">
        <v>23</v>
      </c>
      <c r="C4345" s="15"/>
      <c r="D4345" s="15"/>
      <c r="E4345" s="15"/>
      <c r="F4345" s="15"/>
      <c r="G4345" s="15"/>
      <c r="H4345" s="20">
        <f>ROUND(SUM(H4343:H4344),0)</f>
        <v>7</v>
      </c>
    </row>
    <row r="4347" spans="1:8">
      <c r="A4347" s="17">
        <v>4</v>
      </c>
      <c r="B4347" s="15" t="s">
        <v>307</v>
      </c>
      <c r="C4347" s="17" t="s">
        <v>10</v>
      </c>
      <c r="D4347" s="17"/>
      <c r="E4347" s="17"/>
      <c r="F4347" s="17"/>
      <c r="G4347" s="17"/>
      <c r="H4347" s="18"/>
    </row>
    <row r="4348" spans="1:8">
      <c r="A4348" s="17"/>
      <c r="B4348" s="17" t="s">
        <v>156</v>
      </c>
      <c r="C4348" s="17" t="s">
        <v>31</v>
      </c>
      <c r="D4348" s="17">
        <v>1</v>
      </c>
      <c r="E4348" s="17">
        <f>2.4+2.1</f>
        <v>4.5</v>
      </c>
      <c r="F4348" s="17"/>
      <c r="G4348" s="17"/>
      <c r="H4348" s="18">
        <f>PRODUCT(D4348:G4348)</f>
        <v>4.5</v>
      </c>
    </row>
    <row r="4349" spans="1:8">
      <c r="A4349" s="17"/>
      <c r="B4349" s="17"/>
      <c r="C4349" s="17"/>
      <c r="D4349" s="17"/>
      <c r="E4349" s="17"/>
      <c r="F4349" s="17"/>
      <c r="G4349" s="17"/>
      <c r="H4349" s="18"/>
    </row>
    <row r="4350" spans="1:8">
      <c r="A4350" s="15"/>
      <c r="B4350" s="15" t="s">
        <v>21</v>
      </c>
      <c r="C4350" s="15"/>
      <c r="D4350" s="15"/>
      <c r="E4350" s="15"/>
      <c r="F4350" s="15"/>
      <c r="G4350" s="15"/>
      <c r="H4350" s="20">
        <f>SUM(H4348:H4349)</f>
        <v>4.5</v>
      </c>
    </row>
    <row r="4351" spans="1:8">
      <c r="A4351" s="17"/>
      <c r="B4351" s="17" t="s">
        <v>22</v>
      </c>
      <c r="C4351" s="17"/>
      <c r="D4351" s="17"/>
      <c r="E4351" s="17"/>
      <c r="F4351" s="17"/>
      <c r="G4351" s="17"/>
      <c r="H4351" s="18">
        <f>H4350*5%</f>
        <v>0.22500000000000001</v>
      </c>
    </row>
    <row r="4352" spans="1:8">
      <c r="A4352" s="15"/>
      <c r="B4352" s="15" t="s">
        <v>23</v>
      </c>
      <c r="C4352" s="15"/>
      <c r="D4352" s="15"/>
      <c r="E4352" s="15"/>
      <c r="F4352" s="15"/>
      <c r="G4352" s="15"/>
      <c r="H4352" s="20">
        <f>ROUND(SUM(H4350:H4351),0)</f>
        <v>5</v>
      </c>
    </row>
    <row r="4354" spans="1:8">
      <c r="A4354" s="17">
        <v>4</v>
      </c>
      <c r="B4354" s="15" t="s">
        <v>235</v>
      </c>
      <c r="C4354" s="17" t="s">
        <v>31</v>
      </c>
      <c r="D4354" s="17"/>
      <c r="E4354" s="17"/>
      <c r="F4354" s="17"/>
      <c r="G4354" s="17"/>
      <c r="H4354" s="18"/>
    </row>
    <row r="4355" spans="1:8">
      <c r="A4355" s="17"/>
      <c r="B4355" s="17"/>
      <c r="C4355" s="73" t="s">
        <v>31</v>
      </c>
      <c r="D4355" s="17">
        <v>1</v>
      </c>
      <c r="E4355" s="17">
        <v>6.4</v>
      </c>
      <c r="F4355" s="17"/>
      <c r="G4355" s="17"/>
      <c r="H4355" s="18">
        <f>PRODUCT(D4355:G4355)</f>
        <v>6.4</v>
      </c>
    </row>
    <row r="4356" spans="1:8">
      <c r="A4356" s="17"/>
      <c r="B4356" s="17"/>
      <c r="C4356" s="17"/>
      <c r="D4356" s="17"/>
      <c r="E4356" s="17"/>
      <c r="F4356" s="17"/>
      <c r="G4356" s="17"/>
      <c r="H4356" s="18"/>
    </row>
    <row r="4357" spans="1:8">
      <c r="A4357" s="15"/>
      <c r="B4357" s="15" t="s">
        <v>21</v>
      </c>
      <c r="C4357" s="15"/>
      <c r="D4357" s="15"/>
      <c r="E4357" s="15"/>
      <c r="F4357" s="15"/>
      <c r="G4357" s="15"/>
      <c r="H4357" s="20">
        <f>SUM(H4355:H4356)</f>
        <v>6.4</v>
      </c>
    </row>
    <row r="4358" spans="1:8">
      <c r="A4358" s="17"/>
      <c r="B4358" s="17" t="s">
        <v>22</v>
      </c>
      <c r="C4358" s="17"/>
      <c r="D4358" s="17"/>
      <c r="E4358" s="17"/>
      <c r="F4358" s="17"/>
      <c r="G4358" s="17"/>
      <c r="H4358" s="18">
        <f>H4357*5%</f>
        <v>0.32000000000000006</v>
      </c>
    </row>
    <row r="4359" spans="1:8">
      <c r="A4359" s="15"/>
      <c r="B4359" s="15" t="s">
        <v>23</v>
      </c>
      <c r="C4359" s="15"/>
      <c r="D4359" s="15"/>
      <c r="E4359" s="15"/>
      <c r="F4359" s="15"/>
      <c r="G4359" s="15"/>
      <c r="H4359" s="20">
        <f>ROUND(SUM(H4357:H4358),0)</f>
        <v>7</v>
      </c>
    </row>
    <row r="4361" spans="1:8">
      <c r="A4361" s="17">
        <v>4</v>
      </c>
      <c r="B4361" s="15" t="s">
        <v>238</v>
      </c>
      <c r="C4361" s="17" t="s">
        <v>10</v>
      </c>
      <c r="D4361" s="17"/>
      <c r="E4361" s="17"/>
      <c r="F4361" s="17"/>
      <c r="G4361" s="17"/>
      <c r="H4361" s="18"/>
    </row>
    <row r="4362" spans="1:8">
      <c r="A4362" s="17"/>
      <c r="B4362" s="17" t="s">
        <v>99</v>
      </c>
      <c r="C4362" s="17" t="s">
        <v>10</v>
      </c>
      <c r="D4362" s="17">
        <v>1</v>
      </c>
      <c r="E4362" s="17">
        <v>5</v>
      </c>
      <c r="F4362" s="17"/>
      <c r="G4362" s="17">
        <v>0.6</v>
      </c>
      <c r="H4362" s="18">
        <f>PRODUCT(D4362:G4362)</f>
        <v>3</v>
      </c>
    </row>
    <row r="4363" spans="1:8">
      <c r="A4363" s="17"/>
      <c r="B4363" s="17" t="s">
        <v>156</v>
      </c>
      <c r="C4363" s="17" t="s">
        <v>10</v>
      </c>
      <c r="D4363" s="17">
        <v>1</v>
      </c>
      <c r="E4363" s="17">
        <v>3.25</v>
      </c>
      <c r="F4363" s="17"/>
      <c r="G4363" s="17">
        <v>0.6</v>
      </c>
      <c r="H4363" s="18">
        <f>PRODUCT(D4363:G4363)</f>
        <v>1.95</v>
      </c>
    </row>
    <row r="4364" spans="1:8">
      <c r="A4364" s="17"/>
      <c r="B4364" s="17"/>
      <c r="C4364" s="17" t="s">
        <v>10</v>
      </c>
      <c r="D4364" s="17">
        <v>1</v>
      </c>
      <c r="E4364" s="17">
        <v>4.8</v>
      </c>
      <c r="F4364" s="17"/>
      <c r="G4364" s="17">
        <v>0.6</v>
      </c>
      <c r="H4364" s="18">
        <f>PRODUCT(D4364:G4364)</f>
        <v>2.88</v>
      </c>
    </row>
    <row r="4365" spans="1:8">
      <c r="A4365" s="17"/>
      <c r="B4365" s="17"/>
      <c r="C4365" s="17"/>
      <c r="D4365" s="17"/>
      <c r="E4365" s="17"/>
      <c r="F4365" s="17"/>
      <c r="G4365" s="17"/>
      <c r="H4365" s="18"/>
    </row>
    <row r="4366" spans="1:8">
      <c r="A4366" s="15"/>
      <c r="B4366" s="15" t="s">
        <v>21</v>
      </c>
      <c r="C4366" s="15"/>
      <c r="D4366" s="15"/>
      <c r="E4366" s="15"/>
      <c r="F4366" s="15"/>
      <c r="G4366" s="15"/>
      <c r="H4366" s="20">
        <f>SUM(H4362:H4365)</f>
        <v>7.83</v>
      </c>
    </row>
    <row r="4367" spans="1:8">
      <c r="A4367" s="17"/>
      <c r="B4367" s="17" t="s">
        <v>22</v>
      </c>
      <c r="C4367" s="17"/>
      <c r="D4367" s="17"/>
      <c r="E4367" s="17"/>
      <c r="F4367" s="17"/>
      <c r="G4367" s="17"/>
      <c r="H4367" s="18">
        <f>H4366*5%</f>
        <v>0.39150000000000001</v>
      </c>
    </row>
    <row r="4368" spans="1:8">
      <c r="A4368" s="15"/>
      <c r="B4368" s="15" t="s">
        <v>23</v>
      </c>
      <c r="C4368" s="15"/>
      <c r="D4368" s="15"/>
      <c r="E4368" s="15"/>
      <c r="F4368" s="15"/>
      <c r="G4368" s="15"/>
      <c r="H4368" s="20">
        <f>ROUND(SUM(H4366:H4367),0)</f>
        <v>8</v>
      </c>
    </row>
    <row r="4370" spans="1:8">
      <c r="A4370" s="17">
        <v>4</v>
      </c>
      <c r="B4370" s="15" t="s">
        <v>90</v>
      </c>
      <c r="C4370" s="17" t="s">
        <v>10</v>
      </c>
      <c r="D4370" s="17"/>
      <c r="E4370" s="17"/>
      <c r="F4370" s="17"/>
      <c r="G4370" s="17"/>
      <c r="H4370" s="18"/>
    </row>
    <row r="4371" spans="1:8">
      <c r="A4371" s="17"/>
      <c r="B4371" s="17" t="s">
        <v>1242</v>
      </c>
      <c r="C4371" s="17" t="s">
        <v>10</v>
      </c>
      <c r="D4371" s="17">
        <v>0</v>
      </c>
      <c r="E4371" s="17">
        <v>3.3</v>
      </c>
      <c r="F4371" s="17"/>
      <c r="G4371" s="17">
        <v>2.7</v>
      </c>
      <c r="H4371" s="18">
        <f t="shared" ref="H4371:H4372" si="666">PRODUCT(D4371:G4371)</f>
        <v>0</v>
      </c>
    </row>
    <row r="4372" spans="1:8">
      <c r="A4372" s="17"/>
      <c r="B4372" s="17" t="s">
        <v>1948</v>
      </c>
      <c r="C4372" s="17" t="s">
        <v>10</v>
      </c>
      <c r="D4372" s="17">
        <v>0</v>
      </c>
      <c r="E4372" s="17">
        <v>3.8</v>
      </c>
      <c r="F4372" s="17"/>
      <c r="G4372" s="17">
        <v>2.7</v>
      </c>
      <c r="H4372" s="18">
        <f t="shared" si="666"/>
        <v>0</v>
      </c>
    </row>
    <row r="4373" spans="1:8">
      <c r="A4373" s="485"/>
      <c r="B4373" s="485" t="s">
        <v>1949</v>
      </c>
      <c r="C4373" s="17" t="s">
        <v>10</v>
      </c>
      <c r="D4373" s="17">
        <v>1</v>
      </c>
      <c r="E4373" s="17">
        <v>3.12</v>
      </c>
      <c r="F4373" s="17"/>
      <c r="G4373" s="17">
        <v>1.2</v>
      </c>
      <c r="H4373" s="18">
        <f t="shared" ref="H4373" si="667">PRODUCT(D4373:G4373)</f>
        <v>3.7439999999999998</v>
      </c>
    </row>
    <row r="4374" spans="1:8">
      <c r="A4374" s="485"/>
      <c r="B4374" s="485" t="s">
        <v>2167</v>
      </c>
      <c r="C4374" s="17" t="s">
        <v>10</v>
      </c>
      <c r="D4374" s="17">
        <v>1</v>
      </c>
      <c r="E4374" s="17">
        <v>1.3</v>
      </c>
      <c r="F4374" s="17"/>
      <c r="G4374" s="17">
        <v>1.2</v>
      </c>
      <c r="H4374" s="18">
        <f t="shared" ref="H4374" si="668">PRODUCT(D4374:G4374)</f>
        <v>1.56</v>
      </c>
    </row>
    <row r="4375" spans="1:8" s="948" customFormat="1">
      <c r="A4375" s="485"/>
      <c r="B4375" s="485" t="s">
        <v>2168</v>
      </c>
      <c r="C4375" s="17" t="s">
        <v>10</v>
      </c>
      <c r="D4375" s="17">
        <v>1</v>
      </c>
      <c r="E4375" s="17">
        <v>1.96</v>
      </c>
      <c r="F4375" s="17"/>
      <c r="G4375" s="17">
        <v>1.2</v>
      </c>
      <c r="H4375" s="18">
        <f t="shared" ref="H4375" si="669">PRODUCT(D4375:G4375)</f>
        <v>2.3519999999999999</v>
      </c>
    </row>
    <row r="4376" spans="1:8">
      <c r="A4376" s="485"/>
      <c r="B4376" s="485" t="s">
        <v>2169</v>
      </c>
      <c r="C4376" s="17" t="s">
        <v>10</v>
      </c>
      <c r="D4376" s="17">
        <v>1</v>
      </c>
      <c r="E4376" s="17">
        <v>1</v>
      </c>
      <c r="F4376" s="17"/>
      <c r="G4376" s="17">
        <v>1.2</v>
      </c>
      <c r="H4376" s="18">
        <f t="shared" ref="H4376" si="670">PRODUCT(D4376:G4376)</f>
        <v>1.2</v>
      </c>
    </row>
    <row r="4377" spans="1:8" s="948" customFormat="1">
      <c r="A4377" s="485"/>
      <c r="B4377" s="485" t="s">
        <v>2170</v>
      </c>
      <c r="C4377" s="17" t="s">
        <v>10</v>
      </c>
      <c r="D4377" s="17">
        <v>1</v>
      </c>
      <c r="E4377" s="17">
        <v>1.1000000000000001</v>
      </c>
      <c r="F4377" s="17"/>
      <c r="G4377" s="17">
        <v>1.2</v>
      </c>
      <c r="H4377" s="18">
        <f t="shared" ref="H4377" si="671">PRODUCT(D4377:G4377)</f>
        <v>1.32</v>
      </c>
    </row>
    <row r="4378" spans="1:8" s="948" customFormat="1">
      <c r="A4378" s="485"/>
      <c r="B4378" s="485" t="s">
        <v>215</v>
      </c>
      <c r="C4378" s="17" t="s">
        <v>10</v>
      </c>
      <c r="D4378" s="17">
        <v>1</v>
      </c>
      <c r="E4378" s="17">
        <v>1.2</v>
      </c>
      <c r="F4378" s="17"/>
      <c r="G4378" s="17">
        <v>1.2</v>
      </c>
      <c r="H4378" s="18">
        <f t="shared" ref="H4378:H4379" si="672">PRODUCT(D4378:G4378)</f>
        <v>1.44</v>
      </c>
    </row>
    <row r="4379" spans="1:8" s="948" customFormat="1">
      <c r="A4379" s="485"/>
      <c r="B4379" s="485" t="s">
        <v>205</v>
      </c>
      <c r="C4379" s="17" t="s">
        <v>10</v>
      </c>
      <c r="D4379" s="485">
        <v>1</v>
      </c>
      <c r="E4379" s="485">
        <v>1.1000000000000001</v>
      </c>
      <c r="F4379" s="485"/>
      <c r="G4379" s="17">
        <v>1.2</v>
      </c>
      <c r="H4379" s="18">
        <f t="shared" si="672"/>
        <v>1.32</v>
      </c>
    </row>
    <row r="4380" spans="1:8" s="948" customFormat="1">
      <c r="A4380" s="485"/>
      <c r="B4380" s="485" t="s">
        <v>2171</v>
      </c>
      <c r="C4380" s="17" t="s">
        <v>10</v>
      </c>
      <c r="D4380" s="485">
        <v>1</v>
      </c>
      <c r="E4380" s="485">
        <v>7.7</v>
      </c>
      <c r="F4380" s="485"/>
      <c r="G4380" s="17">
        <v>1.2</v>
      </c>
      <c r="H4380" s="18">
        <f t="shared" ref="H4380" si="673">PRODUCT(D4380:G4380)</f>
        <v>9.24</v>
      </c>
    </row>
    <row r="4381" spans="1:8" s="948" customFormat="1">
      <c r="A4381" s="485"/>
      <c r="B4381" s="485" t="s">
        <v>203</v>
      </c>
      <c r="C4381" s="17" t="s">
        <v>10</v>
      </c>
      <c r="D4381" s="485">
        <v>1</v>
      </c>
      <c r="E4381" s="485">
        <v>2.7</v>
      </c>
      <c r="F4381" s="485"/>
      <c r="G4381" s="17">
        <v>1.2</v>
      </c>
      <c r="H4381" s="18">
        <f t="shared" ref="H4381" si="674">PRODUCT(D4381:G4381)</f>
        <v>3.24</v>
      </c>
    </row>
    <row r="4382" spans="1:8" s="948" customFormat="1">
      <c r="A4382" s="485"/>
      <c r="B4382" s="485" t="s">
        <v>204</v>
      </c>
      <c r="C4382" s="17" t="s">
        <v>10</v>
      </c>
      <c r="D4382" s="485">
        <v>1</v>
      </c>
      <c r="E4382" s="485">
        <v>6</v>
      </c>
      <c r="F4382" s="485"/>
      <c r="G4382" s="17">
        <v>2.1</v>
      </c>
      <c r="H4382" s="18">
        <f t="shared" ref="H4382" si="675">PRODUCT(D4382:G4382)</f>
        <v>12.600000000000001</v>
      </c>
    </row>
    <row r="4383" spans="1:8" s="948" customFormat="1">
      <c r="A4383" s="485"/>
      <c r="B4383" s="485"/>
      <c r="C4383" s="17" t="s">
        <v>10</v>
      </c>
      <c r="D4383" s="485">
        <v>1</v>
      </c>
      <c r="E4383" s="485">
        <v>1.35</v>
      </c>
      <c r="F4383" s="485"/>
      <c r="G4383" s="17">
        <v>1.2</v>
      </c>
      <c r="H4383" s="18">
        <f t="shared" ref="H4383" si="676">PRODUCT(D4383:G4383)</f>
        <v>1.62</v>
      </c>
    </row>
    <row r="4384" spans="1:8" s="948" customFormat="1">
      <c r="A4384" s="485"/>
      <c r="B4384" s="485"/>
      <c r="C4384" s="17" t="s">
        <v>10</v>
      </c>
      <c r="D4384" s="485">
        <v>1</v>
      </c>
      <c r="E4384" s="485">
        <v>2.2999999999999998</v>
      </c>
      <c r="F4384" s="485"/>
      <c r="G4384" s="17">
        <v>2.1</v>
      </c>
      <c r="H4384" s="18">
        <f t="shared" ref="H4384" si="677">PRODUCT(D4384:G4384)</f>
        <v>4.83</v>
      </c>
    </row>
    <row r="4385" spans="1:8">
      <c r="A4385" s="485"/>
      <c r="B4385" s="485" t="s">
        <v>1917</v>
      </c>
      <c r="C4385" s="17" t="s">
        <v>10</v>
      </c>
      <c r="D4385" s="485">
        <v>1</v>
      </c>
      <c r="E4385" s="485">
        <v>1.35</v>
      </c>
      <c r="F4385" s="485"/>
      <c r="G4385" s="17">
        <v>1.2</v>
      </c>
      <c r="H4385" s="18">
        <f t="shared" ref="H4385" si="678">PRODUCT(D4385:G4385)</f>
        <v>1.62</v>
      </c>
    </row>
    <row r="4386" spans="1:8">
      <c r="A4386" s="485"/>
      <c r="B4386" s="485" t="s">
        <v>1217</v>
      </c>
      <c r="C4386" s="17" t="s">
        <v>10</v>
      </c>
      <c r="D4386" s="485">
        <v>1</v>
      </c>
      <c r="E4386" s="485">
        <v>1</v>
      </c>
      <c r="F4386" s="485"/>
      <c r="G4386" s="17">
        <v>1.2</v>
      </c>
      <c r="H4386" s="18">
        <f t="shared" ref="H4386" si="679">PRODUCT(D4386:G4386)</f>
        <v>1.2</v>
      </c>
    </row>
    <row r="4387" spans="1:8" s="948" customFormat="1">
      <c r="A4387" s="485"/>
      <c r="B4387" s="485" t="s">
        <v>1218</v>
      </c>
      <c r="C4387" s="17" t="s">
        <v>10</v>
      </c>
      <c r="D4387" s="485">
        <v>1</v>
      </c>
      <c r="E4387" s="485">
        <v>1.7</v>
      </c>
      <c r="F4387" s="485"/>
      <c r="G4387" s="17">
        <v>1.2</v>
      </c>
      <c r="H4387" s="18">
        <f t="shared" ref="H4387" si="680">PRODUCT(D4387:G4387)</f>
        <v>2.04</v>
      </c>
    </row>
    <row r="4388" spans="1:8">
      <c r="A4388" s="485"/>
      <c r="B4388" s="485"/>
      <c r="C4388" s="485"/>
      <c r="D4388" s="485"/>
      <c r="E4388" s="485"/>
      <c r="F4388" s="485"/>
      <c r="G4388" s="485"/>
      <c r="H4388" s="487"/>
    </row>
    <row r="4389" spans="1:8">
      <c r="A4389" s="15"/>
      <c r="B4389" s="15" t="s">
        <v>21</v>
      </c>
      <c r="C4389" s="15"/>
      <c r="D4389" s="15"/>
      <c r="E4389" s="15"/>
      <c r="F4389" s="15"/>
      <c r="G4389" s="15"/>
      <c r="H4389" s="20">
        <f>SUM(H4371:H4388)</f>
        <v>49.326000000000001</v>
      </c>
    </row>
    <row r="4390" spans="1:8">
      <c r="A4390" s="17"/>
      <c r="B4390" s="17" t="s">
        <v>22</v>
      </c>
      <c r="C4390" s="17"/>
      <c r="D4390" s="17"/>
      <c r="E4390" s="17"/>
      <c r="F4390" s="17"/>
      <c r="G4390" s="17"/>
      <c r="H4390" s="18">
        <f>H4389*5%</f>
        <v>2.4663000000000004</v>
      </c>
    </row>
    <row r="4391" spans="1:8">
      <c r="A4391" s="15"/>
      <c r="B4391" s="15" t="s">
        <v>23</v>
      </c>
      <c r="C4391" s="15"/>
      <c r="D4391" s="15"/>
      <c r="E4391" s="15"/>
      <c r="F4391" s="15"/>
      <c r="G4391" s="15"/>
      <c r="H4391" s="20">
        <f>ROUND(SUM(H4389:H4390),0)</f>
        <v>52</v>
      </c>
    </row>
    <row r="4393" spans="1:8">
      <c r="A4393" s="17">
        <v>4</v>
      </c>
      <c r="B4393" s="15" t="s">
        <v>241</v>
      </c>
      <c r="C4393" s="17" t="s">
        <v>10</v>
      </c>
      <c r="D4393" s="17"/>
      <c r="E4393" s="17"/>
      <c r="F4393" s="17"/>
      <c r="G4393" s="17"/>
      <c r="H4393" s="18"/>
    </row>
    <row r="4394" spans="1:8">
      <c r="A4394" s="17"/>
      <c r="B4394" s="17" t="s">
        <v>154</v>
      </c>
      <c r="C4394" s="17" t="s">
        <v>10</v>
      </c>
      <c r="D4394" s="17">
        <v>2</v>
      </c>
      <c r="E4394" s="17">
        <v>1.5</v>
      </c>
      <c r="F4394" s="17">
        <v>2.7</v>
      </c>
      <c r="G4394" s="17"/>
      <c r="H4394" s="18">
        <f>PRODUCT(D4394:G4394)</f>
        <v>8.1000000000000014</v>
      </c>
    </row>
    <row r="4395" spans="1:8">
      <c r="A4395" s="17"/>
      <c r="B4395" s="17"/>
      <c r="C4395" s="17" t="s">
        <v>10</v>
      </c>
      <c r="D4395" s="17">
        <v>1</v>
      </c>
      <c r="E4395" s="17">
        <v>1.5</v>
      </c>
      <c r="F4395" s="17">
        <v>2.7</v>
      </c>
      <c r="G4395" s="17"/>
      <c r="H4395" s="18">
        <f>PRODUCT(D4395:G4395)</f>
        <v>4.0500000000000007</v>
      </c>
    </row>
    <row r="4396" spans="1:8">
      <c r="A4396" s="17"/>
      <c r="B4396" s="17"/>
      <c r="C4396" s="17"/>
      <c r="D4396" s="17"/>
      <c r="E4396" s="17"/>
      <c r="F4396" s="17"/>
      <c r="G4396" s="17"/>
      <c r="H4396" s="18"/>
    </row>
    <row r="4397" spans="1:8">
      <c r="A4397" s="15"/>
      <c r="B4397" s="15" t="s">
        <v>21</v>
      </c>
      <c r="C4397" s="15"/>
      <c r="D4397" s="15"/>
      <c r="E4397" s="15"/>
      <c r="F4397" s="15"/>
      <c r="G4397" s="15"/>
      <c r="H4397" s="20">
        <f>SUM(H4394:H4396)</f>
        <v>12.150000000000002</v>
      </c>
    </row>
    <row r="4398" spans="1:8">
      <c r="A4398" s="17"/>
      <c r="B4398" s="17" t="s">
        <v>22</v>
      </c>
      <c r="C4398" s="17"/>
      <c r="D4398" s="17"/>
      <c r="E4398" s="17"/>
      <c r="F4398" s="17"/>
      <c r="G4398" s="17"/>
      <c r="H4398" s="18"/>
    </row>
    <row r="4399" spans="1:8">
      <c r="A4399" s="15"/>
      <c r="B4399" s="15" t="s">
        <v>23</v>
      </c>
      <c r="C4399" s="15"/>
      <c r="D4399" s="15"/>
      <c r="E4399" s="15"/>
      <c r="F4399" s="15"/>
      <c r="G4399" s="15"/>
      <c r="H4399" s="20">
        <f>ROUND(SUM(H4397:H4398),0)</f>
        <v>12</v>
      </c>
    </row>
    <row r="4401" spans="1:8">
      <c r="A4401" s="17">
        <v>4</v>
      </c>
      <c r="B4401" s="15" t="s">
        <v>243</v>
      </c>
      <c r="C4401" s="17" t="s">
        <v>31</v>
      </c>
      <c r="D4401" s="17"/>
      <c r="E4401" s="17"/>
      <c r="F4401" s="17"/>
      <c r="G4401" s="17"/>
      <c r="H4401" s="18"/>
    </row>
    <row r="4402" spans="1:8">
      <c r="A4402" s="17"/>
      <c r="B4402" s="17" t="s">
        <v>156</v>
      </c>
      <c r="C4402" s="17" t="s">
        <v>31</v>
      </c>
      <c r="D4402" s="17">
        <v>4</v>
      </c>
      <c r="E4402" s="17">
        <v>2.4</v>
      </c>
      <c r="F4402" s="17"/>
      <c r="G4402" s="17"/>
      <c r="H4402" s="18">
        <f>PRODUCT(D4402:G4402)</f>
        <v>9.6</v>
      </c>
    </row>
    <row r="4403" spans="1:8">
      <c r="A4403" s="17"/>
      <c r="B4403" s="17" t="s">
        <v>1917</v>
      </c>
      <c r="C4403" s="17" t="s">
        <v>31</v>
      </c>
      <c r="D4403" s="17">
        <v>1</v>
      </c>
      <c r="E4403" s="17">
        <f>2.4+2.4</f>
        <v>4.8</v>
      </c>
      <c r="F4403" s="17"/>
      <c r="G4403" s="17"/>
      <c r="H4403" s="18">
        <f>PRODUCT(D4403:G4403)</f>
        <v>4.8</v>
      </c>
    </row>
    <row r="4404" spans="1:8" s="948" customFormat="1">
      <c r="A4404" s="485"/>
      <c r="B4404" s="485" t="s">
        <v>1917</v>
      </c>
      <c r="C4404" s="17" t="s">
        <v>31</v>
      </c>
      <c r="D4404" s="17">
        <v>1</v>
      </c>
      <c r="E4404" s="17">
        <f>2.4+2.4+7.35</f>
        <v>12.149999999999999</v>
      </c>
      <c r="F4404" s="17"/>
      <c r="G4404" s="17"/>
      <c r="H4404" s="18">
        <f>PRODUCT(D4404:G4404)</f>
        <v>12.149999999999999</v>
      </c>
    </row>
    <row r="4405" spans="1:8" s="948" customFormat="1">
      <c r="A4405" s="485"/>
      <c r="B4405" s="485" t="s">
        <v>1332</v>
      </c>
      <c r="C4405" s="17" t="s">
        <v>31</v>
      </c>
      <c r="D4405" s="17">
        <v>1</v>
      </c>
      <c r="E4405" s="17">
        <f>2.4+2.4</f>
        <v>4.8</v>
      </c>
      <c r="F4405" s="17"/>
      <c r="G4405" s="17"/>
      <c r="H4405" s="18">
        <f>PRODUCT(D4405:G4405)</f>
        <v>4.8</v>
      </c>
    </row>
    <row r="4406" spans="1:8" s="948" customFormat="1">
      <c r="A4406" s="485"/>
      <c r="B4406" s="485" t="s">
        <v>1339</v>
      </c>
      <c r="C4406" s="17" t="s">
        <v>31</v>
      </c>
      <c r="D4406" s="17">
        <v>1</v>
      </c>
      <c r="E4406" s="17">
        <f>2.4+2.4+2.4</f>
        <v>7.1999999999999993</v>
      </c>
      <c r="F4406" s="17"/>
      <c r="G4406" s="17"/>
      <c r="H4406" s="18">
        <f>PRODUCT(D4406:G4406)</f>
        <v>7.1999999999999993</v>
      </c>
    </row>
    <row r="4407" spans="1:8" s="948" customFormat="1">
      <c r="A4407" s="485"/>
      <c r="B4407" s="485"/>
      <c r="C4407" s="485"/>
      <c r="D4407" s="485"/>
      <c r="E4407" s="485"/>
      <c r="F4407" s="485"/>
      <c r="G4407" s="485"/>
      <c r="H4407" s="487"/>
    </row>
    <row r="4408" spans="1:8">
      <c r="A4408" s="17"/>
      <c r="B4408" s="17"/>
      <c r="C4408" s="17"/>
      <c r="D4408" s="17"/>
      <c r="E4408" s="17"/>
      <c r="F4408" s="17"/>
      <c r="G4408" s="17"/>
      <c r="H4408" s="18"/>
    </row>
    <row r="4409" spans="1:8">
      <c r="A4409" s="15"/>
      <c r="B4409" s="15" t="s">
        <v>21</v>
      </c>
      <c r="C4409" s="15"/>
      <c r="D4409" s="15"/>
      <c r="E4409" s="15"/>
      <c r="F4409" s="15"/>
      <c r="G4409" s="15"/>
      <c r="H4409" s="20">
        <f>SUM(H4402:H4408)</f>
        <v>38.549999999999997</v>
      </c>
    </row>
    <row r="4410" spans="1:8">
      <c r="A4410" s="17"/>
      <c r="B4410" s="17" t="s">
        <v>22</v>
      </c>
      <c r="C4410" s="17"/>
      <c r="D4410" s="17"/>
      <c r="E4410" s="17"/>
      <c r="F4410" s="17"/>
      <c r="G4410" s="17"/>
      <c r="H4410" s="18"/>
    </row>
    <row r="4411" spans="1:8">
      <c r="A4411" s="15"/>
      <c r="B4411" s="15" t="s">
        <v>23</v>
      </c>
      <c r="C4411" s="15"/>
      <c r="D4411" s="15"/>
      <c r="E4411" s="15"/>
      <c r="F4411" s="15"/>
      <c r="G4411" s="15"/>
      <c r="H4411" s="20">
        <f>ROUND(SUM(H4409:H4410),0)</f>
        <v>39</v>
      </c>
    </row>
    <row r="4413" spans="1:8">
      <c r="A4413" s="17">
        <v>4</v>
      </c>
      <c r="B4413" s="15" t="s">
        <v>311</v>
      </c>
      <c r="C4413" s="17" t="s">
        <v>10</v>
      </c>
      <c r="D4413" s="17"/>
      <c r="E4413" s="17"/>
      <c r="F4413" s="17"/>
      <c r="G4413" s="17"/>
      <c r="H4413" s="18"/>
    </row>
    <row r="4414" spans="1:8">
      <c r="A4414" s="17"/>
      <c r="B4414" s="17" t="s">
        <v>171</v>
      </c>
      <c r="C4414" s="17" t="s">
        <v>10</v>
      </c>
      <c r="D4414" s="17">
        <v>1</v>
      </c>
      <c r="E4414" s="17">
        <f>2.08+2.56</f>
        <v>4.6400000000000006</v>
      </c>
      <c r="F4414" s="17"/>
      <c r="G4414" s="17">
        <v>2.1</v>
      </c>
      <c r="H4414" s="18">
        <f t="shared" ref="H4414:H4416" si="681">PRODUCT(D4414:G4414)</f>
        <v>9.7440000000000015</v>
      </c>
    </row>
    <row r="4415" spans="1:8">
      <c r="A4415" s="17"/>
      <c r="B4415" s="17" t="s">
        <v>171</v>
      </c>
      <c r="C4415" s="17" t="s">
        <v>10</v>
      </c>
      <c r="D4415" s="17">
        <v>1</v>
      </c>
      <c r="E4415" s="17">
        <f>2.45+1.06</f>
        <v>3.5100000000000002</v>
      </c>
      <c r="F4415" s="17"/>
      <c r="G4415" s="17">
        <v>2.1</v>
      </c>
      <c r="H4415" s="18">
        <f t="shared" si="681"/>
        <v>7.3710000000000004</v>
      </c>
    </row>
    <row r="4416" spans="1:8">
      <c r="A4416" s="485"/>
      <c r="B4416" s="17" t="s">
        <v>171</v>
      </c>
      <c r="C4416" s="17" t="s">
        <v>10</v>
      </c>
      <c r="D4416" s="17">
        <v>1</v>
      </c>
      <c r="E4416" s="17">
        <f>4.5+1.05+3.35</f>
        <v>8.9</v>
      </c>
      <c r="F4416" s="17"/>
      <c r="G4416" s="17">
        <v>2.1</v>
      </c>
      <c r="H4416" s="18">
        <f t="shared" si="681"/>
        <v>18.690000000000001</v>
      </c>
    </row>
    <row r="4417" spans="1:8">
      <c r="A4417" s="17"/>
      <c r="B4417" s="17"/>
      <c r="C4417" s="17"/>
      <c r="D4417" s="17"/>
      <c r="E4417" s="17"/>
      <c r="F4417" s="17"/>
      <c r="G4417" s="17"/>
      <c r="H4417" s="18"/>
    </row>
    <row r="4418" spans="1:8">
      <c r="A4418" s="15"/>
      <c r="B4418" s="15" t="s">
        <v>21</v>
      </c>
      <c r="C4418" s="15"/>
      <c r="D4418" s="15"/>
      <c r="E4418" s="15"/>
      <c r="F4418" s="15"/>
      <c r="G4418" s="15"/>
      <c r="H4418" s="20">
        <f>SUM(H4414:H4417)</f>
        <v>35.805000000000007</v>
      </c>
    </row>
    <row r="4419" spans="1:8">
      <c r="A4419" s="17"/>
      <c r="B4419" s="17" t="s">
        <v>22</v>
      </c>
      <c r="C4419" s="17"/>
      <c r="D4419" s="17"/>
      <c r="E4419" s="17"/>
      <c r="F4419" s="17"/>
      <c r="G4419" s="17"/>
      <c r="H4419" s="18"/>
    </row>
    <row r="4420" spans="1:8">
      <c r="A4420" s="15"/>
      <c r="B4420" s="15" t="s">
        <v>23</v>
      </c>
      <c r="C4420" s="15"/>
      <c r="D4420" s="15"/>
      <c r="E4420" s="15"/>
      <c r="F4420" s="15"/>
      <c r="G4420" s="15"/>
      <c r="H4420" s="20">
        <f>ROUND(SUM(H4418:H4419),0)</f>
        <v>36</v>
      </c>
    </row>
    <row r="4421" spans="1:8" s="948" customFormat="1">
      <c r="H4421" s="21"/>
    </row>
    <row r="4422" spans="1:8" s="948" customFormat="1">
      <c r="A4422" s="17">
        <v>4</v>
      </c>
      <c r="B4422" s="15" t="s">
        <v>311</v>
      </c>
      <c r="C4422" s="17" t="s">
        <v>10</v>
      </c>
      <c r="D4422" s="17"/>
      <c r="E4422" s="17"/>
      <c r="F4422" s="17"/>
      <c r="G4422" s="17"/>
      <c r="H4422" s="18"/>
    </row>
    <row r="4423" spans="1:8" s="948" customFormat="1">
      <c r="A4423" s="485"/>
      <c r="B4423" s="485" t="s">
        <v>1329</v>
      </c>
      <c r="C4423" s="17" t="s">
        <v>10</v>
      </c>
      <c r="D4423" s="485">
        <v>1</v>
      </c>
      <c r="E4423" s="485">
        <v>4.5</v>
      </c>
      <c r="F4423" s="485"/>
      <c r="G4423" s="17">
        <v>2.1</v>
      </c>
      <c r="H4423" s="18">
        <f t="shared" ref="H4423:H4428" si="682">PRODUCT(D4423:G4423)</f>
        <v>9.4500000000000011</v>
      </c>
    </row>
    <row r="4424" spans="1:8" s="948" customFormat="1">
      <c r="A4424" s="485"/>
      <c r="B4424" s="485"/>
      <c r="C4424" s="17" t="s">
        <v>10</v>
      </c>
      <c r="D4424" s="485">
        <v>1</v>
      </c>
      <c r="E4424" s="485">
        <v>2.15</v>
      </c>
      <c r="F4424" s="485"/>
      <c r="G4424" s="17">
        <v>2.1</v>
      </c>
      <c r="H4424" s="18">
        <f t="shared" si="682"/>
        <v>4.5149999999999997</v>
      </c>
    </row>
    <row r="4425" spans="1:8" s="948" customFormat="1">
      <c r="A4425" s="485"/>
      <c r="B4425" s="485"/>
      <c r="C4425" s="17" t="s">
        <v>10</v>
      </c>
      <c r="D4425" s="485">
        <v>1</v>
      </c>
      <c r="E4425" s="485">
        <v>1.5</v>
      </c>
      <c r="F4425" s="485"/>
      <c r="G4425" s="17">
        <v>2.1</v>
      </c>
      <c r="H4425" s="18">
        <f t="shared" si="682"/>
        <v>3.1500000000000004</v>
      </c>
    </row>
    <row r="4426" spans="1:8" s="948" customFormat="1">
      <c r="A4426" s="485"/>
      <c r="B4426" s="485"/>
      <c r="C4426" s="17" t="s">
        <v>10</v>
      </c>
      <c r="D4426" s="485">
        <v>4</v>
      </c>
      <c r="E4426" s="485">
        <v>2.2000000000000002</v>
      </c>
      <c r="F4426" s="485"/>
      <c r="G4426" s="17">
        <v>2.1</v>
      </c>
      <c r="H4426" s="18">
        <f t="shared" si="682"/>
        <v>18.480000000000004</v>
      </c>
    </row>
    <row r="4427" spans="1:8" s="948" customFormat="1">
      <c r="A4427" s="485"/>
      <c r="B4427" s="485"/>
      <c r="C4427" s="17" t="s">
        <v>10</v>
      </c>
      <c r="D4427" s="485">
        <v>1</v>
      </c>
      <c r="E4427" s="485">
        <v>3.15</v>
      </c>
      <c r="F4427" s="485"/>
      <c r="G4427" s="17">
        <v>2.1</v>
      </c>
      <c r="H4427" s="18">
        <f t="shared" si="682"/>
        <v>6.6150000000000002</v>
      </c>
    </row>
    <row r="4428" spans="1:8" s="948" customFormat="1">
      <c r="A4428" s="485"/>
      <c r="B4428" s="485"/>
      <c r="C4428" s="17" t="s">
        <v>10</v>
      </c>
      <c r="D4428" s="485">
        <v>1</v>
      </c>
      <c r="E4428" s="485">
        <v>1.1000000000000001</v>
      </c>
      <c r="F4428" s="485"/>
      <c r="G4428" s="17">
        <v>2.1</v>
      </c>
      <c r="H4428" s="18">
        <f t="shared" si="682"/>
        <v>2.3100000000000005</v>
      </c>
    </row>
    <row r="4429" spans="1:8" s="948" customFormat="1">
      <c r="A4429" s="17"/>
      <c r="B4429" s="17"/>
      <c r="C4429" s="17"/>
      <c r="D4429" s="17"/>
      <c r="E4429" s="17"/>
      <c r="F4429" s="17"/>
      <c r="G4429" s="17"/>
      <c r="H4429" s="18"/>
    </row>
    <row r="4430" spans="1:8" s="948" customFormat="1">
      <c r="A4430" s="15"/>
      <c r="B4430" s="15" t="s">
        <v>21</v>
      </c>
      <c r="C4430" s="15"/>
      <c r="D4430" s="15"/>
      <c r="E4430" s="15"/>
      <c r="F4430" s="15"/>
      <c r="G4430" s="15"/>
      <c r="H4430" s="20">
        <f>SUM(H4423:H4429)</f>
        <v>44.52000000000001</v>
      </c>
    </row>
    <row r="4431" spans="1:8" s="948" customFormat="1">
      <c r="A4431" s="17"/>
      <c r="B4431" s="17" t="s">
        <v>22</v>
      </c>
      <c r="C4431" s="17"/>
      <c r="D4431" s="17"/>
      <c r="E4431" s="17"/>
      <c r="F4431" s="17"/>
      <c r="G4431" s="17"/>
      <c r="H4431" s="18"/>
    </row>
    <row r="4432" spans="1:8" s="948" customFormat="1">
      <c r="A4432" s="15"/>
      <c r="B4432" s="15" t="s">
        <v>23</v>
      </c>
      <c r="C4432" s="15"/>
      <c r="D4432" s="15"/>
      <c r="E4432" s="15"/>
      <c r="F4432" s="15"/>
      <c r="G4432" s="15"/>
      <c r="H4432" s="20">
        <f>ROUND(SUM(H4430:H4431),0)</f>
        <v>45</v>
      </c>
    </row>
    <row r="4434" spans="1:8">
      <c r="A4434" s="17">
        <v>4</v>
      </c>
      <c r="B4434" s="15" t="s">
        <v>1414</v>
      </c>
      <c r="C4434" s="17" t="s">
        <v>31</v>
      </c>
      <c r="D4434" s="17"/>
      <c r="E4434" s="17"/>
      <c r="F4434" s="17"/>
      <c r="G4434" s="17"/>
      <c r="H4434" s="18"/>
    </row>
    <row r="4435" spans="1:8">
      <c r="A4435" s="17"/>
      <c r="B4435" s="17" t="s">
        <v>156</v>
      </c>
      <c r="C4435" s="17" t="s">
        <v>31</v>
      </c>
      <c r="D4435" s="17">
        <v>1</v>
      </c>
      <c r="E4435" s="17">
        <v>9.75</v>
      </c>
      <c r="F4435" s="17"/>
      <c r="G4435" s="17"/>
      <c r="H4435" s="18">
        <f>PRODUCT(D4435:G4435)</f>
        <v>9.75</v>
      </c>
    </row>
    <row r="4436" spans="1:8" s="948" customFormat="1">
      <c r="A4436" s="485"/>
      <c r="B4436" s="485"/>
      <c r="C4436" s="17" t="s">
        <v>31</v>
      </c>
      <c r="D4436" s="17">
        <v>1</v>
      </c>
      <c r="E4436" s="17">
        <f>8.62+2.75</f>
        <v>11.37</v>
      </c>
      <c r="F4436" s="17"/>
      <c r="G4436" s="17"/>
      <c r="H4436" s="18">
        <f>PRODUCT(D4436:G4436)</f>
        <v>11.37</v>
      </c>
    </row>
    <row r="4437" spans="1:8">
      <c r="A4437" s="485"/>
      <c r="B4437" s="485" t="s">
        <v>200</v>
      </c>
      <c r="C4437" s="17" t="s">
        <v>31</v>
      </c>
      <c r="D4437" s="485">
        <v>0</v>
      </c>
      <c r="E4437" s="485">
        <f>2.835+3.65</f>
        <v>6.4849999999999994</v>
      </c>
      <c r="F4437" s="485"/>
      <c r="G4437" s="485"/>
      <c r="H4437" s="18">
        <f>PRODUCT(D4437:G4437)</f>
        <v>0</v>
      </c>
    </row>
    <row r="4438" spans="1:8">
      <c r="A4438" s="485"/>
      <c r="B4438" s="485" t="s">
        <v>1954</v>
      </c>
      <c r="C4438" s="17" t="s">
        <v>31</v>
      </c>
      <c r="D4438" s="17">
        <v>0</v>
      </c>
      <c r="E4438" s="17">
        <v>5.52</v>
      </c>
      <c r="F4438" s="17"/>
      <c r="G4438" s="17"/>
      <c r="H4438" s="18">
        <f>PRODUCT(D4438:G4438)</f>
        <v>0</v>
      </c>
    </row>
    <row r="4439" spans="1:8">
      <c r="A4439" s="17"/>
      <c r="B4439" s="17"/>
      <c r="C4439" s="17"/>
      <c r="D4439" s="17"/>
      <c r="E4439" s="17"/>
      <c r="F4439" s="17"/>
      <c r="G4439" s="17"/>
      <c r="H4439" s="18"/>
    </row>
    <row r="4440" spans="1:8">
      <c r="A4440" s="15"/>
      <c r="B4440" s="15" t="s">
        <v>21</v>
      </c>
      <c r="C4440" s="15"/>
      <c r="D4440" s="15"/>
      <c r="E4440" s="15"/>
      <c r="F4440" s="15"/>
      <c r="G4440" s="15"/>
      <c r="H4440" s="20">
        <f>SUM(H4435:H4439)</f>
        <v>21.119999999999997</v>
      </c>
    </row>
    <row r="4441" spans="1:8">
      <c r="A4441" s="17"/>
      <c r="B4441" s="17" t="s">
        <v>22</v>
      </c>
      <c r="C4441" s="17"/>
      <c r="D4441" s="17"/>
      <c r="E4441" s="17"/>
      <c r="F4441" s="17"/>
      <c r="G4441" s="17"/>
      <c r="H4441" s="18"/>
    </row>
    <row r="4442" spans="1:8">
      <c r="A4442" s="15"/>
      <c r="B4442" s="15" t="s">
        <v>23</v>
      </c>
      <c r="C4442" s="15"/>
      <c r="D4442" s="15"/>
      <c r="E4442" s="15"/>
      <c r="F4442" s="15"/>
      <c r="G4442" s="15"/>
      <c r="H4442" s="20">
        <f>ROUND(SUM(H4440:H4441),0)</f>
        <v>21</v>
      </c>
    </row>
    <row r="4443" spans="1:8" s="948" customFormat="1">
      <c r="H4443" s="21"/>
    </row>
    <row r="4444" spans="1:8" s="948" customFormat="1">
      <c r="A4444" s="17">
        <v>4</v>
      </c>
      <c r="B4444" s="15" t="s">
        <v>2172</v>
      </c>
      <c r="C4444" s="17" t="s">
        <v>31</v>
      </c>
      <c r="D4444" s="17"/>
      <c r="E4444" s="17"/>
      <c r="F4444" s="17"/>
      <c r="G4444" s="17"/>
      <c r="H4444" s="18"/>
    </row>
    <row r="4445" spans="1:8" s="948" customFormat="1">
      <c r="A4445" s="17"/>
      <c r="B4445" s="17" t="s">
        <v>156</v>
      </c>
      <c r="C4445" s="17" t="s">
        <v>31</v>
      </c>
      <c r="D4445" s="17">
        <v>1</v>
      </c>
      <c r="E4445" s="17">
        <v>9.4</v>
      </c>
      <c r="F4445" s="17"/>
      <c r="G4445" s="17"/>
      <c r="H4445" s="18">
        <f>PRODUCT(D4445:G4445)</f>
        <v>9.4</v>
      </c>
    </row>
    <row r="4446" spans="1:8" s="948" customFormat="1">
      <c r="A4446" s="17"/>
      <c r="B4446" s="17"/>
      <c r="C4446" s="17"/>
      <c r="D4446" s="17"/>
      <c r="E4446" s="17"/>
      <c r="F4446" s="17"/>
      <c r="G4446" s="17"/>
      <c r="H4446" s="18"/>
    </row>
    <row r="4447" spans="1:8" s="948" customFormat="1">
      <c r="A4447" s="15"/>
      <c r="B4447" s="15" t="s">
        <v>21</v>
      </c>
      <c r="C4447" s="15"/>
      <c r="D4447" s="15"/>
      <c r="E4447" s="15"/>
      <c r="F4447" s="15"/>
      <c r="G4447" s="15"/>
      <c r="H4447" s="20">
        <f>SUM(H4445:H4446)</f>
        <v>9.4</v>
      </c>
    </row>
    <row r="4448" spans="1:8" s="948" customFormat="1">
      <c r="A4448" s="17"/>
      <c r="B4448" s="17" t="s">
        <v>22</v>
      </c>
      <c r="C4448" s="17"/>
      <c r="D4448" s="17"/>
      <c r="E4448" s="17"/>
      <c r="F4448" s="17"/>
      <c r="G4448" s="17"/>
      <c r="H4448" s="18"/>
    </row>
    <row r="4449" spans="1:8" s="948" customFormat="1">
      <c r="A4449" s="15"/>
      <c r="B4449" s="15" t="s">
        <v>23</v>
      </c>
      <c r="C4449" s="15"/>
      <c r="D4449" s="15"/>
      <c r="E4449" s="15"/>
      <c r="F4449" s="15"/>
      <c r="G4449" s="15"/>
      <c r="H4449" s="20">
        <f>ROUND(SUM(H4447:H4448),0)</f>
        <v>9</v>
      </c>
    </row>
    <row r="4450" spans="1:8" s="948" customFormat="1">
      <c r="H4450" s="21"/>
    </row>
    <row r="4451" spans="1:8" s="948" customFormat="1">
      <c r="A4451" s="17">
        <v>4</v>
      </c>
      <c r="B4451" s="15" t="s">
        <v>2026</v>
      </c>
      <c r="C4451" s="17" t="s">
        <v>10</v>
      </c>
      <c r="D4451" s="17"/>
      <c r="E4451" s="17"/>
      <c r="F4451" s="17"/>
      <c r="G4451" s="17"/>
      <c r="H4451" s="18"/>
    </row>
    <row r="4452" spans="1:8" s="948" customFormat="1">
      <c r="A4452" s="17"/>
      <c r="B4452" s="17" t="s">
        <v>1242</v>
      </c>
      <c r="C4452" s="17" t="s">
        <v>10</v>
      </c>
      <c r="D4452" s="17">
        <v>1</v>
      </c>
      <c r="E4452" s="17">
        <v>3.8</v>
      </c>
      <c r="F4452" s="17"/>
      <c r="G4452" s="17">
        <v>2.4</v>
      </c>
      <c r="H4452" s="18">
        <f>PRODUCT(D4452:G4452)</f>
        <v>9.1199999999999992</v>
      </c>
    </row>
    <row r="4453" spans="1:8" s="948" customFormat="1">
      <c r="A4453" s="485"/>
      <c r="B4453" s="485" t="s">
        <v>1243</v>
      </c>
      <c r="C4453" s="17" t="s">
        <v>10</v>
      </c>
      <c r="D4453" s="17">
        <v>1</v>
      </c>
      <c r="E4453" s="17">
        <v>3.8</v>
      </c>
      <c r="F4453" s="17"/>
      <c r="G4453" s="17">
        <v>2.4</v>
      </c>
      <c r="H4453" s="18">
        <f>PRODUCT(D4453:G4453)</f>
        <v>9.1199999999999992</v>
      </c>
    </row>
    <row r="4454" spans="1:8" s="948" customFormat="1">
      <c r="A4454" s="485"/>
      <c r="B4454" s="485" t="s">
        <v>2175</v>
      </c>
      <c r="C4454" s="17" t="s">
        <v>10</v>
      </c>
      <c r="D4454" s="485">
        <v>1</v>
      </c>
      <c r="E4454" s="485">
        <v>3.05</v>
      </c>
      <c r="F4454" s="485"/>
      <c r="G4454" s="17">
        <v>2.4</v>
      </c>
      <c r="H4454" s="18">
        <f>PRODUCT(D4454:G4454)</f>
        <v>7.3199999999999994</v>
      </c>
    </row>
    <row r="4455" spans="1:8" s="948" customFormat="1">
      <c r="A4455" s="17"/>
      <c r="B4455" s="17"/>
      <c r="C4455" s="17"/>
      <c r="D4455" s="17"/>
      <c r="E4455" s="17"/>
      <c r="F4455" s="17"/>
      <c r="G4455" s="17"/>
      <c r="H4455" s="18"/>
    </row>
    <row r="4456" spans="1:8" s="948" customFormat="1">
      <c r="A4456" s="15"/>
      <c r="B4456" s="15" t="s">
        <v>21</v>
      </c>
      <c r="C4456" s="15"/>
      <c r="D4456" s="15"/>
      <c r="E4456" s="15"/>
      <c r="F4456" s="15"/>
      <c r="G4456" s="15"/>
      <c r="H4456" s="20">
        <f>SUM(H4452:H4455)</f>
        <v>25.56</v>
      </c>
    </row>
    <row r="4457" spans="1:8" s="948" customFormat="1">
      <c r="A4457" s="17"/>
      <c r="B4457" s="17" t="s">
        <v>22</v>
      </c>
      <c r="C4457" s="17"/>
      <c r="D4457" s="17"/>
      <c r="E4457" s="17"/>
      <c r="F4457" s="17"/>
      <c r="G4457" s="17"/>
      <c r="H4457" s="18"/>
    </row>
    <row r="4458" spans="1:8" s="948" customFormat="1">
      <c r="A4458" s="15"/>
      <c r="B4458" s="15" t="s">
        <v>23</v>
      </c>
      <c r="C4458" s="15"/>
      <c r="D4458" s="15"/>
      <c r="E4458" s="15"/>
      <c r="F4458" s="15"/>
      <c r="G4458" s="15"/>
      <c r="H4458" s="20">
        <f>ROUND(SUM(H4456:H4457),0)</f>
        <v>26</v>
      </c>
    </row>
    <row r="4459" spans="1:8" s="948" customFormat="1">
      <c r="H4459" s="21"/>
    </row>
    <row r="4460" spans="1:8" s="948" customFormat="1">
      <c r="A4460" s="17">
        <v>4</v>
      </c>
      <c r="B4460" s="15" t="s">
        <v>2098</v>
      </c>
      <c r="C4460" s="17" t="s">
        <v>10</v>
      </c>
      <c r="D4460" s="17"/>
      <c r="E4460" s="17"/>
      <c r="F4460" s="17"/>
      <c r="G4460" s="17"/>
      <c r="H4460" s="18"/>
    </row>
    <row r="4461" spans="1:8" s="948" customFormat="1">
      <c r="A4461" s="17"/>
      <c r="B4461" s="17" t="s">
        <v>2098</v>
      </c>
      <c r="C4461" s="17" t="s">
        <v>10</v>
      </c>
      <c r="D4461" s="17">
        <v>1</v>
      </c>
      <c r="E4461" s="17">
        <v>2.8</v>
      </c>
      <c r="F4461" s="17"/>
      <c r="G4461" s="17">
        <v>1.05</v>
      </c>
      <c r="H4461" s="18">
        <f>PRODUCT(D4461:G4461)</f>
        <v>2.94</v>
      </c>
    </row>
    <row r="4462" spans="1:8" s="948" customFormat="1">
      <c r="A4462" s="485"/>
      <c r="B4462" s="17" t="s">
        <v>2098</v>
      </c>
      <c r="C4462" s="17" t="s">
        <v>10</v>
      </c>
      <c r="D4462" s="17">
        <v>2</v>
      </c>
      <c r="E4462" s="17">
        <f>0.9+2.34</f>
        <v>3.2399999999999998</v>
      </c>
      <c r="F4462" s="17"/>
      <c r="G4462" s="17">
        <v>1.05</v>
      </c>
      <c r="H4462" s="18">
        <f>PRODUCT(D4462:G4462)</f>
        <v>6.8039999999999994</v>
      </c>
    </row>
    <row r="4463" spans="1:8" s="948" customFormat="1">
      <c r="A4463" s="17"/>
      <c r="B4463" s="17"/>
      <c r="C4463" s="17"/>
      <c r="D4463" s="17"/>
      <c r="E4463" s="17"/>
      <c r="F4463" s="17"/>
      <c r="G4463" s="17"/>
      <c r="H4463" s="18"/>
    </row>
    <row r="4464" spans="1:8" s="948" customFormat="1">
      <c r="A4464" s="15"/>
      <c r="B4464" s="15" t="s">
        <v>21</v>
      </c>
      <c r="C4464" s="15"/>
      <c r="D4464" s="15"/>
      <c r="E4464" s="15"/>
      <c r="F4464" s="15"/>
      <c r="G4464" s="15"/>
      <c r="H4464" s="20">
        <f>SUM(H4461:H4463)</f>
        <v>9.7439999999999998</v>
      </c>
    </row>
    <row r="4465" spans="1:8" s="948" customFormat="1">
      <c r="A4465" s="17"/>
      <c r="B4465" s="17" t="s">
        <v>22</v>
      </c>
      <c r="C4465" s="17"/>
      <c r="D4465" s="17"/>
      <c r="E4465" s="17"/>
      <c r="F4465" s="17"/>
      <c r="G4465" s="17"/>
      <c r="H4465" s="18"/>
    </row>
    <row r="4466" spans="1:8" s="948" customFormat="1">
      <c r="A4466" s="15"/>
      <c r="B4466" s="15" t="s">
        <v>23</v>
      </c>
      <c r="C4466" s="15"/>
      <c r="D4466" s="15"/>
      <c r="E4466" s="15"/>
      <c r="F4466" s="15"/>
      <c r="G4466" s="15"/>
      <c r="H4466" s="20">
        <f>ROUND(SUM(H4464:H4465),0)</f>
        <v>10</v>
      </c>
    </row>
    <row r="4467" spans="1:8" s="948" customFormat="1">
      <c r="H4467" s="21"/>
    </row>
    <row r="4468" spans="1:8" s="948" customFormat="1">
      <c r="A4468" s="17">
        <v>4</v>
      </c>
      <c r="B4468" s="15" t="s">
        <v>2172</v>
      </c>
      <c r="C4468" s="17" t="s">
        <v>31</v>
      </c>
      <c r="D4468" s="17"/>
      <c r="E4468" s="17"/>
      <c r="F4468" s="17"/>
      <c r="G4468" s="17"/>
      <c r="H4468" s="18"/>
    </row>
    <row r="4469" spans="1:8" s="948" customFormat="1">
      <c r="A4469" s="17"/>
      <c r="B4469" s="17" t="s">
        <v>156</v>
      </c>
      <c r="C4469" s="17" t="s">
        <v>31</v>
      </c>
      <c r="D4469" s="17">
        <v>1</v>
      </c>
      <c r="E4469" s="17">
        <v>9.4</v>
      </c>
      <c r="F4469" s="17"/>
      <c r="G4469" s="17"/>
      <c r="H4469" s="18">
        <f>PRODUCT(D4469:G4469)</f>
        <v>9.4</v>
      </c>
    </row>
    <row r="4470" spans="1:8" s="948" customFormat="1">
      <c r="A4470" s="17"/>
      <c r="B4470" s="17"/>
      <c r="C4470" s="17"/>
      <c r="D4470" s="17"/>
      <c r="E4470" s="17"/>
      <c r="F4470" s="17"/>
      <c r="G4470" s="17"/>
      <c r="H4470" s="18"/>
    </row>
    <row r="4471" spans="1:8" s="948" customFormat="1">
      <c r="A4471" s="15"/>
      <c r="B4471" s="15" t="s">
        <v>21</v>
      </c>
      <c r="C4471" s="15"/>
      <c r="D4471" s="15"/>
      <c r="E4471" s="15"/>
      <c r="F4471" s="15"/>
      <c r="G4471" s="15"/>
      <c r="H4471" s="20">
        <f>SUM(H4469:H4470)</f>
        <v>9.4</v>
      </c>
    </row>
    <row r="4472" spans="1:8" s="948" customFormat="1">
      <c r="A4472" s="17"/>
      <c r="B4472" s="17" t="s">
        <v>22</v>
      </c>
      <c r="C4472" s="17"/>
      <c r="D4472" s="17"/>
      <c r="E4472" s="17"/>
      <c r="F4472" s="17"/>
      <c r="G4472" s="17"/>
      <c r="H4472" s="18"/>
    </row>
    <row r="4473" spans="1:8" s="948" customFormat="1">
      <c r="A4473" s="15"/>
      <c r="B4473" s="15" t="s">
        <v>23</v>
      </c>
      <c r="C4473" s="15"/>
      <c r="D4473" s="15"/>
      <c r="E4473" s="15"/>
      <c r="F4473" s="15"/>
      <c r="G4473" s="15"/>
      <c r="H4473" s="20">
        <f>ROUND(SUM(H4471:H4472),0)</f>
        <v>9</v>
      </c>
    </row>
    <row r="4475" spans="1:8">
      <c r="A4475" s="17">
        <v>4</v>
      </c>
      <c r="B4475" s="15" t="s">
        <v>81</v>
      </c>
      <c r="C4475" s="17" t="s">
        <v>10</v>
      </c>
      <c r="D4475" s="17"/>
      <c r="E4475" s="17"/>
      <c r="F4475" s="17"/>
      <c r="G4475" s="17"/>
      <c r="H4475" s="18"/>
    </row>
    <row r="4476" spans="1:8">
      <c r="A4476" s="17"/>
      <c r="B4476" s="17" t="s">
        <v>156</v>
      </c>
      <c r="C4476" s="17" t="s">
        <v>10</v>
      </c>
      <c r="D4476" s="17">
        <v>1</v>
      </c>
      <c r="E4476" s="17">
        <v>4.5999999999999996</v>
      </c>
      <c r="F4476" s="17"/>
      <c r="G4476" s="17">
        <v>3.5</v>
      </c>
      <c r="H4476" s="18">
        <f t="shared" ref="H4476:H4477" si="683">PRODUCT(D4476:G4476)</f>
        <v>16.099999999999998</v>
      </c>
    </row>
    <row r="4477" spans="1:8">
      <c r="A4477" s="17"/>
      <c r="B4477" s="17"/>
      <c r="C4477" s="17" t="s">
        <v>10</v>
      </c>
      <c r="D4477" s="17">
        <v>1</v>
      </c>
      <c r="E4477" s="17">
        <v>1.82</v>
      </c>
      <c r="F4477" s="17"/>
      <c r="G4477" s="17">
        <v>1.1000000000000001</v>
      </c>
      <c r="H4477" s="18">
        <f t="shared" si="683"/>
        <v>2.0020000000000002</v>
      </c>
    </row>
    <row r="4478" spans="1:8">
      <c r="A4478" s="485"/>
      <c r="B4478" s="485"/>
      <c r="C4478" s="17" t="s">
        <v>10</v>
      </c>
      <c r="D4478" s="17">
        <v>1</v>
      </c>
      <c r="E4478" s="17">
        <v>6.45</v>
      </c>
      <c r="F4478" s="17"/>
      <c r="G4478" s="17">
        <v>1.1000000000000001</v>
      </c>
      <c r="H4478" s="18">
        <f t="shared" ref="H4478" si="684">PRODUCT(D4478:G4478)</f>
        <v>7.0950000000000006</v>
      </c>
    </row>
    <row r="4479" spans="1:8">
      <c r="A4479" s="17"/>
      <c r="B4479" s="17" t="s">
        <v>162</v>
      </c>
      <c r="C4479" s="17" t="s">
        <v>10</v>
      </c>
      <c r="D4479" s="17">
        <v>1</v>
      </c>
      <c r="E4479" s="17">
        <v>9</v>
      </c>
      <c r="F4479" s="17"/>
      <c r="G4479" s="17">
        <v>2.7</v>
      </c>
      <c r="H4479" s="18">
        <f t="shared" ref="H4479:H4488" si="685">PRODUCT(D4479:G4479)</f>
        <v>24.3</v>
      </c>
    </row>
    <row r="4480" spans="1:8">
      <c r="A4480" s="17"/>
      <c r="B4480" s="17" t="s">
        <v>119</v>
      </c>
      <c r="C4480" s="17" t="s">
        <v>10</v>
      </c>
      <c r="D4480" s="17">
        <v>-1</v>
      </c>
      <c r="E4480" s="17">
        <v>1.5</v>
      </c>
      <c r="F4480" s="17"/>
      <c r="G4480" s="17">
        <v>2.4</v>
      </c>
      <c r="H4480" s="18">
        <f t="shared" si="685"/>
        <v>-3.5999999999999996</v>
      </c>
    </row>
    <row r="4481" spans="1:8">
      <c r="A4481" s="17"/>
      <c r="B4481" s="17" t="s">
        <v>245</v>
      </c>
      <c r="C4481" s="17" t="s">
        <v>10</v>
      </c>
      <c r="D4481" s="17">
        <v>1</v>
      </c>
      <c r="E4481" s="17">
        <v>6.7</v>
      </c>
      <c r="F4481" s="17"/>
      <c r="G4481" s="17">
        <v>2.7</v>
      </c>
      <c r="H4481" s="18">
        <f t="shared" si="685"/>
        <v>18.090000000000003</v>
      </c>
    </row>
    <row r="4482" spans="1:8">
      <c r="A4482" s="17"/>
      <c r="B4482" s="17"/>
      <c r="C4482" s="17" t="s">
        <v>10</v>
      </c>
      <c r="D4482" s="17">
        <v>-1</v>
      </c>
      <c r="E4482" s="17">
        <v>1.5</v>
      </c>
      <c r="F4482" s="17"/>
      <c r="G4482" s="17">
        <v>2.4</v>
      </c>
      <c r="H4482" s="18">
        <f t="shared" si="685"/>
        <v>-3.5999999999999996</v>
      </c>
    </row>
    <row r="4483" spans="1:8">
      <c r="A4483" s="17"/>
      <c r="B4483" s="17" t="s">
        <v>208</v>
      </c>
      <c r="C4483" s="17" t="s">
        <v>10</v>
      </c>
      <c r="D4483" s="17">
        <v>1</v>
      </c>
      <c r="E4483" s="17">
        <v>3.3</v>
      </c>
      <c r="F4483" s="17"/>
      <c r="G4483" s="17">
        <v>2.7</v>
      </c>
      <c r="H4483" s="18">
        <f t="shared" si="685"/>
        <v>8.91</v>
      </c>
    </row>
    <row r="4484" spans="1:8">
      <c r="A4484" s="17"/>
      <c r="B4484" s="17"/>
      <c r="C4484" s="17" t="s">
        <v>10</v>
      </c>
      <c r="D4484" s="17">
        <v>-1</v>
      </c>
      <c r="E4484" s="17">
        <v>1.8</v>
      </c>
      <c r="F4484" s="17"/>
      <c r="G4484" s="17">
        <v>2.4</v>
      </c>
      <c r="H4484" s="18">
        <f t="shared" si="685"/>
        <v>-4.32</v>
      </c>
    </row>
    <row r="4485" spans="1:8">
      <c r="A4485" s="17"/>
      <c r="B4485" s="17" t="s">
        <v>246</v>
      </c>
      <c r="C4485" s="17" t="s">
        <v>10</v>
      </c>
      <c r="D4485" s="17">
        <v>1</v>
      </c>
      <c r="E4485" s="17">
        <v>2.0499999999999998</v>
      </c>
      <c r="F4485" s="17"/>
      <c r="G4485" s="17">
        <v>2.7</v>
      </c>
      <c r="H4485" s="18">
        <f t="shared" si="685"/>
        <v>5.5350000000000001</v>
      </c>
    </row>
    <row r="4486" spans="1:8">
      <c r="A4486" s="17"/>
      <c r="B4486" s="17"/>
      <c r="C4486" s="17" t="s">
        <v>10</v>
      </c>
      <c r="D4486" s="17">
        <v>-1</v>
      </c>
      <c r="E4486" s="17">
        <v>1.1000000000000001</v>
      </c>
      <c r="F4486" s="17"/>
      <c r="G4486" s="17">
        <v>2.4</v>
      </c>
      <c r="H4486" s="18">
        <f t="shared" si="685"/>
        <v>-2.64</v>
      </c>
    </row>
    <row r="4487" spans="1:8">
      <c r="A4487" s="17"/>
      <c r="B4487" s="17"/>
      <c r="C4487" s="17" t="s">
        <v>10</v>
      </c>
      <c r="D4487" s="17">
        <v>1</v>
      </c>
      <c r="E4487" s="17">
        <v>1.1000000000000001</v>
      </c>
      <c r="F4487" s="17"/>
      <c r="G4487" s="17">
        <v>2.7</v>
      </c>
      <c r="H4487" s="18">
        <f t="shared" si="685"/>
        <v>2.9700000000000006</v>
      </c>
    </row>
    <row r="4488" spans="1:8">
      <c r="A4488" s="17"/>
      <c r="B4488" s="17"/>
      <c r="C4488" s="17" t="s">
        <v>10</v>
      </c>
      <c r="D4488" s="17">
        <v>1</v>
      </c>
      <c r="E4488" s="17">
        <v>1.3</v>
      </c>
      <c r="F4488" s="17"/>
      <c r="G4488" s="17">
        <v>2.7</v>
      </c>
      <c r="H4488" s="18">
        <f t="shared" si="685"/>
        <v>3.5100000000000002</v>
      </c>
    </row>
    <row r="4489" spans="1:8" s="948" customFormat="1">
      <c r="A4489" s="485"/>
      <c r="B4489" s="485" t="s">
        <v>181</v>
      </c>
      <c r="C4489" s="17" t="s">
        <v>10</v>
      </c>
      <c r="D4489" s="17">
        <v>1</v>
      </c>
      <c r="E4489" s="17">
        <v>7.1</v>
      </c>
      <c r="F4489" s="17"/>
      <c r="G4489" s="17">
        <v>2.7</v>
      </c>
      <c r="H4489" s="18">
        <f t="shared" ref="H4489" si="686">PRODUCT(D4489:G4489)</f>
        <v>19.170000000000002</v>
      </c>
    </row>
    <row r="4490" spans="1:8">
      <c r="A4490" s="17"/>
      <c r="B4490" s="17" t="s">
        <v>246</v>
      </c>
      <c r="C4490" s="17" t="s">
        <v>10</v>
      </c>
      <c r="D4490" s="17">
        <v>1</v>
      </c>
      <c r="E4490" s="17">
        <v>1.5</v>
      </c>
      <c r="F4490" s="17"/>
      <c r="G4490" s="17">
        <v>2.7</v>
      </c>
      <c r="H4490" s="18">
        <f t="shared" ref="H4490:H4494" si="687">PRODUCT(D4490:G4490)</f>
        <v>4.0500000000000007</v>
      </c>
    </row>
    <row r="4491" spans="1:8" s="948" customFormat="1">
      <c r="A4491" s="485"/>
      <c r="B4491" s="485"/>
      <c r="C4491" s="17" t="s">
        <v>10</v>
      </c>
      <c r="D4491" s="485">
        <v>-1</v>
      </c>
      <c r="E4491" s="485">
        <v>1</v>
      </c>
      <c r="F4491" s="485"/>
      <c r="G4491" s="485">
        <v>2.4</v>
      </c>
      <c r="H4491" s="487">
        <f t="shared" si="687"/>
        <v>-2.4</v>
      </c>
    </row>
    <row r="4492" spans="1:8">
      <c r="A4492" s="17"/>
      <c r="B4492" s="17"/>
      <c r="C4492" s="17" t="s">
        <v>10</v>
      </c>
      <c r="D4492" s="17">
        <v>1</v>
      </c>
      <c r="E4492" s="17">
        <v>4</v>
      </c>
      <c r="F4492" s="17"/>
      <c r="G4492" s="17">
        <v>2.7</v>
      </c>
      <c r="H4492" s="18">
        <f t="shared" si="687"/>
        <v>10.8</v>
      </c>
    </row>
    <row r="4493" spans="1:8" s="948" customFormat="1">
      <c r="A4493" s="485"/>
      <c r="B4493" s="485"/>
      <c r="C4493" s="17" t="s">
        <v>10</v>
      </c>
      <c r="D4493" s="485">
        <v>-1</v>
      </c>
      <c r="E4493" s="485">
        <v>1</v>
      </c>
      <c r="F4493" s="485"/>
      <c r="G4493" s="485">
        <v>2.4</v>
      </c>
      <c r="H4493" s="487">
        <f t="shared" si="687"/>
        <v>-2.4</v>
      </c>
    </row>
    <row r="4494" spans="1:8" s="948" customFormat="1">
      <c r="A4494" s="485"/>
      <c r="B4494" s="485"/>
      <c r="C4494" s="17" t="s">
        <v>10</v>
      </c>
      <c r="D4494" s="485">
        <v>-1</v>
      </c>
      <c r="E4494" s="485">
        <v>0.6</v>
      </c>
      <c r="F4494" s="485"/>
      <c r="G4494" s="485">
        <v>2.4</v>
      </c>
      <c r="H4494" s="487">
        <f t="shared" si="687"/>
        <v>-1.44</v>
      </c>
    </row>
    <row r="4495" spans="1:8" s="948" customFormat="1">
      <c r="A4495" s="485"/>
      <c r="B4495" s="485"/>
      <c r="C4495" s="17" t="s">
        <v>10</v>
      </c>
      <c r="D4495" s="17">
        <v>1</v>
      </c>
      <c r="E4495" s="17">
        <v>2.7</v>
      </c>
      <c r="F4495" s="17"/>
      <c r="G4495" s="485">
        <v>2.7</v>
      </c>
      <c r="H4495" s="18">
        <f t="shared" ref="H4495" si="688">PRODUCT(D4495:G4495)</f>
        <v>7.2900000000000009</v>
      </c>
    </row>
    <row r="4496" spans="1:8" s="948" customFormat="1">
      <c r="A4496" s="485"/>
      <c r="B4496" s="485" t="s">
        <v>171</v>
      </c>
      <c r="C4496" s="17" t="s">
        <v>10</v>
      </c>
      <c r="D4496" s="17">
        <v>1</v>
      </c>
      <c r="E4496" s="17">
        <v>3.3</v>
      </c>
      <c r="F4496" s="17"/>
      <c r="G4496" s="485">
        <v>2.7</v>
      </c>
      <c r="H4496" s="18">
        <f t="shared" ref="H4496:H4502" si="689">PRODUCT(D4496:G4496)</f>
        <v>8.91</v>
      </c>
    </row>
    <row r="4497" spans="1:8" s="948" customFormat="1">
      <c r="A4497" s="485"/>
      <c r="B4497" s="485" t="s">
        <v>2050</v>
      </c>
      <c r="C4497" s="17" t="s">
        <v>10</v>
      </c>
      <c r="D4497" s="485">
        <v>1</v>
      </c>
      <c r="E4497" s="485">
        <v>3.75</v>
      </c>
      <c r="F4497" s="485"/>
      <c r="G4497" s="485">
        <v>3.5</v>
      </c>
      <c r="H4497" s="487">
        <f t="shared" si="689"/>
        <v>13.125</v>
      </c>
    </row>
    <row r="4498" spans="1:8" s="948" customFormat="1">
      <c r="A4498" s="485"/>
      <c r="B4498" s="485"/>
      <c r="C4498" s="17" t="s">
        <v>10</v>
      </c>
      <c r="D4498" s="485">
        <v>1</v>
      </c>
      <c r="E4498" s="485">
        <v>0.7</v>
      </c>
      <c r="F4498" s="485"/>
      <c r="G4498" s="485">
        <v>3.5</v>
      </c>
      <c r="H4498" s="487">
        <f t="shared" si="689"/>
        <v>2.4499999999999997</v>
      </c>
    </row>
    <row r="4499" spans="1:8" s="948" customFormat="1">
      <c r="A4499" s="485"/>
      <c r="B4499" s="485"/>
      <c r="C4499" s="17" t="s">
        <v>10</v>
      </c>
      <c r="D4499" s="485">
        <v>1</v>
      </c>
      <c r="E4499" s="485">
        <v>0.7</v>
      </c>
      <c r="F4499" s="485"/>
      <c r="G4499" s="485">
        <v>3.5</v>
      </c>
      <c r="H4499" s="487">
        <f t="shared" si="689"/>
        <v>2.4499999999999997</v>
      </c>
    </row>
    <row r="4500" spans="1:8" s="948" customFormat="1">
      <c r="A4500" s="485"/>
      <c r="B4500" s="485"/>
      <c r="C4500" s="17" t="s">
        <v>10</v>
      </c>
      <c r="D4500" s="485">
        <v>1</v>
      </c>
      <c r="E4500" s="485">
        <v>7.7</v>
      </c>
      <c r="F4500" s="485"/>
      <c r="G4500" s="485">
        <v>1.1000000000000001</v>
      </c>
      <c r="H4500" s="487">
        <f t="shared" si="689"/>
        <v>8.4700000000000006</v>
      </c>
    </row>
    <row r="4501" spans="1:8" s="948" customFormat="1">
      <c r="A4501" s="485"/>
      <c r="B4501" s="485"/>
      <c r="C4501" s="17" t="s">
        <v>10</v>
      </c>
      <c r="D4501" s="485">
        <v>1</v>
      </c>
      <c r="E4501" s="485">
        <v>1.4</v>
      </c>
      <c r="F4501" s="485"/>
      <c r="G4501" s="485">
        <v>2.7</v>
      </c>
      <c r="H4501" s="487">
        <f t="shared" si="689"/>
        <v>3.78</v>
      </c>
    </row>
    <row r="4502" spans="1:8" s="948" customFormat="1">
      <c r="A4502" s="485"/>
      <c r="B4502" s="485"/>
      <c r="C4502" s="17" t="s">
        <v>10</v>
      </c>
      <c r="D4502" s="485">
        <v>1</v>
      </c>
      <c r="E4502" s="485">
        <v>5.3</v>
      </c>
      <c r="F4502" s="485"/>
      <c r="G4502" s="485">
        <v>3.5</v>
      </c>
      <c r="H4502" s="487">
        <f t="shared" si="689"/>
        <v>18.55</v>
      </c>
    </row>
    <row r="4503" spans="1:8" s="948" customFormat="1">
      <c r="A4503" s="485"/>
      <c r="B4503" s="485" t="s">
        <v>1293</v>
      </c>
      <c r="C4503" s="17" t="s">
        <v>10</v>
      </c>
      <c r="D4503" s="485">
        <v>1</v>
      </c>
      <c r="E4503" s="485">
        <v>4.3</v>
      </c>
      <c r="F4503" s="485"/>
      <c r="G4503" s="485">
        <v>1.1000000000000001</v>
      </c>
      <c r="H4503" s="487">
        <f t="shared" ref="H4503:H4505" si="690">PRODUCT(D4503:G4503)</f>
        <v>4.7300000000000004</v>
      </c>
    </row>
    <row r="4504" spans="1:8" s="948" customFormat="1">
      <c r="A4504" s="485"/>
      <c r="B4504" s="485" t="s">
        <v>283</v>
      </c>
      <c r="C4504" s="17" t="s">
        <v>10</v>
      </c>
      <c r="D4504" s="485">
        <v>1</v>
      </c>
      <c r="E4504" s="485">
        <v>17.7</v>
      </c>
      <c r="F4504" s="485"/>
      <c r="G4504" s="485">
        <v>1.1000000000000001</v>
      </c>
      <c r="H4504" s="487">
        <f t="shared" si="690"/>
        <v>19.470000000000002</v>
      </c>
    </row>
    <row r="4505" spans="1:8" s="948" customFormat="1">
      <c r="A4505" s="485"/>
      <c r="B4505" s="485"/>
      <c r="C4505" s="17" t="s">
        <v>10</v>
      </c>
      <c r="D4505" s="485">
        <v>1</v>
      </c>
      <c r="E4505" s="485">
        <v>2.86</v>
      </c>
      <c r="F4505" s="485"/>
      <c r="G4505" s="485">
        <v>1.1000000000000001</v>
      </c>
      <c r="H4505" s="487">
        <f t="shared" si="690"/>
        <v>3.1459999999999999</v>
      </c>
    </row>
    <row r="4506" spans="1:8" s="948" customFormat="1">
      <c r="A4506" s="485"/>
      <c r="B4506" s="485"/>
      <c r="C4506" s="17" t="s">
        <v>10</v>
      </c>
      <c r="D4506" s="485">
        <v>1</v>
      </c>
      <c r="E4506" s="485">
        <v>1.35</v>
      </c>
      <c r="F4506" s="485"/>
      <c r="G4506" s="485">
        <v>2.7</v>
      </c>
      <c r="H4506" s="487">
        <f t="shared" ref="H4506" si="691">PRODUCT(D4506:G4506)</f>
        <v>3.6450000000000005</v>
      </c>
    </row>
    <row r="4507" spans="1:8" s="948" customFormat="1">
      <c r="A4507" s="485"/>
      <c r="B4507" s="485"/>
      <c r="C4507" s="17" t="s">
        <v>10</v>
      </c>
      <c r="D4507" s="485">
        <v>1</v>
      </c>
      <c r="E4507" s="485">
        <v>3.75</v>
      </c>
      <c r="F4507" s="485"/>
      <c r="G4507" s="485">
        <v>2.7</v>
      </c>
      <c r="H4507" s="487">
        <f t="shared" ref="H4507" si="692">PRODUCT(D4507:G4507)</f>
        <v>10.125</v>
      </c>
    </row>
    <row r="4508" spans="1:8" s="948" customFormat="1">
      <c r="A4508" s="485"/>
      <c r="B4508" s="485"/>
      <c r="C4508" s="17" t="s">
        <v>10</v>
      </c>
      <c r="D4508" s="485">
        <v>1</v>
      </c>
      <c r="E4508" s="485">
        <v>0.55000000000000004</v>
      </c>
      <c r="F4508" s="485"/>
      <c r="G4508" s="485">
        <v>2.7</v>
      </c>
      <c r="H4508" s="487">
        <f t="shared" ref="H4508" si="693">PRODUCT(D4508:G4508)</f>
        <v>1.4850000000000003</v>
      </c>
    </row>
    <row r="4509" spans="1:8" s="948" customFormat="1">
      <c r="A4509" s="485"/>
      <c r="B4509" s="485"/>
      <c r="C4509" s="17" t="s">
        <v>10</v>
      </c>
      <c r="D4509" s="485">
        <v>1</v>
      </c>
      <c r="E4509" s="485">
        <v>6.6</v>
      </c>
      <c r="F4509" s="485"/>
      <c r="G4509" s="485">
        <v>2.7</v>
      </c>
      <c r="H4509" s="487">
        <f t="shared" ref="H4509:H4514" si="694">PRODUCT(D4509:G4509)</f>
        <v>17.82</v>
      </c>
    </row>
    <row r="4510" spans="1:8" s="948" customFormat="1">
      <c r="A4510" s="485"/>
      <c r="B4510" s="485" t="s">
        <v>200</v>
      </c>
      <c r="C4510" s="17" t="s">
        <v>10</v>
      </c>
      <c r="D4510" s="485">
        <v>1</v>
      </c>
      <c r="E4510" s="485">
        <v>6.4</v>
      </c>
      <c r="F4510" s="485"/>
      <c r="G4510" s="485">
        <v>2.7</v>
      </c>
      <c r="H4510" s="487">
        <f t="shared" si="694"/>
        <v>17.28</v>
      </c>
    </row>
    <row r="4511" spans="1:8" s="948" customFormat="1">
      <c r="A4511" s="485"/>
      <c r="B4511" s="485"/>
      <c r="C4511" s="17" t="s">
        <v>10</v>
      </c>
      <c r="D4511" s="485">
        <v>2</v>
      </c>
      <c r="E4511" s="485">
        <v>0.8</v>
      </c>
      <c r="F4511" s="485"/>
      <c r="G4511" s="485">
        <v>2.7</v>
      </c>
      <c r="H4511" s="487">
        <f t="shared" si="694"/>
        <v>4.32</v>
      </c>
    </row>
    <row r="4512" spans="1:8" s="948" customFormat="1">
      <c r="A4512" s="485"/>
      <c r="B4512" s="485"/>
      <c r="C4512" s="17" t="s">
        <v>10</v>
      </c>
      <c r="D4512" s="485">
        <v>-1</v>
      </c>
      <c r="E4512" s="485">
        <v>1.5</v>
      </c>
      <c r="F4512" s="485"/>
      <c r="G4512" s="485">
        <v>2.4</v>
      </c>
      <c r="H4512" s="487">
        <f t="shared" si="694"/>
        <v>-3.5999999999999996</v>
      </c>
    </row>
    <row r="4513" spans="1:8" s="948" customFormat="1">
      <c r="A4513" s="485"/>
      <c r="B4513" s="485"/>
      <c r="C4513" s="17" t="s">
        <v>10</v>
      </c>
      <c r="D4513" s="485">
        <v>1</v>
      </c>
      <c r="E4513" s="485">
        <v>2.4</v>
      </c>
      <c r="F4513" s="485"/>
      <c r="G4513" s="485">
        <v>2.7</v>
      </c>
      <c r="H4513" s="487">
        <f t="shared" si="694"/>
        <v>6.48</v>
      </c>
    </row>
    <row r="4514" spans="1:8" s="948" customFormat="1">
      <c r="A4514" s="485"/>
      <c r="B4514" s="485"/>
      <c r="C4514" s="17" t="s">
        <v>10</v>
      </c>
      <c r="D4514" s="485">
        <v>-1</v>
      </c>
      <c r="E4514" s="485">
        <v>1.5</v>
      </c>
      <c r="F4514" s="485"/>
      <c r="G4514" s="485">
        <v>2.4</v>
      </c>
      <c r="H4514" s="487">
        <f t="shared" si="694"/>
        <v>-3.5999999999999996</v>
      </c>
    </row>
    <row r="4515" spans="1:8" s="948" customFormat="1">
      <c r="A4515" s="485"/>
      <c r="B4515" s="485" t="s">
        <v>1313</v>
      </c>
      <c r="C4515" s="17" t="s">
        <v>10</v>
      </c>
      <c r="D4515" s="485">
        <v>1</v>
      </c>
      <c r="E4515" s="485">
        <v>8.1999999999999993</v>
      </c>
      <c r="F4515" s="485"/>
      <c r="G4515" s="485">
        <v>2.7</v>
      </c>
      <c r="H4515" s="487">
        <f t="shared" ref="H4515:H4516" si="695">PRODUCT(D4515:G4515)</f>
        <v>22.14</v>
      </c>
    </row>
    <row r="4516" spans="1:8" s="948" customFormat="1">
      <c r="A4516" s="485"/>
      <c r="B4516" s="485" t="s">
        <v>246</v>
      </c>
      <c r="C4516" s="17" t="s">
        <v>10</v>
      </c>
      <c r="D4516" s="485">
        <v>1</v>
      </c>
      <c r="E4516" s="485">
        <v>1.6</v>
      </c>
      <c r="F4516" s="485"/>
      <c r="G4516" s="485">
        <v>2.7</v>
      </c>
      <c r="H4516" s="487">
        <f t="shared" si="695"/>
        <v>4.32</v>
      </c>
    </row>
    <row r="4517" spans="1:8" s="948" customFormat="1">
      <c r="A4517" s="485"/>
      <c r="B4517" s="485"/>
      <c r="C4517" s="17" t="s">
        <v>10</v>
      </c>
      <c r="D4517" s="485">
        <v>-2</v>
      </c>
      <c r="E4517" s="485">
        <v>1</v>
      </c>
      <c r="F4517" s="485"/>
      <c r="G4517" s="485">
        <v>2.4</v>
      </c>
      <c r="H4517" s="487">
        <f t="shared" ref="H4517:H4521" si="696">PRODUCT(D4517:G4517)</f>
        <v>-4.8</v>
      </c>
    </row>
    <row r="4518" spans="1:8" s="948" customFormat="1">
      <c r="A4518" s="485"/>
      <c r="B4518" s="485"/>
      <c r="C4518" s="17" t="s">
        <v>10</v>
      </c>
      <c r="D4518" s="485">
        <v>-1</v>
      </c>
      <c r="E4518" s="485">
        <v>0.6</v>
      </c>
      <c r="F4518" s="485"/>
      <c r="G4518" s="485">
        <v>2.4</v>
      </c>
      <c r="H4518" s="487">
        <f t="shared" ref="H4518" si="697">PRODUCT(D4518:G4518)</f>
        <v>-1.44</v>
      </c>
    </row>
    <row r="4519" spans="1:8" s="948" customFormat="1">
      <c r="A4519" s="485"/>
      <c r="B4519" s="485"/>
      <c r="C4519" s="17" t="s">
        <v>10</v>
      </c>
      <c r="D4519" s="485">
        <v>1</v>
      </c>
      <c r="E4519" s="485">
        <v>3.4</v>
      </c>
      <c r="F4519" s="485"/>
      <c r="G4519" s="485">
        <v>2.7</v>
      </c>
      <c r="H4519" s="487">
        <f t="shared" si="696"/>
        <v>9.18</v>
      </c>
    </row>
    <row r="4520" spans="1:8" s="948" customFormat="1">
      <c r="A4520" s="485"/>
      <c r="B4520" s="485"/>
      <c r="C4520" s="17" t="s">
        <v>10</v>
      </c>
      <c r="D4520" s="485">
        <v>1</v>
      </c>
      <c r="E4520" s="485">
        <v>1.7</v>
      </c>
      <c r="F4520" s="485"/>
      <c r="G4520" s="485">
        <v>2.7</v>
      </c>
      <c r="H4520" s="487">
        <f t="shared" si="696"/>
        <v>4.59</v>
      </c>
    </row>
    <row r="4521" spans="1:8" s="948" customFormat="1">
      <c r="A4521" s="485"/>
      <c r="B4521" s="485"/>
      <c r="C4521" s="17" t="s">
        <v>10</v>
      </c>
      <c r="D4521" s="485">
        <v>1</v>
      </c>
      <c r="E4521" s="485">
        <v>2.2999999999999998</v>
      </c>
      <c r="F4521" s="485"/>
      <c r="G4521" s="485">
        <v>2.7</v>
      </c>
      <c r="H4521" s="487">
        <f t="shared" si="696"/>
        <v>6.21</v>
      </c>
    </row>
    <row r="4522" spans="1:8" s="948" customFormat="1">
      <c r="A4522" s="485"/>
      <c r="B4522" s="485" t="s">
        <v>123</v>
      </c>
      <c r="C4522" s="17" t="s">
        <v>10</v>
      </c>
      <c r="D4522" s="485">
        <v>1</v>
      </c>
      <c r="E4522" s="485">
        <v>1.5</v>
      </c>
      <c r="F4522" s="485"/>
      <c r="G4522" s="485">
        <v>2.7</v>
      </c>
      <c r="H4522" s="487">
        <f t="shared" ref="H4522:H4523" si="698">PRODUCT(D4522:G4522)</f>
        <v>4.0500000000000007</v>
      </c>
    </row>
    <row r="4523" spans="1:8" s="948" customFormat="1">
      <c r="A4523" s="485"/>
      <c r="B4523" s="485"/>
      <c r="C4523" s="17" t="s">
        <v>10</v>
      </c>
      <c r="D4523" s="485">
        <v>-1</v>
      </c>
      <c r="E4523" s="485">
        <v>1</v>
      </c>
      <c r="F4523" s="485"/>
      <c r="G4523" s="485">
        <v>2.4</v>
      </c>
      <c r="H4523" s="487">
        <f t="shared" si="698"/>
        <v>-2.4</v>
      </c>
    </row>
    <row r="4524" spans="1:8" s="948" customFormat="1">
      <c r="A4524" s="485"/>
      <c r="B4524" s="485"/>
      <c r="C4524" s="17" t="s">
        <v>10</v>
      </c>
      <c r="D4524" s="485">
        <v>2</v>
      </c>
      <c r="E4524" s="485">
        <v>1.1000000000000001</v>
      </c>
      <c r="F4524" s="485"/>
      <c r="G4524" s="485">
        <v>2.7</v>
      </c>
      <c r="H4524" s="487">
        <f t="shared" ref="H4524" si="699">PRODUCT(D4524:G4524)</f>
        <v>5.9400000000000013</v>
      </c>
    </row>
    <row r="4525" spans="1:8" s="948" customFormat="1">
      <c r="A4525" s="485"/>
      <c r="B4525" s="485" t="s">
        <v>1218</v>
      </c>
      <c r="C4525" s="17" t="s">
        <v>10</v>
      </c>
      <c r="D4525" s="485">
        <v>1</v>
      </c>
      <c r="E4525" s="485">
        <v>3.05</v>
      </c>
      <c r="F4525" s="485"/>
      <c r="G4525" s="485">
        <v>2.7</v>
      </c>
      <c r="H4525" s="487">
        <f t="shared" ref="H4525" si="700">PRODUCT(D4525:G4525)</f>
        <v>8.2349999999999994</v>
      </c>
    </row>
    <row r="4526" spans="1:8" s="948" customFormat="1">
      <c r="A4526" s="485"/>
      <c r="B4526" s="485" t="s">
        <v>297</v>
      </c>
      <c r="C4526" s="17" t="s">
        <v>10</v>
      </c>
      <c r="D4526" s="485">
        <v>1</v>
      </c>
      <c r="E4526" s="485">
        <v>13.7</v>
      </c>
      <c r="F4526" s="485"/>
      <c r="G4526" s="485">
        <v>2.7</v>
      </c>
      <c r="H4526" s="487">
        <f t="shared" ref="H4526:H4532" si="701">PRODUCT(D4526:G4526)</f>
        <v>36.99</v>
      </c>
    </row>
    <row r="4527" spans="1:8" s="948" customFormat="1">
      <c r="A4527" s="485"/>
      <c r="B4527" s="485"/>
      <c r="C4527" s="17" t="s">
        <v>10</v>
      </c>
      <c r="D4527" s="485">
        <v>-1</v>
      </c>
      <c r="E4527" s="485">
        <v>4</v>
      </c>
      <c r="F4527" s="485"/>
      <c r="G4527" s="485">
        <v>2.4</v>
      </c>
      <c r="H4527" s="487">
        <f t="shared" si="701"/>
        <v>-9.6</v>
      </c>
    </row>
    <row r="4528" spans="1:8" s="948" customFormat="1">
      <c r="A4528" s="485"/>
      <c r="B4528" s="485"/>
      <c r="C4528" s="17" t="s">
        <v>10</v>
      </c>
      <c r="D4528" s="485">
        <v>-1</v>
      </c>
      <c r="E4528" s="485">
        <v>1.1000000000000001</v>
      </c>
      <c r="F4528" s="485"/>
      <c r="G4528" s="485">
        <v>2.4</v>
      </c>
      <c r="H4528" s="487">
        <f t="shared" si="701"/>
        <v>-2.64</v>
      </c>
    </row>
    <row r="4529" spans="1:8" s="948" customFormat="1">
      <c r="A4529" s="485"/>
      <c r="B4529" s="485"/>
      <c r="C4529" s="17" t="s">
        <v>10</v>
      </c>
      <c r="D4529" s="485">
        <v>-1</v>
      </c>
      <c r="E4529" s="485">
        <v>0.6</v>
      </c>
      <c r="F4529" s="485"/>
      <c r="G4529" s="485">
        <v>1.2</v>
      </c>
      <c r="H4529" s="487">
        <f t="shared" si="701"/>
        <v>-0.72</v>
      </c>
    </row>
    <row r="4530" spans="1:8" s="948" customFormat="1">
      <c r="A4530" s="485"/>
      <c r="B4530" s="485" t="s">
        <v>245</v>
      </c>
      <c r="C4530" s="17" t="s">
        <v>10</v>
      </c>
      <c r="D4530" s="485">
        <v>2</v>
      </c>
      <c r="E4530" s="485">
        <v>0.6</v>
      </c>
      <c r="F4530" s="485"/>
      <c r="G4530" s="485">
        <v>2.7</v>
      </c>
      <c r="H4530" s="487">
        <f t="shared" si="701"/>
        <v>3.24</v>
      </c>
    </row>
    <row r="4531" spans="1:8" s="948" customFormat="1">
      <c r="A4531" s="485"/>
      <c r="B4531" s="485"/>
      <c r="C4531" s="17" t="s">
        <v>10</v>
      </c>
      <c r="D4531" s="485">
        <v>1</v>
      </c>
      <c r="E4531" s="485">
        <v>1.9</v>
      </c>
      <c r="F4531" s="485"/>
      <c r="G4531" s="485">
        <v>2.7</v>
      </c>
      <c r="H4531" s="487">
        <f t="shared" si="701"/>
        <v>5.13</v>
      </c>
    </row>
    <row r="4532" spans="1:8" s="948" customFormat="1">
      <c r="A4532" s="485"/>
      <c r="B4532" s="485"/>
      <c r="C4532" s="17" t="s">
        <v>10</v>
      </c>
      <c r="D4532" s="485">
        <v>-1</v>
      </c>
      <c r="E4532" s="485">
        <v>1.5</v>
      </c>
      <c r="F4532" s="485"/>
      <c r="G4532" s="485">
        <v>2.4</v>
      </c>
      <c r="H4532" s="487">
        <f t="shared" si="701"/>
        <v>-3.5999999999999996</v>
      </c>
    </row>
    <row r="4533" spans="1:8" s="948" customFormat="1">
      <c r="A4533" s="485"/>
      <c r="B4533" s="485" t="s">
        <v>215</v>
      </c>
      <c r="C4533" s="17" t="s">
        <v>10</v>
      </c>
      <c r="D4533" s="485">
        <v>1</v>
      </c>
      <c r="E4533" s="485">
        <v>11.7</v>
      </c>
      <c r="F4533" s="485"/>
      <c r="G4533" s="485">
        <v>1.1000000000000001</v>
      </c>
      <c r="H4533" s="487">
        <f t="shared" ref="H4533:H4537" si="702">PRODUCT(D4533:G4533)</f>
        <v>12.870000000000001</v>
      </c>
    </row>
    <row r="4534" spans="1:8" s="948" customFormat="1">
      <c r="A4534" s="485"/>
      <c r="B4534" s="485"/>
      <c r="C4534" s="17" t="s">
        <v>10</v>
      </c>
      <c r="D4534" s="485">
        <v>1</v>
      </c>
      <c r="E4534" s="485">
        <v>10.7</v>
      </c>
      <c r="F4534" s="485"/>
      <c r="G4534" s="485">
        <v>1.1000000000000001</v>
      </c>
      <c r="H4534" s="487">
        <f t="shared" si="702"/>
        <v>11.77</v>
      </c>
    </row>
    <row r="4535" spans="1:8" s="948" customFormat="1">
      <c r="A4535" s="485"/>
      <c r="B4535" s="485"/>
      <c r="C4535" s="17" t="s">
        <v>10</v>
      </c>
      <c r="D4535" s="485">
        <v>1</v>
      </c>
      <c r="E4535" s="485">
        <f>2.5+2.5+0.9+0.9</f>
        <v>6.8000000000000007</v>
      </c>
      <c r="F4535" s="485"/>
      <c r="G4535" s="485">
        <v>3.5</v>
      </c>
      <c r="H4535" s="487">
        <f t="shared" si="702"/>
        <v>23.800000000000004</v>
      </c>
    </row>
    <row r="4536" spans="1:8" s="948" customFormat="1">
      <c r="A4536" s="485"/>
      <c r="B4536" s="485"/>
      <c r="C4536" s="17" t="s">
        <v>10</v>
      </c>
      <c r="D4536" s="485">
        <v>1</v>
      </c>
      <c r="E4536" s="485">
        <v>3.55</v>
      </c>
      <c r="F4536" s="485"/>
      <c r="G4536" s="485">
        <v>3.5</v>
      </c>
      <c r="H4536" s="487">
        <f t="shared" si="702"/>
        <v>12.424999999999999</v>
      </c>
    </row>
    <row r="4537" spans="1:8" s="948" customFormat="1">
      <c r="A4537" s="485"/>
      <c r="B4537" s="485"/>
      <c r="C4537" s="17" t="s">
        <v>10</v>
      </c>
      <c r="D4537" s="485">
        <v>1</v>
      </c>
      <c r="E4537" s="485">
        <v>22.93</v>
      </c>
      <c r="F4537" s="485"/>
      <c r="G4537" s="485">
        <v>2.7</v>
      </c>
      <c r="H4537" s="487">
        <f t="shared" si="702"/>
        <v>61.911000000000001</v>
      </c>
    </row>
    <row r="4538" spans="1:8" s="948" customFormat="1">
      <c r="A4538" s="485"/>
      <c r="B4538" s="485" t="s">
        <v>114</v>
      </c>
      <c r="C4538" s="17" t="s">
        <v>10</v>
      </c>
      <c r="D4538" s="485">
        <v>4</v>
      </c>
      <c r="E4538" s="485">
        <v>0.9</v>
      </c>
      <c r="F4538" s="485"/>
      <c r="G4538" s="485">
        <v>2.7</v>
      </c>
      <c r="H4538" s="487">
        <f t="shared" ref="H4538" si="703">PRODUCT(D4538:G4538)</f>
        <v>9.7200000000000006</v>
      </c>
    </row>
    <row r="4539" spans="1:8">
      <c r="A4539" s="17"/>
      <c r="B4539" s="17"/>
      <c r="C4539" s="17"/>
      <c r="D4539" s="17"/>
      <c r="E4539" s="17"/>
      <c r="F4539" s="17"/>
      <c r="G4539" s="17"/>
      <c r="H4539" s="18"/>
    </row>
    <row r="4540" spans="1:8">
      <c r="A4540" s="15"/>
      <c r="B4540" s="15" t="s">
        <v>21</v>
      </c>
      <c r="C4540" s="15"/>
      <c r="D4540" s="15"/>
      <c r="E4540" s="15"/>
      <c r="F4540" s="15"/>
      <c r="G4540" s="15"/>
      <c r="H4540" s="20">
        <f>SUM(H4476:H4539)</f>
        <v>465.77899999999994</v>
      </c>
    </row>
    <row r="4541" spans="1:8">
      <c r="A4541" s="17"/>
      <c r="B4541" s="17" t="s">
        <v>22</v>
      </c>
      <c r="C4541" s="17"/>
      <c r="D4541" s="17"/>
      <c r="E4541" s="17"/>
      <c r="F4541" s="17"/>
      <c r="G4541" s="17"/>
      <c r="H4541" s="18"/>
    </row>
    <row r="4542" spans="1:8">
      <c r="A4542" s="15"/>
      <c r="B4542" s="15" t="s">
        <v>23</v>
      </c>
      <c r="C4542" s="15"/>
      <c r="D4542" s="15"/>
      <c r="E4542" s="15"/>
      <c r="F4542" s="15"/>
      <c r="G4542" s="15"/>
      <c r="H4542" s="20">
        <f>ROUND(SUM(H4540:H4541),0)</f>
        <v>466</v>
      </c>
    </row>
    <row r="4544" spans="1:8">
      <c r="A4544" s="17">
        <v>4</v>
      </c>
      <c r="B4544" s="15" t="s">
        <v>138</v>
      </c>
      <c r="C4544" s="17" t="s">
        <v>10</v>
      </c>
      <c r="D4544" s="17"/>
      <c r="E4544" s="17"/>
      <c r="F4544" s="17"/>
      <c r="G4544" s="17"/>
      <c r="H4544" s="18"/>
    </row>
    <row r="4545" spans="1:8">
      <c r="A4545" s="17"/>
      <c r="B4545" s="17" t="s">
        <v>162</v>
      </c>
      <c r="C4545" s="17" t="s">
        <v>10</v>
      </c>
      <c r="D4545" s="17">
        <v>2</v>
      </c>
      <c r="E4545" s="17">
        <v>5.4</v>
      </c>
      <c r="F4545" s="17">
        <v>3.4</v>
      </c>
      <c r="G4545" s="17"/>
      <c r="H4545" s="18">
        <f t="shared" ref="H4545:H4616" si="704">PRODUCT(D4545:G4545)</f>
        <v>36.72</v>
      </c>
    </row>
    <row r="4546" spans="1:8" s="948" customFormat="1">
      <c r="A4546" s="485"/>
      <c r="B4546" s="485"/>
      <c r="C4546" s="17" t="s">
        <v>10</v>
      </c>
      <c r="D4546" s="485">
        <v>2</v>
      </c>
      <c r="E4546" s="485">
        <v>3.2</v>
      </c>
      <c r="F4546" s="17">
        <v>3.4</v>
      </c>
      <c r="G4546" s="485"/>
      <c r="H4546" s="18">
        <f t="shared" si="704"/>
        <v>21.76</v>
      </c>
    </row>
    <row r="4547" spans="1:8" s="948" customFormat="1">
      <c r="A4547" s="485"/>
      <c r="B4547" s="485" t="s">
        <v>114</v>
      </c>
      <c r="C4547" s="17" t="s">
        <v>10</v>
      </c>
      <c r="D4547" s="485">
        <v>2</v>
      </c>
      <c r="E4547" s="485">
        <v>0.6</v>
      </c>
      <c r="F4547" s="17">
        <v>3.4</v>
      </c>
      <c r="G4547" s="485"/>
      <c r="H4547" s="18">
        <f t="shared" ref="H4547:H4548" si="705">PRODUCT(D4547:G4547)</f>
        <v>4.08</v>
      </c>
    </row>
    <row r="4548" spans="1:8" s="948" customFormat="1">
      <c r="A4548" s="485"/>
      <c r="B4548" s="485"/>
      <c r="C4548" s="17" t="s">
        <v>10</v>
      </c>
      <c r="D4548" s="485">
        <v>-1</v>
      </c>
      <c r="E4548" s="485">
        <v>1.8</v>
      </c>
      <c r="F4548" s="485">
        <v>2.4</v>
      </c>
      <c r="G4548" s="485"/>
      <c r="H4548" s="18">
        <f t="shared" si="705"/>
        <v>-4.32</v>
      </c>
    </row>
    <row r="4549" spans="1:8">
      <c r="A4549" s="17"/>
      <c r="B4549" s="17" t="s">
        <v>245</v>
      </c>
      <c r="C4549" s="17" t="s">
        <v>10</v>
      </c>
      <c r="D4549" s="17">
        <v>2</v>
      </c>
      <c r="E4549" s="17">
        <v>5.0999999999999996</v>
      </c>
      <c r="F4549" s="17">
        <v>3.4</v>
      </c>
      <c r="G4549" s="17"/>
      <c r="H4549" s="18">
        <f t="shared" si="704"/>
        <v>34.68</v>
      </c>
    </row>
    <row r="4550" spans="1:8" s="948" customFormat="1">
      <c r="A4550" s="485"/>
      <c r="B4550" s="485"/>
      <c r="C4550" s="17" t="s">
        <v>10</v>
      </c>
      <c r="D4550" s="17">
        <v>2</v>
      </c>
      <c r="E4550" s="17">
        <v>6.5</v>
      </c>
      <c r="F4550" s="17">
        <v>3.4</v>
      </c>
      <c r="G4550" s="17"/>
      <c r="H4550" s="18">
        <f t="shared" ref="H4550:H4551" si="706">PRODUCT(D4550:G4550)</f>
        <v>44.199999999999996</v>
      </c>
    </row>
    <row r="4551" spans="1:8" s="948" customFormat="1">
      <c r="A4551" s="485"/>
      <c r="B4551" s="485"/>
      <c r="C4551" s="17" t="s">
        <v>10</v>
      </c>
      <c r="D4551" s="485">
        <v>-1</v>
      </c>
      <c r="E4551" s="485">
        <v>1.5</v>
      </c>
      <c r="F4551" s="485">
        <v>2.4</v>
      </c>
      <c r="G4551" s="485"/>
      <c r="H4551" s="487">
        <f t="shared" si="706"/>
        <v>-3.5999999999999996</v>
      </c>
    </row>
    <row r="4552" spans="1:8" s="948" customFormat="1">
      <c r="A4552" s="485"/>
      <c r="B4552" s="485" t="s">
        <v>1935</v>
      </c>
      <c r="C4552" s="17" t="s">
        <v>10</v>
      </c>
      <c r="D4552" s="485">
        <v>2</v>
      </c>
      <c r="E4552" s="485">
        <v>1.64</v>
      </c>
      <c r="F4552" s="485">
        <v>2.7</v>
      </c>
      <c r="G4552" s="485"/>
      <c r="H4552" s="487">
        <f t="shared" ref="H4552" si="707">PRODUCT(D4552:G4552)</f>
        <v>8.8559999999999999</v>
      </c>
    </row>
    <row r="4553" spans="1:8" s="948" customFormat="1">
      <c r="A4553" s="485"/>
      <c r="B4553" s="485"/>
      <c r="C4553" s="17" t="s">
        <v>10</v>
      </c>
      <c r="D4553" s="485">
        <v>2</v>
      </c>
      <c r="E4553" s="485">
        <v>1.325</v>
      </c>
      <c r="F4553" s="485">
        <v>2.7</v>
      </c>
      <c r="G4553" s="485"/>
      <c r="H4553" s="487">
        <f t="shared" ref="H4553" si="708">PRODUCT(D4553:G4553)</f>
        <v>7.1550000000000002</v>
      </c>
    </row>
    <row r="4554" spans="1:8">
      <c r="A4554" s="17"/>
      <c r="B4554" s="17"/>
      <c r="C4554" s="17" t="s">
        <v>10</v>
      </c>
      <c r="D4554" s="17">
        <v>-1</v>
      </c>
      <c r="E4554" s="17">
        <v>1</v>
      </c>
      <c r="F4554" s="17">
        <v>2.4</v>
      </c>
      <c r="G4554" s="17"/>
      <c r="H4554" s="18">
        <f t="shared" si="704"/>
        <v>-2.4</v>
      </c>
    </row>
    <row r="4555" spans="1:8" s="948" customFormat="1">
      <c r="A4555" s="485"/>
      <c r="B4555" s="485" t="s">
        <v>181</v>
      </c>
      <c r="C4555" s="17" t="s">
        <v>10</v>
      </c>
      <c r="D4555" s="17">
        <v>2</v>
      </c>
      <c r="E4555" s="17">
        <v>3.2</v>
      </c>
      <c r="F4555" s="17">
        <v>3.5</v>
      </c>
      <c r="G4555" s="17"/>
      <c r="H4555" s="18">
        <f t="shared" ref="H4555" si="709">PRODUCT(D4555:G4555)</f>
        <v>22.400000000000002</v>
      </c>
    </row>
    <row r="4556" spans="1:8" s="948" customFormat="1">
      <c r="A4556" s="485"/>
      <c r="B4556" s="485"/>
      <c r="C4556" s="17" t="s">
        <v>10</v>
      </c>
      <c r="D4556" s="17">
        <v>2</v>
      </c>
      <c r="E4556" s="17">
        <v>6.7249999999999996</v>
      </c>
      <c r="F4556" s="17">
        <v>3.5</v>
      </c>
      <c r="G4556" s="17"/>
      <c r="H4556" s="18">
        <f t="shared" ref="H4556:H4557" si="710">PRODUCT(D4556:G4556)</f>
        <v>47.074999999999996</v>
      </c>
    </row>
    <row r="4557" spans="1:8" s="948" customFormat="1">
      <c r="A4557" s="485"/>
      <c r="B4557" s="485"/>
      <c r="C4557" s="17" t="s">
        <v>10</v>
      </c>
      <c r="D4557" s="485">
        <v>-1</v>
      </c>
      <c r="E4557" s="485">
        <v>1</v>
      </c>
      <c r="F4557" s="485">
        <v>2.4</v>
      </c>
      <c r="G4557" s="485"/>
      <c r="H4557" s="487">
        <f t="shared" si="710"/>
        <v>-2.4</v>
      </c>
    </row>
    <row r="4558" spans="1:8" s="948" customFormat="1">
      <c r="A4558" s="485"/>
      <c r="B4558" s="485" t="s">
        <v>171</v>
      </c>
      <c r="C4558" s="17" t="s">
        <v>10</v>
      </c>
      <c r="D4558" s="485">
        <v>2</v>
      </c>
      <c r="E4558" s="485">
        <v>3.15</v>
      </c>
      <c r="F4558" s="485">
        <v>2.7</v>
      </c>
      <c r="G4558" s="485"/>
      <c r="H4558" s="487">
        <f t="shared" ref="H4558" si="711">PRODUCT(D4558:G4558)</f>
        <v>17.010000000000002</v>
      </c>
    </row>
    <row r="4559" spans="1:8" s="948" customFormat="1">
      <c r="A4559" s="485"/>
      <c r="B4559" s="485"/>
      <c r="C4559" s="17" t="s">
        <v>10</v>
      </c>
      <c r="D4559" s="485">
        <v>2</v>
      </c>
      <c r="E4559" s="485">
        <v>2.2000000000000002</v>
      </c>
      <c r="F4559" s="485">
        <v>2.7</v>
      </c>
      <c r="G4559" s="485"/>
      <c r="H4559" s="487">
        <f t="shared" ref="H4559:H4560" si="712">PRODUCT(D4559:G4559)</f>
        <v>11.880000000000003</v>
      </c>
    </row>
    <row r="4560" spans="1:8" s="948" customFormat="1">
      <c r="A4560" s="485"/>
      <c r="B4560" s="485"/>
      <c r="C4560" s="17" t="s">
        <v>10</v>
      </c>
      <c r="D4560" s="485">
        <v>-1</v>
      </c>
      <c r="E4560" s="485">
        <v>1</v>
      </c>
      <c r="F4560" s="485">
        <v>2.4</v>
      </c>
      <c r="G4560" s="485"/>
      <c r="H4560" s="487">
        <f t="shared" si="712"/>
        <v>-2.4</v>
      </c>
    </row>
    <row r="4561" spans="1:8" s="948" customFormat="1">
      <c r="A4561" s="485"/>
      <c r="B4561" s="485" t="s">
        <v>2178</v>
      </c>
      <c r="C4561" s="17" t="s">
        <v>10</v>
      </c>
      <c r="D4561" s="485">
        <v>1</v>
      </c>
      <c r="E4561" s="485">
        <v>7.7</v>
      </c>
      <c r="F4561" s="485">
        <v>1.1000000000000001</v>
      </c>
      <c r="G4561" s="485"/>
      <c r="H4561" s="487">
        <f t="shared" ref="H4561" si="713">PRODUCT(D4561:G4561)</f>
        <v>8.4700000000000006</v>
      </c>
    </row>
    <row r="4562" spans="1:8" s="948" customFormat="1">
      <c r="A4562" s="485"/>
      <c r="B4562" s="485" t="s">
        <v>245</v>
      </c>
      <c r="C4562" s="17" t="s">
        <v>10</v>
      </c>
      <c r="D4562" s="485">
        <v>2</v>
      </c>
      <c r="E4562" s="485">
        <v>6.6</v>
      </c>
      <c r="F4562" s="485">
        <v>3.5</v>
      </c>
      <c r="G4562" s="485"/>
      <c r="H4562" s="487">
        <f t="shared" ref="H4562:H4564" si="714">PRODUCT(D4562:G4562)</f>
        <v>46.199999999999996</v>
      </c>
    </row>
    <row r="4563" spans="1:8" s="948" customFormat="1">
      <c r="A4563" s="485"/>
      <c r="B4563" s="485"/>
      <c r="C4563" s="17" t="s">
        <v>10</v>
      </c>
      <c r="D4563" s="485">
        <v>2</v>
      </c>
      <c r="E4563" s="485">
        <v>6.3</v>
      </c>
      <c r="F4563" s="485">
        <v>3.5</v>
      </c>
      <c r="G4563" s="485"/>
      <c r="H4563" s="487">
        <f t="shared" si="714"/>
        <v>44.1</v>
      </c>
    </row>
    <row r="4564" spans="1:8" s="948" customFormat="1">
      <c r="A4564" s="485"/>
      <c r="B4564" s="485"/>
      <c r="C4564" s="17" t="s">
        <v>10</v>
      </c>
      <c r="D4564" s="485">
        <v>-1</v>
      </c>
      <c r="E4564" s="485">
        <v>1.5</v>
      </c>
      <c r="F4564" s="485">
        <v>2.4</v>
      </c>
      <c r="G4564" s="485"/>
      <c r="H4564" s="487">
        <f t="shared" si="714"/>
        <v>-3.5999999999999996</v>
      </c>
    </row>
    <row r="4565" spans="1:8" s="948" customFormat="1">
      <c r="A4565" s="485"/>
      <c r="B4565" s="485" t="s">
        <v>162</v>
      </c>
      <c r="C4565" s="17" t="s">
        <v>10</v>
      </c>
      <c r="D4565" s="485">
        <v>2</v>
      </c>
      <c r="E4565" s="485">
        <v>4.2</v>
      </c>
      <c r="F4565" s="485">
        <v>3.5</v>
      </c>
      <c r="G4565" s="485"/>
      <c r="H4565" s="487">
        <f t="shared" ref="H4565:H4567" si="715">PRODUCT(D4565:G4565)</f>
        <v>29.400000000000002</v>
      </c>
    </row>
    <row r="4566" spans="1:8" s="948" customFormat="1">
      <c r="A4566" s="485"/>
      <c r="B4566" s="485"/>
      <c r="C4566" s="17" t="s">
        <v>10</v>
      </c>
      <c r="D4566" s="485">
        <v>2</v>
      </c>
      <c r="E4566" s="485">
        <v>3.5</v>
      </c>
      <c r="F4566" s="485">
        <v>3.5</v>
      </c>
      <c r="G4566" s="485"/>
      <c r="H4566" s="487">
        <f t="shared" si="715"/>
        <v>24.5</v>
      </c>
    </row>
    <row r="4567" spans="1:8" s="948" customFormat="1">
      <c r="A4567" s="485"/>
      <c r="B4567" s="485"/>
      <c r="C4567" s="17" t="s">
        <v>10</v>
      </c>
      <c r="D4567" s="485">
        <v>-1</v>
      </c>
      <c r="E4567" s="485">
        <v>1</v>
      </c>
      <c r="F4567" s="485">
        <v>2.4</v>
      </c>
      <c r="G4567" s="485"/>
      <c r="H4567" s="487">
        <f t="shared" si="715"/>
        <v>-2.4</v>
      </c>
    </row>
    <row r="4568" spans="1:8" s="948" customFormat="1">
      <c r="A4568" s="485"/>
      <c r="B4568" s="485" t="s">
        <v>171</v>
      </c>
      <c r="C4568" s="17" t="s">
        <v>10</v>
      </c>
      <c r="D4568" s="485">
        <v>2</v>
      </c>
      <c r="E4568" s="485">
        <v>4.5</v>
      </c>
      <c r="F4568" s="485">
        <v>2.7</v>
      </c>
      <c r="G4568" s="485"/>
      <c r="H4568" s="487">
        <f t="shared" ref="H4568" si="716">PRODUCT(D4568:G4568)</f>
        <v>24.3</v>
      </c>
    </row>
    <row r="4569" spans="1:8" s="948" customFormat="1">
      <c r="A4569" s="485"/>
      <c r="B4569" s="485"/>
      <c r="C4569" s="17" t="s">
        <v>10</v>
      </c>
      <c r="D4569" s="485">
        <v>2</v>
      </c>
      <c r="E4569" s="485">
        <v>4.5</v>
      </c>
      <c r="F4569" s="485">
        <v>3.5</v>
      </c>
      <c r="G4569" s="485"/>
      <c r="H4569" s="487">
        <f t="shared" ref="H4569:H4571" si="717">PRODUCT(D4569:G4569)</f>
        <v>31.5</v>
      </c>
    </row>
    <row r="4570" spans="1:8" s="948" customFormat="1">
      <c r="A4570" s="485"/>
      <c r="B4570" s="485"/>
      <c r="C4570" s="17" t="s">
        <v>10</v>
      </c>
      <c r="D4570" s="485">
        <v>2</v>
      </c>
      <c r="E4570" s="485">
        <v>2.0499999999999998</v>
      </c>
      <c r="F4570" s="485">
        <v>2.7</v>
      </c>
      <c r="G4570" s="485"/>
      <c r="H4570" s="487">
        <f t="shared" si="717"/>
        <v>11.07</v>
      </c>
    </row>
    <row r="4571" spans="1:8" s="948" customFormat="1">
      <c r="A4571" s="485"/>
      <c r="B4571" s="485"/>
      <c r="C4571" s="17" t="s">
        <v>10</v>
      </c>
      <c r="D4571" s="485">
        <v>2</v>
      </c>
      <c r="E4571" s="485">
        <v>1.35</v>
      </c>
      <c r="F4571" s="485">
        <v>3.5</v>
      </c>
      <c r="G4571" s="485"/>
      <c r="H4571" s="487">
        <f t="shared" si="717"/>
        <v>9.4500000000000011</v>
      </c>
    </row>
    <row r="4572" spans="1:8" s="948" customFormat="1">
      <c r="A4572" s="485"/>
      <c r="B4572" s="485" t="s">
        <v>119</v>
      </c>
      <c r="C4572" s="17" t="s">
        <v>10</v>
      </c>
      <c r="D4572" s="485">
        <v>-1</v>
      </c>
      <c r="E4572" s="485">
        <v>1.5</v>
      </c>
      <c r="F4572" s="485">
        <v>2.4</v>
      </c>
      <c r="G4572" s="485"/>
      <c r="H4572" s="487">
        <f t="shared" ref="H4572:H4573" si="718">PRODUCT(D4572:G4572)</f>
        <v>-3.5999999999999996</v>
      </c>
    </row>
    <row r="4573" spans="1:8" s="948" customFormat="1">
      <c r="A4573" s="485"/>
      <c r="B4573" s="485"/>
      <c r="C4573" s="17" t="s">
        <v>10</v>
      </c>
      <c r="D4573" s="485">
        <v>-3</v>
      </c>
      <c r="E4573" s="485">
        <v>1</v>
      </c>
      <c r="F4573" s="485">
        <v>2.4</v>
      </c>
      <c r="G4573" s="485"/>
      <c r="H4573" s="487">
        <f t="shared" si="718"/>
        <v>-7.1999999999999993</v>
      </c>
    </row>
    <row r="4574" spans="1:8" s="948" customFormat="1">
      <c r="A4574" s="485"/>
      <c r="B4574" s="485" t="s">
        <v>1218</v>
      </c>
      <c r="C4574" s="17" t="s">
        <v>10</v>
      </c>
      <c r="D4574" s="485">
        <v>2</v>
      </c>
      <c r="E4574" s="485">
        <v>3.05</v>
      </c>
      <c r="F4574" s="485">
        <v>2.7</v>
      </c>
      <c r="G4574" s="485"/>
      <c r="H4574" s="487">
        <f t="shared" ref="H4574:H4576" si="719">PRODUCT(D4574:G4574)</f>
        <v>16.47</v>
      </c>
    </row>
    <row r="4575" spans="1:8" s="948" customFormat="1">
      <c r="A4575" s="485"/>
      <c r="B4575" s="485"/>
      <c r="C4575" s="17" t="s">
        <v>10</v>
      </c>
      <c r="D4575" s="485">
        <v>2</v>
      </c>
      <c r="E4575" s="485">
        <v>2.4500000000000002</v>
      </c>
      <c r="F4575" s="485">
        <v>2.7</v>
      </c>
      <c r="G4575" s="485"/>
      <c r="H4575" s="487">
        <f t="shared" si="719"/>
        <v>13.230000000000002</v>
      </c>
    </row>
    <row r="4576" spans="1:8" s="948" customFormat="1">
      <c r="A4576" s="485"/>
      <c r="B4576" s="485"/>
      <c r="C4576" s="17" t="s">
        <v>10</v>
      </c>
      <c r="D4576" s="485">
        <v>-1</v>
      </c>
      <c r="E4576" s="485">
        <v>1</v>
      </c>
      <c r="F4576" s="485">
        <v>2.4</v>
      </c>
      <c r="G4576" s="485"/>
      <c r="H4576" s="487">
        <f t="shared" si="719"/>
        <v>-2.4</v>
      </c>
    </row>
    <row r="4577" spans="1:8" s="948" customFormat="1">
      <c r="A4577" s="485"/>
      <c r="B4577" s="485" t="s">
        <v>2011</v>
      </c>
      <c r="C4577" s="17" t="s">
        <v>10</v>
      </c>
      <c r="D4577" s="485">
        <v>4</v>
      </c>
      <c r="E4577" s="485">
        <v>3.5</v>
      </c>
      <c r="F4577" s="485">
        <v>2.7</v>
      </c>
      <c r="G4577" s="485"/>
      <c r="H4577" s="487">
        <f t="shared" ref="H4577:H4579" si="720">PRODUCT(D4577:G4577)</f>
        <v>37.800000000000004</v>
      </c>
    </row>
    <row r="4578" spans="1:8" s="948" customFormat="1">
      <c r="A4578" s="485"/>
      <c r="B4578" s="485"/>
      <c r="C4578" s="17" t="s">
        <v>10</v>
      </c>
      <c r="D4578" s="485">
        <v>6</v>
      </c>
      <c r="E4578" s="485">
        <v>1.95</v>
      </c>
      <c r="F4578" s="485">
        <v>2.7</v>
      </c>
      <c r="G4578" s="485"/>
      <c r="H4578" s="487">
        <f t="shared" si="720"/>
        <v>31.59</v>
      </c>
    </row>
    <row r="4579" spans="1:8" s="948" customFormat="1">
      <c r="A4579" s="485"/>
      <c r="B4579" s="485"/>
      <c r="C4579" s="17" t="s">
        <v>10</v>
      </c>
      <c r="D4579" s="485">
        <v>-4</v>
      </c>
      <c r="E4579" s="485">
        <v>0.75</v>
      </c>
      <c r="F4579" s="485">
        <v>2.4</v>
      </c>
      <c r="G4579" s="485"/>
      <c r="H4579" s="487">
        <f t="shared" si="720"/>
        <v>-7.1999999999999993</v>
      </c>
    </row>
    <row r="4580" spans="1:8" s="948" customFormat="1">
      <c r="A4580" s="485"/>
      <c r="B4580" s="485" t="s">
        <v>171</v>
      </c>
      <c r="C4580" s="17" t="s">
        <v>10</v>
      </c>
      <c r="D4580" s="485">
        <v>2</v>
      </c>
      <c r="E4580" s="485">
        <v>2.5499999999999998</v>
      </c>
      <c r="F4580" s="485">
        <v>2.7</v>
      </c>
      <c r="G4580" s="485"/>
      <c r="H4580" s="487">
        <f t="shared" ref="H4580" si="721">PRODUCT(D4580:G4580)</f>
        <v>13.77</v>
      </c>
    </row>
    <row r="4581" spans="1:8" s="948" customFormat="1">
      <c r="A4581" s="485"/>
      <c r="B4581" s="485"/>
      <c r="C4581" s="17" t="s">
        <v>10</v>
      </c>
      <c r="D4581" s="485">
        <v>2</v>
      </c>
      <c r="E4581" s="485">
        <v>2.2000000000000002</v>
      </c>
      <c r="F4581" s="485">
        <v>2.7</v>
      </c>
      <c r="G4581" s="485"/>
      <c r="H4581" s="487">
        <f t="shared" ref="H4581:H4582" si="722">PRODUCT(D4581:G4581)</f>
        <v>11.880000000000003</v>
      </c>
    </row>
    <row r="4582" spans="1:8" s="948" customFormat="1">
      <c r="A4582" s="485"/>
      <c r="B4582" s="485"/>
      <c r="C4582" s="17" t="s">
        <v>10</v>
      </c>
      <c r="D4582" s="485">
        <v>-1</v>
      </c>
      <c r="E4582" s="485">
        <v>1</v>
      </c>
      <c r="F4582" s="485">
        <v>2.4</v>
      </c>
      <c r="G4582" s="485"/>
      <c r="H4582" s="487">
        <f t="shared" si="722"/>
        <v>-2.4</v>
      </c>
    </row>
    <row r="4583" spans="1:8" s="948" customFormat="1">
      <c r="A4583" s="485"/>
      <c r="B4583" s="485" t="s">
        <v>1012</v>
      </c>
      <c r="C4583" s="17" t="s">
        <v>10</v>
      </c>
      <c r="D4583" s="485">
        <v>2</v>
      </c>
      <c r="E4583" s="485">
        <v>2.4500000000000002</v>
      </c>
      <c r="F4583" s="485">
        <v>2.7</v>
      </c>
      <c r="G4583" s="485"/>
      <c r="H4583" s="487">
        <f t="shared" ref="H4583:H4585" si="723">PRODUCT(D4583:G4583)</f>
        <v>13.230000000000002</v>
      </c>
    </row>
    <row r="4584" spans="1:8" s="948" customFormat="1">
      <c r="A4584" s="485"/>
      <c r="B4584" s="485"/>
      <c r="C4584" s="17" t="s">
        <v>10</v>
      </c>
      <c r="D4584" s="485">
        <v>2</v>
      </c>
      <c r="E4584" s="485">
        <v>1.7</v>
      </c>
      <c r="F4584" s="485">
        <v>2.7</v>
      </c>
      <c r="G4584" s="485"/>
      <c r="H4584" s="487">
        <f t="shared" si="723"/>
        <v>9.18</v>
      </c>
    </row>
    <row r="4585" spans="1:8" s="948" customFormat="1">
      <c r="A4585" s="485"/>
      <c r="B4585" s="485"/>
      <c r="C4585" s="17" t="s">
        <v>10</v>
      </c>
      <c r="D4585" s="485">
        <v>-1</v>
      </c>
      <c r="E4585" s="485">
        <v>1</v>
      </c>
      <c r="F4585" s="485">
        <v>2.4</v>
      </c>
      <c r="G4585" s="485"/>
      <c r="H4585" s="487">
        <f t="shared" si="723"/>
        <v>-2.4</v>
      </c>
    </row>
    <row r="4586" spans="1:8" s="948" customFormat="1">
      <c r="A4586" s="485"/>
      <c r="B4586" s="485" t="s">
        <v>2179</v>
      </c>
      <c r="C4586" s="17" t="s">
        <v>10</v>
      </c>
      <c r="D4586" s="485">
        <v>2</v>
      </c>
      <c r="E4586" s="485">
        <v>6</v>
      </c>
      <c r="F4586" s="485">
        <v>3.5</v>
      </c>
      <c r="G4586" s="485"/>
      <c r="H4586" s="487">
        <f t="shared" ref="H4586:H4587" si="724">PRODUCT(D4586:G4586)</f>
        <v>42</v>
      </c>
    </row>
    <row r="4587" spans="1:8" s="948" customFormat="1">
      <c r="A4587" s="485"/>
      <c r="B4587" s="485"/>
      <c r="C4587" s="17" t="s">
        <v>10</v>
      </c>
      <c r="D4587" s="485">
        <v>2</v>
      </c>
      <c r="E4587" s="485">
        <v>6</v>
      </c>
      <c r="F4587" s="485">
        <v>3.5</v>
      </c>
      <c r="G4587" s="485"/>
      <c r="H4587" s="487">
        <f t="shared" si="724"/>
        <v>42</v>
      </c>
    </row>
    <row r="4588" spans="1:8" s="948" customFormat="1">
      <c r="A4588" s="485"/>
      <c r="B4588" s="485" t="s">
        <v>2180</v>
      </c>
      <c r="C4588" s="17" t="s">
        <v>10</v>
      </c>
      <c r="D4588" s="485">
        <v>2</v>
      </c>
      <c r="E4588" s="485">
        <v>4.45</v>
      </c>
      <c r="F4588" s="485">
        <v>3.5</v>
      </c>
      <c r="G4588" s="485"/>
      <c r="H4588" s="487">
        <f t="shared" ref="H4588" si="725">PRODUCT(D4588:G4588)</f>
        <v>31.150000000000002</v>
      </c>
    </row>
    <row r="4589" spans="1:8" s="948" customFormat="1">
      <c r="A4589" s="485"/>
      <c r="B4589" s="485"/>
      <c r="C4589" s="17" t="s">
        <v>10</v>
      </c>
      <c r="D4589" s="485">
        <v>2</v>
      </c>
      <c r="E4589" s="485">
        <v>9.9</v>
      </c>
      <c r="F4589" s="485">
        <v>3.5</v>
      </c>
      <c r="G4589" s="485"/>
      <c r="H4589" s="487">
        <f t="shared" ref="H4589:H4590" si="726">PRODUCT(D4589:G4589)</f>
        <v>69.3</v>
      </c>
    </row>
    <row r="4590" spans="1:8" s="948" customFormat="1">
      <c r="A4590" s="485"/>
      <c r="B4590" s="485"/>
      <c r="C4590" s="17" t="s">
        <v>10</v>
      </c>
      <c r="D4590" s="485">
        <v>-1</v>
      </c>
      <c r="E4590" s="485">
        <v>1</v>
      </c>
      <c r="F4590" s="485">
        <v>2.4</v>
      </c>
      <c r="G4590" s="485"/>
      <c r="H4590" s="487">
        <f t="shared" si="726"/>
        <v>-2.4</v>
      </c>
    </row>
    <row r="4591" spans="1:8" s="948" customFormat="1">
      <c r="A4591" s="485"/>
      <c r="B4591" s="485" t="s">
        <v>181</v>
      </c>
      <c r="C4591" s="17" t="s">
        <v>10</v>
      </c>
      <c r="D4591" s="485">
        <v>2</v>
      </c>
      <c r="E4591" s="485">
        <v>6.25</v>
      </c>
      <c r="F4591" s="485">
        <v>2.7</v>
      </c>
      <c r="G4591" s="485"/>
      <c r="H4591" s="487">
        <f t="shared" ref="H4591:H4593" si="727">PRODUCT(D4591:G4591)</f>
        <v>33.75</v>
      </c>
    </row>
    <row r="4592" spans="1:8" s="948" customFormat="1">
      <c r="A4592" s="485"/>
      <c r="B4592" s="485"/>
      <c r="C4592" s="17" t="s">
        <v>10</v>
      </c>
      <c r="D4592" s="485">
        <v>2</v>
      </c>
      <c r="E4592" s="485">
        <v>2.0499999999999998</v>
      </c>
      <c r="F4592" s="485">
        <v>2.7</v>
      </c>
      <c r="G4592" s="485"/>
      <c r="H4592" s="487">
        <f t="shared" si="727"/>
        <v>11.07</v>
      </c>
    </row>
    <row r="4593" spans="1:8" s="948" customFormat="1">
      <c r="A4593" s="485"/>
      <c r="B4593" s="485"/>
      <c r="C4593" s="17" t="s">
        <v>10</v>
      </c>
      <c r="D4593" s="485">
        <v>-1</v>
      </c>
      <c r="E4593" s="485">
        <v>1</v>
      </c>
      <c r="F4593" s="485">
        <v>2.4</v>
      </c>
      <c r="G4593" s="485"/>
      <c r="H4593" s="487">
        <f t="shared" si="727"/>
        <v>-2.4</v>
      </c>
    </row>
    <row r="4594" spans="1:8" s="948" customFormat="1">
      <c r="A4594" s="485"/>
      <c r="B4594" s="485" t="s">
        <v>280</v>
      </c>
      <c r="C4594" s="17" t="s">
        <v>10</v>
      </c>
      <c r="D4594" s="485">
        <v>2</v>
      </c>
      <c r="E4594" s="485">
        <v>8.2050000000000001</v>
      </c>
      <c r="F4594" s="485">
        <v>2.7</v>
      </c>
      <c r="G4594" s="485"/>
      <c r="H4594" s="487">
        <f t="shared" ref="H4594:H4596" si="728">PRODUCT(D4594:G4594)</f>
        <v>44.307000000000002</v>
      </c>
    </row>
    <row r="4595" spans="1:8" s="948" customFormat="1">
      <c r="A4595" s="485"/>
      <c r="B4595" s="485"/>
      <c r="C4595" s="17" t="s">
        <v>10</v>
      </c>
      <c r="D4595" s="485">
        <v>2</v>
      </c>
      <c r="E4595" s="485">
        <v>3</v>
      </c>
      <c r="F4595" s="485">
        <v>2.7</v>
      </c>
      <c r="G4595" s="485"/>
      <c r="H4595" s="487">
        <f t="shared" si="728"/>
        <v>16.200000000000003</v>
      </c>
    </row>
    <row r="4596" spans="1:8" s="948" customFormat="1">
      <c r="A4596" s="485"/>
      <c r="B4596" s="485"/>
      <c r="C4596" s="17" t="s">
        <v>10</v>
      </c>
      <c r="D4596" s="485">
        <v>-2</v>
      </c>
      <c r="E4596" s="485">
        <v>1</v>
      </c>
      <c r="F4596" s="485">
        <v>2.4</v>
      </c>
      <c r="G4596" s="485"/>
      <c r="H4596" s="487">
        <f t="shared" si="728"/>
        <v>-4.8</v>
      </c>
    </row>
    <row r="4597" spans="1:8" s="948" customFormat="1">
      <c r="A4597" s="485"/>
      <c r="B4597" s="485" t="s">
        <v>114</v>
      </c>
      <c r="C4597" s="17" t="s">
        <v>10</v>
      </c>
      <c r="D4597" s="485">
        <v>2</v>
      </c>
      <c r="E4597" s="485">
        <v>1.1000000000000001</v>
      </c>
      <c r="F4597" s="485">
        <v>2.7</v>
      </c>
      <c r="G4597" s="485"/>
      <c r="H4597" s="487">
        <f t="shared" ref="H4597:H4602" si="729">PRODUCT(D4597:G4597)</f>
        <v>5.9400000000000013</v>
      </c>
    </row>
    <row r="4598" spans="1:8" s="948" customFormat="1">
      <c r="A4598" s="485"/>
      <c r="B4598" s="485"/>
      <c r="C4598" s="17" t="s">
        <v>10</v>
      </c>
      <c r="D4598" s="485">
        <v>2</v>
      </c>
      <c r="E4598" s="485">
        <v>0.9</v>
      </c>
      <c r="F4598" s="485">
        <v>2.7</v>
      </c>
      <c r="G4598" s="485"/>
      <c r="H4598" s="487">
        <f t="shared" si="729"/>
        <v>4.8600000000000003</v>
      </c>
    </row>
    <row r="4599" spans="1:8" s="948" customFormat="1">
      <c r="A4599" s="485"/>
      <c r="B4599" s="485"/>
      <c r="C4599" s="485"/>
      <c r="D4599" s="485"/>
      <c r="E4599" s="485"/>
      <c r="F4599" s="485"/>
      <c r="G4599" s="485"/>
      <c r="H4599" s="487"/>
    </row>
    <row r="4600" spans="1:8" s="948" customFormat="1">
      <c r="A4600" s="485"/>
      <c r="B4600" s="485" t="s">
        <v>2181</v>
      </c>
      <c r="C4600" s="485" t="s">
        <v>10</v>
      </c>
      <c r="D4600" s="485">
        <v>1</v>
      </c>
      <c r="E4600" s="485">
        <v>7</v>
      </c>
      <c r="F4600" s="485">
        <v>3.5</v>
      </c>
      <c r="G4600" s="485"/>
      <c r="H4600" s="487">
        <f t="shared" si="729"/>
        <v>24.5</v>
      </c>
    </row>
    <row r="4601" spans="1:8" s="948" customFormat="1">
      <c r="A4601" s="485"/>
      <c r="B4601" s="485"/>
      <c r="C4601" s="485" t="s">
        <v>10</v>
      </c>
      <c r="D4601" s="485">
        <v>1</v>
      </c>
      <c r="E4601" s="485">
        <v>3.5</v>
      </c>
      <c r="F4601" s="485">
        <v>2.4</v>
      </c>
      <c r="G4601" s="485"/>
      <c r="H4601" s="487">
        <f t="shared" ref="H4601" si="730">PRODUCT(D4601:G4601)</f>
        <v>8.4</v>
      </c>
    </row>
    <row r="4602" spans="1:8" s="948" customFormat="1">
      <c r="A4602" s="485"/>
      <c r="B4602" s="485"/>
      <c r="C4602" s="485" t="s">
        <v>10</v>
      </c>
      <c r="D4602" s="485">
        <v>1</v>
      </c>
      <c r="E4602" s="485">
        <v>11.08</v>
      </c>
      <c r="F4602" s="485">
        <v>3.5</v>
      </c>
      <c r="G4602" s="485"/>
      <c r="H4602" s="487">
        <f t="shared" si="729"/>
        <v>38.78</v>
      </c>
    </row>
    <row r="4603" spans="1:8" s="948" customFormat="1">
      <c r="A4603" s="485"/>
      <c r="B4603" s="485" t="s">
        <v>119</v>
      </c>
      <c r="C4603" s="485" t="s">
        <v>10</v>
      </c>
      <c r="D4603" s="485">
        <v>-1</v>
      </c>
      <c r="E4603" s="485">
        <v>1</v>
      </c>
      <c r="F4603" s="485">
        <v>2.4</v>
      </c>
      <c r="G4603" s="485"/>
      <c r="H4603" s="487">
        <f t="shared" ref="H4603:H4613" si="731">PRODUCT(D4603:G4603)</f>
        <v>-2.4</v>
      </c>
    </row>
    <row r="4604" spans="1:8" s="948" customFormat="1">
      <c r="A4604" s="485"/>
      <c r="B4604" s="485"/>
      <c r="C4604" s="485" t="s">
        <v>10</v>
      </c>
      <c r="D4604" s="485">
        <v>1</v>
      </c>
      <c r="E4604" s="485">
        <v>4.7</v>
      </c>
      <c r="F4604" s="485">
        <v>3.5</v>
      </c>
      <c r="G4604" s="485"/>
      <c r="H4604" s="487">
        <f t="shared" si="731"/>
        <v>16.45</v>
      </c>
    </row>
    <row r="4605" spans="1:8" s="948" customFormat="1">
      <c r="A4605" s="485"/>
      <c r="B4605" s="485"/>
      <c r="C4605" s="485" t="s">
        <v>10</v>
      </c>
      <c r="D4605" s="485">
        <v>-1</v>
      </c>
      <c r="E4605" s="485">
        <v>24.6</v>
      </c>
      <c r="F4605" s="485">
        <v>1.8</v>
      </c>
      <c r="G4605" s="485"/>
      <c r="H4605" s="487">
        <f t="shared" si="731"/>
        <v>-44.28</v>
      </c>
    </row>
    <row r="4606" spans="1:8" s="948" customFormat="1">
      <c r="A4606" s="485"/>
      <c r="B4606" s="485"/>
      <c r="C4606" s="485" t="s">
        <v>10</v>
      </c>
      <c r="D4606" s="485">
        <v>-1</v>
      </c>
      <c r="E4606" s="485">
        <v>8.6</v>
      </c>
      <c r="F4606" s="485">
        <v>1.8</v>
      </c>
      <c r="G4606" s="485"/>
      <c r="H4606" s="487">
        <f t="shared" si="731"/>
        <v>-15.48</v>
      </c>
    </row>
    <row r="4607" spans="1:8" s="948" customFormat="1">
      <c r="A4607" s="485"/>
      <c r="B4607" s="485"/>
      <c r="C4607" s="485" t="s">
        <v>10</v>
      </c>
      <c r="D4607" s="485">
        <v>-1</v>
      </c>
      <c r="E4607" s="485">
        <v>3.7</v>
      </c>
      <c r="F4607" s="485">
        <v>1.8</v>
      </c>
      <c r="G4607" s="485"/>
      <c r="H4607" s="487">
        <f t="shared" si="731"/>
        <v>-6.66</v>
      </c>
    </row>
    <row r="4608" spans="1:8" s="948" customFormat="1">
      <c r="A4608" s="485"/>
      <c r="B4608" s="485"/>
      <c r="C4608" s="485" t="s">
        <v>10</v>
      </c>
      <c r="D4608" s="485">
        <v>-1</v>
      </c>
      <c r="E4608" s="485">
        <v>13.3</v>
      </c>
      <c r="F4608" s="485">
        <v>1.8</v>
      </c>
      <c r="G4608" s="485"/>
      <c r="H4608" s="487">
        <f t="shared" si="731"/>
        <v>-23.94</v>
      </c>
    </row>
    <row r="4609" spans="1:8" s="948" customFormat="1">
      <c r="A4609" s="485"/>
      <c r="B4609" s="485"/>
      <c r="C4609" s="485" t="s">
        <v>10</v>
      </c>
      <c r="D4609" s="485">
        <v>1</v>
      </c>
      <c r="E4609" s="485">
        <v>1.8</v>
      </c>
      <c r="F4609" s="485">
        <v>3.5</v>
      </c>
      <c r="G4609" s="485"/>
      <c r="H4609" s="487">
        <f t="shared" si="731"/>
        <v>6.3</v>
      </c>
    </row>
    <row r="4610" spans="1:8" s="948" customFormat="1">
      <c r="A4610" s="485"/>
      <c r="B4610" s="485"/>
      <c r="C4610" s="485" t="s">
        <v>10</v>
      </c>
      <c r="D4610" s="485">
        <v>1</v>
      </c>
      <c r="E4610" s="485">
        <v>15.3</v>
      </c>
      <c r="F4610" s="485">
        <f>3.5-1.8</f>
        <v>1.7</v>
      </c>
      <c r="G4610" s="485"/>
      <c r="H4610" s="487">
        <f t="shared" si="731"/>
        <v>26.01</v>
      </c>
    </row>
    <row r="4611" spans="1:8" s="948" customFormat="1">
      <c r="A4611" s="485"/>
      <c r="B4611" s="485"/>
      <c r="C4611" s="485" t="s">
        <v>10</v>
      </c>
      <c r="D4611" s="485">
        <v>1</v>
      </c>
      <c r="E4611" s="485">
        <v>38.200000000000003</v>
      </c>
      <c r="F4611" s="485">
        <f>3.5-1.8</f>
        <v>1.7</v>
      </c>
      <c r="G4611" s="485"/>
      <c r="H4611" s="487">
        <f t="shared" si="731"/>
        <v>64.94</v>
      </c>
    </row>
    <row r="4612" spans="1:8" s="948" customFormat="1">
      <c r="A4612" s="485"/>
      <c r="B4612" s="485"/>
      <c r="C4612" s="485" t="s">
        <v>10</v>
      </c>
      <c r="D4612" s="485">
        <v>1</v>
      </c>
      <c r="E4612" s="485">
        <v>15.15</v>
      </c>
      <c r="F4612" s="485">
        <f>3.5-1.8</f>
        <v>1.7</v>
      </c>
      <c r="G4612" s="485"/>
      <c r="H4612" s="487">
        <f t="shared" si="731"/>
        <v>25.754999999999999</v>
      </c>
    </row>
    <row r="4613" spans="1:8" s="948" customFormat="1">
      <c r="A4613" s="485"/>
      <c r="B4613" s="485"/>
      <c r="C4613" s="485" t="s">
        <v>10</v>
      </c>
      <c r="D4613" s="485">
        <v>2</v>
      </c>
      <c r="E4613" s="485">
        <f>2.5+0.9</f>
        <v>3.4</v>
      </c>
      <c r="F4613" s="485">
        <v>3.5</v>
      </c>
      <c r="G4613" s="485"/>
      <c r="H4613" s="487">
        <f t="shared" si="731"/>
        <v>23.8</v>
      </c>
    </row>
    <row r="4614" spans="1:8" s="948" customFormat="1">
      <c r="A4614" s="485"/>
      <c r="B4614" s="485"/>
      <c r="C4614" s="485"/>
      <c r="D4614" s="485"/>
      <c r="E4614" s="485"/>
      <c r="F4614" s="485"/>
      <c r="G4614" s="485"/>
      <c r="H4614" s="487"/>
    </row>
    <row r="4615" spans="1:8">
      <c r="A4615" s="17"/>
      <c r="B4615" s="17" t="s">
        <v>156</v>
      </c>
      <c r="C4615" s="17" t="s">
        <v>10</v>
      </c>
      <c r="D4615" s="17">
        <v>1</v>
      </c>
      <c r="E4615" s="17">
        <v>98</v>
      </c>
      <c r="F4615" s="17">
        <f>3.5-2.6</f>
        <v>0.89999999999999991</v>
      </c>
      <c r="G4615" s="17"/>
      <c r="H4615" s="18">
        <f t="shared" si="704"/>
        <v>88.199999999999989</v>
      </c>
    </row>
    <row r="4616" spans="1:8">
      <c r="A4616" s="17"/>
      <c r="B4616" s="17" t="s">
        <v>1252</v>
      </c>
      <c r="C4616" s="17" t="s">
        <v>10</v>
      </c>
      <c r="D4616" s="17">
        <v>1</v>
      </c>
      <c r="E4616" s="17">
        <v>18.2</v>
      </c>
      <c r="F4616" s="17">
        <f>3.5-2.6</f>
        <v>0.89999999999999991</v>
      </c>
      <c r="G4616" s="17"/>
      <c r="H4616" s="18">
        <f t="shared" si="704"/>
        <v>16.38</v>
      </c>
    </row>
    <row r="4617" spans="1:8" s="948" customFormat="1">
      <c r="A4617" s="485"/>
      <c r="B4617" s="485" t="s">
        <v>201</v>
      </c>
      <c r="C4617" s="17" t="s">
        <v>10</v>
      </c>
      <c r="D4617" s="17">
        <v>1</v>
      </c>
      <c r="E4617" s="17">
        <v>13.2</v>
      </c>
      <c r="F4617" s="17">
        <v>0.9</v>
      </c>
      <c r="G4617" s="17"/>
      <c r="H4617" s="18">
        <f t="shared" ref="H4617:H4618" si="732">PRODUCT(D4617:G4617)</f>
        <v>11.879999999999999</v>
      </c>
    </row>
    <row r="4618" spans="1:8" s="948" customFormat="1">
      <c r="A4618" s="485"/>
      <c r="B4618" s="485"/>
      <c r="C4618" s="17" t="s">
        <v>10</v>
      </c>
      <c r="D4618" s="485">
        <v>1</v>
      </c>
      <c r="E4618" s="485">
        <v>49.5</v>
      </c>
      <c r="F4618" s="17">
        <v>0.9</v>
      </c>
      <c r="G4618" s="485"/>
      <c r="H4618" s="18">
        <f t="shared" si="732"/>
        <v>44.550000000000004</v>
      </c>
    </row>
    <row r="4619" spans="1:8" s="948" customFormat="1">
      <c r="A4619" s="485"/>
      <c r="B4619" s="485"/>
      <c r="C4619" s="17" t="s">
        <v>10</v>
      </c>
      <c r="D4619" s="485">
        <v>1</v>
      </c>
      <c r="E4619" s="485">
        <v>45.2</v>
      </c>
      <c r="F4619" s="17">
        <v>0.9</v>
      </c>
      <c r="G4619" s="485"/>
      <c r="H4619" s="18">
        <f t="shared" ref="H4619" si="733">PRODUCT(D4619:G4619)</f>
        <v>40.680000000000007</v>
      </c>
    </row>
    <row r="4620" spans="1:8" s="948" customFormat="1">
      <c r="A4620" s="485"/>
      <c r="B4620" s="485" t="s">
        <v>191</v>
      </c>
      <c r="C4620" s="17" t="s">
        <v>10</v>
      </c>
      <c r="D4620" s="485">
        <v>1</v>
      </c>
      <c r="E4620" s="485">
        <v>15</v>
      </c>
      <c r="F4620" s="17">
        <v>0.9</v>
      </c>
      <c r="G4620" s="485"/>
      <c r="H4620" s="18">
        <f t="shared" ref="H4620" si="734">PRODUCT(D4620:G4620)</f>
        <v>13.5</v>
      </c>
    </row>
    <row r="4621" spans="1:8" s="948" customFormat="1">
      <c r="A4621" s="485"/>
      <c r="B4621" s="485" t="s">
        <v>2182</v>
      </c>
      <c r="C4621" s="17" t="s">
        <v>10</v>
      </c>
      <c r="D4621" s="485">
        <v>1</v>
      </c>
      <c r="E4621" s="485">
        <v>73</v>
      </c>
      <c r="F4621" s="17">
        <v>0.9</v>
      </c>
      <c r="G4621" s="485"/>
      <c r="H4621" s="18">
        <f t="shared" ref="H4621" si="735">PRODUCT(D4621:G4621)</f>
        <v>65.7</v>
      </c>
    </row>
    <row r="4622" spans="1:8" s="948" customFormat="1">
      <c r="A4622" s="485"/>
      <c r="B4622" s="485" t="s">
        <v>2183</v>
      </c>
      <c r="C4622" s="17" t="s">
        <v>10</v>
      </c>
      <c r="D4622" s="485">
        <v>1</v>
      </c>
      <c r="E4622" s="485">
        <v>60</v>
      </c>
      <c r="F4622" s="17">
        <v>0.9</v>
      </c>
      <c r="G4622" s="485"/>
      <c r="H4622" s="18">
        <f t="shared" ref="H4622" si="736">PRODUCT(D4622:G4622)</f>
        <v>54</v>
      </c>
    </row>
    <row r="4623" spans="1:8" s="948" customFormat="1">
      <c r="A4623" s="485"/>
      <c r="B4623" s="485" t="s">
        <v>214</v>
      </c>
      <c r="C4623" s="17" t="s">
        <v>10</v>
      </c>
      <c r="D4623" s="485">
        <v>1</v>
      </c>
      <c r="E4623" s="485">
        <v>28</v>
      </c>
      <c r="F4623" s="17">
        <v>0.9</v>
      </c>
      <c r="G4623" s="485"/>
      <c r="H4623" s="18">
        <f t="shared" ref="H4623:H4625" si="737">PRODUCT(D4623:G4623)</f>
        <v>25.2</v>
      </c>
    </row>
    <row r="4624" spans="1:8" s="948" customFormat="1">
      <c r="A4624" s="485"/>
      <c r="B4624" s="485" t="s">
        <v>297</v>
      </c>
      <c r="C4624" s="17" t="s">
        <v>10</v>
      </c>
      <c r="D4624" s="485">
        <v>1</v>
      </c>
      <c r="E4624" s="485">
        <v>34</v>
      </c>
      <c r="F4624" s="17">
        <v>0.9</v>
      </c>
      <c r="G4624" s="485"/>
      <c r="H4624" s="18">
        <f t="shared" si="737"/>
        <v>30.6</v>
      </c>
    </row>
    <row r="4625" spans="1:8" s="948" customFormat="1">
      <c r="A4625" s="485"/>
      <c r="B4625" s="485"/>
      <c r="C4625" s="17" t="s">
        <v>10</v>
      </c>
      <c r="D4625" s="485">
        <v>1</v>
      </c>
      <c r="E4625" s="485">
        <v>19</v>
      </c>
      <c r="F4625" s="17">
        <v>0.9</v>
      </c>
      <c r="G4625" s="485"/>
      <c r="H4625" s="18">
        <f t="shared" si="737"/>
        <v>17.100000000000001</v>
      </c>
    </row>
    <row r="4626" spans="1:8" s="948" customFormat="1">
      <c r="A4626" s="485"/>
      <c r="B4626" s="485" t="s">
        <v>1155</v>
      </c>
      <c r="C4626" s="17" t="s">
        <v>10</v>
      </c>
      <c r="D4626" s="485">
        <v>1</v>
      </c>
      <c r="E4626" s="485">
        <v>16</v>
      </c>
      <c r="F4626" s="17">
        <v>0.9</v>
      </c>
      <c r="G4626" s="485"/>
      <c r="H4626" s="18">
        <f t="shared" ref="H4626" si="738">PRODUCT(D4626:G4626)</f>
        <v>14.4</v>
      </c>
    </row>
    <row r="4627" spans="1:8" s="948" customFormat="1">
      <c r="A4627" s="485"/>
      <c r="B4627" s="485" t="s">
        <v>200</v>
      </c>
      <c r="C4627" s="17" t="s">
        <v>10</v>
      </c>
      <c r="D4627" s="485">
        <v>1</v>
      </c>
      <c r="E4627" s="485">
        <v>30</v>
      </c>
      <c r="F4627" s="17">
        <v>0.9</v>
      </c>
      <c r="G4627" s="485"/>
      <c r="H4627" s="18">
        <f t="shared" ref="H4627" si="739">PRODUCT(D4627:G4627)</f>
        <v>27</v>
      </c>
    </row>
    <row r="4628" spans="1:8" s="948" customFormat="1">
      <c r="A4628" s="485"/>
      <c r="B4628" s="485"/>
      <c r="C4628" s="17" t="s">
        <v>10</v>
      </c>
      <c r="D4628" s="485">
        <v>1</v>
      </c>
      <c r="E4628" s="485">
        <v>5.8</v>
      </c>
      <c r="F4628" s="17">
        <v>0.9</v>
      </c>
      <c r="G4628" s="485"/>
      <c r="H4628" s="18">
        <f t="shared" ref="H4628" si="740">PRODUCT(D4628:G4628)</f>
        <v>5.22</v>
      </c>
    </row>
    <row r="4629" spans="1:8">
      <c r="A4629" s="17"/>
      <c r="B4629" s="17"/>
      <c r="C4629" s="17"/>
      <c r="D4629" s="17"/>
      <c r="E4629" s="17"/>
      <c r="F4629" s="17"/>
      <c r="G4629" s="17"/>
      <c r="H4629" s="18"/>
    </row>
    <row r="4630" spans="1:8">
      <c r="A4630" s="15"/>
      <c r="B4630" s="15" t="s">
        <v>21</v>
      </c>
      <c r="C4630" s="15"/>
      <c r="D4630" s="15"/>
      <c r="E4630" s="15"/>
      <c r="F4630" s="15"/>
      <c r="G4630" s="15"/>
      <c r="H4630" s="20">
        <f>SUM(H4545:H4629)</f>
        <v>1473.1980000000003</v>
      </c>
    </row>
    <row r="4631" spans="1:8">
      <c r="A4631" s="17"/>
      <c r="B4631" s="17" t="s">
        <v>22</v>
      </c>
      <c r="C4631" s="17"/>
      <c r="D4631" s="17"/>
      <c r="E4631" s="17"/>
      <c r="F4631" s="17"/>
      <c r="G4631" s="17"/>
      <c r="H4631" s="18"/>
    </row>
    <row r="4632" spans="1:8">
      <c r="A4632" s="15"/>
      <c r="B4632" s="15" t="s">
        <v>23</v>
      </c>
      <c r="C4632" s="15"/>
      <c r="D4632" s="15"/>
      <c r="E4632" s="15"/>
      <c r="F4632" s="15"/>
      <c r="G4632" s="15"/>
      <c r="H4632" s="20">
        <f>ROUND(SUM(H4630:H4631),0)</f>
        <v>1473</v>
      </c>
    </row>
    <row r="4634" spans="1:8">
      <c r="A4634" s="17">
        <v>4</v>
      </c>
      <c r="B4634" s="15" t="s">
        <v>314</v>
      </c>
      <c r="C4634" s="17" t="s">
        <v>10</v>
      </c>
      <c r="D4634" s="17"/>
      <c r="E4634" s="17"/>
      <c r="F4634" s="17"/>
      <c r="G4634" s="17"/>
      <c r="H4634" s="18"/>
    </row>
    <row r="4635" spans="1:8">
      <c r="A4635" s="17"/>
      <c r="B4635" s="17" t="s">
        <v>156</v>
      </c>
      <c r="C4635" s="17" t="s">
        <v>10</v>
      </c>
      <c r="D4635" s="17">
        <v>1</v>
      </c>
      <c r="E4635" s="17">
        <v>3.3</v>
      </c>
      <c r="F4635" s="17">
        <v>2.1</v>
      </c>
      <c r="G4635" s="17"/>
      <c r="H4635" s="18">
        <f t="shared" ref="H4635:H4638" si="741">PRODUCT(D4635:G4635)</f>
        <v>6.93</v>
      </c>
    </row>
    <row r="4636" spans="1:8">
      <c r="A4636" s="17"/>
      <c r="B4636" s="17"/>
      <c r="C4636" s="17" t="s">
        <v>10</v>
      </c>
      <c r="D4636" s="17">
        <v>1</v>
      </c>
      <c r="E4636" s="17">
        <v>4</v>
      </c>
      <c r="F4636" s="17">
        <v>2.1</v>
      </c>
      <c r="G4636" s="17"/>
      <c r="H4636" s="18">
        <f t="shared" si="741"/>
        <v>8.4</v>
      </c>
    </row>
    <row r="4637" spans="1:8">
      <c r="A4637" s="17"/>
      <c r="B4637" s="17" t="s">
        <v>282</v>
      </c>
      <c r="C4637" s="17" t="s">
        <v>10</v>
      </c>
      <c r="D4637" s="17">
        <v>1</v>
      </c>
      <c r="E4637" s="17">
        <v>8</v>
      </c>
      <c r="F4637" s="17">
        <v>2.1</v>
      </c>
      <c r="G4637" s="17"/>
      <c r="H4637" s="18">
        <f t="shared" si="741"/>
        <v>16.8</v>
      </c>
    </row>
    <row r="4638" spans="1:8">
      <c r="A4638" s="17"/>
      <c r="B4638" s="17"/>
      <c r="C4638" s="17" t="s">
        <v>10</v>
      </c>
      <c r="D4638" s="17">
        <v>1</v>
      </c>
      <c r="E4638" s="17">
        <v>3</v>
      </c>
      <c r="F4638" s="17">
        <v>2.1</v>
      </c>
      <c r="G4638" s="17"/>
      <c r="H4638" s="18">
        <f t="shared" si="741"/>
        <v>6.3000000000000007</v>
      </c>
    </row>
    <row r="4639" spans="1:8" s="948" customFormat="1">
      <c r="A4639" s="485"/>
      <c r="B4639" s="485" t="s">
        <v>2184</v>
      </c>
      <c r="C4639" s="17" t="s">
        <v>10</v>
      </c>
      <c r="D4639" s="17">
        <v>1</v>
      </c>
      <c r="E4639" s="17">
        <v>3.1</v>
      </c>
      <c r="F4639" s="17">
        <v>2.1</v>
      </c>
      <c r="G4639" s="17"/>
      <c r="H4639" s="18">
        <f t="shared" ref="H4639" si="742">PRODUCT(D4639:G4639)</f>
        <v>6.5100000000000007</v>
      </c>
    </row>
    <row r="4640" spans="1:8" s="948" customFormat="1">
      <c r="A4640" s="485"/>
      <c r="B4640" s="485" t="s">
        <v>181</v>
      </c>
      <c r="C4640" s="17" t="s">
        <v>10</v>
      </c>
      <c r="D4640" s="17">
        <v>1</v>
      </c>
      <c r="E4640" s="17">
        <v>8</v>
      </c>
      <c r="F4640" s="17">
        <v>2.1</v>
      </c>
      <c r="G4640" s="17"/>
      <c r="H4640" s="18">
        <f t="shared" ref="H4640" si="743">PRODUCT(D4640:G4640)</f>
        <v>16.8</v>
      </c>
    </row>
    <row r="4641" spans="1:8" s="948" customFormat="1">
      <c r="A4641" s="485"/>
      <c r="B4641" s="485" t="s">
        <v>1917</v>
      </c>
      <c r="C4641" s="17" t="s">
        <v>10</v>
      </c>
      <c r="D4641" s="17">
        <v>1</v>
      </c>
      <c r="E4641" s="17">
        <v>9</v>
      </c>
      <c r="F4641" s="17">
        <v>2.1</v>
      </c>
      <c r="G4641" s="17"/>
      <c r="H4641" s="18">
        <f t="shared" ref="H4641:H4642" si="744">PRODUCT(D4641:G4641)</f>
        <v>18.900000000000002</v>
      </c>
    </row>
    <row r="4642" spans="1:8" s="948" customFormat="1">
      <c r="A4642" s="485"/>
      <c r="B4642" s="485"/>
      <c r="C4642" s="17" t="s">
        <v>10</v>
      </c>
      <c r="D4642" s="485">
        <v>1</v>
      </c>
      <c r="E4642" s="485">
        <v>3</v>
      </c>
      <c r="F4642" s="17">
        <v>2.1</v>
      </c>
      <c r="G4642" s="17"/>
      <c r="H4642" s="18">
        <f t="shared" si="744"/>
        <v>6.3000000000000007</v>
      </c>
    </row>
    <row r="4643" spans="1:8" s="948" customFormat="1">
      <c r="A4643" s="485"/>
      <c r="B4643" s="485" t="s">
        <v>442</v>
      </c>
      <c r="C4643" s="17" t="s">
        <v>10</v>
      </c>
      <c r="D4643" s="485">
        <v>1</v>
      </c>
      <c r="E4643" s="485">
        <v>4</v>
      </c>
      <c r="F4643" s="17">
        <v>2.1</v>
      </c>
      <c r="G4643" s="17"/>
      <c r="H4643" s="18">
        <f t="shared" ref="H4643" si="745">PRODUCT(D4643:G4643)</f>
        <v>8.4</v>
      </c>
    </row>
    <row r="4644" spans="1:8" s="948" customFormat="1">
      <c r="A4644" s="485"/>
      <c r="B4644" s="485" t="s">
        <v>1217</v>
      </c>
      <c r="C4644" s="17" t="s">
        <v>10</v>
      </c>
      <c r="D4644" s="485">
        <v>1</v>
      </c>
      <c r="E4644" s="485">
        <v>6.35</v>
      </c>
      <c r="F4644" s="17">
        <v>2.7</v>
      </c>
      <c r="G4644" s="17"/>
      <c r="H4644" s="18">
        <f t="shared" ref="H4644" si="746">PRODUCT(D4644:G4644)</f>
        <v>17.145</v>
      </c>
    </row>
    <row r="4645" spans="1:8" s="948" customFormat="1">
      <c r="A4645" s="485"/>
      <c r="B4645" s="485" t="s">
        <v>312</v>
      </c>
      <c r="C4645" s="17" t="s">
        <v>10</v>
      </c>
      <c r="D4645" s="485">
        <v>1</v>
      </c>
      <c r="E4645" s="485">
        <v>6</v>
      </c>
      <c r="F4645" s="17">
        <v>2.1</v>
      </c>
      <c r="G4645" s="17"/>
      <c r="H4645" s="18">
        <f t="shared" ref="H4645" si="747">PRODUCT(D4645:G4645)</f>
        <v>12.600000000000001</v>
      </c>
    </row>
    <row r="4646" spans="1:8" s="948" customFormat="1">
      <c r="A4646" s="485"/>
      <c r="B4646" s="485" t="s">
        <v>1244</v>
      </c>
      <c r="C4646" s="17" t="s">
        <v>10</v>
      </c>
      <c r="D4646" s="485">
        <v>1</v>
      </c>
      <c r="E4646" s="485">
        <v>5</v>
      </c>
      <c r="F4646" s="17">
        <v>2.1</v>
      </c>
      <c r="G4646" s="17"/>
      <c r="H4646" s="18">
        <f t="shared" ref="H4646" si="748">PRODUCT(D4646:G4646)</f>
        <v>10.5</v>
      </c>
    </row>
    <row r="4647" spans="1:8" s="948" customFormat="1">
      <c r="A4647" s="485"/>
      <c r="B4647" s="485" t="s">
        <v>215</v>
      </c>
      <c r="C4647" s="17" t="s">
        <v>10</v>
      </c>
      <c r="D4647" s="485">
        <v>1</v>
      </c>
      <c r="E4647" s="485">
        <v>3.5</v>
      </c>
      <c r="F4647" s="17">
        <v>2.1</v>
      </c>
      <c r="G4647" s="17"/>
      <c r="H4647" s="18">
        <f t="shared" ref="H4647:H4648" si="749">PRODUCT(D4647:G4647)</f>
        <v>7.3500000000000005</v>
      </c>
    </row>
    <row r="4648" spans="1:8" s="948" customFormat="1">
      <c r="A4648" s="485"/>
      <c r="B4648" s="485" t="s">
        <v>1227</v>
      </c>
      <c r="C4648" s="17" t="s">
        <v>10</v>
      </c>
      <c r="D4648" s="485">
        <v>1</v>
      </c>
      <c r="E4648" s="485">
        <v>4.0250000000000004</v>
      </c>
      <c r="F4648" s="485">
        <v>2.7</v>
      </c>
      <c r="G4648" s="485"/>
      <c r="H4648" s="487">
        <f t="shared" si="749"/>
        <v>10.867500000000001</v>
      </c>
    </row>
    <row r="4649" spans="1:8" s="948" customFormat="1">
      <c r="A4649" s="485"/>
      <c r="B4649" s="485" t="s">
        <v>200</v>
      </c>
      <c r="C4649" s="17" t="s">
        <v>10</v>
      </c>
      <c r="D4649" s="485">
        <v>1</v>
      </c>
      <c r="E4649" s="485">
        <v>7</v>
      </c>
      <c r="F4649" s="485">
        <v>2.1</v>
      </c>
      <c r="G4649" s="485"/>
      <c r="H4649" s="487">
        <f t="shared" ref="H4649:H4650" si="750">PRODUCT(D4649:G4649)</f>
        <v>14.700000000000001</v>
      </c>
    </row>
    <row r="4650" spans="1:8" s="948" customFormat="1">
      <c r="A4650" s="485"/>
      <c r="B4650" s="485"/>
      <c r="C4650" s="17" t="s">
        <v>10</v>
      </c>
      <c r="D4650" s="485">
        <v>1</v>
      </c>
      <c r="E4650" s="485">
        <v>5.3</v>
      </c>
      <c r="F4650" s="485">
        <v>2.1</v>
      </c>
      <c r="G4650" s="485"/>
      <c r="H4650" s="487">
        <f t="shared" si="750"/>
        <v>11.13</v>
      </c>
    </row>
    <row r="4651" spans="1:8">
      <c r="A4651" s="17"/>
      <c r="B4651" s="17"/>
      <c r="C4651" s="17"/>
      <c r="D4651" s="17"/>
      <c r="E4651" s="17"/>
      <c r="F4651" s="17"/>
      <c r="G4651" s="17"/>
      <c r="H4651" s="18"/>
    </row>
    <row r="4652" spans="1:8">
      <c r="A4652" s="15"/>
      <c r="B4652" s="15" t="s">
        <v>21</v>
      </c>
      <c r="C4652" s="15"/>
      <c r="D4652" s="15"/>
      <c r="E4652" s="15"/>
      <c r="F4652" s="15"/>
      <c r="G4652" s="15"/>
      <c r="H4652" s="20">
        <f>SUM(H4635:H4651)</f>
        <v>179.63249999999999</v>
      </c>
    </row>
    <row r="4653" spans="1:8">
      <c r="A4653" s="17"/>
      <c r="B4653" s="17" t="s">
        <v>22</v>
      </c>
      <c r="C4653" s="17"/>
      <c r="D4653" s="17"/>
      <c r="E4653" s="17"/>
      <c r="F4653" s="17"/>
      <c r="G4653" s="17"/>
      <c r="H4653" s="18"/>
    </row>
    <row r="4654" spans="1:8">
      <c r="A4654" s="15"/>
      <c r="B4654" s="15" t="s">
        <v>23</v>
      </c>
      <c r="C4654" s="15"/>
      <c r="D4654" s="15"/>
      <c r="E4654" s="15"/>
      <c r="F4654" s="15"/>
      <c r="G4654" s="15"/>
      <c r="H4654" s="20">
        <f>ROUND(SUM(H4652:H4653),0)</f>
        <v>180</v>
      </c>
    </row>
    <row r="4656" spans="1:8">
      <c r="A4656" s="17">
        <v>4</v>
      </c>
      <c r="B4656" s="15" t="s">
        <v>313</v>
      </c>
      <c r="C4656" s="17" t="s">
        <v>10</v>
      </c>
      <c r="D4656" s="17"/>
      <c r="E4656" s="17"/>
      <c r="F4656" s="17"/>
      <c r="G4656" s="17"/>
      <c r="H4656" s="18"/>
    </row>
    <row r="4657" spans="1:8">
      <c r="A4657" s="17"/>
      <c r="B4657" s="17" t="s">
        <v>156</v>
      </c>
      <c r="C4657" s="17" t="s">
        <v>10</v>
      </c>
      <c r="D4657" s="17">
        <v>1</v>
      </c>
      <c r="E4657" s="17">
        <v>3.3</v>
      </c>
      <c r="F4657" s="17">
        <v>2.7</v>
      </c>
      <c r="G4657" s="17"/>
      <c r="H4657" s="18">
        <f t="shared" ref="H4657:H4664" si="751">PRODUCT(D4657:G4657)</f>
        <v>8.91</v>
      </c>
    </row>
    <row r="4658" spans="1:8" s="948" customFormat="1">
      <c r="A4658" s="485"/>
      <c r="B4658" s="485"/>
      <c r="C4658" s="17" t="s">
        <v>10</v>
      </c>
      <c r="D4658" s="485">
        <v>1</v>
      </c>
      <c r="E4658" s="485">
        <v>1.84</v>
      </c>
      <c r="F4658" s="485">
        <v>1.1000000000000001</v>
      </c>
      <c r="G4658" s="485"/>
      <c r="H4658" s="18">
        <f t="shared" si="751"/>
        <v>2.0240000000000005</v>
      </c>
    </row>
    <row r="4659" spans="1:8">
      <c r="A4659" s="17"/>
      <c r="B4659" s="17"/>
      <c r="C4659" s="17" t="s">
        <v>10</v>
      </c>
      <c r="D4659" s="17">
        <v>2</v>
      </c>
      <c r="E4659" s="17">
        <v>1.8</v>
      </c>
      <c r="F4659" s="17">
        <v>2.7</v>
      </c>
      <c r="G4659" s="17"/>
      <c r="H4659" s="18">
        <f t="shared" si="751"/>
        <v>9.7200000000000006</v>
      </c>
    </row>
    <row r="4660" spans="1:8" s="948" customFormat="1">
      <c r="A4660" s="485"/>
      <c r="B4660" s="485"/>
      <c r="C4660" s="17" t="s">
        <v>10</v>
      </c>
      <c r="D4660" s="485">
        <v>-2</v>
      </c>
      <c r="E4660" s="485">
        <v>1.5</v>
      </c>
      <c r="F4660" s="485">
        <v>2.4</v>
      </c>
      <c r="G4660" s="485"/>
      <c r="H4660" s="18">
        <f t="shared" si="751"/>
        <v>-7.1999999999999993</v>
      </c>
    </row>
    <row r="4661" spans="1:8" s="948" customFormat="1">
      <c r="A4661" s="485"/>
      <c r="B4661" s="485"/>
      <c r="C4661" s="17" t="s">
        <v>10</v>
      </c>
      <c r="D4661" s="485">
        <v>1</v>
      </c>
      <c r="E4661" s="485">
        <v>0.875</v>
      </c>
      <c r="F4661" s="485">
        <v>2.7</v>
      </c>
      <c r="G4661" s="485"/>
      <c r="H4661" s="18">
        <f t="shared" si="751"/>
        <v>2.3625000000000003</v>
      </c>
    </row>
    <row r="4662" spans="1:8" s="948" customFormat="1">
      <c r="A4662" s="485"/>
      <c r="B4662" s="485"/>
      <c r="C4662" s="17" t="s">
        <v>10</v>
      </c>
      <c r="D4662" s="485">
        <v>1</v>
      </c>
      <c r="E4662" s="485">
        <v>0.86</v>
      </c>
      <c r="F4662" s="485">
        <v>2.7</v>
      </c>
      <c r="G4662" s="485"/>
      <c r="H4662" s="487">
        <f t="shared" si="751"/>
        <v>2.3220000000000001</v>
      </c>
    </row>
    <row r="4663" spans="1:8" s="948" customFormat="1">
      <c r="A4663" s="485"/>
      <c r="B4663" s="485"/>
      <c r="C4663" s="17" t="s">
        <v>10</v>
      </c>
      <c r="D4663" s="485">
        <v>1</v>
      </c>
      <c r="E4663" s="485">
        <v>0.86</v>
      </c>
      <c r="F4663" s="485">
        <v>2.7</v>
      </c>
      <c r="G4663" s="485"/>
      <c r="H4663" s="487">
        <f t="shared" ref="H4663" si="752">PRODUCT(D4663:G4663)</f>
        <v>2.3220000000000001</v>
      </c>
    </row>
    <row r="4664" spans="1:8" s="948" customFormat="1">
      <c r="A4664" s="485"/>
      <c r="B4664" s="485"/>
      <c r="C4664" s="17" t="s">
        <v>10</v>
      </c>
      <c r="D4664" s="485">
        <v>1</v>
      </c>
      <c r="E4664" s="485">
        <v>2.6</v>
      </c>
      <c r="F4664" s="485">
        <v>2.7</v>
      </c>
      <c r="G4664" s="485"/>
      <c r="H4664" s="487">
        <f t="shared" si="751"/>
        <v>7.0200000000000005</v>
      </c>
    </row>
    <row r="4665" spans="1:8" s="948" customFormat="1">
      <c r="A4665" s="485"/>
      <c r="B4665" s="485"/>
      <c r="C4665" s="17" t="s">
        <v>10</v>
      </c>
      <c r="D4665" s="485">
        <v>1</v>
      </c>
      <c r="E4665" s="485">
        <v>0.27</v>
      </c>
      <c r="F4665" s="485">
        <v>2.7</v>
      </c>
      <c r="G4665" s="485"/>
      <c r="H4665" s="487">
        <f t="shared" ref="H4665:H4667" si="753">PRODUCT(D4665:G4665)</f>
        <v>0.72900000000000009</v>
      </c>
    </row>
    <row r="4666" spans="1:8" s="948" customFormat="1">
      <c r="A4666" s="485"/>
      <c r="B4666" s="485"/>
      <c r="C4666" s="17" t="s">
        <v>10</v>
      </c>
      <c r="D4666" s="485">
        <v>1</v>
      </c>
      <c r="E4666" s="485">
        <v>1.54</v>
      </c>
      <c r="F4666" s="485">
        <v>2.7</v>
      </c>
      <c r="G4666" s="485"/>
      <c r="H4666" s="487">
        <f t="shared" si="753"/>
        <v>4.1580000000000004</v>
      </c>
    </row>
    <row r="4667" spans="1:8" s="948" customFormat="1">
      <c r="A4667" s="485"/>
      <c r="B4667" s="485"/>
      <c r="C4667" s="17" t="s">
        <v>10</v>
      </c>
      <c r="D4667" s="485">
        <v>1</v>
      </c>
      <c r="E4667" s="485">
        <v>6.4850000000000003</v>
      </c>
      <c r="F4667" s="485">
        <v>1.1000000000000001</v>
      </c>
      <c r="G4667" s="485"/>
      <c r="H4667" s="487">
        <f t="shared" si="753"/>
        <v>7.1335000000000006</v>
      </c>
    </row>
    <row r="4668" spans="1:8" s="948" customFormat="1">
      <c r="A4668" s="485"/>
      <c r="B4668" s="485" t="s">
        <v>282</v>
      </c>
      <c r="C4668" s="17" t="s">
        <v>10</v>
      </c>
      <c r="D4668" s="485">
        <v>1</v>
      </c>
      <c r="E4668" s="485">
        <v>9</v>
      </c>
      <c r="F4668" s="485">
        <v>2.7</v>
      </c>
      <c r="G4668" s="485"/>
      <c r="H4668" s="487">
        <f t="shared" ref="H4668:H4669" si="754">PRODUCT(D4668:G4668)</f>
        <v>24.3</v>
      </c>
    </row>
    <row r="4669" spans="1:8" s="948" customFormat="1">
      <c r="A4669" s="485"/>
      <c r="B4669" s="485" t="s">
        <v>2186</v>
      </c>
      <c r="C4669" s="17" t="s">
        <v>10</v>
      </c>
      <c r="D4669" s="485">
        <v>1</v>
      </c>
      <c r="E4669" s="485">
        <v>21</v>
      </c>
      <c r="F4669" s="485">
        <v>2.7</v>
      </c>
      <c r="G4669" s="485"/>
      <c r="H4669" s="487">
        <f t="shared" si="754"/>
        <v>56.7</v>
      </c>
    </row>
    <row r="4670" spans="1:8" s="948" customFormat="1">
      <c r="A4670" s="485"/>
      <c r="B4670" s="485" t="s">
        <v>2185</v>
      </c>
      <c r="C4670" s="17" t="s">
        <v>10</v>
      </c>
      <c r="D4670" s="485">
        <v>1</v>
      </c>
      <c r="E4670" s="485">
        <v>8.1</v>
      </c>
      <c r="F4670" s="485">
        <v>2.7</v>
      </c>
      <c r="G4670" s="485"/>
      <c r="H4670" s="487">
        <f t="shared" ref="H4670:H4671" si="755">PRODUCT(D4670:G4670)</f>
        <v>21.87</v>
      </c>
    </row>
    <row r="4671" spans="1:8" s="948" customFormat="1">
      <c r="A4671" s="485"/>
      <c r="B4671" s="485" t="s">
        <v>192</v>
      </c>
      <c r="C4671" s="17" t="s">
        <v>10</v>
      </c>
      <c r="D4671" s="485">
        <v>1</v>
      </c>
      <c r="E4671" s="485">
        <v>15.4</v>
      </c>
      <c r="F4671" s="485">
        <v>2.7</v>
      </c>
      <c r="G4671" s="485"/>
      <c r="H4671" s="487">
        <f t="shared" si="755"/>
        <v>41.580000000000005</v>
      </c>
    </row>
    <row r="4672" spans="1:8" s="948" customFormat="1">
      <c r="A4672" s="485"/>
      <c r="B4672" s="485" t="s">
        <v>1917</v>
      </c>
      <c r="C4672" s="17" t="s">
        <v>10</v>
      </c>
      <c r="D4672" s="485">
        <v>1</v>
      </c>
      <c r="E4672" s="485">
        <v>9.4</v>
      </c>
      <c r="F4672" s="485">
        <v>2.7</v>
      </c>
      <c r="G4672" s="485"/>
      <c r="H4672" s="487">
        <f t="shared" ref="H4672:H4674" si="756">PRODUCT(D4672:G4672)</f>
        <v>25.380000000000003</v>
      </c>
    </row>
    <row r="4673" spans="1:8" s="948" customFormat="1">
      <c r="A4673" s="485"/>
      <c r="B4673" s="485"/>
      <c r="C4673" s="17" t="s">
        <v>10</v>
      </c>
      <c r="D4673" s="485">
        <v>1</v>
      </c>
      <c r="E4673" s="485">
        <v>3.89</v>
      </c>
      <c r="F4673" s="485">
        <v>2.7</v>
      </c>
      <c r="G4673" s="485"/>
      <c r="H4673" s="487">
        <f t="shared" si="756"/>
        <v>10.503000000000002</v>
      </c>
    </row>
    <row r="4674" spans="1:8" s="948" customFormat="1">
      <c r="A4674" s="485"/>
      <c r="B4674" s="485"/>
      <c r="C4674" s="17" t="s">
        <v>10</v>
      </c>
      <c r="D4674" s="485">
        <v>-1</v>
      </c>
      <c r="E4674" s="485">
        <v>1.8</v>
      </c>
      <c r="F4674" s="485">
        <v>2.4</v>
      </c>
      <c r="G4674" s="485"/>
      <c r="H4674" s="487">
        <f t="shared" si="756"/>
        <v>-4.32</v>
      </c>
    </row>
    <row r="4675" spans="1:8" s="948" customFormat="1">
      <c r="A4675" s="485"/>
      <c r="B4675" s="485" t="s">
        <v>2187</v>
      </c>
      <c r="C4675" s="17" t="s">
        <v>10</v>
      </c>
      <c r="D4675" s="485">
        <v>1</v>
      </c>
      <c r="E4675" s="485">
        <v>5.3</v>
      </c>
      <c r="F4675" s="485">
        <v>2.7</v>
      </c>
      <c r="G4675" s="485"/>
      <c r="H4675" s="487">
        <f t="shared" ref="H4675:H4676" si="757">PRODUCT(D4675:G4675)</f>
        <v>14.31</v>
      </c>
    </row>
    <row r="4676" spans="1:8" s="948" customFormat="1">
      <c r="A4676" s="485"/>
      <c r="B4676" s="485"/>
      <c r="C4676" s="17" t="s">
        <v>10</v>
      </c>
      <c r="D4676" s="485">
        <v>1</v>
      </c>
      <c r="E4676" s="485">
        <v>3.8</v>
      </c>
      <c r="F4676" s="485">
        <v>2.7</v>
      </c>
      <c r="G4676" s="485"/>
      <c r="H4676" s="487">
        <f t="shared" si="757"/>
        <v>10.26</v>
      </c>
    </row>
    <row r="4677" spans="1:8" s="948" customFormat="1">
      <c r="A4677" s="485"/>
      <c r="B4677" s="485" t="s">
        <v>2147</v>
      </c>
      <c r="C4677" s="17" t="s">
        <v>10</v>
      </c>
      <c r="D4677" s="485">
        <v>1</v>
      </c>
      <c r="E4677" s="485">
        <v>3.2</v>
      </c>
      <c r="F4677" s="485">
        <v>2.7</v>
      </c>
      <c r="G4677" s="485"/>
      <c r="H4677" s="487">
        <f t="shared" ref="H4677:H4684" si="758">PRODUCT(D4677:G4677)</f>
        <v>8.64</v>
      </c>
    </row>
    <row r="4678" spans="1:8" s="948" customFormat="1">
      <c r="A4678" s="485"/>
      <c r="B4678" s="485"/>
      <c r="C4678" s="17" t="s">
        <v>10</v>
      </c>
      <c r="D4678" s="485">
        <v>1</v>
      </c>
      <c r="E4678" s="485">
        <v>8.1999999999999993</v>
      </c>
      <c r="F4678" s="485">
        <v>2.7</v>
      </c>
      <c r="G4678" s="485"/>
      <c r="H4678" s="487">
        <f t="shared" si="758"/>
        <v>22.14</v>
      </c>
    </row>
    <row r="4679" spans="1:8" s="948" customFormat="1">
      <c r="A4679" s="485"/>
      <c r="B4679" s="485"/>
      <c r="C4679" s="17" t="s">
        <v>10</v>
      </c>
      <c r="D4679" s="485">
        <v>-1</v>
      </c>
      <c r="E4679" s="485">
        <v>4.7</v>
      </c>
      <c r="F4679" s="485">
        <v>2.1</v>
      </c>
      <c r="G4679" s="485"/>
      <c r="H4679" s="487">
        <f t="shared" si="758"/>
        <v>-9.870000000000001</v>
      </c>
    </row>
    <row r="4680" spans="1:8" s="948" customFormat="1">
      <c r="A4680" s="485"/>
      <c r="B4680" s="485"/>
      <c r="C4680" s="17" t="s">
        <v>10</v>
      </c>
      <c r="D4680" s="485">
        <v>1</v>
      </c>
      <c r="E4680" s="485">
        <v>0.6</v>
      </c>
      <c r="F4680" s="485">
        <v>2.7</v>
      </c>
      <c r="G4680" s="485"/>
      <c r="H4680" s="487">
        <f t="shared" si="758"/>
        <v>1.62</v>
      </c>
    </row>
    <row r="4681" spans="1:8" s="948" customFormat="1">
      <c r="A4681" s="485"/>
      <c r="B4681" s="485"/>
      <c r="C4681" s="17" t="s">
        <v>10</v>
      </c>
      <c r="D4681" s="485">
        <v>1</v>
      </c>
      <c r="E4681" s="485">
        <v>8.67</v>
      </c>
      <c r="F4681" s="485">
        <v>2.7</v>
      </c>
      <c r="G4681" s="485"/>
      <c r="H4681" s="487">
        <f t="shared" si="758"/>
        <v>23.409000000000002</v>
      </c>
    </row>
    <row r="4682" spans="1:8" s="948" customFormat="1">
      <c r="A4682" s="485"/>
      <c r="B4682" s="485"/>
      <c r="C4682" s="17" t="s">
        <v>10</v>
      </c>
      <c r="D4682" s="485">
        <v>-1</v>
      </c>
      <c r="E4682" s="485">
        <v>4.8</v>
      </c>
      <c r="F4682" s="485">
        <v>2.1</v>
      </c>
      <c r="G4682" s="485"/>
      <c r="H4682" s="487">
        <f t="shared" si="758"/>
        <v>-10.08</v>
      </c>
    </row>
    <row r="4683" spans="1:8" s="948" customFormat="1">
      <c r="A4683" s="485"/>
      <c r="B4683" s="485"/>
      <c r="C4683" s="17" t="s">
        <v>10</v>
      </c>
      <c r="D4683" s="485">
        <v>1</v>
      </c>
      <c r="E4683" s="485">
        <v>0.76500000000000001</v>
      </c>
      <c r="F4683" s="485">
        <v>2.7</v>
      </c>
      <c r="G4683" s="485"/>
      <c r="H4683" s="487">
        <f t="shared" si="758"/>
        <v>2.0655000000000001</v>
      </c>
    </row>
    <row r="4684" spans="1:8" s="948" customFormat="1">
      <c r="A4684" s="485"/>
      <c r="B4684" s="485"/>
      <c r="C4684" s="17" t="s">
        <v>10</v>
      </c>
      <c r="D4684" s="485">
        <v>1</v>
      </c>
      <c r="E4684" s="485">
        <v>1.26</v>
      </c>
      <c r="F4684" s="485">
        <v>2.7</v>
      </c>
      <c r="G4684" s="485"/>
      <c r="H4684" s="487">
        <f t="shared" si="758"/>
        <v>3.4020000000000001</v>
      </c>
    </row>
    <row r="4685" spans="1:8" s="948" customFormat="1">
      <c r="A4685" s="485"/>
      <c r="B4685" s="485"/>
      <c r="C4685" s="17" t="s">
        <v>10</v>
      </c>
      <c r="D4685" s="485">
        <v>1</v>
      </c>
      <c r="E4685" s="485">
        <v>0.6</v>
      </c>
      <c r="F4685" s="485">
        <v>2.7</v>
      </c>
      <c r="G4685" s="485"/>
      <c r="H4685" s="487">
        <f t="shared" ref="H4685" si="759">PRODUCT(D4685:G4685)</f>
        <v>1.62</v>
      </c>
    </row>
    <row r="4686" spans="1:8" s="948" customFormat="1">
      <c r="A4686" s="485"/>
      <c r="B4686" s="485" t="s">
        <v>2188</v>
      </c>
      <c r="C4686" s="17" t="s">
        <v>10</v>
      </c>
      <c r="D4686" s="485">
        <v>2</v>
      </c>
      <c r="E4686" s="485">
        <v>0.45</v>
      </c>
      <c r="F4686" s="485">
        <v>2.4</v>
      </c>
      <c r="G4686" s="485"/>
      <c r="H4686" s="487">
        <f t="shared" ref="H4686:H4690" si="760">PRODUCT(D4686:G4686)</f>
        <v>2.16</v>
      </c>
    </row>
    <row r="4687" spans="1:8" s="948" customFormat="1">
      <c r="A4687" s="485"/>
      <c r="B4687" s="485"/>
      <c r="C4687" s="17" t="s">
        <v>10</v>
      </c>
      <c r="D4687" s="485">
        <v>1</v>
      </c>
      <c r="E4687" s="485">
        <v>0.55000000000000004</v>
      </c>
      <c r="F4687" s="485">
        <v>2.4</v>
      </c>
      <c r="G4687" s="485"/>
      <c r="H4687" s="487">
        <f t="shared" si="760"/>
        <v>1.32</v>
      </c>
    </row>
    <row r="4688" spans="1:8" s="948" customFormat="1">
      <c r="A4688" s="485"/>
      <c r="B4688" s="485"/>
      <c r="C4688" s="17" t="s">
        <v>10</v>
      </c>
      <c r="D4688" s="485">
        <v>1</v>
      </c>
      <c r="E4688" s="485">
        <v>6.8</v>
      </c>
      <c r="F4688" s="485">
        <v>0.2</v>
      </c>
      <c r="G4688" s="485"/>
      <c r="H4688" s="487">
        <f t="shared" si="760"/>
        <v>1.36</v>
      </c>
    </row>
    <row r="4689" spans="1:8" s="948" customFormat="1">
      <c r="A4689" s="485"/>
      <c r="B4689" s="485"/>
      <c r="C4689" s="17" t="s">
        <v>10</v>
      </c>
      <c r="D4689" s="485">
        <v>4</v>
      </c>
      <c r="E4689" s="485">
        <v>0.15</v>
      </c>
      <c r="F4689" s="485">
        <v>2.4</v>
      </c>
      <c r="G4689" s="485"/>
      <c r="H4689" s="487">
        <f t="shared" si="760"/>
        <v>1.44</v>
      </c>
    </row>
    <row r="4690" spans="1:8" s="948" customFormat="1">
      <c r="A4690" s="485"/>
      <c r="B4690" s="485"/>
      <c r="C4690" s="17" t="s">
        <v>10</v>
      </c>
      <c r="D4690" s="485">
        <v>1</v>
      </c>
      <c r="E4690" s="485">
        <v>3.1</v>
      </c>
      <c r="F4690" s="485">
        <v>0.2</v>
      </c>
      <c r="G4690" s="485"/>
      <c r="H4690" s="487">
        <f t="shared" si="760"/>
        <v>0.62000000000000011</v>
      </c>
    </row>
    <row r="4691" spans="1:8" s="948" customFormat="1">
      <c r="A4691" s="485"/>
      <c r="B4691" s="485"/>
      <c r="C4691" s="17" t="s">
        <v>10</v>
      </c>
      <c r="D4691" s="485">
        <v>1</v>
      </c>
      <c r="E4691" s="485">
        <v>3.1</v>
      </c>
      <c r="F4691" s="485">
        <v>0.2</v>
      </c>
      <c r="G4691" s="485"/>
      <c r="H4691" s="487">
        <f t="shared" ref="H4691:H4693" si="761">PRODUCT(D4691:G4691)</f>
        <v>0.62000000000000011</v>
      </c>
    </row>
    <row r="4692" spans="1:8" s="948" customFormat="1">
      <c r="A4692" s="485"/>
      <c r="B4692" s="485"/>
      <c r="C4692" s="17" t="s">
        <v>10</v>
      </c>
      <c r="D4692" s="485">
        <v>1</v>
      </c>
      <c r="E4692" s="485">
        <v>1.25</v>
      </c>
      <c r="F4692" s="485">
        <v>2.7</v>
      </c>
      <c r="G4692" s="485"/>
      <c r="H4692" s="487">
        <f t="shared" si="761"/>
        <v>3.375</v>
      </c>
    </row>
    <row r="4693" spans="1:8" s="948" customFormat="1">
      <c r="A4693" s="485"/>
      <c r="B4693" s="485"/>
      <c r="C4693" s="17" t="s">
        <v>10</v>
      </c>
      <c r="D4693" s="485">
        <v>1</v>
      </c>
      <c r="E4693" s="485">
        <v>1.7</v>
      </c>
      <c r="F4693" s="485">
        <v>2.7</v>
      </c>
      <c r="G4693" s="485"/>
      <c r="H4693" s="487">
        <f t="shared" si="761"/>
        <v>4.59</v>
      </c>
    </row>
    <row r="4694" spans="1:8" s="948" customFormat="1">
      <c r="A4694" s="485"/>
      <c r="B4694" s="485"/>
      <c r="C4694" s="17" t="s">
        <v>10</v>
      </c>
      <c r="D4694" s="485">
        <v>1</v>
      </c>
      <c r="E4694" s="485">
        <v>0.9</v>
      </c>
      <c r="F4694" s="485">
        <v>2.7</v>
      </c>
      <c r="G4694" s="485"/>
      <c r="H4694" s="487">
        <f t="shared" ref="H4694" si="762">PRODUCT(D4694:G4694)</f>
        <v>2.4300000000000002</v>
      </c>
    </row>
    <row r="4695" spans="1:8" s="948" customFormat="1">
      <c r="A4695" s="485"/>
      <c r="B4695" s="485" t="s">
        <v>2189</v>
      </c>
      <c r="C4695" s="17" t="s">
        <v>10</v>
      </c>
      <c r="D4695" s="485">
        <v>1</v>
      </c>
      <c r="E4695" s="485">
        <v>0.4</v>
      </c>
      <c r="F4695" s="485">
        <v>2.4</v>
      </c>
      <c r="G4695" s="485"/>
      <c r="H4695" s="487">
        <f t="shared" ref="H4695:H4696" si="763">PRODUCT(D4695:G4695)</f>
        <v>0.96</v>
      </c>
    </row>
    <row r="4696" spans="1:8" s="948" customFormat="1">
      <c r="A4696" s="485"/>
      <c r="B4696" s="485"/>
      <c r="C4696" s="17" t="s">
        <v>10</v>
      </c>
      <c r="D4696" s="485">
        <v>1</v>
      </c>
      <c r="E4696" s="485">
        <v>0.15</v>
      </c>
      <c r="F4696" s="485">
        <v>2.4</v>
      </c>
      <c r="G4696" s="485"/>
      <c r="H4696" s="487">
        <f t="shared" si="763"/>
        <v>0.36</v>
      </c>
    </row>
    <row r="4697" spans="1:8" s="948" customFormat="1">
      <c r="A4697" s="485"/>
      <c r="B4697" s="485"/>
      <c r="C4697" s="17" t="s">
        <v>10</v>
      </c>
      <c r="D4697" s="485">
        <v>1</v>
      </c>
      <c r="E4697" s="485">
        <v>4.45</v>
      </c>
      <c r="F4697" s="485">
        <v>0.2</v>
      </c>
      <c r="G4697" s="485"/>
      <c r="H4697" s="487">
        <f t="shared" ref="H4697:H4705" si="764">PRODUCT(D4697:G4697)</f>
        <v>0.89000000000000012</v>
      </c>
    </row>
    <row r="4698" spans="1:8" s="948" customFormat="1">
      <c r="A4698" s="485"/>
      <c r="B4698" s="485"/>
      <c r="C4698" s="17" t="s">
        <v>10</v>
      </c>
      <c r="D4698" s="485">
        <v>1</v>
      </c>
      <c r="E4698" s="485">
        <v>4.2</v>
      </c>
      <c r="F4698" s="485">
        <v>0.2</v>
      </c>
      <c r="G4698" s="485"/>
      <c r="H4698" s="487">
        <f t="shared" si="764"/>
        <v>0.84000000000000008</v>
      </c>
    </row>
    <row r="4699" spans="1:8" s="948" customFormat="1">
      <c r="A4699" s="485"/>
      <c r="B4699" s="485"/>
      <c r="C4699" s="17" t="s">
        <v>10</v>
      </c>
      <c r="D4699" s="485">
        <v>2</v>
      </c>
      <c r="E4699" s="485">
        <v>0.15</v>
      </c>
      <c r="F4699" s="485">
        <v>2.4</v>
      </c>
      <c r="G4699" s="485"/>
      <c r="H4699" s="487">
        <f t="shared" si="764"/>
        <v>0.72</v>
      </c>
    </row>
    <row r="4700" spans="1:8" s="948" customFormat="1">
      <c r="A4700" s="485"/>
      <c r="B4700" s="485" t="s">
        <v>1242</v>
      </c>
      <c r="C4700" s="17" t="s">
        <v>10</v>
      </c>
      <c r="D4700" s="485">
        <v>1</v>
      </c>
      <c r="E4700" s="485">
        <v>0.56499999999999995</v>
      </c>
      <c r="F4700" s="485">
        <v>2.4</v>
      </c>
      <c r="G4700" s="485"/>
      <c r="H4700" s="487">
        <f t="shared" si="764"/>
        <v>1.3559999999999999</v>
      </c>
    </row>
    <row r="4701" spans="1:8" s="948" customFormat="1">
      <c r="A4701" s="485"/>
      <c r="B4701" s="485"/>
      <c r="C4701" s="17" t="s">
        <v>10</v>
      </c>
      <c r="D4701" s="485">
        <v>1</v>
      </c>
      <c r="E4701" s="485">
        <v>0.4</v>
      </c>
      <c r="F4701" s="485">
        <v>2.4</v>
      </c>
      <c r="G4701" s="485"/>
      <c r="H4701" s="487">
        <f t="shared" si="764"/>
        <v>0.96</v>
      </c>
    </row>
    <row r="4702" spans="1:8" s="948" customFormat="1">
      <c r="A4702" s="485"/>
      <c r="B4702" s="485"/>
      <c r="C4702" s="17" t="s">
        <v>10</v>
      </c>
      <c r="D4702" s="485">
        <v>1</v>
      </c>
      <c r="E4702" s="485">
        <v>6.6</v>
      </c>
      <c r="F4702" s="485">
        <v>2.4</v>
      </c>
      <c r="G4702" s="485"/>
      <c r="H4702" s="487">
        <f t="shared" si="764"/>
        <v>15.839999999999998</v>
      </c>
    </row>
    <row r="4703" spans="1:8" s="948" customFormat="1">
      <c r="A4703" s="485"/>
      <c r="B4703" s="485"/>
      <c r="C4703" s="17" t="s">
        <v>10</v>
      </c>
      <c r="D4703" s="485">
        <v>1</v>
      </c>
      <c r="E4703" s="485">
        <v>7.2</v>
      </c>
      <c r="F4703" s="485">
        <v>0.2</v>
      </c>
      <c r="G4703" s="485"/>
      <c r="H4703" s="487">
        <f t="shared" si="764"/>
        <v>1.4400000000000002</v>
      </c>
    </row>
    <row r="4704" spans="1:8" s="948" customFormat="1">
      <c r="A4704" s="485"/>
      <c r="B4704" s="485"/>
      <c r="C4704" s="17" t="s">
        <v>10</v>
      </c>
      <c r="D4704" s="485">
        <v>1</v>
      </c>
      <c r="E4704" s="485">
        <v>7.2</v>
      </c>
      <c r="F4704" s="485">
        <v>0.2</v>
      </c>
      <c r="G4704" s="485"/>
      <c r="H4704" s="487">
        <f t="shared" si="764"/>
        <v>1.4400000000000002</v>
      </c>
    </row>
    <row r="4705" spans="1:8" s="948" customFormat="1">
      <c r="A4705" s="485"/>
      <c r="B4705" s="485"/>
      <c r="C4705" s="17" t="s">
        <v>10</v>
      </c>
      <c r="D4705" s="485">
        <v>2</v>
      </c>
      <c r="E4705" s="485">
        <v>0.15</v>
      </c>
      <c r="F4705" s="485">
        <v>2.4</v>
      </c>
      <c r="G4705" s="485"/>
      <c r="H4705" s="487">
        <f t="shared" si="764"/>
        <v>0.72</v>
      </c>
    </row>
    <row r="4706" spans="1:8" s="948" customFormat="1">
      <c r="A4706" s="485"/>
      <c r="B4706" s="485" t="s">
        <v>2190</v>
      </c>
      <c r="C4706" s="17" t="s">
        <v>10</v>
      </c>
      <c r="D4706" s="485">
        <v>2</v>
      </c>
      <c r="E4706" s="485">
        <v>3.8</v>
      </c>
      <c r="F4706" s="485">
        <v>2.7</v>
      </c>
      <c r="G4706" s="485"/>
      <c r="H4706" s="487">
        <f t="shared" ref="H4706:H4713" si="765">PRODUCT(D4706:G4706)</f>
        <v>20.52</v>
      </c>
    </row>
    <row r="4707" spans="1:8" s="948" customFormat="1">
      <c r="A4707" s="485"/>
      <c r="B4707" s="485"/>
      <c r="C4707" s="17" t="s">
        <v>10</v>
      </c>
      <c r="D4707" s="485">
        <v>-2</v>
      </c>
      <c r="E4707" s="485">
        <v>2.4</v>
      </c>
      <c r="F4707" s="485">
        <v>1.2</v>
      </c>
      <c r="G4707" s="485"/>
      <c r="H4707" s="487">
        <f t="shared" si="765"/>
        <v>-5.76</v>
      </c>
    </row>
    <row r="4708" spans="1:8" s="948" customFormat="1">
      <c r="A4708" s="485"/>
      <c r="B4708" s="485"/>
      <c r="C4708" s="17" t="s">
        <v>10</v>
      </c>
      <c r="D4708" s="485">
        <v>1</v>
      </c>
      <c r="E4708" s="485">
        <v>1.2</v>
      </c>
      <c r="F4708" s="485">
        <v>2.7</v>
      </c>
      <c r="G4708" s="485"/>
      <c r="H4708" s="487">
        <f t="shared" si="765"/>
        <v>3.24</v>
      </c>
    </row>
    <row r="4709" spans="1:8" s="948" customFormat="1">
      <c r="A4709" s="485"/>
      <c r="B4709" s="485"/>
      <c r="C4709" s="17" t="s">
        <v>10</v>
      </c>
      <c r="D4709" s="485">
        <v>1</v>
      </c>
      <c r="E4709" s="485">
        <v>1.9</v>
      </c>
      <c r="F4709" s="485">
        <v>1.1000000000000001</v>
      </c>
      <c r="G4709" s="485"/>
      <c r="H4709" s="487">
        <f t="shared" si="765"/>
        <v>2.09</v>
      </c>
    </row>
    <row r="4710" spans="1:8" s="948" customFormat="1">
      <c r="A4710" s="485"/>
      <c r="B4710" s="485" t="s">
        <v>1243</v>
      </c>
      <c r="C4710" s="17" t="s">
        <v>10</v>
      </c>
      <c r="D4710" s="485">
        <v>1</v>
      </c>
      <c r="E4710" s="485">
        <v>1.02</v>
      </c>
      <c r="F4710" s="485">
        <v>2.7</v>
      </c>
      <c r="G4710" s="485"/>
      <c r="H4710" s="487">
        <f t="shared" si="765"/>
        <v>2.7540000000000004</v>
      </c>
    </row>
    <row r="4711" spans="1:8" s="948" customFormat="1">
      <c r="A4711" s="485"/>
      <c r="B4711" s="485"/>
      <c r="C4711" s="17" t="s">
        <v>10</v>
      </c>
      <c r="D4711" s="485">
        <v>1</v>
      </c>
      <c r="E4711" s="485">
        <v>4.7</v>
      </c>
      <c r="F4711" s="485">
        <v>0.2</v>
      </c>
      <c r="G4711" s="485"/>
      <c r="H4711" s="487">
        <f t="shared" si="765"/>
        <v>0.94000000000000006</v>
      </c>
    </row>
    <row r="4712" spans="1:8" s="948" customFormat="1">
      <c r="A4712" s="485"/>
      <c r="B4712" s="485"/>
      <c r="C4712" s="17" t="s">
        <v>10</v>
      </c>
      <c r="D4712" s="485">
        <v>2</v>
      </c>
      <c r="E4712" s="485">
        <v>0.15</v>
      </c>
      <c r="F4712" s="485">
        <v>2.7</v>
      </c>
      <c r="G4712" s="485"/>
      <c r="H4712" s="487">
        <f t="shared" si="765"/>
        <v>0.81</v>
      </c>
    </row>
    <row r="4713" spans="1:8" s="948" customFormat="1">
      <c r="A4713" s="485"/>
      <c r="B4713" s="485"/>
      <c r="C4713" s="17" t="s">
        <v>10</v>
      </c>
      <c r="D4713" s="485">
        <v>1</v>
      </c>
      <c r="E4713" s="485">
        <v>4.7</v>
      </c>
      <c r="F4713" s="485">
        <v>0.2</v>
      </c>
      <c r="G4713" s="485"/>
      <c r="H4713" s="487">
        <f t="shared" si="765"/>
        <v>0.94000000000000006</v>
      </c>
    </row>
    <row r="4714" spans="1:8" s="948" customFormat="1">
      <c r="A4714" s="485"/>
      <c r="B4714" s="485" t="s">
        <v>2191</v>
      </c>
      <c r="C4714" s="17" t="s">
        <v>10</v>
      </c>
      <c r="D4714" s="485">
        <v>1</v>
      </c>
      <c r="E4714" s="485">
        <v>27.65</v>
      </c>
      <c r="F4714" s="485">
        <v>2.7</v>
      </c>
      <c r="G4714" s="485"/>
      <c r="H4714" s="487">
        <f t="shared" ref="H4714" si="766">PRODUCT(D4714:G4714)</f>
        <v>74.655000000000001</v>
      </c>
    </row>
    <row r="4715" spans="1:8" s="948" customFormat="1">
      <c r="A4715" s="485"/>
      <c r="B4715" s="485" t="s">
        <v>2192</v>
      </c>
      <c r="C4715" s="17" t="s">
        <v>10</v>
      </c>
      <c r="D4715" s="485">
        <v>4</v>
      </c>
      <c r="E4715" s="485">
        <v>0.85</v>
      </c>
      <c r="F4715" s="485">
        <v>2.7</v>
      </c>
      <c r="G4715" s="485"/>
      <c r="H4715" s="487">
        <f t="shared" ref="H4715" si="767">PRODUCT(D4715:G4715)</f>
        <v>9.18</v>
      </c>
    </row>
    <row r="4716" spans="1:8" s="948" customFormat="1">
      <c r="A4716" s="485"/>
      <c r="B4716" s="485" t="s">
        <v>202</v>
      </c>
      <c r="C4716" s="17" t="s">
        <v>10</v>
      </c>
      <c r="D4716" s="485">
        <v>1</v>
      </c>
      <c r="E4716" s="485">
        <v>11.59</v>
      </c>
      <c r="F4716" s="485">
        <v>0.2</v>
      </c>
      <c r="G4716" s="485"/>
      <c r="H4716" s="487">
        <f t="shared" ref="H4716:H4719" si="768">PRODUCT(D4716:G4716)</f>
        <v>2.3180000000000001</v>
      </c>
    </row>
    <row r="4717" spans="1:8" s="948" customFormat="1">
      <c r="A4717" s="485"/>
      <c r="B4717" s="485"/>
      <c r="C4717" s="17" t="s">
        <v>10</v>
      </c>
      <c r="D4717" s="485">
        <v>2</v>
      </c>
      <c r="E4717" s="485">
        <v>0.2</v>
      </c>
      <c r="F4717" s="485">
        <v>2.4</v>
      </c>
      <c r="G4717" s="485"/>
      <c r="H4717" s="487">
        <f t="shared" si="768"/>
        <v>0.96</v>
      </c>
    </row>
    <row r="4718" spans="1:8" s="948" customFormat="1">
      <c r="A4718" s="485"/>
      <c r="B4718" s="485"/>
      <c r="C4718" s="17" t="s">
        <v>10</v>
      </c>
      <c r="D4718" s="485">
        <v>2</v>
      </c>
      <c r="E4718" s="485">
        <v>0.4</v>
      </c>
      <c r="F4718" s="485">
        <v>2.4</v>
      </c>
      <c r="G4718" s="485"/>
      <c r="H4718" s="487">
        <f t="shared" si="768"/>
        <v>1.92</v>
      </c>
    </row>
    <row r="4719" spans="1:8" s="948" customFormat="1">
      <c r="A4719" s="485"/>
      <c r="B4719" s="485"/>
      <c r="C4719" s="17" t="s">
        <v>10</v>
      </c>
      <c r="D4719" s="485">
        <v>2</v>
      </c>
      <c r="E4719" s="485">
        <v>0.314</v>
      </c>
      <c r="F4719" s="485">
        <v>2.7</v>
      </c>
      <c r="G4719" s="485"/>
      <c r="H4719" s="487">
        <f t="shared" si="768"/>
        <v>1.6956000000000002</v>
      </c>
    </row>
    <row r="4720" spans="1:8" s="948" customFormat="1">
      <c r="A4720" s="485"/>
      <c r="B4720" s="485" t="s">
        <v>1193</v>
      </c>
      <c r="C4720" s="17" t="s">
        <v>10</v>
      </c>
      <c r="D4720" s="485">
        <v>2</v>
      </c>
      <c r="E4720" s="485">
        <v>1.35</v>
      </c>
      <c r="F4720" s="485">
        <v>2.7</v>
      </c>
      <c r="G4720" s="485"/>
      <c r="H4720" s="487">
        <f t="shared" ref="H4720" si="769">PRODUCT(D4720:G4720)</f>
        <v>7.2900000000000009</v>
      </c>
    </row>
    <row r="4721" spans="1:8" s="948" customFormat="1">
      <c r="A4721" s="485"/>
      <c r="B4721" s="485"/>
      <c r="C4721" s="17" t="s">
        <v>10</v>
      </c>
      <c r="D4721" s="485">
        <v>1</v>
      </c>
      <c r="E4721" s="485">
        <v>1.6</v>
      </c>
      <c r="F4721" s="485">
        <v>2.4</v>
      </c>
      <c r="G4721" s="485"/>
      <c r="H4721" s="487">
        <f t="shared" ref="H4721" si="770">PRODUCT(D4721:G4721)</f>
        <v>3.84</v>
      </c>
    </row>
    <row r="4722" spans="1:8" s="948" customFormat="1">
      <c r="A4722" s="485"/>
      <c r="B4722" s="485" t="s">
        <v>1199</v>
      </c>
      <c r="C4722" s="17" t="s">
        <v>10</v>
      </c>
      <c r="D4722" s="485">
        <v>2</v>
      </c>
      <c r="E4722" s="485">
        <v>0.15</v>
      </c>
      <c r="F4722" s="485">
        <v>2.4</v>
      </c>
      <c r="G4722" s="485"/>
      <c r="H4722" s="487">
        <f t="shared" ref="H4722:H4723" si="771">PRODUCT(D4722:G4722)</f>
        <v>0.72</v>
      </c>
    </row>
    <row r="4723" spans="1:8" s="948" customFormat="1">
      <c r="A4723" s="485"/>
      <c r="B4723" s="485"/>
      <c r="C4723" s="17" t="s">
        <v>10</v>
      </c>
      <c r="D4723" s="485">
        <v>1</v>
      </c>
      <c r="E4723" s="485">
        <v>2.8</v>
      </c>
      <c r="F4723" s="485">
        <v>0.2</v>
      </c>
      <c r="G4723" s="485"/>
      <c r="H4723" s="487">
        <f t="shared" si="771"/>
        <v>0.55999999999999994</v>
      </c>
    </row>
    <row r="4724" spans="1:8" s="948" customFormat="1">
      <c r="A4724" s="485"/>
      <c r="B4724" s="485" t="s">
        <v>2193</v>
      </c>
      <c r="C4724" s="17" t="s">
        <v>10</v>
      </c>
      <c r="D4724" s="485">
        <v>1</v>
      </c>
      <c r="E4724" s="485">
        <v>6.75</v>
      </c>
      <c r="F4724" s="485">
        <v>2.7</v>
      </c>
      <c r="G4724" s="485"/>
      <c r="H4724" s="487">
        <f t="shared" ref="H4724:H4729" si="772">PRODUCT(D4724:G4724)</f>
        <v>18.225000000000001</v>
      </c>
    </row>
    <row r="4725" spans="1:8" s="948" customFormat="1">
      <c r="A4725" s="485"/>
      <c r="B4725" s="485"/>
      <c r="C4725" s="17" t="s">
        <v>10</v>
      </c>
      <c r="D4725" s="485">
        <v>1</v>
      </c>
      <c r="E4725" s="485">
        <v>0.314</v>
      </c>
      <c r="F4725" s="485">
        <v>2.7</v>
      </c>
      <c r="G4725" s="485"/>
      <c r="H4725" s="487">
        <f t="shared" si="772"/>
        <v>0.84780000000000011</v>
      </c>
    </row>
    <row r="4726" spans="1:8" s="948" customFormat="1">
      <c r="A4726" s="485"/>
      <c r="B4726" s="485"/>
      <c r="C4726" s="17" t="s">
        <v>10</v>
      </c>
      <c r="D4726" s="485">
        <v>1</v>
      </c>
      <c r="E4726" s="485">
        <v>15.4</v>
      </c>
      <c r="F4726" s="485">
        <v>0.2</v>
      </c>
      <c r="G4726" s="485"/>
      <c r="H4726" s="487">
        <f t="shared" si="772"/>
        <v>3.08</v>
      </c>
    </row>
    <row r="4727" spans="1:8" s="948" customFormat="1">
      <c r="A4727" s="485"/>
      <c r="B4727" s="485"/>
      <c r="C4727" s="17" t="s">
        <v>10</v>
      </c>
      <c r="D4727" s="485">
        <v>1</v>
      </c>
      <c r="E4727" s="485">
        <v>0.2</v>
      </c>
      <c r="F4727" s="485">
        <v>2.4</v>
      </c>
      <c r="G4727" s="485"/>
      <c r="H4727" s="487">
        <f t="shared" si="772"/>
        <v>0.48</v>
      </c>
    </row>
    <row r="4728" spans="1:8" s="948" customFormat="1">
      <c r="A4728" s="485"/>
      <c r="B4728" s="485"/>
      <c r="C4728" s="17" t="s">
        <v>10</v>
      </c>
      <c r="D4728" s="485">
        <v>1</v>
      </c>
      <c r="E4728" s="485">
        <v>0.4</v>
      </c>
      <c r="F4728" s="485">
        <v>2.4</v>
      </c>
      <c r="G4728" s="485"/>
      <c r="H4728" s="487">
        <f t="shared" si="772"/>
        <v>0.96</v>
      </c>
    </row>
    <row r="4729" spans="1:8" s="948" customFormat="1">
      <c r="A4729" s="485"/>
      <c r="B4729" s="485"/>
      <c r="C4729" s="17" t="s">
        <v>10</v>
      </c>
      <c r="D4729" s="485">
        <v>3</v>
      </c>
      <c r="E4729" s="485">
        <v>0.55000000000000004</v>
      </c>
      <c r="F4729" s="485">
        <v>2.4</v>
      </c>
      <c r="G4729" s="485"/>
      <c r="H4729" s="487">
        <f t="shared" si="772"/>
        <v>3.96</v>
      </c>
    </row>
    <row r="4730" spans="1:8" s="948" customFormat="1">
      <c r="A4730" s="485"/>
      <c r="B4730" s="485" t="s">
        <v>329</v>
      </c>
      <c r="C4730" s="17" t="s">
        <v>10</v>
      </c>
      <c r="D4730" s="485">
        <v>1</v>
      </c>
      <c r="E4730" s="485">
        <v>3.5</v>
      </c>
      <c r="F4730" s="485">
        <v>2.4</v>
      </c>
      <c r="G4730" s="485"/>
      <c r="H4730" s="487">
        <f t="shared" ref="H4730" si="773">PRODUCT(D4730:G4730)</f>
        <v>8.4</v>
      </c>
    </row>
    <row r="4731" spans="1:8" s="948" customFormat="1">
      <c r="A4731" s="485"/>
      <c r="B4731" s="485" t="s">
        <v>1301</v>
      </c>
      <c r="C4731" s="17" t="s">
        <v>10</v>
      </c>
      <c r="D4731" s="485">
        <v>2</v>
      </c>
      <c r="E4731" s="485">
        <v>0.15</v>
      </c>
      <c r="F4731" s="485">
        <v>2.7</v>
      </c>
      <c r="G4731" s="485"/>
      <c r="H4731" s="487">
        <f t="shared" ref="H4731" si="774">PRODUCT(D4731:G4731)</f>
        <v>0.81</v>
      </c>
    </row>
    <row r="4732" spans="1:8" s="948" customFormat="1">
      <c r="A4732" s="485"/>
      <c r="B4732" s="485"/>
      <c r="C4732" s="17" t="s">
        <v>10</v>
      </c>
      <c r="D4732" s="485">
        <v>1</v>
      </c>
      <c r="E4732" s="485">
        <v>2.8</v>
      </c>
      <c r="F4732" s="485">
        <v>2.4</v>
      </c>
      <c r="G4732" s="485"/>
      <c r="H4732" s="487">
        <f t="shared" ref="H4732:H4733" si="775">PRODUCT(D4732:G4732)</f>
        <v>6.72</v>
      </c>
    </row>
    <row r="4733" spans="1:8" s="948" customFormat="1">
      <c r="A4733" s="485"/>
      <c r="B4733" s="485" t="s">
        <v>1300</v>
      </c>
      <c r="C4733" s="17" t="s">
        <v>10</v>
      </c>
      <c r="D4733" s="485">
        <v>2</v>
      </c>
      <c r="E4733" s="485">
        <v>0.15</v>
      </c>
      <c r="F4733" s="485">
        <v>2.7</v>
      </c>
      <c r="G4733" s="485"/>
      <c r="H4733" s="487">
        <f t="shared" si="775"/>
        <v>0.81</v>
      </c>
    </row>
    <row r="4734" spans="1:8" s="948" customFormat="1">
      <c r="A4734" s="485"/>
      <c r="B4734" s="485"/>
      <c r="C4734" s="17" t="s">
        <v>10</v>
      </c>
      <c r="D4734" s="485">
        <v>1</v>
      </c>
      <c r="E4734" s="485">
        <v>2.8</v>
      </c>
      <c r="F4734" s="485">
        <v>2.4</v>
      </c>
      <c r="G4734" s="485"/>
      <c r="H4734" s="487">
        <f t="shared" ref="H4734:H4735" si="776">PRODUCT(D4734:G4734)</f>
        <v>6.72</v>
      </c>
    </row>
    <row r="4735" spans="1:8" s="948" customFormat="1">
      <c r="A4735" s="485"/>
      <c r="B4735" s="485" t="s">
        <v>1299</v>
      </c>
      <c r="C4735" s="17" t="s">
        <v>10</v>
      </c>
      <c r="D4735" s="485">
        <v>2</v>
      </c>
      <c r="E4735" s="485">
        <v>0.15</v>
      </c>
      <c r="F4735" s="485">
        <v>2.7</v>
      </c>
      <c r="G4735" s="485"/>
      <c r="H4735" s="487">
        <f t="shared" si="776"/>
        <v>0.81</v>
      </c>
    </row>
    <row r="4736" spans="1:8" s="948" customFormat="1">
      <c r="A4736" s="485"/>
      <c r="B4736" s="485"/>
      <c r="C4736" s="17" t="s">
        <v>10</v>
      </c>
      <c r="D4736" s="485">
        <v>1</v>
      </c>
      <c r="E4736" s="485">
        <v>2.8</v>
      </c>
      <c r="F4736" s="485">
        <v>2.4</v>
      </c>
      <c r="G4736" s="485"/>
      <c r="H4736" s="487">
        <f t="shared" ref="H4736" si="777">PRODUCT(D4736:G4736)</f>
        <v>6.72</v>
      </c>
    </row>
    <row r="4737" spans="1:8" s="948" customFormat="1">
      <c r="A4737" s="485"/>
      <c r="B4737" s="485" t="s">
        <v>191</v>
      </c>
      <c r="C4737" s="17" t="s">
        <v>10</v>
      </c>
      <c r="D4737" s="485">
        <v>1</v>
      </c>
      <c r="E4737" s="485">
        <v>8.1999999999999993</v>
      </c>
      <c r="F4737" s="485">
        <v>2.7</v>
      </c>
      <c r="G4737" s="485"/>
      <c r="H4737" s="487">
        <f t="shared" ref="H4737:H4740" si="778">PRODUCT(D4737:G4737)</f>
        <v>22.14</v>
      </c>
    </row>
    <row r="4738" spans="1:8" s="948" customFormat="1">
      <c r="A4738" s="485"/>
      <c r="B4738" s="485"/>
      <c r="C4738" s="17" t="s">
        <v>10</v>
      </c>
      <c r="D4738" s="485">
        <v>-1</v>
      </c>
      <c r="E4738" s="485">
        <v>7.2</v>
      </c>
      <c r="F4738" s="485">
        <v>2.1</v>
      </c>
      <c r="G4738" s="485"/>
      <c r="H4738" s="487">
        <f t="shared" si="778"/>
        <v>-15.120000000000001</v>
      </c>
    </row>
    <row r="4739" spans="1:8" s="948" customFormat="1">
      <c r="A4739" s="485"/>
      <c r="B4739" s="485"/>
      <c r="C4739" s="17" t="s">
        <v>10</v>
      </c>
      <c r="D4739" s="485">
        <v>1</v>
      </c>
      <c r="E4739" s="485">
        <v>2.02</v>
      </c>
      <c r="F4739" s="485">
        <v>2.7</v>
      </c>
      <c r="G4739" s="485"/>
      <c r="H4739" s="487">
        <f t="shared" si="778"/>
        <v>5.4540000000000006</v>
      </c>
    </row>
    <row r="4740" spans="1:8" s="948" customFormat="1">
      <c r="A4740" s="485"/>
      <c r="B4740" s="485"/>
      <c r="C4740" s="17" t="s">
        <v>10</v>
      </c>
      <c r="D4740" s="485">
        <v>1</v>
      </c>
      <c r="E4740" s="485">
        <v>0.27</v>
      </c>
      <c r="F4740" s="485">
        <v>2.7</v>
      </c>
      <c r="G4740" s="485"/>
      <c r="H4740" s="487">
        <f t="shared" si="778"/>
        <v>0.72900000000000009</v>
      </c>
    </row>
    <row r="4741" spans="1:8" s="948" customFormat="1">
      <c r="A4741" s="485"/>
      <c r="B4741" s="485"/>
      <c r="C4741" s="17" t="s">
        <v>10</v>
      </c>
      <c r="D4741" s="485">
        <v>1</v>
      </c>
      <c r="E4741" s="485">
        <v>5.83</v>
      </c>
      <c r="F4741" s="485">
        <v>2.7</v>
      </c>
      <c r="G4741" s="485"/>
      <c r="H4741" s="487">
        <f t="shared" ref="H4741:H4748" si="779">PRODUCT(D4741:G4741)</f>
        <v>15.741000000000001</v>
      </c>
    </row>
    <row r="4742" spans="1:8" s="948" customFormat="1">
      <c r="A4742" s="485"/>
      <c r="B4742" s="485"/>
      <c r="C4742" s="17" t="s">
        <v>10</v>
      </c>
      <c r="D4742" s="485">
        <v>-3</v>
      </c>
      <c r="E4742" s="485">
        <v>1.1599999999999999</v>
      </c>
      <c r="F4742" s="485">
        <v>2.4</v>
      </c>
      <c r="G4742" s="485"/>
      <c r="H4742" s="487">
        <f t="shared" si="779"/>
        <v>-8.3519999999999985</v>
      </c>
    </row>
    <row r="4743" spans="1:8" s="948" customFormat="1">
      <c r="A4743" s="485"/>
      <c r="B4743" s="485"/>
      <c r="C4743" s="17" t="s">
        <v>10</v>
      </c>
      <c r="D4743" s="485">
        <v>1</v>
      </c>
      <c r="E4743" s="485">
        <v>1.88</v>
      </c>
      <c r="F4743" s="485">
        <v>2.7</v>
      </c>
      <c r="G4743" s="485"/>
      <c r="H4743" s="487">
        <f t="shared" si="779"/>
        <v>5.0759999999999996</v>
      </c>
    </row>
    <row r="4744" spans="1:8" s="948" customFormat="1">
      <c r="A4744" s="485"/>
      <c r="B4744" s="485"/>
      <c r="C4744" s="17" t="s">
        <v>10</v>
      </c>
      <c r="D4744" s="485">
        <v>1</v>
      </c>
      <c r="E4744" s="485">
        <v>2.1</v>
      </c>
      <c r="F4744" s="485">
        <v>2.7</v>
      </c>
      <c r="G4744" s="485"/>
      <c r="H4744" s="487">
        <f t="shared" si="779"/>
        <v>5.6700000000000008</v>
      </c>
    </row>
    <row r="4745" spans="1:8" s="948" customFormat="1">
      <c r="A4745" s="485"/>
      <c r="B4745" s="485"/>
      <c r="C4745" s="17" t="s">
        <v>10</v>
      </c>
      <c r="D4745" s="485">
        <v>1</v>
      </c>
      <c r="E4745" s="485">
        <v>0.314</v>
      </c>
      <c r="F4745" s="485">
        <v>2.7</v>
      </c>
      <c r="G4745" s="485"/>
      <c r="H4745" s="487">
        <f t="shared" si="779"/>
        <v>0.84780000000000011</v>
      </c>
    </row>
    <row r="4746" spans="1:8" s="948" customFormat="1">
      <c r="A4746" s="485"/>
      <c r="B4746" s="485"/>
      <c r="C4746" s="17" t="s">
        <v>10</v>
      </c>
      <c r="D4746" s="485">
        <v>4</v>
      </c>
      <c r="E4746" s="485">
        <v>0.15</v>
      </c>
      <c r="F4746" s="485">
        <v>2.7</v>
      </c>
      <c r="G4746" s="485"/>
      <c r="H4746" s="487">
        <f t="shared" si="779"/>
        <v>1.62</v>
      </c>
    </row>
    <row r="4747" spans="1:8" s="948" customFormat="1">
      <c r="A4747" s="485"/>
      <c r="B4747" s="485"/>
      <c r="C4747" s="17" t="s">
        <v>10</v>
      </c>
      <c r="D4747" s="485">
        <v>2</v>
      </c>
      <c r="E4747" s="485">
        <v>1.1599999999999999</v>
      </c>
      <c r="F4747" s="485">
        <v>0.2</v>
      </c>
      <c r="G4747" s="485"/>
      <c r="H4747" s="487">
        <f t="shared" si="779"/>
        <v>0.46399999999999997</v>
      </c>
    </row>
    <row r="4748" spans="1:8" s="948" customFormat="1">
      <c r="A4748" s="485"/>
      <c r="B4748" s="485"/>
      <c r="C4748" s="17" t="s">
        <v>10</v>
      </c>
      <c r="D4748" s="485">
        <v>1</v>
      </c>
      <c r="E4748" s="485">
        <v>1.1000000000000001</v>
      </c>
      <c r="F4748" s="485">
        <v>0.2</v>
      </c>
      <c r="G4748" s="485"/>
      <c r="H4748" s="487">
        <f t="shared" si="779"/>
        <v>0.22000000000000003</v>
      </c>
    </row>
    <row r="4749" spans="1:8" s="948" customFormat="1">
      <c r="A4749" s="485"/>
      <c r="B4749" s="485" t="s">
        <v>2194</v>
      </c>
      <c r="C4749" s="17" t="s">
        <v>10</v>
      </c>
      <c r="D4749" s="485">
        <v>1</v>
      </c>
      <c r="E4749" s="485">
        <v>16.3</v>
      </c>
      <c r="F4749" s="485">
        <v>0.2</v>
      </c>
      <c r="G4749" s="485"/>
      <c r="H4749" s="487">
        <f t="shared" ref="H4749:H4764" si="780">PRODUCT(D4749:G4749)</f>
        <v>3.2600000000000002</v>
      </c>
    </row>
    <row r="4750" spans="1:8" s="948" customFormat="1">
      <c r="A4750" s="485"/>
      <c r="B4750" s="485"/>
      <c r="C4750" s="17" t="s">
        <v>10</v>
      </c>
      <c r="D4750" s="485">
        <v>1</v>
      </c>
      <c r="E4750" s="485">
        <v>0.2</v>
      </c>
      <c r="F4750" s="485">
        <v>2.4</v>
      </c>
      <c r="G4750" s="485"/>
      <c r="H4750" s="487">
        <f t="shared" si="780"/>
        <v>0.48</v>
      </c>
    </row>
    <row r="4751" spans="1:8" s="948" customFormat="1">
      <c r="A4751" s="485"/>
      <c r="B4751" s="485"/>
      <c r="C4751" s="17" t="s">
        <v>10</v>
      </c>
      <c r="D4751" s="485">
        <v>2</v>
      </c>
      <c r="E4751" s="485">
        <v>0.55000000000000004</v>
      </c>
      <c r="F4751" s="485">
        <v>2.4</v>
      </c>
      <c r="G4751" s="485"/>
      <c r="H4751" s="487">
        <f t="shared" si="780"/>
        <v>2.64</v>
      </c>
    </row>
    <row r="4752" spans="1:8" s="948" customFormat="1">
      <c r="A4752" s="485"/>
      <c r="B4752" s="485"/>
      <c r="C4752" s="17" t="s">
        <v>10</v>
      </c>
      <c r="D4752" s="485">
        <v>1</v>
      </c>
      <c r="E4752" s="485">
        <v>1.7</v>
      </c>
      <c r="F4752" s="485">
        <v>2.4</v>
      </c>
      <c r="G4752" s="485"/>
      <c r="H4752" s="487">
        <f t="shared" si="780"/>
        <v>4.08</v>
      </c>
    </row>
    <row r="4753" spans="1:8" s="948" customFormat="1">
      <c r="A4753" s="485"/>
      <c r="B4753" s="485"/>
      <c r="C4753" s="17" t="s">
        <v>10</v>
      </c>
      <c r="D4753" s="485">
        <v>1</v>
      </c>
      <c r="E4753" s="485">
        <v>0.314</v>
      </c>
      <c r="F4753" s="485">
        <v>2.7</v>
      </c>
      <c r="G4753" s="485"/>
      <c r="H4753" s="487">
        <f t="shared" si="780"/>
        <v>0.84780000000000011</v>
      </c>
    </row>
    <row r="4754" spans="1:8" s="948" customFormat="1">
      <c r="A4754" s="485"/>
      <c r="B4754" s="485"/>
      <c r="C4754" s="17" t="s">
        <v>10</v>
      </c>
      <c r="D4754" s="485">
        <v>1</v>
      </c>
      <c r="E4754" s="485">
        <v>13.1</v>
      </c>
      <c r="F4754" s="485">
        <v>2.7</v>
      </c>
      <c r="G4754" s="485"/>
      <c r="H4754" s="487">
        <f t="shared" si="780"/>
        <v>35.370000000000005</v>
      </c>
    </row>
    <row r="4755" spans="1:8" s="948" customFormat="1">
      <c r="A4755" s="485"/>
      <c r="B4755" s="485"/>
      <c r="C4755" s="17" t="s">
        <v>10</v>
      </c>
      <c r="D4755" s="485">
        <v>4</v>
      </c>
      <c r="E4755" s="485">
        <v>0.314</v>
      </c>
      <c r="F4755" s="485">
        <v>2.7</v>
      </c>
      <c r="G4755" s="485"/>
      <c r="H4755" s="487">
        <f t="shared" si="780"/>
        <v>3.3912000000000004</v>
      </c>
    </row>
    <row r="4756" spans="1:8" s="948" customFormat="1">
      <c r="A4756" s="485"/>
      <c r="B4756" s="485"/>
      <c r="C4756" s="17" t="s">
        <v>10</v>
      </c>
      <c r="D4756" s="485">
        <v>1</v>
      </c>
      <c r="E4756" s="485">
        <v>16.05</v>
      </c>
      <c r="F4756" s="485">
        <v>0.2</v>
      </c>
      <c r="G4756" s="485"/>
      <c r="H4756" s="487">
        <f t="shared" si="780"/>
        <v>3.2100000000000004</v>
      </c>
    </row>
    <row r="4757" spans="1:8" s="948" customFormat="1">
      <c r="A4757" s="485"/>
      <c r="B4757" s="485"/>
      <c r="C4757" s="17" t="s">
        <v>10</v>
      </c>
      <c r="D4757" s="485">
        <v>1</v>
      </c>
      <c r="E4757" s="485">
        <v>2.63</v>
      </c>
      <c r="F4757" s="485">
        <v>2.4</v>
      </c>
      <c r="G4757" s="485"/>
      <c r="H4757" s="487">
        <f t="shared" si="780"/>
        <v>6.3119999999999994</v>
      </c>
    </row>
    <row r="4758" spans="1:8" s="948" customFormat="1">
      <c r="A4758" s="485"/>
      <c r="B4758" s="485"/>
      <c r="C4758" s="17" t="s">
        <v>10</v>
      </c>
      <c r="D4758" s="485">
        <v>1</v>
      </c>
      <c r="E4758" s="485">
        <v>3.45</v>
      </c>
      <c r="F4758" s="485">
        <v>2.4</v>
      </c>
      <c r="G4758" s="485"/>
      <c r="H4758" s="487">
        <f t="shared" si="780"/>
        <v>8.2799999999999994</v>
      </c>
    </row>
    <row r="4759" spans="1:8" s="948" customFormat="1">
      <c r="A4759" s="485"/>
      <c r="B4759" s="485"/>
      <c r="C4759" s="17" t="s">
        <v>10</v>
      </c>
      <c r="D4759" s="485">
        <v>1</v>
      </c>
      <c r="E4759" s="485">
        <v>8.6</v>
      </c>
      <c r="F4759" s="485">
        <v>0.2</v>
      </c>
      <c r="G4759" s="485"/>
      <c r="H4759" s="487">
        <f t="shared" si="780"/>
        <v>1.72</v>
      </c>
    </row>
    <row r="4760" spans="1:8" s="948" customFormat="1">
      <c r="A4760" s="485"/>
      <c r="B4760" s="485"/>
      <c r="C4760" s="17" t="s">
        <v>10</v>
      </c>
      <c r="D4760" s="485">
        <v>2</v>
      </c>
      <c r="E4760" s="485">
        <v>1.2</v>
      </c>
      <c r="F4760" s="485">
        <v>2.4</v>
      </c>
      <c r="G4760" s="485"/>
      <c r="H4760" s="487">
        <f t="shared" si="780"/>
        <v>5.76</v>
      </c>
    </row>
    <row r="4761" spans="1:8" s="948" customFormat="1">
      <c r="A4761" s="485"/>
      <c r="B4761" s="485"/>
      <c r="C4761" s="17" t="s">
        <v>10</v>
      </c>
      <c r="D4761" s="485">
        <v>1</v>
      </c>
      <c r="E4761" s="485">
        <v>1.05</v>
      </c>
      <c r="F4761" s="485">
        <v>2.4</v>
      </c>
      <c r="G4761" s="485"/>
      <c r="H4761" s="487">
        <f t="shared" si="780"/>
        <v>2.52</v>
      </c>
    </row>
    <row r="4762" spans="1:8" s="948" customFormat="1">
      <c r="A4762" s="485"/>
      <c r="B4762" s="485"/>
      <c r="C4762" s="17" t="s">
        <v>10</v>
      </c>
      <c r="D4762" s="485">
        <v>1</v>
      </c>
      <c r="E4762" s="485">
        <v>0.4</v>
      </c>
      <c r="F4762" s="485">
        <v>2.4</v>
      </c>
      <c r="G4762" s="485"/>
      <c r="H4762" s="487">
        <f t="shared" si="780"/>
        <v>0.96</v>
      </c>
    </row>
    <row r="4763" spans="1:8" s="948" customFormat="1">
      <c r="A4763" s="485"/>
      <c r="B4763" s="485"/>
      <c r="C4763" s="17" t="s">
        <v>10</v>
      </c>
      <c r="D4763" s="485">
        <v>1</v>
      </c>
      <c r="E4763" s="485">
        <v>0.55000000000000004</v>
      </c>
      <c r="F4763" s="485">
        <v>2.4</v>
      </c>
      <c r="G4763" s="485"/>
      <c r="H4763" s="487">
        <f t="shared" si="780"/>
        <v>1.32</v>
      </c>
    </row>
    <row r="4764" spans="1:8" s="948" customFormat="1">
      <c r="A4764" s="485"/>
      <c r="B4764" s="485"/>
      <c r="C4764" s="17" t="s">
        <v>10</v>
      </c>
      <c r="D4764" s="485">
        <v>1</v>
      </c>
      <c r="E4764" s="485">
        <v>0.2</v>
      </c>
      <c r="F4764" s="485">
        <v>2.4</v>
      </c>
      <c r="G4764" s="485"/>
      <c r="H4764" s="487">
        <f t="shared" si="780"/>
        <v>0.48</v>
      </c>
    </row>
    <row r="4765" spans="1:8" s="948" customFormat="1">
      <c r="A4765" s="485"/>
      <c r="B4765" s="485" t="s">
        <v>202</v>
      </c>
      <c r="C4765" s="17" t="s">
        <v>10</v>
      </c>
      <c r="D4765" s="485">
        <v>2</v>
      </c>
      <c r="E4765" s="485">
        <v>0.15</v>
      </c>
      <c r="F4765" s="485">
        <v>2.4</v>
      </c>
      <c r="G4765" s="485"/>
      <c r="H4765" s="487">
        <f t="shared" ref="H4765" si="781">PRODUCT(D4765:G4765)</f>
        <v>0.72</v>
      </c>
    </row>
    <row r="4766" spans="1:8" s="948" customFormat="1">
      <c r="A4766" s="485"/>
      <c r="B4766" s="485"/>
      <c r="C4766" s="17" t="s">
        <v>10</v>
      </c>
      <c r="D4766" s="485">
        <v>1</v>
      </c>
      <c r="E4766" s="485">
        <v>3.55</v>
      </c>
      <c r="F4766" s="485">
        <v>0.2</v>
      </c>
      <c r="G4766" s="485"/>
      <c r="H4766" s="487">
        <f t="shared" ref="H4766" si="782">PRODUCT(D4766:G4766)</f>
        <v>0.71</v>
      </c>
    </row>
    <row r="4767" spans="1:8" s="948" customFormat="1">
      <c r="A4767" s="485"/>
      <c r="B4767" s="485" t="s">
        <v>206</v>
      </c>
      <c r="C4767" s="17" t="s">
        <v>10</v>
      </c>
      <c r="D4767" s="485">
        <v>2</v>
      </c>
      <c r="E4767" s="485">
        <v>6.6</v>
      </c>
      <c r="F4767" s="485">
        <v>2.7</v>
      </c>
      <c r="G4767" s="485"/>
      <c r="H4767" s="487">
        <f t="shared" ref="H4767:H4769" si="783">PRODUCT(D4767:G4767)</f>
        <v>35.64</v>
      </c>
    </row>
    <row r="4768" spans="1:8" s="948" customFormat="1">
      <c r="A4768" s="485"/>
      <c r="B4768" s="485"/>
      <c r="C4768" s="17" t="s">
        <v>10</v>
      </c>
      <c r="D4768" s="485">
        <v>2</v>
      </c>
      <c r="E4768" s="485">
        <v>0.15</v>
      </c>
      <c r="F4768" s="485">
        <v>2.7</v>
      </c>
      <c r="G4768" s="485"/>
      <c r="H4768" s="487">
        <f t="shared" si="783"/>
        <v>0.81</v>
      </c>
    </row>
    <row r="4769" spans="1:8" s="948" customFormat="1">
      <c r="A4769" s="485"/>
      <c r="B4769" s="485"/>
      <c r="C4769" s="17" t="s">
        <v>10</v>
      </c>
      <c r="D4769" s="485">
        <v>1</v>
      </c>
      <c r="E4769" s="485">
        <v>3</v>
      </c>
      <c r="F4769" s="485">
        <v>0.2</v>
      </c>
      <c r="G4769" s="485"/>
      <c r="H4769" s="487">
        <f t="shared" si="783"/>
        <v>0.60000000000000009</v>
      </c>
    </row>
    <row r="4770" spans="1:8" s="948" customFormat="1">
      <c r="A4770" s="485"/>
      <c r="B4770" s="485" t="s">
        <v>2141</v>
      </c>
      <c r="C4770" s="17" t="s">
        <v>10</v>
      </c>
      <c r="D4770" s="485">
        <v>2</v>
      </c>
      <c r="E4770" s="485">
        <v>6.6</v>
      </c>
      <c r="F4770" s="485">
        <v>2.7</v>
      </c>
      <c r="G4770" s="485"/>
      <c r="H4770" s="487">
        <f t="shared" ref="H4770:H4772" si="784">PRODUCT(D4770:G4770)</f>
        <v>35.64</v>
      </c>
    </row>
    <row r="4771" spans="1:8" s="948" customFormat="1">
      <c r="A4771" s="485"/>
      <c r="B4771" s="485"/>
      <c r="C4771" s="17" t="s">
        <v>10</v>
      </c>
      <c r="D4771" s="485">
        <v>2</v>
      </c>
      <c r="E4771" s="485">
        <v>0.15</v>
      </c>
      <c r="F4771" s="485">
        <v>2.7</v>
      </c>
      <c r="G4771" s="485"/>
      <c r="H4771" s="487">
        <f t="shared" si="784"/>
        <v>0.81</v>
      </c>
    </row>
    <row r="4772" spans="1:8" s="948" customFormat="1">
      <c r="A4772" s="485"/>
      <c r="B4772" s="485"/>
      <c r="C4772" s="17" t="s">
        <v>10</v>
      </c>
      <c r="D4772" s="485">
        <v>1</v>
      </c>
      <c r="E4772" s="485">
        <v>3</v>
      </c>
      <c r="F4772" s="485">
        <v>0.2</v>
      </c>
      <c r="G4772" s="485"/>
      <c r="H4772" s="487">
        <f t="shared" si="784"/>
        <v>0.60000000000000009</v>
      </c>
    </row>
    <row r="4773" spans="1:8" s="948" customFormat="1">
      <c r="A4773" s="485"/>
      <c r="B4773" s="485" t="s">
        <v>2141</v>
      </c>
      <c r="C4773" s="17" t="s">
        <v>10</v>
      </c>
      <c r="D4773" s="485">
        <v>2</v>
      </c>
      <c r="E4773" s="485">
        <v>0.15</v>
      </c>
      <c r="F4773" s="485">
        <v>2.7</v>
      </c>
      <c r="G4773" s="485"/>
      <c r="H4773" s="487">
        <f t="shared" ref="H4773:H4774" si="785">PRODUCT(D4773:G4773)</f>
        <v>0.81</v>
      </c>
    </row>
    <row r="4774" spans="1:8" s="948" customFormat="1">
      <c r="A4774" s="485"/>
      <c r="B4774" s="485"/>
      <c r="C4774" s="17" t="s">
        <v>10</v>
      </c>
      <c r="D4774" s="485">
        <v>1</v>
      </c>
      <c r="E4774" s="485">
        <v>2.8</v>
      </c>
      <c r="F4774" s="485">
        <v>0.2</v>
      </c>
      <c r="G4774" s="485"/>
      <c r="H4774" s="487">
        <f t="shared" si="785"/>
        <v>0.55999999999999994</v>
      </c>
    </row>
    <row r="4775" spans="1:8" s="948" customFormat="1">
      <c r="A4775" s="485"/>
      <c r="B4775" s="485" t="s">
        <v>1217</v>
      </c>
      <c r="C4775" s="17" t="s">
        <v>10</v>
      </c>
      <c r="D4775" s="485">
        <v>2</v>
      </c>
      <c r="E4775" s="485">
        <v>0.15</v>
      </c>
      <c r="F4775" s="485">
        <v>2.7</v>
      </c>
      <c r="G4775" s="485"/>
      <c r="H4775" s="487">
        <f t="shared" ref="H4775" si="786">PRODUCT(D4775:G4775)</f>
        <v>0.81</v>
      </c>
    </row>
    <row r="4776" spans="1:8" s="948" customFormat="1">
      <c r="A4776" s="485"/>
      <c r="B4776" s="485"/>
      <c r="C4776" s="17" t="s">
        <v>10</v>
      </c>
      <c r="D4776" s="485">
        <v>1</v>
      </c>
      <c r="E4776" s="485">
        <v>10.199999999999999</v>
      </c>
      <c r="F4776" s="485">
        <v>0.2</v>
      </c>
      <c r="G4776" s="485"/>
      <c r="H4776" s="487">
        <f t="shared" ref="H4776" si="787">PRODUCT(D4776:G4776)</f>
        <v>2.04</v>
      </c>
    </row>
    <row r="4777" spans="1:8" s="948" customFormat="1">
      <c r="A4777" s="485"/>
      <c r="B4777" s="485" t="s">
        <v>205</v>
      </c>
      <c r="C4777" s="17" t="s">
        <v>10</v>
      </c>
      <c r="D4777" s="485">
        <v>1</v>
      </c>
      <c r="E4777" s="485">
        <v>10.8</v>
      </c>
      <c r="F4777" s="485">
        <v>1.1000000000000001</v>
      </c>
      <c r="G4777" s="485"/>
      <c r="H4777" s="487">
        <f t="shared" ref="H4777" si="788">PRODUCT(D4777:G4777)</f>
        <v>11.880000000000003</v>
      </c>
    </row>
    <row r="4778" spans="1:8" s="948" customFormat="1">
      <c r="A4778" s="485"/>
      <c r="B4778" s="485"/>
      <c r="C4778" s="17" t="s">
        <v>10</v>
      </c>
      <c r="D4778" s="485">
        <v>1</v>
      </c>
      <c r="E4778" s="485">
        <v>5.25</v>
      </c>
      <c r="F4778" s="485">
        <v>1.1000000000000001</v>
      </c>
      <c r="G4778" s="485"/>
      <c r="H4778" s="487">
        <f t="shared" ref="H4778" si="789">PRODUCT(D4778:G4778)</f>
        <v>5.7750000000000004</v>
      </c>
    </row>
    <row r="4779" spans="1:8" s="948" customFormat="1">
      <c r="A4779" s="485"/>
      <c r="B4779" s="485"/>
      <c r="C4779" s="17" t="s">
        <v>10</v>
      </c>
      <c r="D4779" s="485">
        <v>1</v>
      </c>
      <c r="E4779" s="485">
        <v>5.25</v>
      </c>
      <c r="F4779" s="485">
        <v>2.7</v>
      </c>
      <c r="G4779" s="485"/>
      <c r="H4779" s="487">
        <f t="shared" ref="H4779" si="790">PRODUCT(D4779:G4779)</f>
        <v>14.175000000000001</v>
      </c>
    </row>
    <row r="4780" spans="1:8" s="948" customFormat="1">
      <c r="A4780" s="485"/>
      <c r="B4780" s="485"/>
      <c r="C4780" s="17" t="s">
        <v>10</v>
      </c>
      <c r="D4780" s="485">
        <v>1</v>
      </c>
      <c r="E4780" s="485">
        <v>1.83</v>
      </c>
      <c r="F4780" s="485">
        <v>2.7</v>
      </c>
      <c r="G4780" s="485"/>
      <c r="H4780" s="487">
        <f t="shared" ref="H4780" si="791">PRODUCT(D4780:G4780)</f>
        <v>4.9410000000000007</v>
      </c>
    </row>
    <row r="4781" spans="1:8" s="948" customFormat="1">
      <c r="A4781" s="485"/>
      <c r="B4781" s="485"/>
      <c r="C4781" s="17" t="s">
        <v>10</v>
      </c>
      <c r="D4781" s="485">
        <v>1</v>
      </c>
      <c r="E4781" s="485">
        <v>1.6</v>
      </c>
      <c r="F4781" s="485">
        <v>2.7</v>
      </c>
      <c r="G4781" s="485"/>
      <c r="H4781" s="487">
        <f t="shared" ref="H4781:H4782" si="792">PRODUCT(D4781:G4781)</f>
        <v>4.32</v>
      </c>
    </row>
    <row r="4782" spans="1:8" s="948" customFormat="1">
      <c r="A4782" s="485"/>
      <c r="B4782" s="485"/>
      <c r="C4782" s="17" t="s">
        <v>10</v>
      </c>
      <c r="D4782" s="485">
        <v>-2</v>
      </c>
      <c r="E4782" s="485">
        <v>1</v>
      </c>
      <c r="F4782" s="485">
        <v>2.4</v>
      </c>
      <c r="G4782" s="485"/>
      <c r="H4782" s="487">
        <f t="shared" si="792"/>
        <v>-4.8</v>
      </c>
    </row>
    <row r="4783" spans="1:8" s="948" customFormat="1">
      <c r="A4783" s="485"/>
      <c r="B4783" s="485" t="s">
        <v>1173</v>
      </c>
      <c r="C4783" s="17" t="s">
        <v>10</v>
      </c>
      <c r="D4783" s="485">
        <f>2</f>
        <v>2</v>
      </c>
      <c r="E4783" s="485">
        <f>2.5+0.9</f>
        <v>3.4</v>
      </c>
      <c r="F4783" s="485">
        <v>2.7</v>
      </c>
      <c r="G4783" s="485"/>
      <c r="H4783" s="487">
        <f t="shared" ref="H4783" si="793">PRODUCT(D4783:G4783)</f>
        <v>18.36</v>
      </c>
    </row>
    <row r="4784" spans="1:8" s="948" customFormat="1">
      <c r="A4784" s="485"/>
      <c r="B4784" s="485" t="s">
        <v>215</v>
      </c>
      <c r="C4784" s="17" t="s">
        <v>10</v>
      </c>
      <c r="D4784" s="485">
        <v>1</v>
      </c>
      <c r="E4784" s="485">
        <v>6.3</v>
      </c>
      <c r="F4784" s="485">
        <v>1.1000000000000001</v>
      </c>
      <c r="G4784" s="485"/>
      <c r="H4784" s="487">
        <f t="shared" ref="H4784" si="794">PRODUCT(D4784:G4784)</f>
        <v>6.9300000000000006</v>
      </c>
    </row>
    <row r="4785" spans="1:8" s="948" customFormat="1">
      <c r="A4785" s="485"/>
      <c r="B4785" s="485"/>
      <c r="C4785" s="17" t="s">
        <v>10</v>
      </c>
      <c r="D4785" s="485">
        <v>2</v>
      </c>
      <c r="E4785" s="485">
        <v>5.25</v>
      </c>
      <c r="F4785" s="485">
        <v>2.7</v>
      </c>
      <c r="G4785" s="485"/>
      <c r="H4785" s="487">
        <f t="shared" ref="H4785:H4786" si="795">PRODUCT(D4785:G4785)</f>
        <v>28.35</v>
      </c>
    </row>
    <row r="4786" spans="1:8" s="948" customFormat="1">
      <c r="A4786" s="485"/>
      <c r="B4786" s="485" t="s">
        <v>214</v>
      </c>
      <c r="C4786" s="17" t="s">
        <v>10</v>
      </c>
      <c r="D4786" s="485">
        <v>2</v>
      </c>
      <c r="E4786" s="485">
        <v>3.8</v>
      </c>
      <c r="F4786" s="485">
        <v>2.7</v>
      </c>
      <c r="G4786" s="485"/>
      <c r="H4786" s="487">
        <f t="shared" si="795"/>
        <v>20.52</v>
      </c>
    </row>
    <row r="4787" spans="1:8" s="948" customFormat="1">
      <c r="A4787" s="485"/>
      <c r="B4787" s="485"/>
      <c r="C4787" s="17" t="s">
        <v>10</v>
      </c>
      <c r="D4787" s="485">
        <v>1</v>
      </c>
      <c r="E4787" s="485">
        <v>0.65</v>
      </c>
      <c r="F4787" s="485">
        <v>2.7</v>
      </c>
      <c r="G4787" s="485"/>
      <c r="H4787" s="487">
        <f t="shared" ref="H4787:H4790" si="796">PRODUCT(D4787:G4787)</f>
        <v>1.7550000000000001</v>
      </c>
    </row>
    <row r="4788" spans="1:8" s="948" customFormat="1">
      <c r="A4788" s="485"/>
      <c r="B4788" s="485"/>
      <c r="C4788" s="17" t="s">
        <v>10</v>
      </c>
      <c r="D4788" s="485">
        <v>1</v>
      </c>
      <c r="E4788" s="485">
        <v>0.15</v>
      </c>
      <c r="F4788" s="485">
        <v>2.7</v>
      </c>
      <c r="G4788" s="485"/>
      <c r="H4788" s="487">
        <f t="shared" si="796"/>
        <v>0.40500000000000003</v>
      </c>
    </row>
    <row r="4789" spans="1:8" s="948" customFormat="1">
      <c r="A4789" s="485"/>
      <c r="B4789" s="485"/>
      <c r="C4789" s="17" t="s">
        <v>10</v>
      </c>
      <c r="D4789" s="485">
        <v>1</v>
      </c>
      <c r="E4789" s="485">
        <v>5.45</v>
      </c>
      <c r="F4789" s="485">
        <v>0.2</v>
      </c>
      <c r="G4789" s="485"/>
      <c r="H4789" s="487">
        <f t="shared" si="796"/>
        <v>1.0900000000000001</v>
      </c>
    </row>
    <row r="4790" spans="1:8" s="948" customFormat="1">
      <c r="A4790" s="485"/>
      <c r="B4790" s="485"/>
      <c r="C4790" s="17" t="s">
        <v>10</v>
      </c>
      <c r="D4790" s="485">
        <v>1</v>
      </c>
      <c r="E4790" s="485">
        <v>0.15</v>
      </c>
      <c r="F4790" s="485">
        <v>2.7</v>
      </c>
      <c r="G4790" s="485"/>
      <c r="H4790" s="487">
        <f t="shared" si="796"/>
        <v>0.40500000000000003</v>
      </c>
    </row>
    <row r="4791" spans="1:8" s="948" customFormat="1">
      <c r="A4791" s="485"/>
      <c r="B4791" s="485"/>
      <c r="C4791" s="17" t="s">
        <v>10</v>
      </c>
      <c r="D4791" s="485">
        <v>1</v>
      </c>
      <c r="E4791" s="485">
        <v>0.65</v>
      </c>
      <c r="F4791" s="485">
        <v>2.7</v>
      </c>
      <c r="G4791" s="485"/>
      <c r="H4791" s="487">
        <f t="shared" ref="H4791:H4792" si="797">PRODUCT(D4791:G4791)</f>
        <v>1.7550000000000001</v>
      </c>
    </row>
    <row r="4792" spans="1:8" s="948" customFormat="1">
      <c r="A4792" s="485"/>
      <c r="B4792" s="485"/>
      <c r="C4792" s="17" t="s">
        <v>10</v>
      </c>
      <c r="D4792" s="485">
        <v>1</v>
      </c>
      <c r="E4792" s="485">
        <v>0.34</v>
      </c>
      <c r="F4792" s="485">
        <v>2.7</v>
      </c>
      <c r="G4792" s="485"/>
      <c r="H4792" s="487">
        <f t="shared" si="797"/>
        <v>0.91800000000000015</v>
      </c>
    </row>
    <row r="4793" spans="1:8" s="948" customFormat="1">
      <c r="A4793" s="485"/>
      <c r="B4793" s="485"/>
      <c r="C4793" s="17" t="s">
        <v>10</v>
      </c>
      <c r="D4793" s="485">
        <v>1</v>
      </c>
      <c r="E4793" s="485">
        <v>5.45</v>
      </c>
      <c r="F4793" s="485">
        <v>0.2</v>
      </c>
      <c r="G4793" s="485"/>
      <c r="H4793" s="487">
        <f t="shared" ref="H4793" si="798">PRODUCT(D4793:G4793)</f>
        <v>1.0900000000000001</v>
      </c>
    </row>
    <row r="4794" spans="1:8" s="948" customFormat="1">
      <c r="A4794" s="485"/>
      <c r="B4794" s="485"/>
      <c r="C4794" s="17" t="s">
        <v>10</v>
      </c>
      <c r="D4794" s="485">
        <v>1</v>
      </c>
      <c r="E4794" s="485">
        <v>5.9</v>
      </c>
      <c r="F4794" s="485">
        <v>2.7</v>
      </c>
      <c r="G4794" s="485"/>
      <c r="H4794" s="487">
        <f t="shared" ref="H4794:H4797" si="799">PRODUCT(D4794:G4794)</f>
        <v>15.930000000000001</v>
      </c>
    </row>
    <row r="4795" spans="1:8" s="948" customFormat="1">
      <c r="A4795" s="485"/>
      <c r="B4795" s="485"/>
      <c r="C4795" s="17" t="s">
        <v>10</v>
      </c>
      <c r="D4795" s="485">
        <v>1</v>
      </c>
      <c r="E4795" s="485">
        <v>1.5</v>
      </c>
      <c r="F4795" s="485">
        <v>2.7</v>
      </c>
      <c r="G4795" s="485"/>
      <c r="H4795" s="487">
        <f t="shared" si="799"/>
        <v>4.0500000000000007</v>
      </c>
    </row>
    <row r="4796" spans="1:8" s="948" customFormat="1">
      <c r="A4796" s="485"/>
      <c r="B4796" s="485"/>
      <c r="C4796" s="17" t="s">
        <v>10</v>
      </c>
      <c r="D4796" s="485">
        <v>-1</v>
      </c>
      <c r="E4796" s="485">
        <v>1</v>
      </c>
      <c r="F4796" s="485">
        <v>2.4</v>
      </c>
      <c r="G4796" s="485"/>
      <c r="H4796" s="487">
        <f t="shared" si="799"/>
        <v>-2.4</v>
      </c>
    </row>
    <row r="4797" spans="1:8" s="948" customFormat="1">
      <c r="A4797" s="485"/>
      <c r="B4797" s="485" t="s">
        <v>191</v>
      </c>
      <c r="C4797" s="17" t="s">
        <v>10</v>
      </c>
      <c r="D4797" s="485">
        <v>1</v>
      </c>
      <c r="E4797" s="485">
        <v>3.9</v>
      </c>
      <c r="F4797" s="485">
        <v>2.7</v>
      </c>
      <c r="G4797" s="485"/>
      <c r="H4797" s="487">
        <f t="shared" si="799"/>
        <v>10.530000000000001</v>
      </c>
    </row>
    <row r="4798" spans="1:8" s="948" customFormat="1">
      <c r="A4798" s="485"/>
      <c r="B4798" s="485"/>
      <c r="C4798" s="17" t="s">
        <v>10</v>
      </c>
      <c r="D4798" s="485">
        <v>-2</v>
      </c>
      <c r="E4798" s="485">
        <v>1.85</v>
      </c>
      <c r="F4798" s="485">
        <v>2.4</v>
      </c>
      <c r="G4798" s="485"/>
      <c r="H4798" s="487">
        <f t="shared" ref="H4798:H4802" si="800">PRODUCT(D4798:G4798)</f>
        <v>-8.8800000000000008</v>
      </c>
    </row>
    <row r="4799" spans="1:8" s="948" customFormat="1">
      <c r="A4799" s="485"/>
      <c r="B4799" s="485"/>
      <c r="C4799" s="17" t="s">
        <v>10</v>
      </c>
      <c r="D4799" s="485">
        <v>1</v>
      </c>
      <c r="E4799" s="485">
        <v>0.47</v>
      </c>
      <c r="F4799" s="485">
        <v>2.7</v>
      </c>
      <c r="G4799" s="485"/>
      <c r="H4799" s="487">
        <f t="shared" si="800"/>
        <v>1.2689999999999999</v>
      </c>
    </row>
    <row r="4800" spans="1:8" s="948" customFormat="1">
      <c r="A4800" s="485"/>
      <c r="B4800" s="485"/>
      <c r="C4800" s="17" t="s">
        <v>10</v>
      </c>
      <c r="D4800" s="485">
        <v>1</v>
      </c>
      <c r="E4800" s="485">
        <v>1.6</v>
      </c>
      <c r="F4800" s="485">
        <v>2.7</v>
      </c>
      <c r="G4800" s="485"/>
      <c r="H4800" s="487">
        <f t="shared" si="800"/>
        <v>4.32</v>
      </c>
    </row>
    <row r="4801" spans="1:8" s="948" customFormat="1">
      <c r="A4801" s="485"/>
      <c r="B4801" s="485"/>
      <c r="C4801" s="17" t="s">
        <v>10</v>
      </c>
      <c r="D4801" s="485">
        <v>2</v>
      </c>
      <c r="E4801" s="485">
        <v>1.9</v>
      </c>
      <c r="F4801" s="485">
        <v>2.7</v>
      </c>
      <c r="G4801" s="485"/>
      <c r="H4801" s="487">
        <f t="shared" si="800"/>
        <v>10.26</v>
      </c>
    </row>
    <row r="4802" spans="1:8" s="948" customFormat="1">
      <c r="A4802" s="485"/>
      <c r="B4802" s="485"/>
      <c r="C4802" s="17" t="s">
        <v>10</v>
      </c>
      <c r="D4802" s="485">
        <v>-1</v>
      </c>
      <c r="E4802" s="485">
        <v>1.5</v>
      </c>
      <c r="F4802" s="485">
        <v>2.4</v>
      </c>
      <c r="G4802" s="485"/>
      <c r="H4802" s="487">
        <f t="shared" si="800"/>
        <v>-3.5999999999999996</v>
      </c>
    </row>
    <row r="4803" spans="1:8" s="948" customFormat="1">
      <c r="A4803" s="485"/>
      <c r="B4803" s="485" t="s">
        <v>1219</v>
      </c>
      <c r="C4803" s="17" t="s">
        <v>10</v>
      </c>
      <c r="D4803" s="485">
        <v>1</v>
      </c>
      <c r="E4803" s="485">
        <v>2.5510000000000002</v>
      </c>
      <c r="F4803" s="485">
        <v>2.7</v>
      </c>
      <c r="G4803" s="485"/>
      <c r="H4803" s="487">
        <f t="shared" ref="H4803:H4808" si="801">PRODUCT(D4803:G4803)</f>
        <v>6.8877000000000006</v>
      </c>
    </row>
    <row r="4804" spans="1:8" s="948" customFormat="1">
      <c r="A4804" s="485"/>
      <c r="B4804" s="485"/>
      <c r="C4804" s="17" t="s">
        <v>10</v>
      </c>
      <c r="D4804" s="485">
        <v>1</v>
      </c>
      <c r="E4804" s="485">
        <v>0.34</v>
      </c>
      <c r="F4804" s="485">
        <v>2.7</v>
      </c>
      <c r="G4804" s="485"/>
      <c r="H4804" s="487">
        <f t="shared" si="801"/>
        <v>0.91800000000000015</v>
      </c>
    </row>
    <row r="4805" spans="1:8" s="948" customFormat="1">
      <c r="A4805" s="485"/>
      <c r="B4805" s="485"/>
      <c r="C4805" s="17" t="s">
        <v>10</v>
      </c>
      <c r="D4805" s="485">
        <v>1</v>
      </c>
      <c r="E4805" s="485">
        <v>0.92500000000000004</v>
      </c>
      <c r="F4805" s="485">
        <v>2.7</v>
      </c>
      <c r="G4805" s="485"/>
      <c r="H4805" s="487">
        <f t="shared" si="801"/>
        <v>2.4975000000000005</v>
      </c>
    </row>
    <row r="4806" spans="1:8" s="948" customFormat="1">
      <c r="A4806" s="485"/>
      <c r="B4806" s="485"/>
      <c r="C4806" s="17" t="s">
        <v>10</v>
      </c>
      <c r="D4806" s="485">
        <v>1</v>
      </c>
      <c r="E4806" s="485">
        <v>8.6</v>
      </c>
      <c r="F4806" s="485">
        <v>0.2</v>
      </c>
      <c r="G4806" s="485"/>
      <c r="H4806" s="487">
        <f t="shared" si="801"/>
        <v>1.72</v>
      </c>
    </row>
    <row r="4807" spans="1:8" s="948" customFormat="1">
      <c r="A4807" s="485"/>
      <c r="B4807" s="485"/>
      <c r="C4807" s="17" t="s">
        <v>10</v>
      </c>
      <c r="D4807" s="485">
        <v>2</v>
      </c>
      <c r="E4807" s="485">
        <v>0.4</v>
      </c>
      <c r="F4807" s="485">
        <v>2.4</v>
      </c>
      <c r="G4807" s="485"/>
      <c r="H4807" s="487">
        <f t="shared" si="801"/>
        <v>1.92</v>
      </c>
    </row>
    <row r="4808" spans="1:8" s="948" customFormat="1">
      <c r="A4808" s="485"/>
      <c r="B4808" s="485"/>
      <c r="C4808" s="17" t="s">
        <v>10</v>
      </c>
      <c r="D4808" s="485">
        <v>1</v>
      </c>
      <c r="E4808" s="485">
        <v>0.55000000000000004</v>
      </c>
      <c r="F4808" s="485">
        <v>2.4</v>
      </c>
      <c r="G4808" s="485"/>
      <c r="H4808" s="487">
        <f t="shared" si="801"/>
        <v>1.32</v>
      </c>
    </row>
    <row r="4809" spans="1:8" s="948" customFormat="1">
      <c r="A4809" s="485"/>
      <c r="B4809" s="485" t="s">
        <v>1219</v>
      </c>
      <c r="C4809" s="17" t="s">
        <v>10</v>
      </c>
      <c r="D4809" s="485">
        <v>1</v>
      </c>
      <c r="E4809" s="485">
        <v>1.2</v>
      </c>
      <c r="F4809" s="485">
        <v>2.7</v>
      </c>
      <c r="G4809" s="485"/>
      <c r="H4809" s="487">
        <f t="shared" ref="H4809:H4813" si="802">PRODUCT(D4809:G4809)</f>
        <v>3.24</v>
      </c>
    </row>
    <row r="4810" spans="1:8" s="948" customFormat="1">
      <c r="A4810" s="485"/>
      <c r="B4810" s="485"/>
      <c r="C4810" s="17" t="s">
        <v>10</v>
      </c>
      <c r="D4810" s="485">
        <v>1</v>
      </c>
      <c r="E4810" s="485">
        <v>2.5499999999999998</v>
      </c>
      <c r="F4810" s="485">
        <v>2.7</v>
      </c>
      <c r="G4810" s="485"/>
      <c r="H4810" s="487">
        <f t="shared" si="802"/>
        <v>6.8849999999999998</v>
      </c>
    </row>
    <row r="4811" spans="1:8" s="948" customFormat="1">
      <c r="A4811" s="485"/>
      <c r="B4811" s="485"/>
      <c r="C4811" s="17" t="s">
        <v>10</v>
      </c>
      <c r="D4811" s="485">
        <v>1</v>
      </c>
      <c r="E4811" s="485">
        <v>0.97</v>
      </c>
      <c r="F4811" s="485">
        <v>2.7</v>
      </c>
      <c r="G4811" s="485"/>
      <c r="H4811" s="487">
        <f t="shared" si="802"/>
        <v>2.6190000000000002</v>
      </c>
    </row>
    <row r="4812" spans="1:8" s="948" customFormat="1">
      <c r="A4812" s="485"/>
      <c r="B4812" s="485"/>
      <c r="C4812" s="17" t="s">
        <v>10</v>
      </c>
      <c r="D4812" s="485">
        <v>1</v>
      </c>
      <c r="E4812" s="485">
        <v>0.15</v>
      </c>
      <c r="F4812" s="485">
        <v>0.2</v>
      </c>
      <c r="G4812" s="485"/>
      <c r="H4812" s="487">
        <f t="shared" si="802"/>
        <v>0.03</v>
      </c>
    </row>
    <row r="4813" spans="1:8" s="948" customFormat="1">
      <c r="A4813" s="485"/>
      <c r="B4813" s="485"/>
      <c r="C4813" s="17" t="s">
        <v>10</v>
      </c>
      <c r="D4813" s="485">
        <v>1</v>
      </c>
      <c r="E4813" s="485">
        <v>3.1</v>
      </c>
      <c r="F4813" s="485">
        <v>0.2</v>
      </c>
      <c r="G4813" s="485"/>
      <c r="H4813" s="487">
        <f t="shared" si="802"/>
        <v>0.62000000000000011</v>
      </c>
    </row>
    <row r="4814" spans="1:8" s="948" customFormat="1">
      <c r="A4814" s="485"/>
      <c r="B4814" s="485" t="s">
        <v>286</v>
      </c>
      <c r="C4814" s="17" t="s">
        <v>10</v>
      </c>
      <c r="D4814" s="485">
        <v>2</v>
      </c>
      <c r="E4814" s="485">
        <v>0.15</v>
      </c>
      <c r="F4814" s="485">
        <v>2.4</v>
      </c>
      <c r="G4814" s="485"/>
      <c r="H4814" s="487">
        <f t="shared" ref="H4814:H4815" si="803">PRODUCT(D4814:G4814)</f>
        <v>0.72</v>
      </c>
    </row>
    <row r="4815" spans="1:8" s="948" customFormat="1">
      <c r="A4815" s="485"/>
      <c r="B4815" s="485"/>
      <c r="C4815" s="17" t="s">
        <v>10</v>
      </c>
      <c r="D4815" s="485">
        <v>1</v>
      </c>
      <c r="E4815" s="485">
        <v>2.75</v>
      </c>
      <c r="F4815" s="485">
        <v>0.2</v>
      </c>
      <c r="G4815" s="485"/>
      <c r="H4815" s="487">
        <f t="shared" si="803"/>
        <v>0.55000000000000004</v>
      </c>
    </row>
    <row r="4816" spans="1:8" s="948" customFormat="1">
      <c r="A4816" s="485"/>
      <c r="B4816" s="485" t="s">
        <v>1012</v>
      </c>
      <c r="C4816" s="17" t="s">
        <v>10</v>
      </c>
      <c r="D4816" s="485">
        <v>1</v>
      </c>
      <c r="E4816" s="485">
        <v>2.5499999999999998</v>
      </c>
      <c r="F4816" s="485">
        <v>0.2</v>
      </c>
      <c r="G4816" s="485"/>
      <c r="H4816" s="487">
        <f t="shared" ref="H4816:H4819" si="804">PRODUCT(D4816:G4816)</f>
        <v>0.51</v>
      </c>
    </row>
    <row r="4817" spans="1:8" s="948" customFormat="1">
      <c r="A4817" s="485"/>
      <c r="B4817" s="485"/>
      <c r="C4817" s="17" t="s">
        <v>10</v>
      </c>
      <c r="D4817" s="485">
        <v>1</v>
      </c>
      <c r="E4817" s="485">
        <v>4.0199999999999996</v>
      </c>
      <c r="F4817" s="485">
        <v>2.7</v>
      </c>
      <c r="G4817" s="485"/>
      <c r="H4817" s="487">
        <f t="shared" si="804"/>
        <v>10.853999999999999</v>
      </c>
    </row>
    <row r="4818" spans="1:8" s="948" customFormat="1">
      <c r="A4818" s="485"/>
      <c r="B4818" s="485"/>
      <c r="C4818" s="17" t="s">
        <v>10</v>
      </c>
      <c r="D4818" s="485">
        <v>-1</v>
      </c>
      <c r="E4818" s="485">
        <v>1</v>
      </c>
      <c r="F4818" s="485">
        <v>2.4</v>
      </c>
      <c r="G4818" s="485"/>
      <c r="H4818" s="487">
        <f t="shared" si="804"/>
        <v>-2.4</v>
      </c>
    </row>
    <row r="4819" spans="1:8" s="948" customFormat="1">
      <c r="A4819" s="485"/>
      <c r="B4819" s="485"/>
      <c r="C4819" s="17" t="s">
        <v>10</v>
      </c>
      <c r="D4819" s="485">
        <v>1</v>
      </c>
      <c r="E4819" s="485">
        <v>2.5499999999999998</v>
      </c>
      <c r="F4819" s="485">
        <v>2.7</v>
      </c>
      <c r="G4819" s="485"/>
      <c r="H4819" s="487">
        <f t="shared" si="804"/>
        <v>6.8849999999999998</v>
      </c>
    </row>
    <row r="4820" spans="1:8" s="948" customFormat="1">
      <c r="A4820" s="485"/>
      <c r="B4820" s="485" t="s">
        <v>171</v>
      </c>
      <c r="C4820" s="17" t="s">
        <v>10</v>
      </c>
      <c r="D4820" s="485">
        <v>1</v>
      </c>
      <c r="E4820" s="485">
        <v>2.4</v>
      </c>
      <c r="F4820" s="485">
        <v>2.7</v>
      </c>
      <c r="G4820" s="485"/>
      <c r="H4820" s="487">
        <f t="shared" ref="H4820:H4824" si="805">PRODUCT(D4820:G4820)</f>
        <v>6.48</v>
      </c>
    </row>
    <row r="4821" spans="1:8" s="948" customFormat="1">
      <c r="A4821" s="485"/>
      <c r="B4821" s="485"/>
      <c r="C4821" s="17" t="s">
        <v>10</v>
      </c>
      <c r="D4821" s="485">
        <v>1</v>
      </c>
      <c r="E4821" s="485">
        <v>2.5499999999999998</v>
      </c>
      <c r="F4821" s="485">
        <v>2.7</v>
      </c>
      <c r="G4821" s="485"/>
      <c r="H4821" s="487">
        <f t="shared" si="805"/>
        <v>6.8849999999999998</v>
      </c>
    </row>
    <row r="4822" spans="1:8" s="948" customFormat="1">
      <c r="A4822" s="485"/>
      <c r="B4822" s="485" t="s">
        <v>297</v>
      </c>
      <c r="C4822" s="17" t="s">
        <v>10</v>
      </c>
      <c r="D4822" s="485">
        <v>1</v>
      </c>
      <c r="E4822" s="485">
        <v>5.53</v>
      </c>
      <c r="F4822" s="485">
        <v>2.7</v>
      </c>
      <c r="G4822" s="485"/>
      <c r="H4822" s="487">
        <f t="shared" si="805"/>
        <v>14.931000000000001</v>
      </c>
    </row>
    <row r="4823" spans="1:8" s="948" customFormat="1">
      <c r="A4823" s="485"/>
      <c r="B4823" s="485"/>
      <c r="C4823" s="17" t="s">
        <v>10</v>
      </c>
      <c r="D4823" s="485">
        <v>-1</v>
      </c>
      <c r="E4823" s="485">
        <v>4</v>
      </c>
      <c r="F4823" s="485">
        <v>2.4</v>
      </c>
      <c r="G4823" s="485"/>
      <c r="H4823" s="487">
        <f t="shared" si="805"/>
        <v>-9.6</v>
      </c>
    </row>
    <row r="4824" spans="1:8" s="948" customFormat="1">
      <c r="A4824" s="485"/>
      <c r="B4824" s="485"/>
      <c r="C4824" s="17" t="s">
        <v>10</v>
      </c>
      <c r="D4824" s="485">
        <v>1</v>
      </c>
      <c r="E4824" s="485">
        <v>2.4500000000000002</v>
      </c>
      <c r="F4824" s="485">
        <v>2.7</v>
      </c>
      <c r="G4824" s="485"/>
      <c r="H4824" s="487">
        <f t="shared" si="805"/>
        <v>6.6150000000000011</v>
      </c>
    </row>
    <row r="4825" spans="1:8" s="948" customFormat="1">
      <c r="A4825" s="485"/>
      <c r="B4825" s="485"/>
      <c r="C4825" s="17" t="s">
        <v>10</v>
      </c>
      <c r="D4825" s="485">
        <v>1</v>
      </c>
      <c r="E4825" s="485">
        <v>0.314</v>
      </c>
      <c r="F4825" s="485">
        <v>2.7</v>
      </c>
      <c r="G4825" s="485"/>
      <c r="H4825" s="487">
        <f t="shared" ref="H4825:H4829" si="806">PRODUCT(D4825:G4825)</f>
        <v>0.84780000000000011</v>
      </c>
    </row>
    <row r="4826" spans="1:8" s="948" customFormat="1">
      <c r="A4826" s="485"/>
      <c r="B4826" s="485"/>
      <c r="C4826" s="17" t="s">
        <v>10</v>
      </c>
      <c r="D4826" s="485">
        <v>1</v>
      </c>
      <c r="E4826" s="485">
        <v>7.3</v>
      </c>
      <c r="F4826" s="485">
        <v>2.7</v>
      </c>
      <c r="G4826" s="485"/>
      <c r="H4826" s="487">
        <f t="shared" si="806"/>
        <v>19.71</v>
      </c>
    </row>
    <row r="4827" spans="1:8" s="948" customFormat="1">
      <c r="A4827" s="485"/>
      <c r="B4827" s="485"/>
      <c r="C4827" s="17" t="s">
        <v>10</v>
      </c>
      <c r="D4827" s="485">
        <v>1</v>
      </c>
      <c r="E4827" s="485">
        <v>2.9</v>
      </c>
      <c r="F4827" s="485">
        <v>2.4</v>
      </c>
      <c r="G4827" s="485"/>
      <c r="H4827" s="487">
        <f t="shared" si="806"/>
        <v>6.96</v>
      </c>
    </row>
    <row r="4828" spans="1:8" s="948" customFormat="1">
      <c r="A4828" s="485"/>
      <c r="B4828" s="485"/>
      <c r="C4828" s="17" t="s">
        <v>10</v>
      </c>
      <c r="D4828" s="485">
        <v>1</v>
      </c>
      <c r="E4828" s="485">
        <v>0.314</v>
      </c>
      <c r="F4828" s="485">
        <v>2.7</v>
      </c>
      <c r="G4828" s="485"/>
      <c r="H4828" s="487">
        <f t="shared" si="806"/>
        <v>0.84780000000000011</v>
      </c>
    </row>
    <row r="4829" spans="1:8" s="948" customFormat="1">
      <c r="A4829" s="485"/>
      <c r="B4829" s="485"/>
      <c r="C4829" s="17" t="s">
        <v>10</v>
      </c>
      <c r="D4829" s="485">
        <v>1</v>
      </c>
      <c r="E4829" s="485">
        <v>3.45</v>
      </c>
      <c r="F4829" s="485">
        <v>2.7</v>
      </c>
      <c r="G4829" s="485"/>
      <c r="H4829" s="487">
        <f t="shared" si="806"/>
        <v>9.3150000000000013</v>
      </c>
    </row>
    <row r="4830" spans="1:8" s="948" customFormat="1">
      <c r="A4830" s="485"/>
      <c r="B4830" s="485" t="s">
        <v>192</v>
      </c>
      <c r="C4830" s="17" t="s">
        <v>10</v>
      </c>
      <c r="D4830" s="485">
        <v>1</v>
      </c>
      <c r="E4830" s="485">
        <v>7.3</v>
      </c>
      <c r="F4830" s="485">
        <v>2.7</v>
      </c>
      <c r="G4830" s="485"/>
      <c r="H4830" s="487">
        <f t="shared" ref="H4830:H4831" si="807">PRODUCT(D4830:G4830)</f>
        <v>19.71</v>
      </c>
    </row>
    <row r="4831" spans="1:8" s="948" customFormat="1">
      <c r="A4831" s="485"/>
      <c r="B4831" s="485"/>
      <c r="C4831" s="17" t="s">
        <v>10</v>
      </c>
      <c r="D4831" s="485">
        <v>1</v>
      </c>
      <c r="E4831" s="485">
        <v>1.1000000000000001</v>
      </c>
      <c r="F4831" s="485">
        <v>2.7</v>
      </c>
      <c r="G4831" s="485"/>
      <c r="H4831" s="487">
        <f t="shared" si="807"/>
        <v>2.9700000000000006</v>
      </c>
    </row>
    <row r="4832" spans="1:8" s="948" customFormat="1">
      <c r="A4832" s="485"/>
      <c r="B4832" s="485"/>
      <c r="C4832" s="17" t="s">
        <v>10</v>
      </c>
      <c r="D4832" s="485">
        <v>2</v>
      </c>
      <c r="E4832" s="485">
        <v>1.7</v>
      </c>
      <c r="F4832" s="485">
        <v>2.7</v>
      </c>
      <c r="G4832" s="485"/>
      <c r="H4832" s="487">
        <f t="shared" ref="H4832" si="808">PRODUCT(D4832:G4832)</f>
        <v>9.18</v>
      </c>
    </row>
    <row r="4833" spans="1:8" s="948" customFormat="1">
      <c r="A4833" s="485"/>
      <c r="B4833" s="485" t="s">
        <v>119</v>
      </c>
      <c r="C4833" s="17" t="s">
        <v>10</v>
      </c>
      <c r="D4833" s="485">
        <v>-2</v>
      </c>
      <c r="E4833" s="485">
        <v>1.1000000000000001</v>
      </c>
      <c r="F4833" s="485">
        <v>2.4</v>
      </c>
      <c r="G4833" s="485"/>
      <c r="H4833" s="487">
        <f t="shared" ref="H4833:H4834" si="809">PRODUCT(D4833:G4833)</f>
        <v>-5.28</v>
      </c>
    </row>
    <row r="4834" spans="1:8" s="948" customFormat="1">
      <c r="A4834" s="485"/>
      <c r="B4834" s="485"/>
      <c r="C4834" s="17" t="s">
        <v>10</v>
      </c>
      <c r="D4834" s="485">
        <v>-1</v>
      </c>
      <c r="E4834" s="485">
        <v>0.6</v>
      </c>
      <c r="F4834" s="485">
        <v>2.4</v>
      </c>
      <c r="G4834" s="485"/>
      <c r="H4834" s="487">
        <f t="shared" si="809"/>
        <v>-1.44</v>
      </c>
    </row>
    <row r="4835" spans="1:8" s="948" customFormat="1">
      <c r="A4835" s="485"/>
      <c r="B4835" s="485" t="s">
        <v>2195</v>
      </c>
      <c r="C4835" s="17" t="s">
        <v>10</v>
      </c>
      <c r="D4835" s="485">
        <v>1</v>
      </c>
      <c r="E4835" s="485">
        <v>1.1000000000000001</v>
      </c>
      <c r="F4835" s="485">
        <v>2.7</v>
      </c>
      <c r="G4835" s="485"/>
      <c r="H4835" s="487">
        <f t="shared" ref="H4835:H4837" si="810">PRODUCT(D4835:G4835)</f>
        <v>2.9700000000000006</v>
      </c>
    </row>
    <row r="4836" spans="1:8" s="948" customFormat="1">
      <c r="A4836" s="485"/>
      <c r="B4836" s="485"/>
      <c r="C4836" s="17" t="s">
        <v>10</v>
      </c>
      <c r="D4836" s="485">
        <v>1</v>
      </c>
      <c r="E4836" s="485">
        <v>2.4500000000000002</v>
      </c>
      <c r="F4836" s="485">
        <v>2.7</v>
      </c>
      <c r="G4836" s="485"/>
      <c r="H4836" s="487">
        <f t="shared" si="810"/>
        <v>6.6150000000000011</v>
      </c>
    </row>
    <row r="4837" spans="1:8" s="948" customFormat="1">
      <c r="A4837" s="485"/>
      <c r="B4837" s="485"/>
      <c r="C4837" s="17" t="s">
        <v>10</v>
      </c>
      <c r="D4837" s="485">
        <v>1</v>
      </c>
      <c r="E4837" s="485">
        <v>0.314</v>
      </c>
      <c r="F4837" s="485">
        <v>2.7</v>
      </c>
      <c r="G4837" s="485"/>
      <c r="H4837" s="487">
        <f t="shared" si="810"/>
        <v>0.84780000000000011</v>
      </c>
    </row>
    <row r="4838" spans="1:8" s="948" customFormat="1">
      <c r="A4838" s="485"/>
      <c r="B4838" s="485"/>
      <c r="C4838" s="17" t="s">
        <v>10</v>
      </c>
      <c r="D4838" s="485">
        <v>1</v>
      </c>
      <c r="E4838" s="485">
        <v>8.9499999999999993</v>
      </c>
      <c r="F4838" s="485">
        <v>2.7</v>
      </c>
      <c r="G4838" s="485"/>
      <c r="H4838" s="487">
        <f t="shared" ref="H4838:H4844" si="811">PRODUCT(D4838:G4838)</f>
        <v>24.164999999999999</v>
      </c>
    </row>
    <row r="4839" spans="1:8" s="948" customFormat="1">
      <c r="A4839" s="485"/>
      <c r="B4839" s="485"/>
      <c r="C4839" s="17" t="s">
        <v>10</v>
      </c>
      <c r="D4839" s="485">
        <v>-2</v>
      </c>
      <c r="E4839" s="485">
        <v>1</v>
      </c>
      <c r="F4839" s="485">
        <v>2.4</v>
      </c>
      <c r="G4839" s="485"/>
      <c r="H4839" s="487">
        <f t="shared" si="811"/>
        <v>-4.8</v>
      </c>
    </row>
    <row r="4840" spans="1:8" s="948" customFormat="1">
      <c r="A4840" s="485"/>
      <c r="B4840" s="485"/>
      <c r="C4840" s="17" t="s">
        <v>10</v>
      </c>
      <c r="D4840" s="485">
        <v>1</v>
      </c>
      <c r="E4840" s="485">
        <v>4.75</v>
      </c>
      <c r="F4840" s="485">
        <v>2.7</v>
      </c>
      <c r="G4840" s="485"/>
      <c r="H4840" s="487">
        <f t="shared" si="811"/>
        <v>12.825000000000001</v>
      </c>
    </row>
    <row r="4841" spans="1:8" s="948" customFormat="1">
      <c r="A4841" s="485"/>
      <c r="B4841" s="485"/>
      <c r="C4841" s="17" t="s">
        <v>10</v>
      </c>
      <c r="D4841" s="485">
        <v>1</v>
      </c>
      <c r="E4841" s="485">
        <v>0.314</v>
      </c>
      <c r="F4841" s="485">
        <v>2.7</v>
      </c>
      <c r="G4841" s="485"/>
      <c r="H4841" s="487">
        <f t="shared" si="811"/>
        <v>0.84780000000000011</v>
      </c>
    </row>
    <row r="4842" spans="1:8" s="948" customFormat="1">
      <c r="A4842" s="485"/>
      <c r="B4842" s="485"/>
      <c r="C4842" s="17" t="s">
        <v>10</v>
      </c>
      <c r="D4842" s="485">
        <v>2</v>
      </c>
      <c r="E4842" s="485">
        <v>9.1999999999999993</v>
      </c>
      <c r="F4842" s="485">
        <v>2.7</v>
      </c>
      <c r="G4842" s="485"/>
      <c r="H4842" s="487">
        <f t="shared" si="811"/>
        <v>49.68</v>
      </c>
    </row>
    <row r="4843" spans="1:8" s="948" customFormat="1">
      <c r="A4843" s="485"/>
      <c r="B4843" s="485"/>
      <c r="C4843" s="17" t="s">
        <v>10</v>
      </c>
      <c r="D4843" s="485">
        <v>4</v>
      </c>
      <c r="E4843" s="485">
        <v>2.4500000000000002</v>
      </c>
      <c r="F4843" s="485">
        <v>2.7</v>
      </c>
      <c r="G4843" s="485"/>
      <c r="H4843" s="487">
        <f t="shared" si="811"/>
        <v>26.460000000000004</v>
      </c>
    </row>
    <row r="4844" spans="1:8" s="948" customFormat="1">
      <c r="A4844" s="485"/>
      <c r="B4844" s="485"/>
      <c r="C4844" s="17" t="s">
        <v>10</v>
      </c>
      <c r="D4844" s="485">
        <v>2</v>
      </c>
      <c r="E4844" s="485">
        <v>1.075</v>
      </c>
      <c r="F4844" s="485">
        <v>2.7</v>
      </c>
      <c r="G4844" s="485"/>
      <c r="H4844" s="487">
        <f t="shared" si="811"/>
        <v>5.8049999999999997</v>
      </c>
    </row>
    <row r="4845" spans="1:8" s="948" customFormat="1">
      <c r="A4845" s="485"/>
      <c r="B4845" s="485" t="s">
        <v>196</v>
      </c>
      <c r="C4845" s="17" t="s">
        <v>10</v>
      </c>
      <c r="D4845" s="485">
        <v>1</v>
      </c>
      <c r="E4845" s="485">
        <v>6.2</v>
      </c>
      <c r="F4845" s="485">
        <v>2.7</v>
      </c>
      <c r="G4845" s="485"/>
      <c r="H4845" s="487">
        <f t="shared" ref="H4845:H4848" si="812">PRODUCT(D4845:G4845)</f>
        <v>16.740000000000002</v>
      </c>
    </row>
    <row r="4846" spans="1:8" s="948" customFormat="1">
      <c r="A4846" s="485"/>
      <c r="B4846" s="485"/>
      <c r="C4846" s="17" t="s">
        <v>10</v>
      </c>
      <c r="D4846" s="485">
        <v>-1</v>
      </c>
      <c r="E4846" s="485">
        <v>1.2</v>
      </c>
      <c r="F4846" s="485">
        <v>2.4</v>
      </c>
      <c r="G4846" s="485"/>
      <c r="H4846" s="487">
        <f t="shared" si="812"/>
        <v>-2.88</v>
      </c>
    </row>
    <row r="4847" spans="1:8" s="948" customFormat="1">
      <c r="A4847" s="485"/>
      <c r="B4847" s="485"/>
      <c r="C4847" s="17" t="s">
        <v>10</v>
      </c>
      <c r="D4847" s="485">
        <v>2</v>
      </c>
      <c r="E4847" s="485">
        <v>0.8</v>
      </c>
      <c r="F4847" s="485">
        <v>2.7</v>
      </c>
      <c r="G4847" s="485"/>
      <c r="H4847" s="487">
        <f t="shared" si="812"/>
        <v>4.32</v>
      </c>
    </row>
    <row r="4848" spans="1:8" s="948" customFormat="1">
      <c r="A4848" s="485"/>
      <c r="B4848" s="485"/>
      <c r="C4848" s="17" t="s">
        <v>10</v>
      </c>
      <c r="D4848" s="485">
        <v>-1</v>
      </c>
      <c r="E4848" s="485">
        <v>1.5</v>
      </c>
      <c r="F4848" s="485">
        <v>2.4</v>
      </c>
      <c r="G4848" s="485"/>
      <c r="H4848" s="487">
        <f t="shared" si="812"/>
        <v>-3.5999999999999996</v>
      </c>
    </row>
    <row r="4849" spans="1:8" s="948" customFormat="1">
      <c r="A4849" s="485"/>
      <c r="B4849" s="485" t="s">
        <v>204</v>
      </c>
      <c r="C4849" s="17" t="s">
        <v>10</v>
      </c>
      <c r="D4849" s="485">
        <v>1</v>
      </c>
      <c r="E4849" s="485">
        <v>2.1</v>
      </c>
      <c r="F4849" s="485">
        <v>2.7</v>
      </c>
      <c r="G4849" s="485"/>
      <c r="H4849" s="487">
        <f t="shared" ref="H4849:H4855" si="813">PRODUCT(D4849:G4849)</f>
        <v>5.6700000000000008</v>
      </c>
    </row>
    <row r="4850" spans="1:8" s="948" customFormat="1">
      <c r="A4850" s="485"/>
      <c r="B4850" s="485"/>
      <c r="C4850" s="17" t="s">
        <v>10</v>
      </c>
      <c r="D4850" s="485">
        <v>1</v>
      </c>
      <c r="E4850" s="485">
        <v>0.314</v>
      </c>
      <c r="F4850" s="485">
        <v>2.4</v>
      </c>
      <c r="G4850" s="485"/>
      <c r="H4850" s="487">
        <f t="shared" si="813"/>
        <v>0.75359999999999994</v>
      </c>
    </row>
    <row r="4851" spans="1:8" s="948" customFormat="1">
      <c r="A4851" s="485"/>
      <c r="B4851" s="485"/>
      <c r="C4851" s="17" t="s">
        <v>10</v>
      </c>
      <c r="D4851" s="485">
        <v>1</v>
      </c>
      <c r="E4851" s="485">
        <v>3.67</v>
      </c>
      <c r="F4851" s="485">
        <v>2.7</v>
      </c>
      <c r="G4851" s="485"/>
      <c r="H4851" s="487">
        <f t="shared" si="813"/>
        <v>9.9090000000000007</v>
      </c>
    </row>
    <row r="4852" spans="1:8" s="948" customFormat="1">
      <c r="A4852" s="485"/>
      <c r="B4852" s="485"/>
      <c r="C4852" s="17" t="s">
        <v>10</v>
      </c>
      <c r="D4852" s="485">
        <v>1</v>
      </c>
      <c r="E4852" s="485">
        <v>6.75</v>
      </c>
      <c r="F4852" s="485">
        <v>2.7</v>
      </c>
      <c r="G4852" s="485"/>
      <c r="H4852" s="487">
        <f t="shared" si="813"/>
        <v>18.225000000000001</v>
      </c>
    </row>
    <row r="4853" spans="1:8" s="948" customFormat="1">
      <c r="A4853" s="485"/>
      <c r="B4853" s="485"/>
      <c r="C4853" s="17" t="s">
        <v>10</v>
      </c>
      <c r="D4853" s="485">
        <v>1</v>
      </c>
      <c r="E4853" s="485">
        <v>3.75</v>
      </c>
      <c r="F4853" s="485">
        <v>2.7</v>
      </c>
      <c r="G4853" s="485"/>
      <c r="H4853" s="487">
        <f t="shared" si="813"/>
        <v>10.125</v>
      </c>
    </row>
    <row r="4854" spans="1:8" s="948" customFormat="1">
      <c r="A4854" s="485"/>
      <c r="B4854" s="485"/>
      <c r="C4854" s="17" t="s">
        <v>10</v>
      </c>
      <c r="D4854" s="485">
        <v>1</v>
      </c>
      <c r="E4854" s="485">
        <v>1.4</v>
      </c>
      <c r="F4854" s="485">
        <v>2.7</v>
      </c>
      <c r="G4854" s="485"/>
      <c r="H4854" s="487">
        <f t="shared" si="813"/>
        <v>3.78</v>
      </c>
    </row>
    <row r="4855" spans="1:8" s="948" customFormat="1">
      <c r="A4855" s="485"/>
      <c r="B4855" s="485"/>
      <c r="C4855" s="17" t="s">
        <v>10</v>
      </c>
      <c r="D4855" s="485">
        <v>1</v>
      </c>
      <c r="E4855" s="485">
        <v>2.9</v>
      </c>
      <c r="F4855" s="485">
        <v>1.1000000000000001</v>
      </c>
      <c r="G4855" s="485"/>
      <c r="H4855" s="487">
        <f t="shared" si="813"/>
        <v>3.19</v>
      </c>
    </row>
    <row r="4856" spans="1:8" s="948" customFormat="1">
      <c r="A4856" s="485"/>
      <c r="B4856" s="485"/>
      <c r="C4856" s="17" t="s">
        <v>10</v>
      </c>
      <c r="D4856" s="485">
        <v>1</v>
      </c>
      <c r="E4856" s="485">
        <v>9.65</v>
      </c>
      <c r="F4856" s="485">
        <v>1.1000000000000001</v>
      </c>
      <c r="G4856" s="485"/>
      <c r="H4856" s="487">
        <f t="shared" ref="H4856" si="814">PRODUCT(D4856:G4856)</f>
        <v>10.615000000000002</v>
      </c>
    </row>
    <row r="4857" spans="1:8" s="948" customFormat="1">
      <c r="A4857" s="485"/>
      <c r="B4857" s="485" t="s">
        <v>203</v>
      </c>
      <c r="C4857" s="17" t="s">
        <v>10</v>
      </c>
      <c r="D4857" s="485">
        <v>1</v>
      </c>
      <c r="E4857" s="485">
        <v>1.5</v>
      </c>
      <c r="F4857" s="485">
        <v>2.7</v>
      </c>
      <c r="G4857" s="485"/>
      <c r="H4857" s="487">
        <f t="shared" ref="H4857:H4860" si="815">PRODUCT(D4857:G4857)</f>
        <v>4.0500000000000007</v>
      </c>
    </row>
    <row r="4858" spans="1:8" s="948" customFormat="1">
      <c r="A4858" s="485"/>
      <c r="B4858" s="485"/>
      <c r="C4858" s="17" t="s">
        <v>10</v>
      </c>
      <c r="D4858" s="485">
        <v>-2</v>
      </c>
      <c r="E4858" s="485">
        <v>1</v>
      </c>
      <c r="F4858" s="485">
        <v>2.4</v>
      </c>
      <c r="G4858" s="485"/>
      <c r="H4858" s="487">
        <f t="shared" si="815"/>
        <v>-4.8</v>
      </c>
    </row>
    <row r="4859" spans="1:8" s="948" customFormat="1">
      <c r="A4859" s="485"/>
      <c r="B4859" s="485"/>
      <c r="C4859" s="17" t="s">
        <v>10</v>
      </c>
      <c r="D4859" s="485">
        <v>1</v>
      </c>
      <c r="E4859" s="485">
        <v>5.0999999999999996</v>
      </c>
      <c r="F4859" s="485">
        <v>2.7</v>
      </c>
      <c r="G4859" s="485"/>
      <c r="H4859" s="487">
        <f t="shared" ref="H4859" si="816">PRODUCT(D4859:G4859)</f>
        <v>13.77</v>
      </c>
    </row>
    <row r="4860" spans="1:8" s="948" customFormat="1">
      <c r="A4860" s="485"/>
      <c r="B4860" s="485"/>
      <c r="C4860" s="17" t="s">
        <v>10</v>
      </c>
      <c r="D4860" s="485">
        <v>2</v>
      </c>
      <c r="E4860" s="485">
        <v>2.7</v>
      </c>
      <c r="F4860" s="485">
        <v>2.7</v>
      </c>
      <c r="G4860" s="485"/>
      <c r="H4860" s="487">
        <f t="shared" si="815"/>
        <v>14.580000000000002</v>
      </c>
    </row>
    <row r="4861" spans="1:8" s="948" customFormat="1">
      <c r="A4861" s="485"/>
      <c r="B4861" s="485"/>
      <c r="C4861" s="17" t="s">
        <v>10</v>
      </c>
      <c r="D4861" s="485">
        <v>2</v>
      </c>
      <c r="E4861" s="485">
        <v>1.2</v>
      </c>
      <c r="F4861" s="485">
        <v>2.7</v>
      </c>
      <c r="G4861" s="485"/>
      <c r="H4861" s="487">
        <f t="shared" ref="H4861:H4863" si="817">PRODUCT(D4861:G4861)</f>
        <v>6.48</v>
      </c>
    </row>
    <row r="4862" spans="1:8" s="948" customFormat="1">
      <c r="A4862" s="485"/>
      <c r="B4862" s="485"/>
      <c r="C4862" s="17" t="s">
        <v>10</v>
      </c>
      <c r="D4862" s="485">
        <v>1</v>
      </c>
      <c r="E4862" s="485">
        <v>7.95</v>
      </c>
      <c r="F4862" s="485">
        <v>1.1000000000000001</v>
      </c>
      <c r="G4862" s="485"/>
      <c r="H4862" s="487">
        <f t="shared" si="817"/>
        <v>8.745000000000001</v>
      </c>
    </row>
    <row r="4863" spans="1:8" s="948" customFormat="1">
      <c r="A4863" s="485"/>
      <c r="B4863" s="485"/>
      <c r="C4863" s="17" t="s">
        <v>10</v>
      </c>
      <c r="D4863" s="485">
        <v>1</v>
      </c>
      <c r="E4863" s="485">
        <v>4.0999999999999996</v>
      </c>
      <c r="F4863" s="485">
        <v>2.7</v>
      </c>
      <c r="G4863" s="485"/>
      <c r="H4863" s="487">
        <f t="shared" si="817"/>
        <v>11.07</v>
      </c>
    </row>
    <row r="4864" spans="1:8" s="948" customFormat="1">
      <c r="A4864" s="485"/>
      <c r="B4864" s="485" t="s">
        <v>2193</v>
      </c>
      <c r="C4864" s="17" t="s">
        <v>10</v>
      </c>
      <c r="D4864" s="485">
        <v>4</v>
      </c>
      <c r="E4864" s="485">
        <v>0.15</v>
      </c>
      <c r="F4864" s="485">
        <v>2.7</v>
      </c>
      <c r="G4864" s="485"/>
      <c r="H4864" s="487">
        <f t="shared" ref="H4864:H4865" si="818">PRODUCT(D4864:G4864)</f>
        <v>1.62</v>
      </c>
    </row>
    <row r="4865" spans="1:8" s="948" customFormat="1">
      <c r="A4865" s="485"/>
      <c r="B4865" s="485"/>
      <c r="C4865" s="17" t="s">
        <v>10</v>
      </c>
      <c r="D4865" s="485">
        <v>4</v>
      </c>
      <c r="E4865" s="485">
        <v>0.2</v>
      </c>
      <c r="F4865" s="485">
        <v>2.7</v>
      </c>
      <c r="G4865" s="485"/>
      <c r="H4865" s="487">
        <f t="shared" si="818"/>
        <v>2.16</v>
      </c>
    </row>
    <row r="4866" spans="1:8" s="948" customFormat="1">
      <c r="A4866" s="485"/>
      <c r="B4866" s="485"/>
      <c r="C4866" s="17" t="s">
        <v>10</v>
      </c>
      <c r="D4866" s="485">
        <v>2</v>
      </c>
      <c r="E4866" s="485">
        <v>0.314</v>
      </c>
      <c r="F4866" s="485">
        <v>2.7</v>
      </c>
      <c r="G4866" s="485"/>
      <c r="H4866" s="487">
        <f t="shared" ref="H4866:H4868" si="819">PRODUCT(D4866:G4866)</f>
        <v>1.6956000000000002</v>
      </c>
    </row>
    <row r="4867" spans="1:8" s="948" customFormat="1">
      <c r="A4867" s="485"/>
      <c r="B4867" s="485"/>
      <c r="C4867" s="17" t="s">
        <v>10</v>
      </c>
      <c r="D4867" s="485">
        <v>2</v>
      </c>
      <c r="E4867" s="485">
        <v>3.35</v>
      </c>
      <c r="F4867" s="485">
        <v>0.2</v>
      </c>
      <c r="G4867" s="485"/>
      <c r="H4867" s="487">
        <f t="shared" si="819"/>
        <v>1.34</v>
      </c>
    </row>
    <row r="4868" spans="1:8" s="948" customFormat="1">
      <c r="A4868" s="485"/>
      <c r="B4868" s="485"/>
      <c r="C4868" s="17" t="s">
        <v>10</v>
      </c>
      <c r="D4868" s="485">
        <v>2</v>
      </c>
      <c r="E4868" s="485">
        <v>4.5999999999999996</v>
      </c>
      <c r="F4868" s="485">
        <v>0.2</v>
      </c>
      <c r="G4868" s="485"/>
      <c r="H4868" s="487">
        <f t="shared" si="819"/>
        <v>1.8399999999999999</v>
      </c>
    </row>
    <row r="4869" spans="1:8" s="948" customFormat="1">
      <c r="A4869" s="485"/>
      <c r="B4869" s="485" t="s">
        <v>191</v>
      </c>
      <c r="C4869" s="17" t="s">
        <v>10</v>
      </c>
      <c r="D4869" s="485">
        <v>1</v>
      </c>
      <c r="E4869" s="485">
        <v>0.45</v>
      </c>
      <c r="F4869" s="485">
        <v>2.7</v>
      </c>
      <c r="G4869" s="485"/>
      <c r="H4869" s="487">
        <f t="shared" ref="H4869" si="820">PRODUCT(D4869:G4869)</f>
        <v>1.2150000000000001</v>
      </c>
    </row>
    <row r="4870" spans="1:8" s="948" customFormat="1">
      <c r="A4870" s="485"/>
      <c r="B4870" s="485"/>
      <c r="C4870" s="17" t="s">
        <v>10</v>
      </c>
      <c r="D4870" s="485">
        <v>1</v>
      </c>
      <c r="E4870" s="485">
        <v>2.1</v>
      </c>
      <c r="F4870" s="485">
        <v>2.7</v>
      </c>
      <c r="G4870" s="485"/>
      <c r="H4870" s="487">
        <f t="shared" ref="H4870:H4873" si="821">PRODUCT(D4870:G4870)</f>
        <v>5.6700000000000008</v>
      </c>
    </row>
    <row r="4871" spans="1:8" s="948" customFormat="1">
      <c r="A4871" s="485"/>
      <c r="B4871" s="485"/>
      <c r="C4871" s="17" t="s">
        <v>10</v>
      </c>
      <c r="D4871" s="485">
        <v>1</v>
      </c>
      <c r="E4871" s="485">
        <v>11</v>
      </c>
      <c r="F4871" s="485">
        <v>0.2</v>
      </c>
      <c r="G4871" s="485"/>
      <c r="H4871" s="487">
        <f t="shared" si="821"/>
        <v>2.2000000000000002</v>
      </c>
    </row>
    <row r="4872" spans="1:8" s="948" customFormat="1">
      <c r="A4872" s="485"/>
      <c r="B4872" s="485"/>
      <c r="C4872" s="17" t="s">
        <v>10</v>
      </c>
      <c r="D4872" s="485">
        <v>1</v>
      </c>
      <c r="E4872" s="485">
        <v>0.1</v>
      </c>
      <c r="F4872" s="485">
        <v>2.4</v>
      </c>
      <c r="G4872" s="485"/>
      <c r="H4872" s="487">
        <f t="shared" si="821"/>
        <v>0.24</v>
      </c>
    </row>
    <row r="4873" spans="1:8" s="948" customFormat="1">
      <c r="A4873" s="485"/>
      <c r="B4873" s="485"/>
      <c r="C4873" s="17" t="s">
        <v>10</v>
      </c>
      <c r="D4873" s="485">
        <v>2</v>
      </c>
      <c r="E4873" s="485">
        <v>0.35</v>
      </c>
      <c r="F4873" s="485">
        <v>2.4</v>
      </c>
      <c r="G4873" s="485"/>
      <c r="H4873" s="487">
        <f t="shared" si="821"/>
        <v>1.68</v>
      </c>
    </row>
    <row r="4874" spans="1:8" s="948" customFormat="1">
      <c r="A4874" s="485"/>
      <c r="B4874" s="485"/>
      <c r="C4874" s="17" t="s">
        <v>10</v>
      </c>
      <c r="D4874" s="485">
        <v>1</v>
      </c>
      <c r="E4874" s="485">
        <v>0.55000000000000004</v>
      </c>
      <c r="F4874" s="485">
        <v>2.4</v>
      </c>
      <c r="G4874" s="485"/>
      <c r="H4874" s="487">
        <f t="shared" ref="H4874:H4875" si="822">PRODUCT(D4874:G4874)</f>
        <v>1.32</v>
      </c>
    </row>
    <row r="4875" spans="1:8" s="948" customFormat="1">
      <c r="A4875" s="485"/>
      <c r="B4875" s="485"/>
      <c r="C4875" s="17" t="s">
        <v>10</v>
      </c>
      <c r="D4875" s="485">
        <v>1</v>
      </c>
      <c r="E4875" s="485">
        <v>1.2</v>
      </c>
      <c r="F4875" s="485">
        <v>0.2</v>
      </c>
      <c r="G4875" s="485"/>
      <c r="H4875" s="487">
        <f t="shared" si="822"/>
        <v>0.24</v>
      </c>
    </row>
    <row r="4876" spans="1:8" s="948" customFormat="1">
      <c r="A4876" s="485"/>
      <c r="B4876" s="485"/>
      <c r="C4876" s="17" t="s">
        <v>10</v>
      </c>
      <c r="D4876" s="485">
        <v>3</v>
      </c>
      <c r="E4876" s="485">
        <v>0.15</v>
      </c>
      <c r="F4876" s="485">
        <v>2.4</v>
      </c>
      <c r="G4876" s="485"/>
      <c r="H4876" s="487">
        <f t="shared" ref="H4876" si="823">PRODUCT(D4876:G4876)</f>
        <v>1.0799999999999998</v>
      </c>
    </row>
    <row r="4877" spans="1:8" s="948" customFormat="1">
      <c r="A4877" s="485"/>
      <c r="B4877" s="485"/>
      <c r="C4877" s="17" t="s">
        <v>10</v>
      </c>
      <c r="D4877" s="485">
        <v>2</v>
      </c>
      <c r="E4877" s="485">
        <v>1.3580000000000001</v>
      </c>
      <c r="F4877" s="485">
        <v>2.7</v>
      </c>
      <c r="G4877" s="485"/>
      <c r="H4877" s="487">
        <f t="shared" ref="H4877" si="824">PRODUCT(D4877:G4877)</f>
        <v>7.3332000000000006</v>
      </c>
    </row>
    <row r="4878" spans="1:8" s="948" customFormat="1">
      <c r="A4878" s="485"/>
      <c r="B4878" s="485"/>
      <c r="C4878" s="17" t="s">
        <v>10</v>
      </c>
      <c r="D4878" s="485">
        <v>1</v>
      </c>
      <c r="E4878" s="485">
        <v>1.5</v>
      </c>
      <c r="F4878" s="485">
        <v>2.7</v>
      </c>
      <c r="G4878" s="485"/>
      <c r="H4878" s="487">
        <f t="shared" ref="H4878" si="825">PRODUCT(D4878:G4878)</f>
        <v>4.0500000000000007</v>
      </c>
    </row>
    <row r="4879" spans="1:8" s="948" customFormat="1">
      <c r="A4879" s="485"/>
      <c r="B4879" s="485" t="s">
        <v>1242</v>
      </c>
      <c r="C4879" s="17" t="s">
        <v>10</v>
      </c>
      <c r="D4879" s="485">
        <v>2</v>
      </c>
      <c r="E4879" s="485">
        <v>0.15</v>
      </c>
      <c r="F4879" s="485">
        <v>2.7</v>
      </c>
      <c r="G4879" s="485"/>
      <c r="H4879" s="487">
        <f t="shared" ref="H4879" si="826">PRODUCT(D4879:G4879)</f>
        <v>0.81</v>
      </c>
    </row>
    <row r="4880" spans="1:8" s="948" customFormat="1">
      <c r="A4880" s="485"/>
      <c r="B4880" s="485"/>
      <c r="C4880" s="17" t="s">
        <v>10</v>
      </c>
      <c r="D4880" s="485">
        <v>1</v>
      </c>
      <c r="E4880" s="485">
        <v>2.85</v>
      </c>
      <c r="F4880" s="485">
        <v>2.7</v>
      </c>
      <c r="G4880" s="485"/>
      <c r="H4880" s="487">
        <f t="shared" ref="H4880:H4881" si="827">PRODUCT(D4880:G4880)</f>
        <v>7.6950000000000012</v>
      </c>
    </row>
    <row r="4881" spans="1:8" s="948" customFormat="1">
      <c r="A4881" s="485"/>
      <c r="B4881" s="485" t="s">
        <v>286</v>
      </c>
      <c r="C4881" s="17" t="s">
        <v>10</v>
      </c>
      <c r="D4881" s="485">
        <v>2</v>
      </c>
      <c r="E4881" s="485">
        <v>0.15</v>
      </c>
      <c r="F4881" s="485">
        <v>2.7</v>
      </c>
      <c r="G4881" s="485"/>
      <c r="H4881" s="487">
        <f t="shared" si="827"/>
        <v>0.81</v>
      </c>
    </row>
    <row r="4882" spans="1:8" s="948" customFormat="1">
      <c r="A4882" s="485"/>
      <c r="B4882" s="485"/>
      <c r="C4882" s="17" t="s">
        <v>10</v>
      </c>
      <c r="D4882" s="485">
        <v>1</v>
      </c>
      <c r="E4882" s="485">
        <v>2.7</v>
      </c>
      <c r="F4882" s="485">
        <v>2.7</v>
      </c>
      <c r="G4882" s="485"/>
      <c r="H4882" s="487">
        <f t="shared" ref="H4882" si="828">PRODUCT(D4882:G4882)</f>
        <v>7.2900000000000009</v>
      </c>
    </row>
    <row r="4883" spans="1:8" s="948" customFormat="1">
      <c r="A4883" s="485"/>
      <c r="B4883" s="485" t="s">
        <v>1293</v>
      </c>
      <c r="C4883" s="17" t="s">
        <v>10</v>
      </c>
      <c r="D4883" s="485">
        <v>1</v>
      </c>
      <c r="E4883" s="485">
        <v>4.25</v>
      </c>
      <c r="F4883" s="485">
        <v>1.1000000000000001</v>
      </c>
      <c r="G4883" s="485"/>
      <c r="H4883" s="487">
        <f t="shared" ref="H4883:H4887" si="829">PRODUCT(D4883:G4883)</f>
        <v>4.6750000000000007</v>
      </c>
    </row>
    <row r="4884" spans="1:8" s="948" customFormat="1">
      <c r="A4884" s="485"/>
      <c r="B4884" s="485"/>
      <c r="C4884" s="17" t="s">
        <v>10</v>
      </c>
      <c r="D4884" s="485">
        <v>1</v>
      </c>
      <c r="E4884" s="485">
        <v>0.93</v>
      </c>
      <c r="F4884" s="485">
        <v>2.7</v>
      </c>
      <c r="G4884" s="485"/>
      <c r="H4884" s="487">
        <f t="shared" si="829"/>
        <v>2.5110000000000001</v>
      </c>
    </row>
    <row r="4885" spans="1:8" s="948" customFormat="1">
      <c r="A4885" s="485"/>
      <c r="B4885" s="485"/>
      <c r="C4885" s="17" t="s">
        <v>10</v>
      </c>
      <c r="D4885" s="485">
        <v>1</v>
      </c>
      <c r="E4885" s="485">
        <v>1.04</v>
      </c>
      <c r="F4885" s="485">
        <v>2.7</v>
      </c>
      <c r="G4885" s="485"/>
      <c r="H4885" s="487">
        <f t="shared" si="829"/>
        <v>2.8080000000000003</v>
      </c>
    </row>
    <row r="4886" spans="1:8" s="948" customFormat="1">
      <c r="A4886" s="485"/>
      <c r="B4886" s="485"/>
      <c r="C4886" s="17" t="s">
        <v>10</v>
      </c>
      <c r="D4886" s="485">
        <v>2</v>
      </c>
      <c r="E4886" s="485">
        <v>4.5</v>
      </c>
      <c r="F4886" s="485">
        <v>2.7</v>
      </c>
      <c r="G4886" s="485"/>
      <c r="H4886" s="487">
        <f t="shared" si="829"/>
        <v>24.3</v>
      </c>
    </row>
    <row r="4887" spans="1:8" s="948" customFormat="1">
      <c r="A4887" s="485"/>
      <c r="B4887" s="485"/>
      <c r="C4887" s="17" t="s">
        <v>10</v>
      </c>
      <c r="D4887" s="485">
        <v>-2</v>
      </c>
      <c r="E4887" s="485">
        <v>1</v>
      </c>
      <c r="F4887" s="485">
        <v>2.4</v>
      </c>
      <c r="G4887" s="485"/>
      <c r="H4887" s="487">
        <f t="shared" si="829"/>
        <v>-4.8</v>
      </c>
    </row>
    <row r="4888" spans="1:8" s="948" customFormat="1">
      <c r="A4888" s="485"/>
      <c r="B4888" s="485" t="s">
        <v>196</v>
      </c>
      <c r="C4888" s="17" t="s">
        <v>10</v>
      </c>
      <c r="D4888" s="485">
        <v>1</v>
      </c>
      <c r="E4888" s="485">
        <v>5.8</v>
      </c>
      <c r="F4888" s="485">
        <v>2.7</v>
      </c>
      <c r="G4888" s="485"/>
      <c r="H4888" s="487">
        <f t="shared" ref="H4888:H4889" si="830">PRODUCT(D4888:G4888)</f>
        <v>15.66</v>
      </c>
    </row>
    <row r="4889" spans="1:8" s="948" customFormat="1">
      <c r="A4889" s="485"/>
      <c r="B4889" s="485"/>
      <c r="C4889" s="17" t="s">
        <v>10</v>
      </c>
      <c r="D4889" s="485">
        <v>-1</v>
      </c>
      <c r="E4889" s="485">
        <v>4.8</v>
      </c>
      <c r="F4889" s="485">
        <v>2.1</v>
      </c>
      <c r="G4889" s="485"/>
      <c r="H4889" s="487">
        <f t="shared" si="830"/>
        <v>-10.08</v>
      </c>
    </row>
    <row r="4890" spans="1:8" s="948" customFormat="1">
      <c r="A4890" s="485"/>
      <c r="B4890" s="485" t="s">
        <v>1339</v>
      </c>
      <c r="C4890" s="17" t="s">
        <v>10</v>
      </c>
      <c r="D4890" s="485">
        <v>1</v>
      </c>
      <c r="E4890" s="485">
        <v>6</v>
      </c>
      <c r="F4890" s="485">
        <v>2.1</v>
      </c>
      <c r="G4890" s="485"/>
      <c r="H4890" s="487">
        <f t="shared" ref="H4890:H4891" si="831">PRODUCT(D4890:G4890)</f>
        <v>12.600000000000001</v>
      </c>
    </row>
    <row r="4891" spans="1:8" s="948" customFormat="1">
      <c r="A4891" s="485"/>
      <c r="B4891" s="485"/>
      <c r="C4891" s="17" t="s">
        <v>10</v>
      </c>
      <c r="D4891" s="485">
        <v>-1</v>
      </c>
      <c r="E4891" s="485">
        <v>4.8</v>
      </c>
      <c r="F4891" s="485">
        <v>2.1</v>
      </c>
      <c r="G4891" s="485"/>
      <c r="H4891" s="487">
        <f t="shared" si="831"/>
        <v>-10.08</v>
      </c>
    </row>
    <row r="4892" spans="1:8" s="948" customFormat="1">
      <c r="A4892" s="485"/>
      <c r="B4892" s="485" t="s">
        <v>2189</v>
      </c>
      <c r="C4892" s="17" t="s">
        <v>10</v>
      </c>
      <c r="D4892" s="485">
        <v>1</v>
      </c>
      <c r="E4892" s="485">
        <v>12.6</v>
      </c>
      <c r="F4892" s="485">
        <v>0.2</v>
      </c>
      <c r="G4892" s="485"/>
      <c r="H4892" s="487">
        <f t="shared" ref="H4892:H4893" si="832">PRODUCT(D4892:G4892)</f>
        <v>2.52</v>
      </c>
    </row>
    <row r="4893" spans="1:8" s="948" customFormat="1">
      <c r="A4893" s="485"/>
      <c r="B4893" s="485"/>
      <c r="C4893" s="17" t="s">
        <v>10</v>
      </c>
      <c r="D4893" s="485">
        <v>1</v>
      </c>
      <c r="E4893" s="485">
        <v>0.7</v>
      </c>
      <c r="F4893" s="485">
        <v>2.4</v>
      </c>
      <c r="G4893" s="485"/>
      <c r="H4893" s="487">
        <f t="shared" si="832"/>
        <v>1.68</v>
      </c>
    </row>
    <row r="4894" spans="1:8" s="948" customFormat="1">
      <c r="A4894" s="485"/>
      <c r="B4894" s="485"/>
      <c r="C4894" s="17" t="s">
        <v>10</v>
      </c>
      <c r="D4894" s="485">
        <v>1</v>
      </c>
      <c r="E4894" s="485">
        <v>0.55000000000000004</v>
      </c>
      <c r="F4894" s="485">
        <v>2.4</v>
      </c>
      <c r="G4894" s="485"/>
      <c r="H4894" s="487">
        <f t="shared" ref="H4894" si="833">PRODUCT(D4894:G4894)</f>
        <v>1.32</v>
      </c>
    </row>
    <row r="4895" spans="1:8" s="948" customFormat="1">
      <c r="A4895" s="485"/>
      <c r="B4895" s="485"/>
      <c r="C4895" s="17" t="s">
        <v>10</v>
      </c>
      <c r="D4895" s="485">
        <v>2</v>
      </c>
      <c r="E4895" s="485">
        <v>0.35</v>
      </c>
      <c r="F4895" s="485">
        <v>2.4</v>
      </c>
      <c r="G4895" s="485"/>
      <c r="H4895" s="487">
        <f t="shared" ref="H4895:H4896" si="834">PRODUCT(D4895:G4895)</f>
        <v>1.68</v>
      </c>
    </row>
    <row r="4896" spans="1:8" s="948" customFormat="1">
      <c r="A4896" s="485"/>
      <c r="B4896" s="485"/>
      <c r="C4896" s="17" t="s">
        <v>10</v>
      </c>
      <c r="D4896" s="485">
        <v>1</v>
      </c>
      <c r="E4896" s="485">
        <v>1.1000000000000001</v>
      </c>
      <c r="F4896" s="485">
        <v>2.4</v>
      </c>
      <c r="G4896" s="485"/>
      <c r="H4896" s="487">
        <f t="shared" si="834"/>
        <v>2.64</v>
      </c>
    </row>
    <row r="4897" spans="1:8" s="948" customFormat="1">
      <c r="A4897" s="485"/>
      <c r="B4897" s="485"/>
      <c r="C4897" s="17" t="s">
        <v>10</v>
      </c>
      <c r="D4897" s="485">
        <v>2</v>
      </c>
      <c r="E4897" s="485">
        <v>1.575</v>
      </c>
      <c r="F4897" s="485">
        <v>2.4</v>
      </c>
      <c r="G4897" s="485"/>
      <c r="H4897" s="487">
        <f t="shared" ref="H4897:H4899" si="835">PRODUCT(D4897:G4897)</f>
        <v>7.56</v>
      </c>
    </row>
    <row r="4898" spans="1:8" s="948" customFormat="1">
      <c r="A4898" s="485"/>
      <c r="B4898" s="485" t="s">
        <v>216</v>
      </c>
      <c r="C4898" s="17" t="s">
        <v>10</v>
      </c>
      <c r="D4898" s="485">
        <v>1</v>
      </c>
      <c r="E4898" s="485">
        <v>4.0999999999999996</v>
      </c>
      <c r="F4898" s="485">
        <v>0.2</v>
      </c>
      <c r="G4898" s="485"/>
      <c r="H4898" s="487">
        <f t="shared" si="835"/>
        <v>0.82</v>
      </c>
    </row>
    <row r="4899" spans="1:8" s="948" customFormat="1">
      <c r="A4899" s="485"/>
      <c r="B4899" s="485"/>
      <c r="C4899" s="17" t="s">
        <v>10</v>
      </c>
      <c r="D4899" s="485">
        <v>2</v>
      </c>
      <c r="E4899" s="485">
        <v>0.15</v>
      </c>
      <c r="F4899" s="485">
        <v>2.4</v>
      </c>
      <c r="G4899" s="485"/>
      <c r="H4899" s="487">
        <f t="shared" si="835"/>
        <v>0.72</v>
      </c>
    </row>
    <row r="4900" spans="1:8" s="948" customFormat="1">
      <c r="A4900" s="485"/>
      <c r="B4900" s="485" t="s">
        <v>1230</v>
      </c>
      <c r="C4900" s="17" t="s">
        <v>10</v>
      </c>
      <c r="D4900" s="485">
        <v>1</v>
      </c>
      <c r="E4900" s="485">
        <v>3.23</v>
      </c>
      <c r="F4900" s="485">
        <v>0.2</v>
      </c>
      <c r="G4900" s="485"/>
      <c r="H4900" s="487">
        <f t="shared" ref="H4900:H4901" si="836">PRODUCT(D4900:G4900)</f>
        <v>0.64600000000000002</v>
      </c>
    </row>
    <row r="4901" spans="1:8" s="948" customFormat="1">
      <c r="A4901" s="485"/>
      <c r="B4901" s="485"/>
      <c r="C4901" s="17" t="s">
        <v>10</v>
      </c>
      <c r="D4901" s="485">
        <v>2</v>
      </c>
      <c r="E4901" s="485">
        <v>0.15</v>
      </c>
      <c r="F4901" s="485">
        <v>2.4</v>
      </c>
      <c r="G4901" s="485"/>
      <c r="H4901" s="487">
        <f t="shared" si="836"/>
        <v>0.72</v>
      </c>
    </row>
    <row r="4902" spans="1:8" s="948" customFormat="1">
      <c r="A4902" s="485"/>
      <c r="B4902" s="485" t="s">
        <v>196</v>
      </c>
      <c r="C4902" s="17" t="s">
        <v>10</v>
      </c>
      <c r="D4902" s="485">
        <v>1</v>
      </c>
      <c r="E4902" s="485">
        <v>6.27</v>
      </c>
      <c r="F4902" s="485">
        <v>0.2</v>
      </c>
      <c r="G4902" s="485"/>
      <c r="H4902" s="487">
        <f t="shared" ref="H4902:H4903" si="837">PRODUCT(D4902:G4902)</f>
        <v>1.254</v>
      </c>
    </row>
    <row r="4903" spans="1:8" s="948" customFormat="1">
      <c r="A4903" s="485"/>
      <c r="B4903" s="485"/>
      <c r="C4903" s="17" t="s">
        <v>10</v>
      </c>
      <c r="D4903" s="485">
        <v>2</v>
      </c>
      <c r="E4903" s="485">
        <v>0.15</v>
      </c>
      <c r="F4903" s="485">
        <v>2.7</v>
      </c>
      <c r="G4903" s="485"/>
      <c r="H4903" s="487">
        <f t="shared" si="837"/>
        <v>0.81</v>
      </c>
    </row>
    <row r="4904" spans="1:8" s="948" customFormat="1">
      <c r="A4904" s="485"/>
      <c r="B4904" s="485"/>
      <c r="C4904" s="17" t="s">
        <v>10</v>
      </c>
      <c r="D4904" s="485">
        <v>1</v>
      </c>
      <c r="E4904" s="485">
        <v>0.55200000000000005</v>
      </c>
      <c r="F4904" s="485">
        <v>2.7</v>
      </c>
      <c r="G4904" s="485"/>
      <c r="H4904" s="487">
        <f t="shared" ref="H4904" si="838">PRODUCT(D4904:G4904)</f>
        <v>1.4904000000000002</v>
      </c>
    </row>
    <row r="4905" spans="1:8" s="948" customFormat="1">
      <c r="A4905" s="485"/>
      <c r="B4905" s="485"/>
      <c r="C4905" s="17" t="s">
        <v>10</v>
      </c>
      <c r="D4905" s="485">
        <v>1</v>
      </c>
      <c r="E4905" s="485">
        <v>4.75</v>
      </c>
      <c r="F4905" s="485">
        <v>2.7</v>
      </c>
      <c r="G4905" s="485"/>
      <c r="H4905" s="487">
        <f t="shared" ref="H4905:H4906" si="839">PRODUCT(D4905:G4905)</f>
        <v>12.825000000000001</v>
      </c>
    </row>
    <row r="4906" spans="1:8" s="948" customFormat="1">
      <c r="A4906" s="485"/>
      <c r="B4906" s="485"/>
      <c r="C4906" s="17" t="s">
        <v>10</v>
      </c>
      <c r="D4906" s="485">
        <v>-1</v>
      </c>
      <c r="E4906" s="485">
        <v>3.6</v>
      </c>
      <c r="F4906" s="485">
        <v>2.1</v>
      </c>
      <c r="G4906" s="485"/>
      <c r="H4906" s="487">
        <f t="shared" si="839"/>
        <v>-7.5600000000000005</v>
      </c>
    </row>
    <row r="4907" spans="1:8" s="948" customFormat="1">
      <c r="A4907" s="485"/>
      <c r="B4907" s="485" t="s">
        <v>114</v>
      </c>
      <c r="C4907" s="17" t="s">
        <v>10</v>
      </c>
      <c r="D4907" s="485">
        <v>2</v>
      </c>
      <c r="E4907" s="485">
        <v>0.7</v>
      </c>
      <c r="F4907" s="485">
        <v>2.7</v>
      </c>
      <c r="G4907" s="485"/>
      <c r="H4907" s="487">
        <f t="shared" ref="H4907:H4910" si="840">PRODUCT(D4907:G4907)</f>
        <v>3.78</v>
      </c>
    </row>
    <row r="4908" spans="1:8" s="948" customFormat="1">
      <c r="A4908" s="485"/>
      <c r="B4908" s="485"/>
      <c r="C4908" s="17" t="s">
        <v>10</v>
      </c>
      <c r="D4908" s="485">
        <v>1</v>
      </c>
      <c r="E4908" s="485">
        <v>5.3</v>
      </c>
      <c r="F4908" s="485">
        <v>2.7</v>
      </c>
      <c r="G4908" s="485"/>
      <c r="H4908" s="487">
        <f t="shared" si="840"/>
        <v>14.31</v>
      </c>
    </row>
    <row r="4909" spans="1:8" s="948" customFormat="1">
      <c r="A4909" s="485"/>
      <c r="B4909" s="485"/>
      <c r="C4909" s="17" t="s">
        <v>10</v>
      </c>
      <c r="D4909" s="485">
        <v>-1</v>
      </c>
      <c r="E4909" s="485">
        <v>1.2</v>
      </c>
      <c r="F4909" s="485">
        <v>2.4</v>
      </c>
      <c r="G4909" s="485"/>
      <c r="H4909" s="487">
        <f t="shared" si="840"/>
        <v>-2.88</v>
      </c>
    </row>
    <row r="4910" spans="1:8" s="948" customFormat="1">
      <c r="A4910" s="485"/>
      <c r="B4910" s="485"/>
      <c r="C4910" s="17" t="s">
        <v>10</v>
      </c>
      <c r="D4910" s="485">
        <v>1</v>
      </c>
      <c r="E4910" s="485">
        <v>1.4</v>
      </c>
      <c r="F4910" s="485">
        <v>2.7</v>
      </c>
      <c r="G4910" s="485"/>
      <c r="H4910" s="487">
        <f t="shared" si="840"/>
        <v>3.78</v>
      </c>
    </row>
    <row r="4911" spans="1:8" s="948" customFormat="1">
      <c r="A4911" s="485"/>
      <c r="B4911" s="485" t="s">
        <v>99</v>
      </c>
      <c r="C4911" s="17" t="s">
        <v>10</v>
      </c>
      <c r="D4911" s="485">
        <v>1</v>
      </c>
      <c r="E4911" s="485">
        <v>1.1000000000000001</v>
      </c>
      <c r="F4911" s="485">
        <v>2.7</v>
      </c>
      <c r="G4911" s="485"/>
      <c r="H4911" s="487">
        <f t="shared" ref="H4911" si="841">PRODUCT(D4911:G4911)</f>
        <v>2.9700000000000006</v>
      </c>
    </row>
    <row r="4912" spans="1:8" s="948" customFormat="1">
      <c r="A4912" s="485"/>
      <c r="B4912" s="485"/>
      <c r="C4912" s="17" t="s">
        <v>10</v>
      </c>
      <c r="D4912" s="485">
        <v>1</v>
      </c>
      <c r="E4912" s="485">
        <v>0.55000000000000004</v>
      </c>
      <c r="F4912" s="485">
        <v>2.7</v>
      </c>
      <c r="G4912" s="485"/>
      <c r="H4912" s="487">
        <f t="shared" ref="H4912" si="842">PRODUCT(D4912:G4912)</f>
        <v>1.4850000000000003</v>
      </c>
    </row>
    <row r="4913" spans="1:8" s="948" customFormat="1">
      <c r="A4913" s="485"/>
      <c r="B4913" s="485"/>
      <c r="C4913" s="17" t="s">
        <v>10</v>
      </c>
      <c r="D4913" s="485">
        <v>1</v>
      </c>
      <c r="E4913" s="485">
        <v>2.78</v>
      </c>
      <c r="F4913" s="485">
        <v>2.7</v>
      </c>
      <c r="G4913" s="485"/>
      <c r="H4913" s="487">
        <f t="shared" ref="H4913" si="843">PRODUCT(D4913:G4913)</f>
        <v>7.5060000000000002</v>
      </c>
    </row>
    <row r="4914" spans="1:8" s="948" customFormat="1">
      <c r="A4914" s="485"/>
      <c r="B4914" s="485"/>
      <c r="C4914" s="17" t="s">
        <v>10</v>
      </c>
      <c r="D4914" s="485">
        <v>1</v>
      </c>
      <c r="E4914" s="485">
        <v>4</v>
      </c>
      <c r="F4914" s="485">
        <v>0.2</v>
      </c>
      <c r="G4914" s="485"/>
      <c r="H4914" s="487">
        <f t="shared" ref="H4914:H4917" si="844">PRODUCT(D4914:G4914)</f>
        <v>0.8</v>
      </c>
    </row>
    <row r="4915" spans="1:8" s="948" customFormat="1">
      <c r="A4915" s="485"/>
      <c r="B4915" s="485"/>
      <c r="C4915" s="17" t="s">
        <v>10</v>
      </c>
      <c r="D4915" s="485">
        <v>1</v>
      </c>
      <c r="E4915" s="485">
        <v>3.4249999999999998</v>
      </c>
      <c r="F4915" s="485">
        <v>2.7</v>
      </c>
      <c r="G4915" s="485"/>
      <c r="H4915" s="487">
        <f t="shared" si="844"/>
        <v>9.2475000000000005</v>
      </c>
    </row>
    <row r="4916" spans="1:8" s="948" customFormat="1">
      <c r="A4916" s="485"/>
      <c r="B4916" s="485"/>
      <c r="C4916" s="17" t="s">
        <v>10</v>
      </c>
      <c r="D4916" s="485">
        <v>1</v>
      </c>
      <c r="E4916" s="485">
        <v>3.85</v>
      </c>
      <c r="F4916" s="485">
        <v>2.7</v>
      </c>
      <c r="G4916" s="485"/>
      <c r="H4916" s="487">
        <f t="shared" si="844"/>
        <v>10.395000000000001</v>
      </c>
    </row>
    <row r="4917" spans="1:8" s="948" customFormat="1">
      <c r="A4917" s="485"/>
      <c r="B4917" s="485"/>
      <c r="C4917" s="17" t="s">
        <v>10</v>
      </c>
      <c r="D4917" s="485">
        <v>-1</v>
      </c>
      <c r="E4917" s="485">
        <v>1.8</v>
      </c>
      <c r="F4917" s="485">
        <v>2.4</v>
      </c>
      <c r="G4917" s="485"/>
      <c r="H4917" s="487">
        <f t="shared" si="844"/>
        <v>-4.32</v>
      </c>
    </row>
    <row r="4918" spans="1:8">
      <c r="A4918" s="17"/>
      <c r="B4918" s="17"/>
      <c r="C4918" s="17"/>
      <c r="D4918" s="17"/>
      <c r="E4918" s="17"/>
      <c r="F4918" s="17"/>
      <c r="G4918" s="17"/>
      <c r="H4918" s="18"/>
    </row>
    <row r="4919" spans="1:8">
      <c r="A4919" s="17"/>
      <c r="B4919" s="17"/>
      <c r="C4919" s="17"/>
      <c r="D4919" s="17"/>
      <c r="E4919" s="17"/>
      <c r="F4919" s="17"/>
      <c r="G4919" s="17"/>
      <c r="H4919" s="18"/>
    </row>
    <row r="4920" spans="1:8">
      <c r="A4920" s="15"/>
      <c r="B4920" s="15" t="s">
        <v>21</v>
      </c>
      <c r="C4920" s="15"/>
      <c r="D4920" s="15"/>
      <c r="E4920" s="15"/>
      <c r="F4920" s="15"/>
      <c r="G4920" s="15"/>
      <c r="H4920" s="20">
        <f>SUM(H4657:H4919)</f>
        <v>1412.0533999999996</v>
      </c>
    </row>
    <row r="4921" spans="1:8">
      <c r="A4921" s="17"/>
      <c r="B4921" s="17" t="s">
        <v>22</v>
      </c>
      <c r="C4921" s="17"/>
      <c r="D4921" s="17"/>
      <c r="E4921" s="17"/>
      <c r="F4921" s="17"/>
      <c r="G4921" s="17"/>
      <c r="H4921" s="18"/>
    </row>
    <row r="4922" spans="1:8">
      <c r="A4922" s="15"/>
      <c r="B4922" s="15" t="s">
        <v>23</v>
      </c>
      <c r="C4922" s="15"/>
      <c r="D4922" s="15"/>
      <c r="E4922" s="15"/>
      <c r="F4922" s="15"/>
      <c r="G4922" s="15"/>
      <c r="H4922" s="20">
        <f>ROUND(SUM(H4920:H4921),0)</f>
        <v>1412</v>
      </c>
    </row>
    <row r="4923" spans="1:8" s="948" customFormat="1">
      <c r="H4923" s="21"/>
    </row>
    <row r="4924" spans="1:8" s="948" customFormat="1">
      <c r="A4924" s="17">
        <v>4</v>
      </c>
      <c r="B4924" s="15" t="s">
        <v>2202</v>
      </c>
      <c r="C4924" s="17" t="s">
        <v>31</v>
      </c>
      <c r="D4924" s="17"/>
      <c r="E4924" s="17"/>
      <c r="F4924" s="17"/>
      <c r="G4924" s="17"/>
      <c r="H4924" s="18"/>
    </row>
    <row r="4925" spans="1:8" s="948" customFormat="1">
      <c r="A4925" s="17"/>
      <c r="B4925" s="17" t="s">
        <v>2203</v>
      </c>
      <c r="C4925" s="17" t="s">
        <v>31</v>
      </c>
      <c r="D4925" s="17">
        <v>1</v>
      </c>
      <c r="E4925" s="17">
        <v>11.9</v>
      </c>
      <c r="F4925" s="17"/>
      <c r="G4925" s="17">
        <v>1.8</v>
      </c>
      <c r="H4925" s="18">
        <f t="shared" ref="H4925" si="845">PRODUCT(D4925:G4925)</f>
        <v>21.42</v>
      </c>
    </row>
    <row r="4926" spans="1:8" s="948" customFormat="1">
      <c r="A4926" s="485"/>
      <c r="B4926" s="485"/>
      <c r="C4926" s="17" t="s">
        <v>31</v>
      </c>
      <c r="D4926" s="17">
        <v>1</v>
      </c>
      <c r="E4926" s="17">
        <v>11.9</v>
      </c>
      <c r="F4926" s="17"/>
      <c r="G4926" s="17">
        <v>1.8</v>
      </c>
      <c r="H4926" s="18">
        <f t="shared" ref="H4926" si="846">PRODUCT(D4926:G4926)</f>
        <v>21.42</v>
      </c>
    </row>
    <row r="4927" spans="1:8" s="948" customFormat="1">
      <c r="A4927" s="17"/>
      <c r="B4927" s="17"/>
      <c r="C4927" s="17"/>
      <c r="D4927" s="17"/>
      <c r="E4927" s="17"/>
      <c r="F4927" s="17"/>
      <c r="G4927" s="17"/>
      <c r="H4927" s="18"/>
    </row>
    <row r="4928" spans="1:8" s="948" customFormat="1">
      <c r="A4928" s="15"/>
      <c r="B4928" s="15" t="s">
        <v>21</v>
      </c>
      <c r="C4928" s="15"/>
      <c r="D4928" s="15"/>
      <c r="E4928" s="15"/>
      <c r="F4928" s="15"/>
      <c r="G4928" s="15"/>
      <c r="H4928" s="20">
        <f>SUM(H4925:H4927)</f>
        <v>42.84</v>
      </c>
    </row>
    <row r="4929" spans="1:8" s="948" customFormat="1">
      <c r="A4929" s="17"/>
      <c r="B4929" s="17" t="s">
        <v>22</v>
      </c>
      <c r="C4929" s="17"/>
      <c r="D4929" s="17"/>
      <c r="E4929" s="17"/>
      <c r="F4929" s="17"/>
      <c r="G4929" s="17"/>
      <c r="H4929" s="18"/>
    </row>
    <row r="4930" spans="1:8" s="948" customFormat="1">
      <c r="A4930" s="15"/>
      <c r="B4930" s="15" t="s">
        <v>23</v>
      </c>
      <c r="C4930" s="15"/>
      <c r="D4930" s="15"/>
      <c r="E4930" s="15"/>
      <c r="F4930" s="15"/>
      <c r="G4930" s="15"/>
      <c r="H4930" s="20">
        <f>ROUND(SUM(H4928:H4929),0)</f>
        <v>43</v>
      </c>
    </row>
    <row r="4932" spans="1:8">
      <c r="A4932" s="17">
        <v>4</v>
      </c>
      <c r="B4932" s="15" t="s">
        <v>84</v>
      </c>
      <c r="C4932" s="17" t="s">
        <v>31</v>
      </c>
      <c r="D4932" s="17"/>
      <c r="E4932" s="17"/>
      <c r="F4932" s="17"/>
      <c r="G4932" s="17"/>
      <c r="H4932" s="18"/>
    </row>
    <row r="4933" spans="1:8">
      <c r="A4933" s="17"/>
      <c r="B4933" s="17" t="s">
        <v>156</v>
      </c>
      <c r="C4933" s="17" t="s">
        <v>31</v>
      </c>
      <c r="D4933" s="17">
        <v>1</v>
      </c>
      <c r="E4933" s="17">
        <v>16</v>
      </c>
      <c r="F4933" s="17"/>
      <c r="G4933" s="17"/>
      <c r="H4933" s="18">
        <f t="shared" ref="H4933" si="847">PRODUCT(D4933:G4933)</f>
        <v>16</v>
      </c>
    </row>
    <row r="4934" spans="1:8">
      <c r="A4934" s="17"/>
      <c r="B4934" s="17"/>
      <c r="C4934" s="17"/>
      <c r="D4934" s="17"/>
      <c r="E4934" s="17"/>
      <c r="F4934" s="17"/>
      <c r="G4934" s="17"/>
      <c r="H4934" s="18"/>
    </row>
    <row r="4935" spans="1:8">
      <c r="A4935" s="15"/>
      <c r="B4935" s="15" t="s">
        <v>21</v>
      </c>
      <c r="C4935" s="15"/>
      <c r="D4935" s="15"/>
      <c r="E4935" s="15"/>
      <c r="F4935" s="15"/>
      <c r="G4935" s="15"/>
      <c r="H4935" s="20">
        <f>SUM(H4933:H4934)</f>
        <v>16</v>
      </c>
    </row>
    <row r="4936" spans="1:8">
      <c r="A4936" s="17"/>
      <c r="B4936" s="17" t="s">
        <v>22</v>
      </c>
      <c r="C4936" s="17"/>
      <c r="D4936" s="17"/>
      <c r="E4936" s="17"/>
      <c r="F4936" s="17"/>
      <c r="G4936" s="17"/>
      <c r="H4936" s="18"/>
    </row>
    <row r="4937" spans="1:8">
      <c r="A4937" s="15"/>
      <c r="B4937" s="15" t="s">
        <v>23</v>
      </c>
      <c r="C4937" s="15"/>
      <c r="D4937" s="15"/>
      <c r="E4937" s="15"/>
      <c r="F4937" s="15"/>
      <c r="G4937" s="15"/>
      <c r="H4937" s="20">
        <f>ROUND(SUM(H4935:H4936),0)</f>
        <v>16</v>
      </c>
    </row>
    <row r="4938" spans="1:8" s="948" customFormat="1">
      <c r="H4938" s="21"/>
    </row>
    <row r="4939" spans="1:8" s="948" customFormat="1">
      <c r="A4939" s="17">
        <v>4</v>
      </c>
      <c r="B4939" s="15" t="s">
        <v>2487</v>
      </c>
      <c r="C4939" s="17" t="s">
        <v>31</v>
      </c>
      <c r="D4939" s="17"/>
      <c r="E4939" s="17"/>
      <c r="F4939" s="17"/>
      <c r="G4939" s="17"/>
      <c r="H4939" s="18"/>
    </row>
    <row r="4940" spans="1:8" s="948" customFormat="1">
      <c r="A4940" s="17"/>
      <c r="B4940" s="17" t="s">
        <v>156</v>
      </c>
      <c r="C4940" s="17" t="s">
        <v>31</v>
      </c>
      <c r="D4940" s="17">
        <v>1</v>
      </c>
      <c r="E4940" s="17">
        <v>6.75</v>
      </c>
      <c r="F4940" s="17"/>
      <c r="G4940" s="17"/>
      <c r="H4940" s="18">
        <f t="shared" ref="H4940" si="848">PRODUCT(D4940:G4940)</f>
        <v>6.75</v>
      </c>
    </row>
    <row r="4941" spans="1:8" s="948" customFormat="1">
      <c r="A4941" s="485"/>
      <c r="B4941" s="485"/>
      <c r="C4941" s="17" t="s">
        <v>31</v>
      </c>
      <c r="D4941" s="17">
        <v>2</v>
      </c>
      <c r="E4941" s="17">
        <f>2.7-1.05</f>
        <v>1.6500000000000001</v>
      </c>
      <c r="F4941" s="17"/>
      <c r="G4941" s="17"/>
      <c r="H4941" s="18">
        <f t="shared" ref="H4941" si="849">PRODUCT(D4941:G4941)</f>
        <v>3.3000000000000003</v>
      </c>
    </row>
    <row r="4942" spans="1:8" s="948" customFormat="1">
      <c r="A4942" s="485"/>
      <c r="B4942" s="485"/>
      <c r="C4942" s="17" t="s">
        <v>31</v>
      </c>
      <c r="D4942" s="17">
        <v>1</v>
      </c>
      <c r="E4942" s="17">
        <v>5.4240000000000004</v>
      </c>
      <c r="F4942" s="17"/>
      <c r="G4942" s="17"/>
      <c r="H4942" s="18">
        <f t="shared" ref="H4942" si="850">PRODUCT(D4942:G4942)</f>
        <v>5.4240000000000004</v>
      </c>
    </row>
    <row r="4943" spans="1:8" s="948" customFormat="1">
      <c r="A4943" s="485"/>
      <c r="B4943" s="485"/>
      <c r="C4943" s="17" t="s">
        <v>31</v>
      </c>
      <c r="D4943" s="17">
        <v>1</v>
      </c>
      <c r="E4943" s="17">
        <v>2.7</v>
      </c>
      <c r="F4943" s="17"/>
      <c r="G4943" s="17"/>
      <c r="H4943" s="18">
        <f t="shared" ref="H4943" si="851">PRODUCT(D4943:G4943)</f>
        <v>2.7</v>
      </c>
    </row>
    <row r="4944" spans="1:8" s="948" customFormat="1">
      <c r="A4944" s="485"/>
      <c r="B4944" s="485"/>
      <c r="C4944" s="17" t="s">
        <v>31</v>
      </c>
      <c r="D4944" s="17">
        <v>1</v>
      </c>
      <c r="E4944" s="17">
        <v>3.7</v>
      </c>
      <c r="F4944" s="17"/>
      <c r="G4944" s="17"/>
      <c r="H4944" s="18">
        <f t="shared" ref="H4944" si="852">PRODUCT(D4944:G4944)</f>
        <v>3.7</v>
      </c>
    </row>
    <row r="4945" spans="1:8" s="948" customFormat="1">
      <c r="A4945" s="17"/>
      <c r="B4945" s="17"/>
      <c r="C4945" s="17"/>
      <c r="D4945" s="17"/>
      <c r="E4945" s="17"/>
      <c r="F4945" s="17"/>
      <c r="G4945" s="17"/>
      <c r="H4945" s="18"/>
    </row>
    <row r="4946" spans="1:8" s="948" customFormat="1">
      <c r="A4946" s="15"/>
      <c r="B4946" s="15" t="s">
        <v>21</v>
      </c>
      <c r="C4946" s="15"/>
      <c r="D4946" s="15"/>
      <c r="E4946" s="15"/>
      <c r="F4946" s="15"/>
      <c r="G4946" s="15"/>
      <c r="H4946" s="20">
        <f>SUM(H4940:H4945)</f>
        <v>21.873999999999999</v>
      </c>
    </row>
    <row r="4947" spans="1:8" s="948" customFormat="1">
      <c r="A4947" s="17"/>
      <c r="B4947" s="17" t="s">
        <v>22</v>
      </c>
      <c r="C4947" s="17"/>
      <c r="D4947" s="17"/>
      <c r="E4947" s="17"/>
      <c r="F4947" s="17"/>
      <c r="G4947" s="17"/>
      <c r="H4947" s="18"/>
    </row>
    <row r="4948" spans="1:8" s="948" customFormat="1">
      <c r="A4948" s="15"/>
      <c r="B4948" s="15" t="s">
        <v>23</v>
      </c>
      <c r="C4948" s="15"/>
      <c r="D4948" s="15"/>
      <c r="E4948" s="15"/>
      <c r="F4948" s="15"/>
      <c r="G4948" s="15"/>
      <c r="H4948" s="20">
        <f>ROUND(SUM(H4946:H4947),0)</f>
        <v>22</v>
      </c>
    </row>
    <row r="4949" spans="1:8" s="948" customFormat="1">
      <c r="H4949" s="21"/>
    </row>
    <row r="4950" spans="1:8" s="948" customFormat="1">
      <c r="A4950" s="17">
        <v>4</v>
      </c>
      <c r="B4950" s="15" t="s">
        <v>141</v>
      </c>
      <c r="C4950" s="17" t="s">
        <v>10</v>
      </c>
      <c r="D4950" s="17"/>
      <c r="E4950" s="17"/>
      <c r="F4950" s="17"/>
      <c r="G4950" s="17"/>
      <c r="H4950" s="18"/>
    </row>
    <row r="4951" spans="1:8" s="948" customFormat="1">
      <c r="A4951" s="17"/>
      <c r="B4951" s="17" t="s">
        <v>156</v>
      </c>
      <c r="C4951" s="17" t="s">
        <v>10</v>
      </c>
      <c r="D4951" s="17">
        <v>1</v>
      </c>
      <c r="E4951" s="17">
        <v>12.6</v>
      </c>
      <c r="F4951" s="17"/>
      <c r="G4951" s="17">
        <v>1.8</v>
      </c>
      <c r="H4951" s="18">
        <f t="shared" ref="H4951:H4952" si="853">PRODUCT(D4951:G4951)</f>
        <v>22.68</v>
      </c>
    </row>
    <row r="4952" spans="1:8" s="948" customFormat="1">
      <c r="A4952" s="485"/>
      <c r="B4952" s="485"/>
      <c r="C4952" s="17" t="s">
        <v>10</v>
      </c>
      <c r="D4952" s="485">
        <v>1</v>
      </c>
      <c r="E4952" s="485">
        <v>7.6</v>
      </c>
      <c r="F4952" s="485"/>
      <c r="G4952" s="485">
        <v>1.8</v>
      </c>
      <c r="H4952" s="18">
        <f t="shared" si="853"/>
        <v>13.68</v>
      </c>
    </row>
    <row r="4953" spans="1:8" s="948" customFormat="1">
      <c r="A4953" s="485"/>
      <c r="B4953" s="485"/>
      <c r="C4953" s="17" t="s">
        <v>10</v>
      </c>
      <c r="D4953" s="485">
        <v>1</v>
      </c>
      <c r="E4953" s="485">
        <v>3.7</v>
      </c>
      <c r="F4953" s="485"/>
      <c r="G4953" s="485">
        <v>1.8</v>
      </c>
      <c r="H4953" s="18">
        <f t="shared" ref="H4953" si="854">PRODUCT(D4953:G4953)</f>
        <v>6.66</v>
      </c>
    </row>
    <row r="4954" spans="1:8" s="948" customFormat="1">
      <c r="A4954" s="485"/>
      <c r="B4954" s="485"/>
      <c r="C4954" s="17" t="s">
        <v>10</v>
      </c>
      <c r="D4954" s="485">
        <v>1</v>
      </c>
      <c r="E4954" s="485">
        <v>0.8</v>
      </c>
      <c r="F4954" s="485"/>
      <c r="G4954" s="485">
        <v>1.8</v>
      </c>
      <c r="H4954" s="18">
        <f t="shared" ref="H4954:H4960" si="855">PRODUCT(D4954:G4954)</f>
        <v>1.4400000000000002</v>
      </c>
    </row>
    <row r="4955" spans="1:8" s="948" customFormat="1">
      <c r="A4955" s="485"/>
      <c r="B4955" s="485"/>
      <c r="C4955" s="17" t="s">
        <v>10</v>
      </c>
      <c r="D4955" s="485">
        <v>1</v>
      </c>
      <c r="E4955" s="485">
        <v>10.8</v>
      </c>
      <c r="F4955" s="485"/>
      <c r="G4955" s="485">
        <v>1.8</v>
      </c>
      <c r="H4955" s="18">
        <f t="shared" si="855"/>
        <v>19.440000000000001</v>
      </c>
    </row>
    <row r="4956" spans="1:8" s="948" customFormat="1">
      <c r="A4956" s="485"/>
      <c r="B4956" s="485"/>
      <c r="C4956" s="17" t="s">
        <v>10</v>
      </c>
      <c r="D4956" s="485">
        <v>1</v>
      </c>
      <c r="E4956" s="485">
        <v>13.4</v>
      </c>
      <c r="F4956" s="485"/>
      <c r="G4956" s="485">
        <v>1.8</v>
      </c>
      <c r="H4956" s="18">
        <f t="shared" si="855"/>
        <v>24.12</v>
      </c>
    </row>
    <row r="4957" spans="1:8" s="948" customFormat="1">
      <c r="A4957" s="485"/>
      <c r="B4957" s="485"/>
      <c r="C4957" s="17" t="s">
        <v>10</v>
      </c>
      <c r="D4957" s="485">
        <v>1</v>
      </c>
      <c r="E4957" s="485">
        <v>2.9</v>
      </c>
      <c r="F4957" s="485"/>
      <c r="G4957" s="485">
        <v>1.8</v>
      </c>
      <c r="H4957" s="18">
        <f t="shared" si="855"/>
        <v>5.22</v>
      </c>
    </row>
    <row r="4958" spans="1:8" s="948" customFormat="1">
      <c r="A4958" s="485"/>
      <c r="B4958" s="485"/>
      <c r="C4958" s="17" t="s">
        <v>10</v>
      </c>
      <c r="D4958" s="485">
        <v>1</v>
      </c>
      <c r="E4958" s="485">
        <v>22.1</v>
      </c>
      <c r="F4958" s="485"/>
      <c r="G4958" s="485">
        <v>1.8</v>
      </c>
      <c r="H4958" s="18">
        <f t="shared" si="855"/>
        <v>39.78</v>
      </c>
    </row>
    <row r="4959" spans="1:8" s="948" customFormat="1">
      <c r="A4959" s="485"/>
      <c r="B4959" s="485"/>
      <c r="C4959" s="17" t="s">
        <v>10</v>
      </c>
      <c r="D4959" s="485">
        <v>1</v>
      </c>
      <c r="E4959" s="485">
        <v>7.6</v>
      </c>
      <c r="F4959" s="485"/>
      <c r="G4959" s="485">
        <v>1.8</v>
      </c>
      <c r="H4959" s="18">
        <f t="shared" si="855"/>
        <v>13.68</v>
      </c>
    </row>
    <row r="4960" spans="1:8" s="948" customFormat="1">
      <c r="A4960" s="485"/>
      <c r="B4960" s="485"/>
      <c r="C4960" s="17" t="s">
        <v>10</v>
      </c>
      <c r="D4960" s="485">
        <v>1</v>
      </c>
      <c r="E4960" s="485">
        <v>7.51</v>
      </c>
      <c r="F4960" s="485"/>
      <c r="G4960" s="485">
        <v>1.8</v>
      </c>
      <c r="H4960" s="18">
        <f t="shared" si="855"/>
        <v>13.518000000000001</v>
      </c>
    </row>
    <row r="4961" spans="1:8" s="948" customFormat="1">
      <c r="A4961" s="485"/>
      <c r="B4961" s="485"/>
      <c r="C4961" s="485"/>
      <c r="D4961" s="485"/>
      <c r="E4961" s="485"/>
      <c r="F4961" s="485"/>
      <c r="G4961" s="485"/>
      <c r="H4961" s="487"/>
    </row>
    <row r="4962" spans="1:8" s="948" customFormat="1">
      <c r="A4962" s="17"/>
      <c r="B4962" s="17"/>
      <c r="C4962" s="17"/>
      <c r="D4962" s="17"/>
      <c r="E4962" s="17"/>
      <c r="F4962" s="17"/>
      <c r="G4962" s="17"/>
      <c r="H4962" s="18"/>
    </row>
    <row r="4963" spans="1:8" s="948" customFormat="1">
      <c r="A4963" s="15"/>
      <c r="B4963" s="15" t="s">
        <v>21</v>
      </c>
      <c r="C4963" s="15"/>
      <c r="D4963" s="15"/>
      <c r="E4963" s="15"/>
      <c r="F4963" s="15"/>
      <c r="G4963" s="15"/>
      <c r="H4963" s="20">
        <f>SUM(H4951:H4962)</f>
        <v>160.21799999999999</v>
      </c>
    </row>
    <row r="4964" spans="1:8" s="948" customFormat="1">
      <c r="A4964" s="17"/>
      <c r="B4964" s="17" t="s">
        <v>22</v>
      </c>
      <c r="C4964" s="17"/>
      <c r="D4964" s="17"/>
      <c r="E4964" s="17"/>
      <c r="F4964" s="17"/>
      <c r="G4964" s="17"/>
      <c r="H4964" s="18"/>
    </row>
    <row r="4965" spans="1:8" s="948" customFormat="1">
      <c r="A4965" s="15"/>
      <c r="B4965" s="15" t="s">
        <v>23</v>
      </c>
      <c r="C4965" s="15"/>
      <c r="D4965" s="15"/>
      <c r="E4965" s="15"/>
      <c r="F4965" s="15"/>
      <c r="G4965" s="15"/>
      <c r="H4965" s="20">
        <f>ROUND(SUM(H4963:H4964),0)</f>
        <v>160</v>
      </c>
    </row>
    <row r="4966" spans="1:8" s="948" customFormat="1">
      <c r="H4966" s="21"/>
    </row>
    <row r="4967" spans="1:8" s="948" customFormat="1">
      <c r="A4967" s="17">
        <v>4</v>
      </c>
      <c r="B4967" s="15" t="s">
        <v>2204</v>
      </c>
      <c r="C4967" s="17" t="s">
        <v>10</v>
      </c>
      <c r="D4967" s="17"/>
      <c r="E4967" s="17"/>
      <c r="F4967" s="17"/>
      <c r="G4967" s="17"/>
      <c r="H4967" s="18"/>
    </row>
    <row r="4968" spans="1:8" s="948" customFormat="1">
      <c r="A4968" s="17"/>
      <c r="B4968" s="17" t="s">
        <v>1242</v>
      </c>
      <c r="C4968" s="17" t="s">
        <v>10</v>
      </c>
      <c r="D4968" s="17">
        <v>1</v>
      </c>
      <c r="E4968" s="17">
        <v>4.3</v>
      </c>
      <c r="F4968" s="17"/>
      <c r="G4968" s="17">
        <v>1.8</v>
      </c>
      <c r="H4968" s="18">
        <f t="shared" ref="H4968" si="856">PRODUCT(D4968:G4968)</f>
        <v>7.74</v>
      </c>
    </row>
    <row r="4969" spans="1:8" s="948" customFormat="1">
      <c r="A4969" s="485"/>
      <c r="B4969" s="485"/>
      <c r="C4969" s="17" t="s">
        <v>10</v>
      </c>
      <c r="D4969" s="17">
        <v>1</v>
      </c>
      <c r="E4969" s="17">
        <v>4.3499999999999996</v>
      </c>
      <c r="F4969" s="17"/>
      <c r="G4969" s="17">
        <v>1.8</v>
      </c>
      <c r="H4969" s="18">
        <f t="shared" ref="H4969" si="857">PRODUCT(D4969:G4969)</f>
        <v>7.8299999999999992</v>
      </c>
    </row>
    <row r="4970" spans="1:8" s="948" customFormat="1">
      <c r="A4970" s="485"/>
      <c r="B4970" s="485"/>
      <c r="C4970" s="485"/>
      <c r="D4970" s="485"/>
      <c r="E4970" s="485"/>
      <c r="F4970" s="485"/>
      <c r="G4970" s="485"/>
      <c r="H4970" s="487"/>
    </row>
    <row r="4971" spans="1:8" s="948" customFormat="1">
      <c r="A4971" s="17"/>
      <c r="B4971" s="17"/>
      <c r="C4971" s="17"/>
      <c r="D4971" s="17"/>
      <c r="E4971" s="17"/>
      <c r="F4971" s="17"/>
      <c r="G4971" s="17"/>
      <c r="H4971" s="18"/>
    </row>
    <row r="4972" spans="1:8" s="948" customFormat="1">
      <c r="A4972" s="15"/>
      <c r="B4972" s="15" t="s">
        <v>21</v>
      </c>
      <c r="C4972" s="15"/>
      <c r="D4972" s="15"/>
      <c r="E4972" s="15"/>
      <c r="F4972" s="15"/>
      <c r="G4972" s="15"/>
      <c r="H4972" s="20">
        <f>SUM(H4968:H4971)</f>
        <v>15.57</v>
      </c>
    </row>
    <row r="4973" spans="1:8" s="948" customFormat="1">
      <c r="A4973" s="17"/>
      <c r="B4973" s="17" t="s">
        <v>22</v>
      </c>
      <c r="C4973" s="17"/>
      <c r="D4973" s="17"/>
      <c r="E4973" s="17"/>
      <c r="F4973" s="17"/>
      <c r="G4973" s="17"/>
      <c r="H4973" s="18"/>
    </row>
    <row r="4974" spans="1:8" s="948" customFormat="1">
      <c r="A4974" s="15"/>
      <c r="B4974" s="15" t="s">
        <v>23</v>
      </c>
      <c r="C4974" s="15"/>
      <c r="D4974" s="15"/>
      <c r="E4974" s="15"/>
      <c r="F4974" s="15"/>
      <c r="G4974" s="15"/>
      <c r="H4974" s="20">
        <f>ROUND(SUM(H4972:H4973),0)</f>
        <v>16</v>
      </c>
    </row>
    <row r="4975" spans="1:8" s="948" customFormat="1">
      <c r="H4975" s="21"/>
    </row>
    <row r="4976" spans="1:8" s="948" customFormat="1">
      <c r="A4976" s="17">
        <v>4</v>
      </c>
      <c r="B4976" s="15" t="s">
        <v>2211</v>
      </c>
      <c r="C4976" s="17" t="s">
        <v>10</v>
      </c>
      <c r="D4976" s="17"/>
      <c r="E4976" s="17"/>
      <c r="F4976" s="17"/>
      <c r="G4976" s="17"/>
      <c r="H4976" s="18"/>
    </row>
    <row r="4977" spans="1:8" s="948" customFormat="1">
      <c r="A4977" s="17"/>
      <c r="B4977" s="17" t="s">
        <v>1242</v>
      </c>
      <c r="C4977" s="17" t="s">
        <v>10</v>
      </c>
      <c r="D4977" s="17">
        <v>1</v>
      </c>
      <c r="E4977" s="17">
        <v>4.3</v>
      </c>
      <c r="F4977" s="17"/>
      <c r="G4977" s="17">
        <v>1.8</v>
      </c>
      <c r="H4977" s="18">
        <f t="shared" ref="H4977:H4978" si="858">PRODUCT(D4977:G4977)</f>
        <v>7.74</v>
      </c>
    </row>
    <row r="4978" spans="1:8" s="948" customFormat="1">
      <c r="A4978" s="485"/>
      <c r="B4978" s="485"/>
      <c r="C4978" s="17" t="s">
        <v>10</v>
      </c>
      <c r="D4978" s="17">
        <v>1</v>
      </c>
      <c r="E4978" s="17">
        <v>4.3499999999999996</v>
      </c>
      <c r="F4978" s="17"/>
      <c r="G4978" s="17">
        <v>1.8</v>
      </c>
      <c r="H4978" s="18">
        <f t="shared" si="858"/>
        <v>7.8299999999999992</v>
      </c>
    </row>
    <row r="4979" spans="1:8" s="948" customFormat="1">
      <c r="A4979" s="485"/>
      <c r="B4979" s="485"/>
      <c r="C4979" s="485"/>
      <c r="D4979" s="485"/>
      <c r="E4979" s="485"/>
      <c r="F4979" s="485"/>
      <c r="G4979" s="485"/>
      <c r="H4979" s="487"/>
    </row>
    <row r="4980" spans="1:8" s="948" customFormat="1">
      <c r="A4980" s="17"/>
      <c r="B4980" s="17"/>
      <c r="C4980" s="17"/>
      <c r="D4980" s="17"/>
      <c r="E4980" s="17"/>
      <c r="F4980" s="17"/>
      <c r="G4980" s="17"/>
      <c r="H4980" s="18"/>
    </row>
    <row r="4981" spans="1:8" s="948" customFormat="1">
      <c r="A4981" s="15"/>
      <c r="B4981" s="15" t="s">
        <v>21</v>
      </c>
      <c r="C4981" s="15"/>
      <c r="D4981" s="15"/>
      <c r="E4981" s="15"/>
      <c r="F4981" s="15"/>
      <c r="G4981" s="15"/>
      <c r="H4981" s="20">
        <f>SUM(H4977:H4980)</f>
        <v>15.57</v>
      </c>
    </row>
    <row r="4982" spans="1:8" s="948" customFormat="1">
      <c r="A4982" s="17"/>
      <c r="B4982" s="17" t="s">
        <v>22</v>
      </c>
      <c r="C4982" s="17"/>
      <c r="D4982" s="17"/>
      <c r="E4982" s="17"/>
      <c r="F4982" s="17"/>
      <c r="G4982" s="17"/>
      <c r="H4982" s="18"/>
    </row>
    <row r="4983" spans="1:8" s="948" customFormat="1">
      <c r="A4983" s="15"/>
      <c r="B4983" s="15" t="s">
        <v>23</v>
      </c>
      <c r="C4983" s="15"/>
      <c r="D4983" s="15"/>
      <c r="E4983" s="15"/>
      <c r="F4983" s="15"/>
      <c r="G4983" s="15"/>
      <c r="H4983" s="20">
        <f>ROUND(SUM(H4981:H4982),0)</f>
        <v>16</v>
      </c>
    </row>
    <row r="4984" spans="1:8" s="948" customFormat="1">
      <c r="H4984" s="21"/>
    </row>
    <row r="4985" spans="1:8" s="948" customFormat="1">
      <c r="A4985" s="17">
        <v>4</v>
      </c>
      <c r="B4985" s="15" t="s">
        <v>2211</v>
      </c>
      <c r="C4985" s="17" t="s">
        <v>10</v>
      </c>
      <c r="D4985" s="17"/>
      <c r="E4985" s="17"/>
      <c r="F4985" s="17"/>
      <c r="G4985" s="17"/>
      <c r="H4985" s="18"/>
    </row>
    <row r="4986" spans="1:8" s="948" customFormat="1">
      <c r="A4986" s="17"/>
      <c r="B4986" s="17" t="s">
        <v>156</v>
      </c>
      <c r="C4986" s="17" t="s">
        <v>10</v>
      </c>
      <c r="D4986" s="17">
        <v>1</v>
      </c>
      <c r="E4986" s="17">
        <v>3.3</v>
      </c>
      <c r="F4986" s="17">
        <v>2.1</v>
      </c>
      <c r="G4986" s="17"/>
      <c r="H4986" s="18">
        <f>(E4986+F4986+F4986)*D4986</f>
        <v>7.5</v>
      </c>
    </row>
    <row r="4987" spans="1:8" s="948" customFormat="1">
      <c r="A4987" s="17"/>
      <c r="B4987" s="17"/>
      <c r="C4987" s="17" t="s">
        <v>10</v>
      </c>
      <c r="D4987" s="17">
        <v>1</v>
      </c>
      <c r="E4987" s="17">
        <v>4</v>
      </c>
      <c r="F4987" s="17">
        <v>2.1</v>
      </c>
      <c r="G4987" s="17"/>
      <c r="H4987" s="18">
        <f t="shared" ref="H4987:H4999" si="859">(E4987+F4987+F4987)*D4987</f>
        <v>8.1999999999999993</v>
      </c>
    </row>
    <row r="4988" spans="1:8" s="948" customFormat="1">
      <c r="A4988" s="17"/>
      <c r="B4988" s="17" t="s">
        <v>282</v>
      </c>
      <c r="C4988" s="17" t="s">
        <v>10</v>
      </c>
      <c r="D4988" s="17">
        <v>1</v>
      </c>
      <c r="E4988" s="17">
        <v>8</v>
      </c>
      <c r="F4988" s="17">
        <v>2.1</v>
      </c>
      <c r="G4988" s="17"/>
      <c r="H4988" s="18">
        <f t="shared" si="859"/>
        <v>12.2</v>
      </c>
    </row>
    <row r="4989" spans="1:8" s="948" customFormat="1">
      <c r="A4989" s="17"/>
      <c r="B4989" s="17"/>
      <c r="C4989" s="17" t="s">
        <v>10</v>
      </c>
      <c r="D4989" s="17">
        <v>1</v>
      </c>
      <c r="E4989" s="17">
        <v>3</v>
      </c>
      <c r="F4989" s="17">
        <v>2.1</v>
      </c>
      <c r="G4989" s="17"/>
      <c r="H4989" s="18">
        <f t="shared" si="859"/>
        <v>7.1999999999999993</v>
      </c>
    </row>
    <row r="4990" spans="1:8" s="948" customFormat="1">
      <c r="A4990" s="485"/>
      <c r="B4990" s="485" t="s">
        <v>2184</v>
      </c>
      <c r="C4990" s="17" t="s">
        <v>10</v>
      </c>
      <c r="D4990" s="17">
        <v>1</v>
      </c>
      <c r="E4990" s="17">
        <v>3.1</v>
      </c>
      <c r="F4990" s="17">
        <v>2.1</v>
      </c>
      <c r="G4990" s="17"/>
      <c r="H4990" s="18">
        <f t="shared" si="859"/>
        <v>7.3000000000000007</v>
      </c>
    </row>
    <row r="4991" spans="1:8" s="948" customFormat="1">
      <c r="A4991" s="485"/>
      <c r="B4991" s="485" t="s">
        <v>181</v>
      </c>
      <c r="C4991" s="17" t="s">
        <v>10</v>
      </c>
      <c r="D4991" s="17">
        <v>1</v>
      </c>
      <c r="E4991" s="17">
        <v>8</v>
      </c>
      <c r="F4991" s="17">
        <v>2.1</v>
      </c>
      <c r="G4991" s="17"/>
      <c r="H4991" s="18">
        <f t="shared" si="859"/>
        <v>12.2</v>
      </c>
    </row>
    <row r="4992" spans="1:8" s="948" customFormat="1">
      <c r="A4992" s="485"/>
      <c r="B4992" s="485" t="s">
        <v>1917</v>
      </c>
      <c r="C4992" s="17" t="s">
        <v>10</v>
      </c>
      <c r="D4992" s="17">
        <v>1</v>
      </c>
      <c r="E4992" s="17">
        <v>9</v>
      </c>
      <c r="F4992" s="17">
        <v>2.1</v>
      </c>
      <c r="G4992" s="17"/>
      <c r="H4992" s="18">
        <f t="shared" si="859"/>
        <v>13.2</v>
      </c>
    </row>
    <row r="4993" spans="1:8" s="948" customFormat="1">
      <c r="A4993" s="485"/>
      <c r="B4993" s="485"/>
      <c r="C4993" s="17" t="s">
        <v>10</v>
      </c>
      <c r="D4993" s="485">
        <v>1</v>
      </c>
      <c r="E4993" s="485">
        <v>3</v>
      </c>
      <c r="F4993" s="17">
        <v>2.1</v>
      </c>
      <c r="G4993" s="17"/>
      <c r="H4993" s="18">
        <f t="shared" si="859"/>
        <v>7.1999999999999993</v>
      </c>
    </row>
    <row r="4994" spans="1:8" s="948" customFormat="1">
      <c r="A4994" s="485"/>
      <c r="B4994" s="485" t="s">
        <v>442</v>
      </c>
      <c r="C4994" s="17" t="s">
        <v>10</v>
      </c>
      <c r="D4994" s="485">
        <v>1</v>
      </c>
      <c r="E4994" s="485">
        <v>4</v>
      </c>
      <c r="F4994" s="17">
        <v>2.1</v>
      </c>
      <c r="G4994" s="17"/>
      <c r="H4994" s="18">
        <f t="shared" si="859"/>
        <v>8.1999999999999993</v>
      </c>
    </row>
    <row r="4995" spans="1:8" s="948" customFormat="1">
      <c r="A4995" s="485"/>
      <c r="B4995" s="485" t="s">
        <v>312</v>
      </c>
      <c r="C4995" s="17" t="s">
        <v>10</v>
      </c>
      <c r="D4995" s="485">
        <v>1</v>
      </c>
      <c r="E4995" s="485">
        <v>6</v>
      </c>
      <c r="F4995" s="17">
        <v>2.1</v>
      </c>
      <c r="G4995" s="17"/>
      <c r="H4995" s="18">
        <f t="shared" si="859"/>
        <v>10.199999999999999</v>
      </c>
    </row>
    <row r="4996" spans="1:8" s="948" customFormat="1">
      <c r="A4996" s="485"/>
      <c r="B4996" s="485" t="s">
        <v>1244</v>
      </c>
      <c r="C4996" s="17" t="s">
        <v>10</v>
      </c>
      <c r="D4996" s="485">
        <v>1</v>
      </c>
      <c r="E4996" s="485">
        <v>5</v>
      </c>
      <c r="F4996" s="17">
        <v>2.1</v>
      </c>
      <c r="G4996" s="17"/>
      <c r="H4996" s="18">
        <f t="shared" si="859"/>
        <v>9.1999999999999993</v>
      </c>
    </row>
    <row r="4997" spans="1:8" s="948" customFormat="1">
      <c r="A4997" s="485"/>
      <c r="B4997" s="485" t="s">
        <v>215</v>
      </c>
      <c r="C4997" s="17" t="s">
        <v>10</v>
      </c>
      <c r="D4997" s="485">
        <v>1</v>
      </c>
      <c r="E4997" s="485">
        <v>3.5</v>
      </c>
      <c r="F4997" s="17">
        <v>2.1</v>
      </c>
      <c r="G4997" s="17"/>
      <c r="H4997" s="18">
        <f t="shared" si="859"/>
        <v>7.6999999999999993</v>
      </c>
    </row>
    <row r="4998" spans="1:8" s="948" customFormat="1">
      <c r="A4998" s="485"/>
      <c r="B4998" s="485" t="s">
        <v>200</v>
      </c>
      <c r="C4998" s="17" t="s">
        <v>10</v>
      </c>
      <c r="D4998" s="485">
        <v>1</v>
      </c>
      <c r="E4998" s="485">
        <v>7</v>
      </c>
      <c r="F4998" s="485">
        <v>2.1</v>
      </c>
      <c r="G4998" s="485"/>
      <c r="H4998" s="18">
        <f t="shared" si="859"/>
        <v>11.2</v>
      </c>
    </row>
    <row r="4999" spans="1:8" s="948" customFormat="1">
      <c r="A4999" s="485"/>
      <c r="B4999" s="485"/>
      <c r="C4999" s="17" t="s">
        <v>10</v>
      </c>
      <c r="D4999" s="485">
        <v>1</v>
      </c>
      <c r="E4999" s="485">
        <v>5.3</v>
      </c>
      <c r="F4999" s="485">
        <v>2.1</v>
      </c>
      <c r="G4999" s="485"/>
      <c r="H4999" s="18">
        <f t="shared" si="859"/>
        <v>9.5</v>
      </c>
    </row>
    <row r="5000" spans="1:8" s="948" customFormat="1">
      <c r="A5000" s="485"/>
      <c r="B5000" s="485" t="s">
        <v>2212</v>
      </c>
      <c r="C5000" s="485"/>
      <c r="D5000" s="485"/>
      <c r="E5000" s="485"/>
      <c r="F5000" s="485"/>
      <c r="G5000" s="485"/>
      <c r="H5000" s="487"/>
    </row>
    <row r="5001" spans="1:8" s="948" customFormat="1">
      <c r="A5001" s="17"/>
      <c r="B5001" s="17" t="s">
        <v>2147</v>
      </c>
      <c r="C5001" s="17" t="s">
        <v>10</v>
      </c>
      <c r="D5001" s="17">
        <v>1</v>
      </c>
      <c r="E5001" s="17">
        <v>4.8</v>
      </c>
      <c r="F5001" s="17"/>
      <c r="G5001" s="17">
        <v>2.1</v>
      </c>
      <c r="H5001" s="18">
        <f>(E5001+G5001)*2*D5001</f>
        <v>13.8</v>
      </c>
    </row>
    <row r="5002" spans="1:8" s="948" customFormat="1">
      <c r="A5002" s="485"/>
      <c r="B5002" s="485" t="s">
        <v>172</v>
      </c>
      <c r="C5002" s="17" t="s">
        <v>10</v>
      </c>
      <c r="D5002" s="485">
        <v>1</v>
      </c>
      <c r="E5002" s="485">
        <v>4.8</v>
      </c>
      <c r="F5002" s="485"/>
      <c r="G5002" s="485">
        <v>1.2</v>
      </c>
      <c r="H5002" s="18">
        <f t="shared" ref="H5002:H5008" si="860">(E5002+G5002)*2*D5002</f>
        <v>12</v>
      </c>
    </row>
    <row r="5003" spans="1:8" s="948" customFormat="1">
      <c r="A5003" s="485"/>
      <c r="B5003" s="485" t="s">
        <v>172</v>
      </c>
      <c r="C5003" s="17" t="s">
        <v>10</v>
      </c>
      <c r="D5003" s="485">
        <v>1</v>
      </c>
      <c r="E5003" s="485">
        <v>7.2</v>
      </c>
      <c r="F5003" s="485"/>
      <c r="G5003" s="485">
        <v>1.2</v>
      </c>
      <c r="H5003" s="18">
        <f t="shared" si="860"/>
        <v>16.8</v>
      </c>
    </row>
    <row r="5004" spans="1:8" s="948" customFormat="1">
      <c r="A5004" s="485"/>
      <c r="B5004" s="485" t="s">
        <v>172</v>
      </c>
      <c r="C5004" s="17" t="s">
        <v>10</v>
      </c>
      <c r="D5004" s="485">
        <v>1</v>
      </c>
      <c r="E5004" s="485">
        <v>4.8</v>
      </c>
      <c r="F5004" s="485"/>
      <c r="G5004" s="485">
        <v>2.1</v>
      </c>
      <c r="H5004" s="18">
        <f t="shared" si="860"/>
        <v>13.8</v>
      </c>
    </row>
    <row r="5005" spans="1:8" s="948" customFormat="1">
      <c r="A5005" s="485"/>
      <c r="B5005" s="485" t="s">
        <v>196</v>
      </c>
      <c r="C5005" s="17" t="s">
        <v>10</v>
      </c>
      <c r="D5005" s="485">
        <v>1</v>
      </c>
      <c r="E5005" s="485">
        <v>3.6</v>
      </c>
      <c r="F5005" s="485"/>
      <c r="G5005" s="485">
        <v>1.2</v>
      </c>
      <c r="H5005" s="18">
        <f t="shared" si="860"/>
        <v>9.6</v>
      </c>
    </row>
    <row r="5006" spans="1:8" s="948" customFormat="1">
      <c r="A5006" s="485"/>
      <c r="B5006" s="485" t="s">
        <v>196</v>
      </c>
      <c r="C5006" s="17" t="s">
        <v>10</v>
      </c>
      <c r="D5006" s="485">
        <v>1</v>
      </c>
      <c r="E5006" s="485">
        <v>1.2</v>
      </c>
      <c r="F5006" s="485"/>
      <c r="G5006" s="485">
        <v>2.1</v>
      </c>
      <c r="H5006" s="18">
        <f t="shared" si="860"/>
        <v>6.6</v>
      </c>
    </row>
    <row r="5007" spans="1:8" s="948" customFormat="1">
      <c r="A5007" s="485"/>
      <c r="B5007" s="485" t="s">
        <v>196</v>
      </c>
      <c r="C5007" s="17" t="s">
        <v>10</v>
      </c>
      <c r="D5007" s="485">
        <v>1</v>
      </c>
      <c r="E5007" s="485">
        <v>4.8</v>
      </c>
      <c r="F5007" s="485"/>
      <c r="G5007" s="485">
        <v>2.1</v>
      </c>
      <c r="H5007" s="18">
        <f t="shared" si="860"/>
        <v>13.8</v>
      </c>
    </row>
    <row r="5008" spans="1:8" s="948" customFormat="1">
      <c r="A5008" s="485"/>
      <c r="B5008" s="485" t="s">
        <v>196</v>
      </c>
      <c r="C5008" s="17" t="s">
        <v>10</v>
      </c>
      <c r="D5008" s="485">
        <v>1</v>
      </c>
      <c r="E5008" s="485">
        <v>1.2</v>
      </c>
      <c r="F5008" s="485"/>
      <c r="G5008" s="485">
        <v>2.1</v>
      </c>
      <c r="H5008" s="18">
        <f t="shared" si="860"/>
        <v>6.6</v>
      </c>
    </row>
    <row r="5009" spans="1:8" s="948" customFormat="1">
      <c r="A5009" s="485"/>
      <c r="B5009" s="485"/>
      <c r="C5009" s="485"/>
      <c r="D5009" s="485"/>
      <c r="E5009" s="485"/>
      <c r="F5009" s="485"/>
      <c r="G5009" s="485"/>
      <c r="H5009" s="487"/>
    </row>
    <row r="5010" spans="1:8" s="948" customFormat="1">
      <c r="A5010" s="485"/>
      <c r="B5010" s="485"/>
      <c r="C5010" s="485"/>
      <c r="D5010" s="485"/>
      <c r="E5010" s="485"/>
      <c r="F5010" s="485"/>
      <c r="G5010" s="485"/>
      <c r="H5010" s="487"/>
    </row>
    <row r="5011" spans="1:8" s="948" customFormat="1">
      <c r="A5011" s="485"/>
      <c r="B5011" s="485"/>
      <c r="C5011" s="485"/>
      <c r="D5011" s="485"/>
      <c r="E5011" s="485"/>
      <c r="F5011" s="485"/>
      <c r="G5011" s="485"/>
      <c r="H5011" s="487"/>
    </row>
    <row r="5012" spans="1:8" s="948" customFormat="1">
      <c r="A5012" s="17"/>
      <c r="B5012" s="17"/>
      <c r="C5012" s="17"/>
      <c r="D5012" s="17"/>
      <c r="E5012" s="17"/>
      <c r="F5012" s="17"/>
      <c r="G5012" s="17"/>
      <c r="H5012" s="18"/>
    </row>
    <row r="5013" spans="1:8" s="948" customFormat="1">
      <c r="A5013" s="15"/>
      <c r="B5013" s="15" t="s">
        <v>21</v>
      </c>
      <c r="C5013" s="15"/>
      <c r="D5013" s="15"/>
      <c r="E5013" s="15"/>
      <c r="F5013" s="15"/>
      <c r="G5013" s="15"/>
      <c r="H5013" s="20">
        <f>SUM(H4986:H5012)</f>
        <v>224.00000000000003</v>
      </c>
    </row>
    <row r="5014" spans="1:8" s="948" customFormat="1">
      <c r="A5014" s="17"/>
      <c r="B5014" s="17" t="s">
        <v>22</v>
      </c>
      <c r="C5014" s="17"/>
      <c r="D5014" s="17"/>
      <c r="E5014" s="17"/>
      <c r="F5014" s="17"/>
      <c r="G5014" s="17"/>
      <c r="H5014" s="18"/>
    </row>
    <row r="5015" spans="1:8" s="948" customFormat="1">
      <c r="A5015" s="15"/>
      <c r="B5015" s="15" t="s">
        <v>23</v>
      </c>
      <c r="C5015" s="15"/>
      <c r="D5015" s="15"/>
      <c r="E5015" s="15"/>
      <c r="F5015" s="15"/>
      <c r="G5015" s="15"/>
      <c r="H5015" s="20">
        <f>ROUND(SUM(H5013:H5014),0)</f>
        <v>224</v>
      </c>
    </row>
    <row r="5017" spans="1:8">
      <c r="A5017" s="17">
        <v>5</v>
      </c>
      <c r="B5017" s="15" t="s">
        <v>2211</v>
      </c>
      <c r="C5017" s="17" t="s">
        <v>10</v>
      </c>
      <c r="D5017" s="17"/>
      <c r="E5017" s="17"/>
      <c r="F5017" s="17"/>
      <c r="G5017" s="17"/>
      <c r="H5017" s="18"/>
    </row>
    <row r="5018" spans="1:8">
      <c r="A5018" s="17"/>
      <c r="B5018" s="17" t="s">
        <v>331</v>
      </c>
      <c r="C5018" s="16" t="s">
        <v>10</v>
      </c>
      <c r="D5018" s="17">
        <v>1</v>
      </c>
      <c r="E5018" s="17">
        <v>4.26</v>
      </c>
      <c r="F5018" s="17">
        <v>4.2</v>
      </c>
      <c r="G5018" s="17"/>
      <c r="H5018" s="18">
        <f t="shared" ref="H5018:H5030" si="861">PRODUCT(D5018:G5018)</f>
        <v>17.891999999999999</v>
      </c>
    </row>
    <row r="5019" spans="1:8">
      <c r="A5019" s="17"/>
      <c r="B5019" s="17"/>
      <c r="C5019" s="16" t="s">
        <v>10</v>
      </c>
      <c r="D5019" s="17">
        <v>1</v>
      </c>
      <c r="E5019" s="17">
        <v>1.3</v>
      </c>
      <c r="F5019" s="17">
        <v>2.2999999999999998</v>
      </c>
      <c r="G5019" s="17"/>
      <c r="H5019" s="18">
        <f t="shared" si="861"/>
        <v>2.9899999999999998</v>
      </c>
    </row>
    <row r="5020" spans="1:8">
      <c r="A5020" s="17"/>
      <c r="B5020" s="17"/>
      <c r="C5020" s="16" t="s">
        <v>10</v>
      </c>
      <c r="D5020" s="17">
        <v>2</v>
      </c>
      <c r="E5020" s="17">
        <v>5.56</v>
      </c>
      <c r="F5020" s="17">
        <v>2.7</v>
      </c>
      <c r="G5020" s="17"/>
      <c r="H5020" s="18">
        <f t="shared" si="861"/>
        <v>30.024000000000001</v>
      </c>
    </row>
    <row r="5021" spans="1:8">
      <c r="A5021" s="17"/>
      <c r="B5021" s="17"/>
      <c r="C5021" s="16" t="s">
        <v>10</v>
      </c>
      <c r="D5021" s="17">
        <v>2</v>
      </c>
      <c r="E5021" s="17">
        <v>4.2</v>
      </c>
      <c r="F5021" s="17">
        <v>2.7</v>
      </c>
      <c r="G5021" s="17"/>
      <c r="H5021" s="18">
        <f t="shared" si="861"/>
        <v>22.680000000000003</v>
      </c>
    </row>
    <row r="5022" spans="1:8">
      <c r="A5022" s="17"/>
      <c r="B5022" s="17" t="s">
        <v>119</v>
      </c>
      <c r="C5022" s="16" t="s">
        <v>10</v>
      </c>
      <c r="D5022" s="17">
        <v>-1</v>
      </c>
      <c r="E5022" s="17">
        <v>1</v>
      </c>
      <c r="F5022" s="17">
        <v>2.4</v>
      </c>
      <c r="G5022" s="17"/>
      <c r="H5022" s="18">
        <f t="shared" si="861"/>
        <v>-2.4</v>
      </c>
    </row>
    <row r="5023" spans="1:8">
      <c r="A5023" s="17"/>
      <c r="B5023" s="17" t="s">
        <v>332</v>
      </c>
      <c r="C5023" s="16" t="s">
        <v>10</v>
      </c>
      <c r="D5023" s="17">
        <v>1</v>
      </c>
      <c r="E5023" s="17">
        <v>5.4</v>
      </c>
      <c r="F5023" s="17">
        <v>3.48</v>
      </c>
      <c r="G5023" s="17"/>
      <c r="H5023" s="18">
        <f t="shared" si="861"/>
        <v>18.792000000000002</v>
      </c>
    </row>
    <row r="5024" spans="1:8">
      <c r="A5024" s="17"/>
      <c r="B5024" s="17"/>
      <c r="C5024" s="16" t="s">
        <v>10</v>
      </c>
      <c r="D5024" s="17">
        <v>1</v>
      </c>
      <c r="E5024" s="17">
        <v>1.35</v>
      </c>
      <c r="F5024" s="17">
        <v>1.25</v>
      </c>
      <c r="G5024" s="17"/>
      <c r="H5024" s="18">
        <f t="shared" si="861"/>
        <v>1.6875</v>
      </c>
    </row>
    <row r="5025" spans="1:9">
      <c r="A5025" s="17"/>
      <c r="B5025" s="17"/>
      <c r="C5025" s="16" t="s">
        <v>10</v>
      </c>
      <c r="D5025" s="17">
        <v>4</v>
      </c>
      <c r="E5025" s="17">
        <v>3.48</v>
      </c>
      <c r="F5025" s="17">
        <v>2.7</v>
      </c>
      <c r="G5025" s="17"/>
      <c r="H5025" s="18">
        <f t="shared" si="861"/>
        <v>37.584000000000003</v>
      </c>
    </row>
    <row r="5026" spans="1:9">
      <c r="A5026" s="17"/>
      <c r="B5026" s="17"/>
      <c r="C5026" s="16" t="s">
        <v>10</v>
      </c>
      <c r="D5026" s="17">
        <v>2</v>
      </c>
      <c r="E5026" s="17">
        <v>5.5</v>
      </c>
      <c r="F5026" s="17">
        <v>2.7</v>
      </c>
      <c r="G5026" s="17"/>
      <c r="H5026" s="18">
        <f t="shared" si="861"/>
        <v>29.700000000000003</v>
      </c>
    </row>
    <row r="5027" spans="1:9">
      <c r="A5027" s="17"/>
      <c r="B5027" s="17" t="s">
        <v>174</v>
      </c>
      <c r="C5027" s="16" t="s">
        <v>10</v>
      </c>
      <c r="D5027" s="17">
        <v>1</v>
      </c>
      <c r="E5027" s="17">
        <v>4.1500000000000004</v>
      </c>
      <c r="F5027" s="17">
        <v>10.92</v>
      </c>
      <c r="G5027" s="17"/>
      <c r="H5027" s="18">
        <f t="shared" si="861"/>
        <v>45.318000000000005</v>
      </c>
    </row>
    <row r="5028" spans="1:9">
      <c r="A5028" s="17"/>
      <c r="B5028" s="17"/>
      <c r="C5028" s="16" t="s">
        <v>10</v>
      </c>
      <c r="D5028" s="17">
        <v>-1</v>
      </c>
      <c r="E5028" s="17">
        <v>2.3199999999999998</v>
      </c>
      <c r="F5028" s="17">
        <v>0.6</v>
      </c>
      <c r="G5028" s="17"/>
      <c r="H5028" s="18">
        <f t="shared" si="861"/>
        <v>-1.3919999999999999</v>
      </c>
    </row>
    <row r="5029" spans="1:9">
      <c r="A5029" s="17"/>
      <c r="B5029" s="17"/>
      <c r="C5029" s="16" t="s">
        <v>10</v>
      </c>
      <c r="D5029" s="17">
        <v>2</v>
      </c>
      <c r="E5029" s="17">
        <v>4.1500000000000004</v>
      </c>
      <c r="F5029" s="17">
        <v>2.7</v>
      </c>
      <c r="G5029" s="17"/>
      <c r="H5029" s="18">
        <f t="shared" si="861"/>
        <v>22.410000000000004</v>
      </c>
    </row>
    <row r="5030" spans="1:9">
      <c r="A5030" s="17"/>
      <c r="B5030" s="17"/>
      <c r="C5030" s="16" t="s">
        <v>10</v>
      </c>
      <c r="D5030" s="17">
        <v>2</v>
      </c>
      <c r="E5030" s="17">
        <v>10.92</v>
      </c>
      <c r="F5030" s="17">
        <v>2.7</v>
      </c>
      <c r="G5030" s="17"/>
      <c r="H5030" s="18">
        <f t="shared" si="861"/>
        <v>58.968000000000004</v>
      </c>
    </row>
    <row r="5031" spans="1:9">
      <c r="A5031" s="17"/>
      <c r="B5031" s="17" t="s">
        <v>332</v>
      </c>
      <c r="C5031" s="16" t="s">
        <v>10</v>
      </c>
      <c r="D5031" s="17">
        <v>1</v>
      </c>
      <c r="E5031" s="17">
        <v>4.2</v>
      </c>
      <c r="F5031" s="17">
        <v>11.05</v>
      </c>
      <c r="G5031" s="17"/>
      <c r="H5031" s="18">
        <f t="shared" ref="H5031:H5035" si="862">PRODUCT(D5031:G5031)</f>
        <v>46.410000000000004</v>
      </c>
    </row>
    <row r="5032" spans="1:9">
      <c r="A5032" s="17"/>
      <c r="B5032" s="17"/>
      <c r="C5032" s="16" t="s">
        <v>10</v>
      </c>
      <c r="D5032" s="17">
        <v>-1</v>
      </c>
      <c r="E5032" s="17">
        <v>1.64</v>
      </c>
      <c r="F5032" s="17">
        <v>2.35</v>
      </c>
      <c r="G5032" s="17"/>
      <c r="H5032" s="18">
        <f t="shared" si="862"/>
        <v>-3.8540000000000001</v>
      </c>
    </row>
    <row r="5033" spans="1:9">
      <c r="A5033" s="17"/>
      <c r="B5033" s="17"/>
      <c r="C5033" s="16" t="s">
        <v>10</v>
      </c>
      <c r="D5033" s="17">
        <v>-1</v>
      </c>
      <c r="E5033" s="17">
        <v>1.44</v>
      </c>
      <c r="F5033" s="17">
        <v>1.85</v>
      </c>
      <c r="G5033" s="17"/>
      <c r="H5033" s="18">
        <f t="shared" si="862"/>
        <v>-2.6640000000000001</v>
      </c>
    </row>
    <row r="5034" spans="1:9">
      <c r="A5034" s="17"/>
      <c r="B5034" s="17"/>
      <c r="C5034" s="16" t="s">
        <v>10</v>
      </c>
      <c r="D5034" s="17">
        <v>2</v>
      </c>
      <c r="E5034" s="17">
        <v>4.2</v>
      </c>
      <c r="F5034" s="17">
        <v>2.7</v>
      </c>
      <c r="G5034" s="17"/>
      <c r="H5034" s="18">
        <f t="shared" si="862"/>
        <v>22.680000000000003</v>
      </c>
    </row>
    <row r="5035" spans="1:9">
      <c r="A5035" s="17"/>
      <c r="B5035" s="17"/>
      <c r="C5035" s="16" t="s">
        <v>10</v>
      </c>
      <c r="D5035" s="17">
        <v>2</v>
      </c>
      <c r="E5035" s="17">
        <v>11.05</v>
      </c>
      <c r="F5035" s="17">
        <v>2.7</v>
      </c>
      <c r="G5035" s="17"/>
      <c r="H5035" s="18">
        <f t="shared" si="862"/>
        <v>59.670000000000009</v>
      </c>
    </row>
    <row r="5036" spans="1:9">
      <c r="A5036" s="17"/>
      <c r="B5036" s="17"/>
      <c r="C5036" s="16"/>
      <c r="D5036" s="17"/>
      <c r="E5036" s="17"/>
      <c r="F5036" s="17"/>
      <c r="G5036" s="17"/>
      <c r="H5036" s="18"/>
    </row>
    <row r="5037" spans="1:9">
      <c r="A5037" s="17"/>
      <c r="B5037" s="17"/>
      <c r="C5037" s="17"/>
      <c r="D5037" s="17"/>
      <c r="E5037" s="17"/>
      <c r="F5037" s="17"/>
      <c r="G5037" s="17"/>
      <c r="H5037" s="18"/>
    </row>
    <row r="5038" spans="1:9">
      <c r="A5038" s="15"/>
      <c r="B5038" s="15" t="s">
        <v>21</v>
      </c>
      <c r="C5038" s="15"/>
      <c r="D5038" s="15"/>
      <c r="E5038" s="15"/>
      <c r="F5038" s="15"/>
      <c r="G5038" s="15"/>
      <c r="H5038" s="20">
        <f>SUM(H5018:H5037)</f>
        <v>406.49550000000011</v>
      </c>
      <c r="I5038">
        <f>12+24.55+7.57+4.2+6.7+6.6+11+13.05+3.044+22.3+5.6+7.7+7.7</f>
        <v>132.01399999999998</v>
      </c>
    </row>
    <row r="5039" spans="1:9">
      <c r="A5039" s="17"/>
      <c r="B5039" s="17" t="s">
        <v>22</v>
      </c>
      <c r="C5039" s="17"/>
      <c r="D5039" s="17"/>
      <c r="E5039" s="17"/>
      <c r="F5039" s="17"/>
      <c r="G5039" s="17"/>
      <c r="H5039" s="18"/>
    </row>
    <row r="5040" spans="1:9">
      <c r="A5040" s="15"/>
      <c r="B5040" s="15" t="s">
        <v>23</v>
      </c>
      <c r="C5040" s="15"/>
      <c r="D5040" s="15"/>
      <c r="E5040" s="15"/>
      <c r="F5040" s="15"/>
      <c r="G5040" s="15"/>
      <c r="H5040" s="20">
        <f>ROUND(SUM(H5038:H5039),0)</f>
        <v>406</v>
      </c>
    </row>
    <row r="5042" spans="1:8">
      <c r="A5042" s="17">
        <v>5</v>
      </c>
      <c r="B5042" s="15" t="s">
        <v>362</v>
      </c>
      <c r="C5042" s="17" t="s">
        <v>10</v>
      </c>
      <c r="D5042" s="17"/>
      <c r="E5042" s="17"/>
      <c r="F5042" s="17"/>
      <c r="G5042" s="17"/>
      <c r="H5042" s="18"/>
    </row>
    <row r="5043" spans="1:8">
      <c r="A5043" s="17"/>
      <c r="B5043" s="17" t="s">
        <v>331</v>
      </c>
      <c r="C5043" s="16" t="s">
        <v>10</v>
      </c>
      <c r="D5043" s="17">
        <v>1</v>
      </c>
      <c r="E5043" s="17">
        <v>9.9</v>
      </c>
      <c r="F5043" s="17">
        <v>4.1500000000000004</v>
      </c>
      <c r="G5043" s="17"/>
      <c r="H5043" s="18">
        <f t="shared" ref="H5043:H5047" si="863">PRODUCT(D5043:G5043)</f>
        <v>41.085000000000008</v>
      </c>
    </row>
    <row r="5044" spans="1:8">
      <c r="A5044" s="485"/>
      <c r="B5044" s="485"/>
      <c r="C5044" s="16" t="s">
        <v>10</v>
      </c>
      <c r="D5044" s="485">
        <v>1</v>
      </c>
      <c r="E5044" s="485">
        <v>2.2999999999999998</v>
      </c>
      <c r="F5044" s="485">
        <v>1.3</v>
      </c>
      <c r="G5044" s="485"/>
      <c r="H5044" s="18">
        <f t="shared" si="863"/>
        <v>2.9899999999999998</v>
      </c>
    </row>
    <row r="5045" spans="1:8">
      <c r="A5045" s="17"/>
      <c r="B5045" s="17" t="s">
        <v>332</v>
      </c>
      <c r="C5045" s="16" t="s">
        <v>10</v>
      </c>
      <c r="D5045" s="17">
        <v>1</v>
      </c>
      <c r="E5045" s="17">
        <v>9.9</v>
      </c>
      <c r="F5045" s="17">
        <v>4.1500000000000004</v>
      </c>
      <c r="G5045" s="17"/>
      <c r="H5045" s="18">
        <f t="shared" si="863"/>
        <v>41.085000000000008</v>
      </c>
    </row>
    <row r="5046" spans="1:8">
      <c r="A5046" s="17"/>
      <c r="B5046" s="17"/>
      <c r="C5046" s="16" t="s">
        <v>10</v>
      </c>
      <c r="D5046" s="17">
        <v>-1</v>
      </c>
      <c r="E5046" s="17">
        <v>4.4000000000000004</v>
      </c>
      <c r="F5046" s="17">
        <v>2.25</v>
      </c>
      <c r="G5046" s="17"/>
      <c r="H5046" s="18">
        <f t="shared" si="863"/>
        <v>-9.9</v>
      </c>
    </row>
    <row r="5047" spans="1:8">
      <c r="A5047" s="485"/>
      <c r="B5047" s="485"/>
      <c r="C5047" s="16" t="s">
        <v>10</v>
      </c>
      <c r="D5047" s="485">
        <v>1</v>
      </c>
      <c r="E5047" s="485">
        <v>1.3</v>
      </c>
      <c r="F5047" s="485">
        <v>2.2000000000000002</v>
      </c>
      <c r="G5047" s="485"/>
      <c r="H5047" s="487">
        <f t="shared" si="863"/>
        <v>2.8600000000000003</v>
      </c>
    </row>
    <row r="5048" spans="1:8">
      <c r="A5048" s="485"/>
      <c r="B5048" s="485" t="s">
        <v>1908</v>
      </c>
      <c r="C5048" s="16" t="s">
        <v>10</v>
      </c>
      <c r="D5048" s="485">
        <v>1</v>
      </c>
      <c r="E5048" s="485">
        <v>2.15</v>
      </c>
      <c r="F5048" s="485">
        <v>2.54</v>
      </c>
      <c r="G5048" s="485"/>
      <c r="H5048" s="487">
        <f t="shared" ref="H5048:H5049" si="864">PRODUCT(D5048:G5048)</f>
        <v>5.4609999999999994</v>
      </c>
    </row>
    <row r="5049" spans="1:8">
      <c r="A5049" s="485"/>
      <c r="B5049" s="485"/>
      <c r="C5049" s="16" t="s">
        <v>10</v>
      </c>
      <c r="D5049" s="485">
        <v>1</v>
      </c>
      <c r="E5049" s="485">
        <v>1.25</v>
      </c>
      <c r="F5049" s="485">
        <v>2.54</v>
      </c>
      <c r="G5049" s="485"/>
      <c r="H5049" s="487">
        <f t="shared" si="864"/>
        <v>3.1749999999999998</v>
      </c>
    </row>
    <row r="5050" spans="1:8">
      <c r="A5050" s="17"/>
      <c r="B5050" s="17" t="s">
        <v>174</v>
      </c>
      <c r="C5050" s="16" t="s">
        <v>10</v>
      </c>
      <c r="D5050" s="17">
        <v>1</v>
      </c>
      <c r="E5050" s="17">
        <v>4.1500000000000004</v>
      </c>
      <c r="F5050" s="17">
        <v>12.22</v>
      </c>
      <c r="G5050" s="17"/>
      <c r="H5050" s="18">
        <f>PRODUCT(D5050:G5050)*0</f>
        <v>0</v>
      </c>
    </row>
    <row r="5051" spans="1:8">
      <c r="A5051" s="17"/>
      <c r="B5051" s="17"/>
      <c r="C5051" s="16" t="s">
        <v>10</v>
      </c>
      <c r="D5051" s="17">
        <v>-1</v>
      </c>
      <c r="E5051" s="17">
        <v>2.3199999999999998</v>
      </c>
      <c r="F5051" s="17">
        <v>0.6</v>
      </c>
      <c r="G5051" s="17"/>
      <c r="H5051" s="18">
        <f>PRODUCT(D5051:G5051)*0</f>
        <v>0</v>
      </c>
    </row>
    <row r="5052" spans="1:8">
      <c r="A5052" s="17"/>
      <c r="B5052" s="17" t="s">
        <v>332</v>
      </c>
      <c r="C5052" s="16" t="s">
        <v>10</v>
      </c>
      <c r="D5052" s="17">
        <v>1</v>
      </c>
      <c r="E5052" s="17">
        <v>4.1500000000000004</v>
      </c>
      <c r="F5052" s="17">
        <v>11.05</v>
      </c>
      <c r="G5052" s="17"/>
      <c r="H5052" s="18">
        <f>PRODUCT(D5052:G5052)*0</f>
        <v>0</v>
      </c>
    </row>
    <row r="5053" spans="1:8">
      <c r="A5053" s="17"/>
      <c r="B5053" s="17"/>
      <c r="C5053" s="16" t="s">
        <v>10</v>
      </c>
      <c r="D5053" s="17">
        <v>-1</v>
      </c>
      <c r="E5053" s="17">
        <v>1.3</v>
      </c>
      <c r="F5053" s="17">
        <v>1.85</v>
      </c>
      <c r="G5053" s="17"/>
      <c r="H5053" s="18">
        <f>PRODUCT(D5053:G5053)*0</f>
        <v>0</v>
      </c>
    </row>
    <row r="5054" spans="1:8">
      <c r="A5054" s="17"/>
      <c r="B5054" s="17"/>
      <c r="C5054" s="16" t="s">
        <v>10</v>
      </c>
      <c r="D5054" s="17">
        <v>-1</v>
      </c>
      <c r="E5054" s="17">
        <v>4.24</v>
      </c>
      <c r="F5054" s="17">
        <v>2.25</v>
      </c>
      <c r="G5054" s="17"/>
      <c r="H5054" s="18">
        <f>PRODUCT(D5054:G5054)*0</f>
        <v>0</v>
      </c>
    </row>
    <row r="5055" spans="1:8">
      <c r="A5055" s="485"/>
      <c r="B5055" s="485" t="s">
        <v>1908</v>
      </c>
      <c r="C5055" s="16" t="s">
        <v>10</v>
      </c>
      <c r="D5055" s="17">
        <v>1</v>
      </c>
      <c r="E5055" s="17">
        <v>2.15</v>
      </c>
      <c r="F5055" s="17">
        <v>2.4</v>
      </c>
      <c r="G5055" s="17"/>
      <c r="H5055" s="18">
        <f t="shared" ref="H5055:H5056" si="865">PRODUCT(D5055:G5055)*0</f>
        <v>0</v>
      </c>
    </row>
    <row r="5056" spans="1:8">
      <c r="A5056" s="485"/>
      <c r="B5056" s="485" t="s">
        <v>1909</v>
      </c>
      <c r="C5056" s="16" t="s">
        <v>10</v>
      </c>
      <c r="D5056" s="17">
        <v>1</v>
      </c>
      <c r="E5056" s="17">
        <v>2.4</v>
      </c>
      <c r="F5056" s="17">
        <v>1.25</v>
      </c>
      <c r="G5056" s="17"/>
      <c r="H5056" s="18">
        <f t="shared" si="865"/>
        <v>0</v>
      </c>
    </row>
    <row r="5057" spans="1:8">
      <c r="A5057" s="17"/>
      <c r="B5057" s="17"/>
      <c r="C5057" s="17"/>
      <c r="D5057" s="17"/>
      <c r="E5057" s="17"/>
      <c r="F5057" s="17"/>
      <c r="G5057" s="17"/>
      <c r="H5057" s="18"/>
    </row>
    <row r="5058" spans="1:8">
      <c r="A5058" s="15"/>
      <c r="B5058" s="15" t="s">
        <v>21</v>
      </c>
      <c r="C5058" s="15"/>
      <c r="D5058" s="15"/>
      <c r="E5058" s="15"/>
      <c r="F5058" s="15"/>
      <c r="G5058" s="15"/>
      <c r="H5058" s="20">
        <f>SUM(H5043:H5057)</f>
        <v>86.756000000000014</v>
      </c>
    </row>
    <row r="5059" spans="1:8">
      <c r="A5059" s="17"/>
      <c r="B5059" s="17" t="s">
        <v>22</v>
      </c>
      <c r="C5059" s="17"/>
      <c r="D5059" s="17"/>
      <c r="E5059" s="17"/>
      <c r="F5059" s="17"/>
      <c r="G5059" s="17"/>
      <c r="H5059" s="18"/>
    </row>
    <row r="5060" spans="1:8">
      <c r="A5060" s="15"/>
      <c r="B5060" s="15" t="s">
        <v>23</v>
      </c>
      <c r="C5060" s="15"/>
      <c r="D5060" s="15"/>
      <c r="E5060" s="15"/>
      <c r="F5060" s="15"/>
      <c r="G5060" s="15"/>
      <c r="H5060" s="20">
        <f>ROUND(SUM(H5058:H5059),0)</f>
        <v>87</v>
      </c>
    </row>
    <row r="5062" spans="1:8">
      <c r="A5062" s="17">
        <v>5</v>
      </c>
      <c r="B5062" s="15" t="s">
        <v>363</v>
      </c>
      <c r="C5062" s="17" t="s">
        <v>10</v>
      </c>
      <c r="D5062" s="17"/>
      <c r="E5062" s="17"/>
      <c r="F5062" s="17"/>
      <c r="G5062" s="17"/>
      <c r="H5062" s="18"/>
    </row>
    <row r="5063" spans="1:8">
      <c r="A5063" s="17"/>
      <c r="B5063" s="17" t="s">
        <v>174</v>
      </c>
      <c r="C5063" s="16" t="s">
        <v>10</v>
      </c>
      <c r="D5063" s="17">
        <v>1</v>
      </c>
      <c r="E5063" s="17">
        <v>11.2</v>
      </c>
      <c r="F5063" s="17">
        <v>1.2</v>
      </c>
      <c r="G5063" s="17"/>
      <c r="H5063" s="18">
        <f>PRODUCT(D5063:G5063)</f>
        <v>13.44</v>
      </c>
    </row>
    <row r="5064" spans="1:8">
      <c r="A5064" s="17"/>
      <c r="B5064" s="17" t="s">
        <v>332</v>
      </c>
      <c r="C5064" s="16" t="s">
        <v>10</v>
      </c>
      <c r="D5064" s="17">
        <v>1</v>
      </c>
      <c r="E5064" s="17">
        <v>5.46</v>
      </c>
      <c r="F5064" s="17">
        <v>1.2</v>
      </c>
      <c r="G5064" s="17"/>
      <c r="H5064" s="18">
        <f>PRODUCT(D5064:G5064)</f>
        <v>6.5519999999999996</v>
      </c>
    </row>
    <row r="5065" spans="1:8">
      <c r="A5065" s="17"/>
      <c r="B5065" s="17" t="s">
        <v>332</v>
      </c>
      <c r="C5065" s="16" t="s">
        <v>10</v>
      </c>
      <c r="D5065" s="17">
        <v>1</v>
      </c>
      <c r="E5065" s="17">
        <v>5.5</v>
      </c>
      <c r="F5065" s="17">
        <v>1.2</v>
      </c>
      <c r="G5065" s="17"/>
      <c r="H5065" s="18">
        <f t="shared" ref="H5065:H5066" si="866">PRODUCT(D5065:G5065)*0</f>
        <v>0</v>
      </c>
    </row>
    <row r="5066" spans="1:8">
      <c r="A5066" s="17"/>
      <c r="B5066" s="17" t="s">
        <v>174</v>
      </c>
      <c r="C5066" s="16" t="s">
        <v>10</v>
      </c>
      <c r="D5066" s="17">
        <v>1</v>
      </c>
      <c r="E5066" s="17">
        <v>9.9</v>
      </c>
      <c r="F5066" s="17">
        <v>1.2</v>
      </c>
      <c r="G5066" s="17"/>
      <c r="H5066" s="18">
        <f t="shared" si="866"/>
        <v>0</v>
      </c>
    </row>
    <row r="5067" spans="1:8">
      <c r="A5067" s="17"/>
      <c r="B5067" s="17"/>
      <c r="C5067" s="16"/>
      <c r="D5067" s="17"/>
      <c r="E5067" s="17"/>
      <c r="F5067" s="17"/>
      <c r="G5067" s="17"/>
      <c r="H5067" s="18"/>
    </row>
    <row r="5068" spans="1:8">
      <c r="A5068" s="17"/>
      <c r="B5068" s="17"/>
      <c r="C5068" s="17"/>
      <c r="D5068" s="17"/>
      <c r="E5068" s="17"/>
      <c r="F5068" s="17"/>
      <c r="G5068" s="17"/>
      <c r="H5068" s="18"/>
    </row>
    <row r="5069" spans="1:8">
      <c r="A5069" s="15"/>
      <c r="B5069" s="15" t="s">
        <v>21</v>
      </c>
      <c r="C5069" s="15"/>
      <c r="D5069" s="15"/>
      <c r="E5069" s="15"/>
      <c r="F5069" s="15"/>
      <c r="G5069" s="15"/>
      <c r="H5069" s="20">
        <f>SUM(H5063:H5068)</f>
        <v>19.991999999999997</v>
      </c>
    </row>
    <row r="5070" spans="1:8">
      <c r="A5070" s="17"/>
      <c r="B5070" s="17" t="s">
        <v>22</v>
      </c>
      <c r="C5070" s="17"/>
      <c r="D5070" s="17"/>
      <c r="E5070" s="17"/>
      <c r="F5070" s="17"/>
      <c r="G5070" s="17"/>
      <c r="H5070" s="18">
        <f>H5069*5%</f>
        <v>0.99959999999999993</v>
      </c>
    </row>
    <row r="5071" spans="1:8">
      <c r="A5071" s="15"/>
      <c r="B5071" s="15" t="s">
        <v>23</v>
      </c>
      <c r="C5071" s="15"/>
      <c r="D5071" s="15"/>
      <c r="E5071" s="15"/>
      <c r="F5071" s="15"/>
      <c r="G5071" s="15"/>
      <c r="H5071" s="20">
        <f>ROUND(SUM(H5069:H5070),0)</f>
        <v>21</v>
      </c>
    </row>
    <row r="5073" spans="1:8">
      <c r="A5073" s="17">
        <v>5</v>
      </c>
      <c r="B5073" s="15" t="s">
        <v>107</v>
      </c>
      <c r="C5073" s="17" t="s">
        <v>10</v>
      </c>
      <c r="D5073" s="17"/>
      <c r="E5073" s="17"/>
      <c r="F5073" s="17"/>
      <c r="G5073" s="17"/>
      <c r="H5073" s="18"/>
    </row>
    <row r="5074" spans="1:8">
      <c r="A5074" s="17"/>
      <c r="B5074" s="17" t="s">
        <v>297</v>
      </c>
      <c r="C5074" s="16" t="s">
        <v>10</v>
      </c>
      <c r="D5074" s="17">
        <v>1</v>
      </c>
      <c r="E5074" s="17">
        <v>3.4</v>
      </c>
      <c r="F5074" s="17">
        <v>2.4</v>
      </c>
      <c r="G5074" s="17"/>
      <c r="H5074" s="18">
        <f t="shared" ref="H5074:H5084" si="867">PRODUCT(D5074:G5074)</f>
        <v>8.16</v>
      </c>
    </row>
    <row r="5075" spans="1:8">
      <c r="A5075" s="17"/>
      <c r="B5075" s="17" t="s">
        <v>1150</v>
      </c>
      <c r="C5075" s="16" t="s">
        <v>10</v>
      </c>
      <c r="D5075" s="17">
        <v>1</v>
      </c>
      <c r="E5075" s="17">
        <v>1.8</v>
      </c>
      <c r="F5075" s="17">
        <v>3.5</v>
      </c>
      <c r="G5075" s="17"/>
      <c r="H5075" s="18">
        <f t="shared" si="867"/>
        <v>6.3</v>
      </c>
    </row>
    <row r="5076" spans="1:8">
      <c r="A5076" s="17"/>
      <c r="B5076" s="17"/>
      <c r="C5076" s="16" t="s">
        <v>10</v>
      </c>
      <c r="D5076" s="17">
        <v>1</v>
      </c>
      <c r="E5076" s="17">
        <v>1.2</v>
      </c>
      <c r="F5076" s="17">
        <v>3.5</v>
      </c>
      <c r="G5076" s="17"/>
      <c r="H5076" s="18">
        <f t="shared" si="867"/>
        <v>4.2</v>
      </c>
    </row>
    <row r="5077" spans="1:8">
      <c r="A5077" s="17"/>
      <c r="B5077" s="17"/>
      <c r="C5077" s="16" t="s">
        <v>10</v>
      </c>
      <c r="D5077" s="17">
        <v>1</v>
      </c>
      <c r="E5077" s="17">
        <v>2.15</v>
      </c>
      <c r="F5077" s="17">
        <v>3.5</v>
      </c>
      <c r="G5077" s="17"/>
      <c r="H5077" s="18">
        <f t="shared" si="867"/>
        <v>7.5249999999999995</v>
      </c>
    </row>
    <row r="5078" spans="1:8">
      <c r="A5078" s="17"/>
      <c r="B5078" s="17"/>
      <c r="C5078" s="16" t="s">
        <v>10</v>
      </c>
      <c r="D5078" s="17">
        <v>1</v>
      </c>
      <c r="E5078" s="17">
        <v>1.47</v>
      </c>
      <c r="F5078" s="17">
        <v>3.5</v>
      </c>
      <c r="G5078" s="17"/>
      <c r="H5078" s="18">
        <f t="shared" si="867"/>
        <v>5.1449999999999996</v>
      </c>
    </row>
    <row r="5079" spans="1:8">
      <c r="A5079" s="17"/>
      <c r="B5079" s="17" t="s">
        <v>332</v>
      </c>
      <c r="C5079" s="16" t="s">
        <v>10</v>
      </c>
      <c r="D5079" s="17">
        <v>1</v>
      </c>
      <c r="E5079" s="17">
        <v>0.34</v>
      </c>
      <c r="F5079" s="17">
        <v>3.5</v>
      </c>
      <c r="G5079" s="17"/>
      <c r="H5079" s="18">
        <f t="shared" si="867"/>
        <v>1.1900000000000002</v>
      </c>
    </row>
    <row r="5080" spans="1:8">
      <c r="A5080" s="17"/>
      <c r="B5080" s="17"/>
      <c r="C5080" s="16" t="s">
        <v>10</v>
      </c>
      <c r="D5080" s="17">
        <v>1</v>
      </c>
      <c r="E5080" s="17">
        <v>1.8</v>
      </c>
      <c r="F5080" s="17">
        <v>3.5</v>
      </c>
      <c r="G5080" s="17"/>
      <c r="H5080" s="18">
        <f t="shared" si="867"/>
        <v>6.3</v>
      </c>
    </row>
    <row r="5081" spans="1:8">
      <c r="A5081" s="17"/>
      <c r="B5081" s="17" t="s">
        <v>174</v>
      </c>
      <c r="C5081" s="16" t="s">
        <v>10</v>
      </c>
      <c r="D5081" s="17">
        <v>1</v>
      </c>
      <c r="E5081" s="17">
        <v>0.69</v>
      </c>
      <c r="F5081" s="17">
        <v>3.5</v>
      </c>
      <c r="G5081" s="17"/>
      <c r="H5081" s="18">
        <f t="shared" si="867"/>
        <v>2.415</v>
      </c>
    </row>
    <row r="5082" spans="1:8">
      <c r="A5082" s="17"/>
      <c r="B5082" s="17"/>
      <c r="C5082" s="16" t="s">
        <v>10</v>
      </c>
      <c r="D5082" s="17">
        <v>1</v>
      </c>
      <c r="E5082" s="17">
        <v>1.5449999999999999</v>
      </c>
      <c r="F5082" s="17">
        <v>3.5</v>
      </c>
      <c r="G5082" s="17"/>
      <c r="H5082" s="18">
        <f t="shared" si="867"/>
        <v>5.4074999999999998</v>
      </c>
    </row>
    <row r="5083" spans="1:8">
      <c r="A5083" s="17"/>
      <c r="B5083" s="17"/>
      <c r="C5083" s="16" t="s">
        <v>10</v>
      </c>
      <c r="D5083" s="17">
        <v>1</v>
      </c>
      <c r="E5083" s="17">
        <v>0.3</v>
      </c>
      <c r="F5083" s="17">
        <v>3.5</v>
      </c>
      <c r="G5083" s="17"/>
      <c r="H5083" s="18">
        <f t="shared" si="867"/>
        <v>1.05</v>
      </c>
    </row>
    <row r="5084" spans="1:8">
      <c r="A5084" s="17"/>
      <c r="B5084" s="17"/>
      <c r="C5084" s="16" t="s">
        <v>10</v>
      </c>
      <c r="D5084" s="17">
        <v>1</v>
      </c>
      <c r="E5084" s="17">
        <v>0.56000000000000005</v>
      </c>
      <c r="F5084" s="17">
        <v>3.5</v>
      </c>
      <c r="G5084" s="17"/>
      <c r="H5084" s="18">
        <f t="shared" si="867"/>
        <v>1.9600000000000002</v>
      </c>
    </row>
    <row r="5085" spans="1:8">
      <c r="A5085" s="17"/>
      <c r="B5085" s="17" t="s">
        <v>162</v>
      </c>
      <c r="C5085" s="16" t="s">
        <v>10</v>
      </c>
      <c r="D5085" s="17">
        <v>1</v>
      </c>
      <c r="E5085" s="17">
        <v>1.02</v>
      </c>
      <c r="F5085" s="17">
        <v>3.5</v>
      </c>
      <c r="G5085" s="17"/>
      <c r="H5085" s="18">
        <f t="shared" ref="H5085:H5088" si="868">PRODUCT(D5085:G5085)</f>
        <v>3.5700000000000003</v>
      </c>
    </row>
    <row r="5086" spans="1:8">
      <c r="A5086" s="17"/>
      <c r="B5086" s="17"/>
      <c r="C5086" s="16" t="s">
        <v>10</v>
      </c>
      <c r="D5086" s="17">
        <v>1</v>
      </c>
      <c r="E5086" s="17">
        <v>1.25</v>
      </c>
      <c r="F5086" s="17">
        <v>3.5</v>
      </c>
      <c r="G5086" s="17"/>
      <c r="H5086" s="18">
        <f t="shared" si="868"/>
        <v>4.375</v>
      </c>
    </row>
    <row r="5087" spans="1:8">
      <c r="A5087" s="17"/>
      <c r="B5087" s="17"/>
      <c r="C5087" s="16" t="s">
        <v>10</v>
      </c>
      <c r="D5087" s="17">
        <v>1</v>
      </c>
      <c r="E5087" s="17">
        <v>1.46</v>
      </c>
      <c r="F5087" s="17">
        <v>3.5</v>
      </c>
      <c r="G5087" s="17"/>
      <c r="H5087" s="18">
        <f t="shared" si="868"/>
        <v>5.1099999999999994</v>
      </c>
    </row>
    <row r="5088" spans="1:8">
      <c r="A5088" s="17"/>
      <c r="B5088" s="17"/>
      <c r="C5088" s="16" t="s">
        <v>10</v>
      </c>
      <c r="D5088" s="17">
        <v>-1</v>
      </c>
      <c r="E5088" s="17">
        <v>1.2</v>
      </c>
      <c r="F5088" s="17">
        <v>2.4</v>
      </c>
      <c r="G5088" s="17"/>
      <c r="H5088" s="18">
        <f t="shared" si="868"/>
        <v>-2.88</v>
      </c>
    </row>
    <row r="5089" spans="1:8">
      <c r="A5089" s="17"/>
      <c r="B5089" s="17"/>
      <c r="C5089" s="16"/>
      <c r="D5089" s="17"/>
      <c r="E5089" s="17"/>
      <c r="F5089" s="17"/>
      <c r="G5089" s="17"/>
      <c r="H5089" s="18"/>
    </row>
    <row r="5090" spans="1:8">
      <c r="A5090" s="17"/>
      <c r="B5090" s="17"/>
      <c r="C5090" s="16"/>
      <c r="D5090" s="17"/>
      <c r="E5090" s="17"/>
      <c r="F5090" s="17"/>
      <c r="G5090" s="17"/>
      <c r="H5090" s="18"/>
    </row>
    <row r="5091" spans="1:8">
      <c r="A5091" s="17"/>
      <c r="B5091" s="17"/>
      <c r="C5091" s="17"/>
      <c r="D5091" s="17"/>
      <c r="E5091" s="17"/>
      <c r="F5091" s="17"/>
      <c r="G5091" s="17"/>
      <c r="H5091" s="18"/>
    </row>
    <row r="5092" spans="1:8">
      <c r="A5092" s="15"/>
      <c r="B5092" s="15" t="s">
        <v>21</v>
      </c>
      <c r="C5092" s="15"/>
      <c r="D5092" s="15"/>
      <c r="E5092" s="15"/>
      <c r="F5092" s="15"/>
      <c r="G5092" s="15"/>
      <c r="H5092" s="20">
        <f>SUM(H5074:H5091)</f>
        <v>59.827499999999986</v>
      </c>
    </row>
    <row r="5093" spans="1:8">
      <c r="A5093" s="17"/>
      <c r="B5093" s="17" t="s">
        <v>22</v>
      </c>
      <c r="C5093" s="17"/>
      <c r="D5093" s="17"/>
      <c r="E5093" s="17"/>
      <c r="F5093" s="17"/>
      <c r="G5093" s="17"/>
      <c r="H5093" s="18"/>
    </row>
    <row r="5094" spans="1:8">
      <c r="A5094" s="15"/>
      <c r="B5094" s="15" t="s">
        <v>23</v>
      </c>
      <c r="C5094" s="15"/>
      <c r="D5094" s="15"/>
      <c r="E5094" s="15"/>
      <c r="F5094" s="15"/>
      <c r="G5094" s="15"/>
      <c r="H5094" s="20">
        <f>ROUND(SUM(H5092:H5093),0)</f>
        <v>60</v>
      </c>
    </row>
    <row r="5096" spans="1:8">
      <c r="A5096" s="17">
        <v>5</v>
      </c>
      <c r="B5096" s="15" t="s">
        <v>363</v>
      </c>
      <c r="C5096" s="17" t="s">
        <v>10</v>
      </c>
      <c r="D5096" s="17"/>
      <c r="E5096" s="17"/>
      <c r="F5096" s="17"/>
      <c r="G5096" s="17"/>
      <c r="H5096" s="18"/>
    </row>
    <row r="5097" spans="1:8">
      <c r="A5097" s="17"/>
      <c r="B5097" s="17" t="s">
        <v>174</v>
      </c>
      <c r="C5097" s="16" t="s">
        <v>10</v>
      </c>
      <c r="D5097" s="17">
        <v>1</v>
      </c>
      <c r="E5097" s="17">
        <v>2.15</v>
      </c>
      <c r="F5097" s="17">
        <v>1.2</v>
      </c>
      <c r="G5097" s="17"/>
      <c r="H5097" s="18">
        <f>PRODUCT(D5097:G5097)</f>
        <v>2.5799999999999996</v>
      </c>
    </row>
    <row r="5098" spans="1:8">
      <c r="A5098" s="17"/>
      <c r="B5098" s="17" t="s">
        <v>332</v>
      </c>
      <c r="C5098" s="16" t="s">
        <v>10</v>
      </c>
      <c r="D5098" s="17">
        <v>1</v>
      </c>
      <c r="E5098" s="17">
        <v>2.1</v>
      </c>
      <c r="F5098" s="17">
        <v>1.2</v>
      </c>
      <c r="G5098" s="17"/>
      <c r="H5098" s="18">
        <f>PRODUCT(D5098:G5098)</f>
        <v>2.52</v>
      </c>
    </row>
    <row r="5099" spans="1:8">
      <c r="A5099" s="17"/>
      <c r="B5099" s="17" t="s">
        <v>174</v>
      </c>
      <c r="C5099" s="16" t="s">
        <v>10</v>
      </c>
      <c r="D5099" s="17">
        <v>1</v>
      </c>
      <c r="E5099" s="17">
        <v>8.6</v>
      </c>
      <c r="F5099" s="17">
        <v>1.2</v>
      </c>
      <c r="G5099" s="17"/>
      <c r="H5099" s="18">
        <f>PRODUCT(D5099:G5099)</f>
        <v>10.319999999999999</v>
      </c>
    </row>
    <row r="5100" spans="1:8">
      <c r="A5100" s="17"/>
      <c r="B5100" s="17" t="s">
        <v>332</v>
      </c>
      <c r="C5100" s="16" t="s">
        <v>10</v>
      </c>
      <c r="D5100" s="17">
        <v>1</v>
      </c>
      <c r="E5100" s="17">
        <v>8.11</v>
      </c>
      <c r="F5100" s="17">
        <v>1.2</v>
      </c>
      <c r="G5100" s="17"/>
      <c r="H5100" s="18">
        <f>PRODUCT(D5100:G5100)</f>
        <v>9.7319999999999993</v>
      </c>
    </row>
    <row r="5101" spans="1:8">
      <c r="A5101" s="17"/>
      <c r="B5101" s="17"/>
      <c r="C5101" s="16"/>
      <c r="D5101" s="17"/>
      <c r="E5101" s="17"/>
      <c r="F5101" s="17"/>
      <c r="G5101" s="17"/>
      <c r="H5101" s="18"/>
    </row>
    <row r="5102" spans="1:8">
      <c r="A5102" s="17"/>
      <c r="B5102" s="17"/>
      <c r="C5102" s="17"/>
      <c r="D5102" s="17"/>
      <c r="E5102" s="17"/>
      <c r="F5102" s="17"/>
      <c r="G5102" s="17"/>
      <c r="H5102" s="18"/>
    </row>
    <row r="5103" spans="1:8">
      <c r="A5103" s="15"/>
      <c r="B5103" s="15" t="s">
        <v>21</v>
      </c>
      <c r="C5103" s="15"/>
      <c r="D5103" s="15"/>
      <c r="E5103" s="15"/>
      <c r="F5103" s="15"/>
      <c r="G5103" s="15"/>
      <c r="H5103" s="20">
        <f>SUM(H5097:H5102)</f>
        <v>25.151999999999997</v>
      </c>
    </row>
    <row r="5104" spans="1:8">
      <c r="A5104" s="17"/>
      <c r="B5104" s="17" t="s">
        <v>22</v>
      </c>
      <c r="C5104" s="17"/>
      <c r="D5104" s="17"/>
      <c r="E5104" s="17"/>
      <c r="F5104" s="17"/>
      <c r="G5104" s="17"/>
      <c r="H5104" s="18"/>
    </row>
    <row r="5105" spans="1:10">
      <c r="A5105" s="15"/>
      <c r="B5105" s="15" t="s">
        <v>23</v>
      </c>
      <c r="C5105" s="15"/>
      <c r="D5105" s="15"/>
      <c r="E5105" s="15"/>
      <c r="F5105" s="15"/>
      <c r="G5105" s="15"/>
      <c r="H5105" s="20">
        <f>ROUND(SUM(H5103:H5104),0)</f>
        <v>25</v>
      </c>
    </row>
    <row r="5107" spans="1:10">
      <c r="A5107" s="17">
        <v>5</v>
      </c>
      <c r="B5107" s="15" t="s">
        <v>108</v>
      </c>
      <c r="C5107" s="17" t="s">
        <v>10</v>
      </c>
      <c r="D5107" s="17"/>
      <c r="E5107" s="17"/>
      <c r="F5107" s="17"/>
      <c r="G5107" s="17"/>
      <c r="H5107" s="18"/>
    </row>
    <row r="5108" spans="1:10">
      <c r="A5108" s="17"/>
      <c r="B5108" s="17" t="s">
        <v>331</v>
      </c>
      <c r="C5108" s="16"/>
      <c r="D5108" s="17"/>
      <c r="E5108" s="17"/>
      <c r="F5108" s="17"/>
      <c r="G5108" s="17"/>
      <c r="H5108" s="18"/>
    </row>
    <row r="5109" spans="1:10">
      <c r="A5109" s="17"/>
      <c r="B5109" s="17" t="s">
        <v>174</v>
      </c>
      <c r="C5109" s="16" t="s">
        <v>10</v>
      </c>
      <c r="D5109" s="17">
        <v>2</v>
      </c>
      <c r="E5109" s="17">
        <v>11.2</v>
      </c>
      <c r="F5109" s="17">
        <v>2.7</v>
      </c>
      <c r="G5109" s="17"/>
      <c r="H5109" s="18">
        <f t="shared" ref="H5109:H5119" si="869">PRODUCT(D5109:G5109)</f>
        <v>60.48</v>
      </c>
      <c r="J5109">
        <f>PRODUCT(D5109*E5109)</f>
        <v>22.4</v>
      </c>
    </row>
    <row r="5110" spans="1:10">
      <c r="A5110" s="485"/>
      <c r="B5110" s="485"/>
      <c r="C5110" s="16" t="s">
        <v>10</v>
      </c>
      <c r="D5110" s="485">
        <v>2</v>
      </c>
      <c r="E5110" s="485">
        <v>4.1500000000000004</v>
      </c>
      <c r="F5110" s="17">
        <v>2.7</v>
      </c>
      <c r="G5110" s="485"/>
      <c r="H5110" s="18">
        <f t="shared" si="869"/>
        <v>22.410000000000004</v>
      </c>
      <c r="J5110">
        <f t="shared" ref="J5110:J5121" si="870">PRODUCT(D5110*E5110)</f>
        <v>8.3000000000000007</v>
      </c>
    </row>
    <row r="5111" spans="1:10">
      <c r="A5111" s="485"/>
      <c r="B5111" s="485"/>
      <c r="C5111" s="16" t="s">
        <v>10</v>
      </c>
      <c r="D5111" s="485">
        <v>-1</v>
      </c>
      <c r="E5111" s="485">
        <v>1.1000000000000001</v>
      </c>
      <c r="F5111" s="485">
        <v>2.4</v>
      </c>
      <c r="G5111" s="485"/>
      <c r="H5111" s="18">
        <f t="shared" si="869"/>
        <v>-2.64</v>
      </c>
      <c r="J5111">
        <f t="shared" si="870"/>
        <v>-1.1000000000000001</v>
      </c>
    </row>
    <row r="5112" spans="1:10">
      <c r="A5112" s="17"/>
      <c r="B5112" s="17" t="s">
        <v>332</v>
      </c>
      <c r="C5112" s="16" t="s">
        <v>10</v>
      </c>
      <c r="D5112" s="17">
        <v>2</v>
      </c>
      <c r="E5112" s="17">
        <v>11.2</v>
      </c>
      <c r="F5112" s="17">
        <v>2.7</v>
      </c>
      <c r="G5112" s="17"/>
      <c r="H5112" s="18">
        <f t="shared" si="869"/>
        <v>60.48</v>
      </c>
      <c r="J5112">
        <f t="shared" si="870"/>
        <v>22.4</v>
      </c>
    </row>
    <row r="5113" spans="1:10">
      <c r="A5113" s="485"/>
      <c r="B5113" s="485"/>
      <c r="C5113" s="16" t="s">
        <v>10</v>
      </c>
      <c r="D5113" s="485">
        <v>2</v>
      </c>
      <c r="E5113" s="485">
        <v>4.1500000000000004</v>
      </c>
      <c r="F5113" s="17">
        <v>2.7</v>
      </c>
      <c r="G5113" s="485"/>
      <c r="H5113" s="18">
        <f t="shared" si="869"/>
        <v>22.410000000000004</v>
      </c>
      <c r="J5113">
        <f t="shared" si="870"/>
        <v>8.3000000000000007</v>
      </c>
    </row>
    <row r="5114" spans="1:10">
      <c r="A5114" s="17"/>
      <c r="B5114" s="17"/>
      <c r="C5114" s="16" t="s">
        <v>10</v>
      </c>
      <c r="D5114" s="17">
        <v>-1</v>
      </c>
      <c r="E5114" s="17">
        <v>1.1000000000000001</v>
      </c>
      <c r="F5114" s="17">
        <v>2.4</v>
      </c>
      <c r="G5114" s="17"/>
      <c r="H5114" s="18">
        <f t="shared" si="869"/>
        <v>-2.64</v>
      </c>
      <c r="J5114">
        <f t="shared" si="870"/>
        <v>-1.1000000000000001</v>
      </c>
    </row>
    <row r="5115" spans="1:10">
      <c r="A5115" s="485"/>
      <c r="B5115" s="485"/>
      <c r="C5115" s="16" t="s">
        <v>10</v>
      </c>
      <c r="D5115" s="485">
        <v>1</v>
      </c>
      <c r="E5115" s="485">
        <v>1.3</v>
      </c>
      <c r="F5115" s="485">
        <v>2.2000000000000002</v>
      </c>
      <c r="G5115" s="485"/>
      <c r="H5115" s="487">
        <f t="shared" si="869"/>
        <v>2.8600000000000003</v>
      </c>
      <c r="J5115">
        <f t="shared" si="870"/>
        <v>1.3</v>
      </c>
    </row>
    <row r="5116" spans="1:10">
      <c r="A5116" s="485"/>
      <c r="B5116" s="485" t="s">
        <v>1908</v>
      </c>
      <c r="C5116" s="16" t="s">
        <v>10</v>
      </c>
      <c r="D5116" s="485">
        <v>2</v>
      </c>
      <c r="E5116" s="485">
        <v>2.15</v>
      </c>
      <c r="F5116" s="485">
        <v>2.7</v>
      </c>
      <c r="G5116" s="485"/>
      <c r="H5116" s="487">
        <f t="shared" si="869"/>
        <v>11.61</v>
      </c>
      <c r="J5116">
        <f t="shared" si="870"/>
        <v>4.3</v>
      </c>
    </row>
    <row r="5117" spans="1:10">
      <c r="A5117" s="485"/>
      <c r="B5117" s="485"/>
      <c r="C5117" s="16" t="s">
        <v>10</v>
      </c>
      <c r="D5117" s="485">
        <v>2</v>
      </c>
      <c r="E5117" s="485">
        <v>2.54</v>
      </c>
      <c r="F5117" s="485">
        <v>2.7</v>
      </c>
      <c r="G5117" s="485"/>
      <c r="H5117" s="487">
        <f t="shared" si="869"/>
        <v>13.716000000000001</v>
      </c>
      <c r="J5117">
        <f t="shared" si="870"/>
        <v>5.08</v>
      </c>
    </row>
    <row r="5118" spans="1:10">
      <c r="A5118" s="485"/>
      <c r="B5118" s="485"/>
      <c r="C5118" s="16" t="s">
        <v>10</v>
      </c>
      <c r="D5118" s="485">
        <v>-1</v>
      </c>
      <c r="E5118" s="485">
        <v>1.1000000000000001</v>
      </c>
      <c r="F5118" s="485">
        <v>2.4</v>
      </c>
      <c r="G5118" s="485"/>
      <c r="H5118" s="487">
        <f t="shared" si="869"/>
        <v>-2.64</v>
      </c>
      <c r="J5118">
        <f t="shared" si="870"/>
        <v>-1.1000000000000001</v>
      </c>
    </row>
    <row r="5119" spans="1:10">
      <c r="A5119" s="485"/>
      <c r="B5119" s="485"/>
      <c r="C5119" s="16" t="s">
        <v>10</v>
      </c>
      <c r="D5119" s="485">
        <v>2</v>
      </c>
      <c r="E5119" s="485">
        <v>1.25</v>
      </c>
      <c r="F5119" s="485">
        <v>2.7</v>
      </c>
      <c r="G5119" s="485"/>
      <c r="H5119" s="487">
        <f t="shared" si="869"/>
        <v>6.75</v>
      </c>
      <c r="J5119">
        <f t="shared" si="870"/>
        <v>2.5</v>
      </c>
    </row>
    <row r="5120" spans="1:10">
      <c r="A5120" s="485"/>
      <c r="B5120" s="485"/>
      <c r="C5120" s="16" t="s">
        <v>10</v>
      </c>
      <c r="D5120" s="485">
        <v>2</v>
      </c>
      <c r="E5120" s="485">
        <v>2.54</v>
      </c>
      <c r="F5120" s="485">
        <v>2.7</v>
      </c>
      <c r="G5120" s="485"/>
      <c r="H5120" s="487">
        <f t="shared" ref="H5120:H5121" si="871">PRODUCT(D5120:G5120)</f>
        <v>13.716000000000001</v>
      </c>
      <c r="J5120">
        <f t="shared" si="870"/>
        <v>5.08</v>
      </c>
    </row>
    <row r="5121" spans="1:10">
      <c r="A5121" s="485"/>
      <c r="B5121" s="485"/>
      <c r="C5121" s="16" t="s">
        <v>10</v>
      </c>
      <c r="D5121" s="485">
        <v>-1</v>
      </c>
      <c r="E5121" s="485">
        <v>0.6</v>
      </c>
      <c r="F5121" s="485">
        <v>2.4</v>
      </c>
      <c r="G5121" s="485"/>
      <c r="H5121" s="487">
        <f t="shared" si="871"/>
        <v>-1.44</v>
      </c>
      <c r="J5121">
        <f t="shared" si="870"/>
        <v>-0.6</v>
      </c>
    </row>
    <row r="5122" spans="1:10">
      <c r="A5122" s="17"/>
      <c r="B5122" s="17" t="s">
        <v>174</v>
      </c>
      <c r="C5122" s="16" t="s">
        <v>10</v>
      </c>
      <c r="D5122" s="17">
        <v>2</v>
      </c>
      <c r="E5122" s="17">
        <v>4.1500000000000004</v>
      </c>
      <c r="F5122" s="485">
        <v>2.7</v>
      </c>
      <c r="G5122" s="17"/>
      <c r="H5122" s="18">
        <f t="shared" ref="H5122:H5127" si="872">PRODUCT(D5122:G5122)*0</f>
        <v>0</v>
      </c>
    </row>
    <row r="5123" spans="1:10">
      <c r="A5123" s="485"/>
      <c r="B5123" s="485"/>
      <c r="C5123" s="16" t="s">
        <v>10</v>
      </c>
      <c r="D5123" s="485">
        <v>2</v>
      </c>
      <c r="E5123" s="485">
        <v>12.22</v>
      </c>
      <c r="F5123" s="485">
        <v>2.7</v>
      </c>
      <c r="G5123" s="485"/>
      <c r="H5123" s="18">
        <f t="shared" si="872"/>
        <v>0</v>
      </c>
    </row>
    <row r="5124" spans="1:10">
      <c r="A5124" s="17"/>
      <c r="B5124" s="17"/>
      <c r="C5124" s="16" t="s">
        <v>10</v>
      </c>
      <c r="D5124" s="17">
        <v>-1</v>
      </c>
      <c r="E5124" s="17">
        <v>1.1000000000000001</v>
      </c>
      <c r="F5124" s="17">
        <v>2.4</v>
      </c>
      <c r="G5124" s="17"/>
      <c r="H5124" s="18">
        <f t="shared" si="872"/>
        <v>0</v>
      </c>
    </row>
    <row r="5125" spans="1:10">
      <c r="A5125" s="17"/>
      <c r="B5125" s="17" t="s">
        <v>332</v>
      </c>
      <c r="C5125" s="16" t="s">
        <v>10</v>
      </c>
      <c r="D5125" s="17">
        <v>2</v>
      </c>
      <c r="E5125" s="17">
        <v>11.05</v>
      </c>
      <c r="F5125" s="17">
        <v>2.7</v>
      </c>
      <c r="G5125" s="17"/>
      <c r="H5125" s="18">
        <f t="shared" si="872"/>
        <v>0</v>
      </c>
    </row>
    <row r="5126" spans="1:10">
      <c r="A5126" s="485"/>
      <c r="B5126" s="485"/>
      <c r="C5126" s="16" t="s">
        <v>10</v>
      </c>
      <c r="D5126" s="485">
        <v>2</v>
      </c>
      <c r="E5126" s="485">
        <v>4.1500000000000004</v>
      </c>
      <c r="F5126" s="17">
        <v>2.7</v>
      </c>
      <c r="G5126" s="485"/>
      <c r="H5126" s="18">
        <f t="shared" si="872"/>
        <v>0</v>
      </c>
    </row>
    <row r="5127" spans="1:10">
      <c r="A5127" s="17"/>
      <c r="B5127" s="17"/>
      <c r="C5127" s="16" t="s">
        <v>10</v>
      </c>
      <c r="D5127" s="17">
        <v>-1</v>
      </c>
      <c r="E5127" s="17">
        <v>1.1000000000000001</v>
      </c>
      <c r="F5127" s="17">
        <v>2.4</v>
      </c>
      <c r="G5127" s="17"/>
      <c r="H5127" s="18">
        <f t="shared" si="872"/>
        <v>0</v>
      </c>
    </row>
    <row r="5128" spans="1:10">
      <c r="A5128" s="485"/>
      <c r="B5128" s="485" t="s">
        <v>1908</v>
      </c>
      <c r="C5128" s="16" t="s">
        <v>10</v>
      </c>
      <c r="D5128" s="17">
        <v>2</v>
      </c>
      <c r="E5128" s="17">
        <v>2.15</v>
      </c>
      <c r="F5128" s="17">
        <v>2.7</v>
      </c>
      <c r="G5128" s="17"/>
      <c r="H5128" s="18">
        <f t="shared" ref="H5128:H5133" si="873">PRODUCT(D5128:G5128)*0</f>
        <v>0</v>
      </c>
    </row>
    <row r="5129" spans="1:10">
      <c r="A5129" s="485"/>
      <c r="B5129" s="485"/>
      <c r="C5129" s="16" t="s">
        <v>10</v>
      </c>
      <c r="D5129" s="485">
        <v>2</v>
      </c>
      <c r="E5129" s="485">
        <v>2.4</v>
      </c>
      <c r="F5129" s="17">
        <v>2.7</v>
      </c>
      <c r="G5129" s="485"/>
      <c r="H5129" s="18">
        <f t="shared" si="873"/>
        <v>0</v>
      </c>
    </row>
    <row r="5130" spans="1:10">
      <c r="A5130" s="485"/>
      <c r="B5130" s="485"/>
      <c r="C5130" s="16" t="s">
        <v>10</v>
      </c>
      <c r="D5130" s="485">
        <v>-1</v>
      </c>
      <c r="E5130" s="485">
        <v>1.1000000000000001</v>
      </c>
      <c r="F5130" s="485">
        <v>2.4</v>
      </c>
      <c r="G5130" s="485"/>
      <c r="H5130" s="18">
        <f t="shared" si="873"/>
        <v>0</v>
      </c>
    </row>
    <row r="5131" spans="1:10">
      <c r="A5131" s="485"/>
      <c r="B5131" s="485" t="s">
        <v>1909</v>
      </c>
      <c r="C5131" s="16" t="s">
        <v>10</v>
      </c>
      <c r="D5131" s="17">
        <v>2</v>
      </c>
      <c r="E5131" s="17">
        <v>2.4</v>
      </c>
      <c r="F5131" s="17">
        <v>2.7</v>
      </c>
      <c r="G5131" s="17"/>
      <c r="H5131" s="18">
        <f t="shared" si="873"/>
        <v>0</v>
      </c>
    </row>
    <row r="5132" spans="1:10">
      <c r="A5132" s="485"/>
      <c r="B5132" s="485"/>
      <c r="C5132" s="16" t="s">
        <v>10</v>
      </c>
      <c r="D5132" s="485">
        <v>2</v>
      </c>
      <c r="E5132" s="485">
        <v>1.25</v>
      </c>
      <c r="F5132" s="17">
        <v>2.7</v>
      </c>
      <c r="G5132" s="485"/>
      <c r="H5132" s="18">
        <f t="shared" si="873"/>
        <v>0</v>
      </c>
    </row>
    <row r="5133" spans="1:10">
      <c r="A5133" s="485"/>
      <c r="B5133" s="485"/>
      <c r="C5133" s="16" t="s">
        <v>10</v>
      </c>
      <c r="D5133" s="485">
        <v>-1</v>
      </c>
      <c r="E5133" s="485">
        <v>0.6</v>
      </c>
      <c r="F5133" s="485">
        <v>2.4</v>
      </c>
      <c r="G5133" s="485"/>
      <c r="H5133" s="18">
        <f t="shared" si="873"/>
        <v>0</v>
      </c>
    </row>
    <row r="5134" spans="1:10">
      <c r="A5134" s="17"/>
      <c r="B5134" s="17"/>
      <c r="C5134" s="17"/>
      <c r="D5134" s="17"/>
      <c r="E5134" s="17"/>
      <c r="F5134" s="17"/>
      <c r="G5134" s="17"/>
      <c r="H5134" s="18"/>
    </row>
    <row r="5135" spans="1:10">
      <c r="A5135" s="15"/>
      <c r="B5135" s="15" t="s">
        <v>21</v>
      </c>
      <c r="C5135" s="15"/>
      <c r="D5135" s="15"/>
      <c r="E5135" s="15"/>
      <c r="F5135" s="15"/>
      <c r="G5135" s="15"/>
      <c r="H5135" s="20">
        <f>SUM(H5108:H5134)</f>
        <v>205.07200000000006</v>
      </c>
      <c r="J5135" s="20">
        <f>SUM(J5108:J5134)</f>
        <v>75.760000000000005</v>
      </c>
    </row>
    <row r="5136" spans="1:10">
      <c r="A5136" s="17"/>
      <c r="B5136" s="17" t="s">
        <v>22</v>
      </c>
      <c r="C5136" s="17"/>
      <c r="D5136" s="17"/>
      <c r="E5136" s="17"/>
      <c r="F5136" s="17"/>
      <c r="G5136" s="17"/>
      <c r="H5136" s="18"/>
      <c r="J5136" s="18">
        <f>J5135*5%</f>
        <v>3.7880000000000003</v>
      </c>
    </row>
    <row r="5137" spans="1:10">
      <c r="A5137" s="15"/>
      <c r="B5137" s="15" t="s">
        <v>23</v>
      </c>
      <c r="C5137" s="15"/>
      <c r="D5137" s="15"/>
      <c r="E5137" s="15"/>
      <c r="F5137" s="15"/>
      <c r="G5137" s="15"/>
      <c r="H5137" s="20">
        <f>ROUND(SUM(H5135:H5136),0)</f>
        <v>205</v>
      </c>
      <c r="J5137" s="20">
        <f>ROUND(SUM(J5135:J5136),0)</f>
        <v>80</v>
      </c>
    </row>
    <row r="5139" spans="1:10">
      <c r="A5139" s="17">
        <v>5</v>
      </c>
      <c r="B5139" s="15" t="s">
        <v>108</v>
      </c>
      <c r="C5139" s="17" t="s">
        <v>10</v>
      </c>
      <c r="D5139" s="17"/>
      <c r="E5139" s="17"/>
      <c r="F5139" s="17"/>
      <c r="G5139" s="17"/>
      <c r="H5139" s="18"/>
    </row>
    <row r="5140" spans="1:10">
      <c r="A5140" s="17"/>
      <c r="B5140" s="17" t="s">
        <v>331</v>
      </c>
      <c r="C5140" s="16"/>
      <c r="D5140" s="17"/>
      <c r="E5140" s="17"/>
      <c r="F5140" s="17"/>
      <c r="G5140" s="17"/>
      <c r="H5140" s="18"/>
    </row>
    <row r="5141" spans="1:10">
      <c r="A5141" s="17"/>
      <c r="B5141" s="17"/>
      <c r="C5141" s="16"/>
      <c r="D5141" s="17"/>
      <c r="E5141" s="17"/>
      <c r="F5141" s="17"/>
      <c r="G5141" s="17"/>
      <c r="H5141" s="18"/>
    </row>
    <row r="5142" spans="1:10">
      <c r="A5142" s="17"/>
      <c r="B5142" s="17"/>
      <c r="C5142" s="16" t="s">
        <v>10</v>
      </c>
      <c r="D5142" s="17">
        <v>2</v>
      </c>
      <c r="E5142" s="17">
        <v>5.56</v>
      </c>
      <c r="F5142" s="17"/>
      <c r="G5142" s="17"/>
      <c r="H5142" s="18">
        <f>PRODUCT(D5142:G5142)</f>
        <v>11.12</v>
      </c>
    </row>
    <row r="5143" spans="1:10">
      <c r="A5143" s="17"/>
      <c r="B5143" s="17"/>
      <c r="C5143" s="16" t="s">
        <v>10</v>
      </c>
      <c r="D5143" s="17">
        <v>2</v>
      </c>
      <c r="E5143" s="17">
        <v>4.2</v>
      </c>
      <c r="F5143" s="17"/>
      <c r="G5143" s="17"/>
      <c r="H5143" s="18">
        <f>PRODUCT(D5143:G5143)</f>
        <v>8.4</v>
      </c>
    </row>
    <row r="5144" spans="1:10">
      <c r="A5144" s="17"/>
      <c r="B5144" s="17" t="s">
        <v>119</v>
      </c>
      <c r="C5144" s="16" t="s">
        <v>10</v>
      </c>
      <c r="D5144" s="17">
        <v>-1</v>
      </c>
      <c r="E5144" s="17">
        <v>1</v>
      </c>
      <c r="F5144" s="17"/>
      <c r="G5144" s="17"/>
      <c r="H5144" s="18">
        <f>PRODUCT(D5144:G5144)</f>
        <v>-1</v>
      </c>
    </row>
    <row r="5145" spans="1:10">
      <c r="A5145" s="17"/>
      <c r="B5145" s="17" t="s">
        <v>332</v>
      </c>
      <c r="C5145" s="16"/>
      <c r="D5145" s="17"/>
      <c r="E5145" s="17"/>
      <c r="F5145" s="17"/>
      <c r="G5145" s="17"/>
      <c r="H5145" s="18"/>
    </row>
    <row r="5146" spans="1:10">
      <c r="A5146" s="17"/>
      <c r="B5146" s="17"/>
      <c r="C5146" s="16"/>
      <c r="D5146" s="17"/>
      <c r="E5146" s="17"/>
      <c r="F5146" s="17"/>
      <c r="G5146" s="17"/>
      <c r="H5146" s="18"/>
    </row>
    <row r="5147" spans="1:10">
      <c r="A5147" s="17"/>
      <c r="B5147" s="17"/>
      <c r="C5147" s="16" t="s">
        <v>10</v>
      </c>
      <c r="D5147" s="17">
        <v>4</v>
      </c>
      <c r="E5147" s="17">
        <v>3.48</v>
      </c>
      <c r="F5147" s="17"/>
      <c r="G5147" s="17"/>
      <c r="H5147" s="18">
        <f>PRODUCT(D5147:G5147)</f>
        <v>13.92</v>
      </c>
    </row>
    <row r="5148" spans="1:10">
      <c r="A5148" s="17"/>
      <c r="B5148" s="17"/>
      <c r="C5148" s="16" t="s">
        <v>10</v>
      </c>
      <c r="D5148" s="17">
        <v>2</v>
      </c>
      <c r="E5148" s="17">
        <v>5.5</v>
      </c>
      <c r="F5148" s="17"/>
      <c r="G5148" s="17"/>
      <c r="H5148" s="18">
        <f>PRODUCT(D5148:G5148)</f>
        <v>11</v>
      </c>
    </row>
    <row r="5149" spans="1:10">
      <c r="A5149" s="17"/>
      <c r="B5149" s="17"/>
      <c r="C5149" s="16" t="s">
        <v>10</v>
      </c>
      <c r="D5149" s="17">
        <v>-1</v>
      </c>
      <c r="E5149" s="17">
        <v>1</v>
      </c>
      <c r="F5149" s="17"/>
      <c r="G5149" s="17"/>
      <c r="H5149" s="18">
        <f>PRODUCT(D5149:G5149)</f>
        <v>-1</v>
      </c>
    </row>
    <row r="5150" spans="1:10">
      <c r="A5150" s="17"/>
      <c r="B5150" s="17" t="s">
        <v>174</v>
      </c>
      <c r="C5150" s="16"/>
      <c r="D5150" s="17"/>
      <c r="E5150" s="17"/>
      <c r="F5150" s="17"/>
      <c r="G5150" s="17"/>
      <c r="H5150" s="18"/>
    </row>
    <row r="5151" spans="1:10">
      <c r="A5151" s="17"/>
      <c r="B5151" s="17"/>
      <c r="C5151" s="16"/>
      <c r="D5151" s="17"/>
      <c r="E5151" s="17"/>
      <c r="F5151" s="17"/>
      <c r="G5151" s="17"/>
      <c r="H5151" s="18"/>
    </row>
    <row r="5152" spans="1:10">
      <c r="A5152" s="17"/>
      <c r="B5152" s="17"/>
      <c r="C5152" s="16" t="s">
        <v>10</v>
      </c>
      <c r="D5152" s="17">
        <v>2</v>
      </c>
      <c r="E5152" s="17">
        <v>4.1500000000000004</v>
      </c>
      <c r="F5152" s="17"/>
      <c r="G5152" s="17"/>
      <c r="H5152" s="18">
        <f>PRODUCT(D5152:G5152)</f>
        <v>8.3000000000000007</v>
      </c>
    </row>
    <row r="5153" spans="1:8">
      <c r="A5153" s="17"/>
      <c r="B5153" s="17"/>
      <c r="C5153" s="16" t="s">
        <v>10</v>
      </c>
      <c r="D5153" s="17">
        <v>2</v>
      </c>
      <c r="E5153" s="17">
        <v>10.92</v>
      </c>
      <c r="F5153" s="17"/>
      <c r="G5153" s="17"/>
      <c r="H5153" s="18">
        <f>PRODUCT(D5153:G5153)</f>
        <v>21.84</v>
      </c>
    </row>
    <row r="5154" spans="1:8">
      <c r="A5154" s="17"/>
      <c r="B5154" s="17"/>
      <c r="C5154" s="16" t="s">
        <v>10</v>
      </c>
      <c r="D5154" s="17">
        <v>-1</v>
      </c>
      <c r="E5154" s="17">
        <v>1</v>
      </c>
      <c r="F5154" s="17"/>
      <c r="G5154" s="17"/>
      <c r="H5154" s="18">
        <f>PRODUCT(D5154:G5154)</f>
        <v>-1</v>
      </c>
    </row>
    <row r="5155" spans="1:8">
      <c r="A5155" s="17"/>
      <c r="B5155" s="17" t="s">
        <v>332</v>
      </c>
      <c r="C5155" s="16" t="s">
        <v>10</v>
      </c>
      <c r="D5155" s="17"/>
      <c r="E5155" s="17"/>
      <c r="F5155" s="17"/>
      <c r="G5155" s="17"/>
      <c r="H5155" s="18"/>
    </row>
    <row r="5156" spans="1:8">
      <c r="A5156" s="17"/>
      <c r="B5156" s="17"/>
      <c r="C5156" s="16" t="s">
        <v>10</v>
      </c>
      <c r="D5156" s="17"/>
      <c r="E5156" s="17"/>
      <c r="F5156" s="17"/>
      <c r="G5156" s="17"/>
      <c r="H5156" s="18"/>
    </row>
    <row r="5157" spans="1:8">
      <c r="A5157" s="17"/>
      <c r="B5157" s="17"/>
      <c r="C5157" s="16" t="s">
        <v>10</v>
      </c>
      <c r="D5157" s="17"/>
      <c r="E5157" s="17"/>
      <c r="F5157" s="17"/>
      <c r="G5157" s="17"/>
      <c r="H5157" s="18"/>
    </row>
    <row r="5158" spans="1:8">
      <c r="A5158" s="17"/>
      <c r="B5158" s="17"/>
      <c r="C5158" s="16" t="s">
        <v>10</v>
      </c>
      <c r="D5158" s="17">
        <v>2</v>
      </c>
      <c r="E5158" s="17">
        <v>4.2</v>
      </c>
      <c r="F5158" s="17"/>
      <c r="G5158" s="17"/>
      <c r="H5158" s="18">
        <f t="shared" ref="H5158:H5160" si="874">PRODUCT(D5158:G5158)</f>
        <v>8.4</v>
      </c>
    </row>
    <row r="5159" spans="1:8">
      <c r="A5159" s="17"/>
      <c r="B5159" s="17"/>
      <c r="C5159" s="16" t="s">
        <v>10</v>
      </c>
      <c r="D5159" s="17">
        <v>2</v>
      </c>
      <c r="E5159" s="17">
        <v>11.05</v>
      </c>
      <c r="F5159" s="17"/>
      <c r="G5159" s="17"/>
      <c r="H5159" s="18">
        <f t="shared" si="874"/>
        <v>22.1</v>
      </c>
    </row>
    <row r="5160" spans="1:8">
      <c r="A5160" s="17"/>
      <c r="B5160" s="17"/>
      <c r="C5160" s="16" t="s">
        <v>10</v>
      </c>
      <c r="D5160" s="17">
        <v>-1</v>
      </c>
      <c r="E5160" s="17">
        <v>1</v>
      </c>
      <c r="F5160" s="17"/>
      <c r="G5160" s="17"/>
      <c r="H5160" s="18">
        <f t="shared" si="874"/>
        <v>-1</v>
      </c>
    </row>
    <row r="5161" spans="1:8">
      <c r="A5161" s="17"/>
      <c r="B5161" s="17"/>
      <c r="C5161" s="17"/>
      <c r="D5161" s="17"/>
      <c r="E5161" s="17"/>
      <c r="F5161" s="17"/>
      <c r="G5161" s="17"/>
      <c r="H5161" s="18"/>
    </row>
    <row r="5162" spans="1:8">
      <c r="A5162" s="15"/>
      <c r="B5162" s="15" t="s">
        <v>21</v>
      </c>
      <c r="C5162" s="15"/>
      <c r="D5162" s="15"/>
      <c r="E5162" s="15"/>
      <c r="F5162" s="15"/>
      <c r="G5162" s="15"/>
      <c r="H5162" s="20">
        <f>SUM(H5140:H5161)</f>
        <v>101.08000000000001</v>
      </c>
    </row>
    <row r="5163" spans="1:8">
      <c r="A5163" s="17"/>
      <c r="B5163" s="17" t="s">
        <v>22</v>
      </c>
      <c r="C5163" s="17"/>
      <c r="D5163" s="17"/>
      <c r="E5163" s="17"/>
      <c r="F5163" s="17"/>
      <c r="G5163" s="17"/>
      <c r="H5163" s="18"/>
    </row>
    <row r="5164" spans="1:8">
      <c r="A5164" s="15"/>
      <c r="B5164" s="15" t="s">
        <v>23</v>
      </c>
      <c r="C5164" s="15"/>
      <c r="D5164" s="15"/>
      <c r="E5164" s="15"/>
      <c r="F5164" s="15"/>
      <c r="G5164" s="15"/>
      <c r="H5164" s="20">
        <f>ROUND(SUM(H5162:H5163),0)</f>
        <v>101</v>
      </c>
    </row>
    <row r="5165" spans="1:8" s="948" customFormat="1">
      <c r="H5165" s="21"/>
    </row>
    <row r="5166" spans="1:8" s="948" customFormat="1">
      <c r="A5166" s="17">
        <v>5</v>
      </c>
      <c r="B5166" s="15" t="s">
        <v>2218</v>
      </c>
      <c r="C5166" s="17" t="s">
        <v>10</v>
      </c>
      <c r="D5166" s="17"/>
      <c r="E5166" s="17"/>
      <c r="F5166" s="17"/>
      <c r="G5166" s="17"/>
      <c r="H5166" s="18"/>
    </row>
    <row r="5167" spans="1:8" s="948" customFormat="1">
      <c r="A5167" s="17"/>
      <c r="B5167" s="17" t="s">
        <v>331</v>
      </c>
      <c r="C5167" s="16" t="s">
        <v>10</v>
      </c>
      <c r="D5167" s="17">
        <v>1</v>
      </c>
      <c r="E5167" s="17">
        <v>11.05</v>
      </c>
      <c r="F5167" s="17">
        <v>4.1500000000000004</v>
      </c>
      <c r="G5167" s="17"/>
      <c r="H5167" s="18">
        <f t="shared" ref="H5167:H5173" si="875">PRODUCT(D5167:G5167)</f>
        <v>45.857500000000009</v>
      </c>
    </row>
    <row r="5168" spans="1:8" s="948" customFormat="1">
      <c r="A5168" s="485"/>
      <c r="B5168" s="485"/>
      <c r="C5168" s="16" t="s">
        <v>10</v>
      </c>
      <c r="D5168" s="485">
        <v>-1</v>
      </c>
      <c r="E5168" s="485">
        <v>1.85</v>
      </c>
      <c r="F5168" s="485">
        <v>1.3</v>
      </c>
      <c r="G5168" s="485"/>
      <c r="H5168" s="18">
        <f t="shared" si="875"/>
        <v>-2.4050000000000002</v>
      </c>
    </row>
    <row r="5169" spans="1:8" s="948" customFormat="1">
      <c r="A5169" s="485"/>
      <c r="B5169" s="485"/>
      <c r="C5169" s="16" t="s">
        <v>10</v>
      </c>
      <c r="D5169" s="485">
        <v>-1</v>
      </c>
      <c r="E5169" s="485">
        <v>4.25</v>
      </c>
      <c r="F5169" s="485">
        <v>2.25</v>
      </c>
      <c r="G5169" s="485"/>
      <c r="H5169" s="18">
        <f t="shared" ref="H5169" si="876">PRODUCT(D5169:G5169)</f>
        <v>-9.5625</v>
      </c>
    </row>
    <row r="5170" spans="1:8" s="948" customFormat="1">
      <c r="A5170" s="17"/>
      <c r="B5170" s="17" t="s">
        <v>332</v>
      </c>
      <c r="C5170" s="16" t="s">
        <v>10</v>
      </c>
      <c r="D5170" s="17">
        <v>1</v>
      </c>
      <c r="E5170" s="17">
        <v>12.22</v>
      </c>
      <c r="F5170" s="17">
        <v>4.1500000000000004</v>
      </c>
      <c r="G5170" s="17"/>
      <c r="H5170" s="18">
        <f t="shared" si="875"/>
        <v>50.713000000000008</v>
      </c>
    </row>
    <row r="5171" spans="1:8" s="948" customFormat="1">
      <c r="A5171" s="17"/>
      <c r="B5171" s="17"/>
      <c r="C5171" s="16" t="s">
        <v>10</v>
      </c>
      <c r="D5171" s="17">
        <v>-1</v>
      </c>
      <c r="E5171" s="17">
        <v>2.3199999999999998</v>
      </c>
      <c r="F5171" s="17">
        <v>0.6</v>
      </c>
      <c r="G5171" s="17"/>
      <c r="H5171" s="18">
        <f t="shared" si="875"/>
        <v>-1.3919999999999999</v>
      </c>
    </row>
    <row r="5172" spans="1:8" s="948" customFormat="1">
      <c r="A5172" s="485"/>
      <c r="B5172" s="485" t="s">
        <v>1908</v>
      </c>
      <c r="C5172" s="16" t="s">
        <v>10</v>
      </c>
      <c r="D5172" s="485">
        <v>1</v>
      </c>
      <c r="E5172" s="485">
        <v>2.35</v>
      </c>
      <c r="F5172" s="485">
        <v>2.15</v>
      </c>
      <c r="G5172" s="485"/>
      <c r="H5172" s="487">
        <f t="shared" si="875"/>
        <v>5.0525000000000002</v>
      </c>
    </row>
    <row r="5173" spans="1:8" s="948" customFormat="1">
      <c r="A5173" s="485"/>
      <c r="B5173" s="485" t="s">
        <v>1909</v>
      </c>
      <c r="C5173" s="16" t="s">
        <v>10</v>
      </c>
      <c r="D5173" s="485">
        <v>1</v>
      </c>
      <c r="E5173" s="485">
        <v>2.4</v>
      </c>
      <c r="F5173" s="485">
        <v>1.2749999999999999</v>
      </c>
      <c r="G5173" s="485"/>
      <c r="H5173" s="487">
        <f t="shared" si="875"/>
        <v>3.0599999999999996</v>
      </c>
    </row>
    <row r="5174" spans="1:8" s="948" customFormat="1">
      <c r="A5174" s="17"/>
      <c r="B5174" s="17" t="s">
        <v>1343</v>
      </c>
      <c r="C5174" s="16" t="s">
        <v>10</v>
      </c>
      <c r="D5174" s="17">
        <v>2</v>
      </c>
      <c r="E5174" s="17">
        <v>11.05</v>
      </c>
      <c r="F5174" s="17"/>
      <c r="G5174" s="17">
        <v>2.7</v>
      </c>
      <c r="H5174" s="18">
        <f t="shared" ref="H5174:H5183" si="877">PRODUCT(D5174:G5174)</f>
        <v>59.670000000000009</v>
      </c>
    </row>
    <row r="5175" spans="1:8" s="948" customFormat="1">
      <c r="A5175" s="485"/>
      <c r="B5175" s="485"/>
      <c r="C5175" s="16" t="s">
        <v>10</v>
      </c>
      <c r="D5175" s="17">
        <v>2</v>
      </c>
      <c r="E5175" s="17">
        <v>4.1500000000000004</v>
      </c>
      <c r="F5175" s="17"/>
      <c r="G5175" s="17">
        <v>2.7</v>
      </c>
      <c r="H5175" s="18">
        <f t="shared" ref="H5175:H5176" si="878">PRODUCT(D5175:G5175)</f>
        <v>22.410000000000004</v>
      </c>
    </row>
    <row r="5176" spans="1:8" s="948" customFormat="1">
      <c r="A5176" s="485"/>
      <c r="B5176" s="485"/>
      <c r="C5176" s="16" t="s">
        <v>10</v>
      </c>
      <c r="D5176" s="485">
        <v>-1</v>
      </c>
      <c r="E5176" s="485">
        <v>1</v>
      </c>
      <c r="F5176" s="485"/>
      <c r="G5176" s="485">
        <v>2.4</v>
      </c>
      <c r="H5176" s="18">
        <f t="shared" si="878"/>
        <v>-2.4</v>
      </c>
    </row>
    <row r="5177" spans="1:8" s="948" customFormat="1">
      <c r="A5177" s="17"/>
      <c r="B5177" s="17" t="s">
        <v>332</v>
      </c>
      <c r="C5177" s="16" t="s">
        <v>10</v>
      </c>
      <c r="D5177" s="17">
        <v>2</v>
      </c>
      <c r="E5177" s="17">
        <v>12.22</v>
      </c>
      <c r="F5177" s="17"/>
      <c r="G5177" s="17">
        <v>2.7</v>
      </c>
      <c r="H5177" s="18">
        <f t="shared" si="877"/>
        <v>65.988000000000014</v>
      </c>
    </row>
    <row r="5178" spans="1:8" s="948" customFormat="1">
      <c r="A5178" s="485"/>
      <c r="B5178" s="485"/>
      <c r="C5178" s="16" t="s">
        <v>10</v>
      </c>
      <c r="D5178" s="17">
        <v>2</v>
      </c>
      <c r="E5178" s="17">
        <v>4.1500000000000004</v>
      </c>
      <c r="F5178" s="17"/>
      <c r="G5178" s="17">
        <v>2.7</v>
      </c>
      <c r="H5178" s="18">
        <f t="shared" ref="H5178:H5179" si="879">PRODUCT(D5178:G5178)</f>
        <v>22.410000000000004</v>
      </c>
    </row>
    <row r="5179" spans="1:8" s="948" customFormat="1">
      <c r="A5179" s="485"/>
      <c r="B5179" s="485"/>
      <c r="C5179" s="16" t="s">
        <v>10</v>
      </c>
      <c r="D5179" s="485">
        <v>-1</v>
      </c>
      <c r="E5179" s="485">
        <v>1</v>
      </c>
      <c r="F5179" s="485"/>
      <c r="G5179" s="485">
        <v>2.4</v>
      </c>
      <c r="H5179" s="487">
        <f t="shared" si="879"/>
        <v>-2.4</v>
      </c>
    </row>
    <row r="5180" spans="1:8" s="948" customFormat="1">
      <c r="A5180" s="485"/>
      <c r="B5180" s="485" t="s">
        <v>1908</v>
      </c>
      <c r="C5180" s="16" t="s">
        <v>10</v>
      </c>
      <c r="D5180" s="485">
        <v>2</v>
      </c>
      <c r="E5180" s="485">
        <v>2.35</v>
      </c>
      <c r="F5180" s="485"/>
      <c r="G5180" s="485">
        <v>2.7</v>
      </c>
      <c r="H5180" s="487">
        <f t="shared" si="877"/>
        <v>12.690000000000001</v>
      </c>
    </row>
    <row r="5181" spans="1:8" s="948" customFormat="1">
      <c r="A5181" s="485"/>
      <c r="B5181" s="485"/>
      <c r="C5181" s="16" t="s">
        <v>10</v>
      </c>
      <c r="D5181" s="485">
        <v>2</v>
      </c>
      <c r="E5181" s="485">
        <v>2.15</v>
      </c>
      <c r="F5181" s="485"/>
      <c r="G5181" s="485">
        <v>2.7</v>
      </c>
      <c r="H5181" s="487">
        <f t="shared" ref="H5181" si="880">PRODUCT(D5181:G5181)</f>
        <v>11.61</v>
      </c>
    </row>
    <row r="5182" spans="1:8" s="948" customFormat="1">
      <c r="A5182" s="485"/>
      <c r="B5182" s="485"/>
      <c r="C5182" s="16" t="s">
        <v>10</v>
      </c>
      <c r="D5182" s="485">
        <v>-1</v>
      </c>
      <c r="E5182" s="485">
        <v>1</v>
      </c>
      <c r="F5182" s="485"/>
      <c r="G5182" s="485">
        <v>2.4</v>
      </c>
      <c r="H5182" s="487">
        <f t="shared" ref="H5182" si="881">PRODUCT(D5182:G5182)</f>
        <v>-2.4</v>
      </c>
    </row>
    <row r="5183" spans="1:8" s="948" customFormat="1">
      <c r="A5183" s="485"/>
      <c r="B5183" s="485" t="s">
        <v>1909</v>
      </c>
      <c r="C5183" s="16" t="s">
        <v>10</v>
      </c>
      <c r="D5183" s="485">
        <v>2</v>
      </c>
      <c r="E5183" s="485">
        <v>2.4</v>
      </c>
      <c r="F5183" s="485"/>
      <c r="G5183" s="485">
        <v>2.7</v>
      </c>
      <c r="H5183" s="487">
        <f t="shared" si="877"/>
        <v>12.96</v>
      </c>
    </row>
    <row r="5184" spans="1:8" s="948" customFormat="1">
      <c r="A5184" s="485"/>
      <c r="B5184" s="485"/>
      <c r="C5184" s="16" t="s">
        <v>10</v>
      </c>
      <c r="D5184" s="485">
        <v>2</v>
      </c>
      <c r="E5184" s="485">
        <v>1.2749999999999999</v>
      </c>
      <c r="F5184" s="485"/>
      <c r="G5184" s="485">
        <v>2.7</v>
      </c>
      <c r="H5184" s="487">
        <f t="shared" ref="H5184:H5185" si="882">PRODUCT(D5184:G5184)</f>
        <v>6.8849999999999998</v>
      </c>
    </row>
    <row r="5185" spans="1:8" s="948" customFormat="1">
      <c r="A5185" s="485"/>
      <c r="B5185" s="485"/>
      <c r="C5185" s="16" t="s">
        <v>10</v>
      </c>
      <c r="D5185" s="485">
        <v>-1</v>
      </c>
      <c r="E5185" s="485">
        <v>0.6</v>
      </c>
      <c r="F5185" s="485"/>
      <c r="G5185" s="485">
        <v>2.1</v>
      </c>
      <c r="H5185" s="487">
        <f t="shared" si="882"/>
        <v>-1.26</v>
      </c>
    </row>
    <row r="5186" spans="1:8" s="948" customFormat="1">
      <c r="A5186" s="17"/>
      <c r="B5186" s="17"/>
      <c r="C5186" s="17"/>
      <c r="D5186" s="17"/>
      <c r="E5186" s="17"/>
      <c r="F5186" s="17"/>
      <c r="G5186" s="17"/>
      <c r="H5186" s="18"/>
    </row>
    <row r="5187" spans="1:8" s="948" customFormat="1">
      <c r="A5187" s="15"/>
      <c r="B5187" s="15" t="s">
        <v>21</v>
      </c>
      <c r="C5187" s="15"/>
      <c r="D5187" s="15"/>
      <c r="E5187" s="15"/>
      <c r="F5187" s="15"/>
      <c r="G5187" s="15"/>
      <c r="H5187" s="20">
        <f>SUM(H5167:H5186)</f>
        <v>297.48650000000009</v>
      </c>
    </row>
    <row r="5188" spans="1:8" s="948" customFormat="1">
      <c r="A5188" s="17"/>
      <c r="B5188" s="17" t="s">
        <v>22</v>
      </c>
      <c r="C5188" s="17"/>
      <c r="D5188" s="17"/>
      <c r="E5188" s="17"/>
      <c r="F5188" s="17"/>
      <c r="G5188" s="17"/>
      <c r="H5188" s="18"/>
    </row>
    <row r="5189" spans="1:8" s="948" customFormat="1">
      <c r="A5189" s="15"/>
      <c r="B5189" s="15" t="s">
        <v>23</v>
      </c>
      <c r="C5189" s="15"/>
      <c r="D5189" s="15"/>
      <c r="E5189" s="15"/>
      <c r="F5189" s="15"/>
      <c r="G5189" s="15"/>
      <c r="H5189" s="20">
        <f>ROUND(SUM(H5187:H5188),0)</f>
        <v>297</v>
      </c>
    </row>
  </sheetData>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4"/>
  <sheetViews>
    <sheetView zoomScale="80" zoomScaleNormal="80" workbookViewId="0">
      <selection activeCell="G75" sqref="G75"/>
    </sheetView>
  </sheetViews>
  <sheetFormatPr defaultColWidth="9.1796875" defaultRowHeight="14.5"/>
  <cols>
    <col min="1" max="1" width="9.1796875" style="293"/>
    <col min="2" max="2" width="59" style="293" customWidth="1"/>
    <col min="3" max="3" width="16.54296875" style="949" customWidth="1"/>
    <col min="4" max="4" width="9.1796875" style="293"/>
    <col min="5" max="5" width="10" style="293" customWidth="1"/>
    <col min="6" max="6" width="9.54296875" style="293" bestFit="1" customWidth="1"/>
    <col min="7" max="7" width="19" style="293" customWidth="1"/>
    <col min="8" max="16384" width="9.1796875" style="293"/>
  </cols>
  <sheetData>
    <row r="1" spans="1:7">
      <c r="A1" s="1460" t="s">
        <v>417</v>
      </c>
      <c r="B1" s="1461"/>
      <c r="C1" s="1461"/>
      <c r="D1" s="1461"/>
      <c r="E1" s="1461"/>
      <c r="F1" s="1461"/>
      <c r="G1" s="1461"/>
    </row>
    <row r="2" spans="1:7">
      <c r="A2" s="6"/>
      <c r="B2" s="6"/>
      <c r="C2" s="1411"/>
      <c r="D2" s="107"/>
      <c r="E2" s="6"/>
      <c r="F2" s="6"/>
      <c r="G2" s="8"/>
    </row>
    <row r="3" spans="1:7">
      <c r="A3" s="107" t="s">
        <v>6</v>
      </c>
      <c r="B3" s="107" t="s">
        <v>2</v>
      </c>
      <c r="C3" s="1412" t="s">
        <v>2488</v>
      </c>
      <c r="D3" s="107" t="s">
        <v>7</v>
      </c>
      <c r="E3" s="107" t="s">
        <v>57</v>
      </c>
      <c r="F3" s="107" t="s">
        <v>8</v>
      </c>
      <c r="G3" s="9" t="s">
        <v>9</v>
      </c>
    </row>
    <row r="4" spans="1:7">
      <c r="A4" s="109"/>
      <c r="B4" s="294" t="s">
        <v>320</v>
      </c>
      <c r="C4" s="1413"/>
      <c r="D4" s="109"/>
      <c r="E4" s="109"/>
      <c r="F4" s="109"/>
      <c r="G4" s="109"/>
    </row>
    <row r="5" spans="1:7">
      <c r="A5" s="109">
        <v>1</v>
      </c>
      <c r="B5" s="488" t="s">
        <v>321</v>
      </c>
      <c r="C5" s="431"/>
      <c r="D5" s="109" t="s">
        <v>16</v>
      </c>
      <c r="E5" s="109">
        <f>33+48+4+8+8+40+8+12+18+2+1+6+39+16+15+1</f>
        <v>259</v>
      </c>
      <c r="F5" s="109">
        <v>9750</v>
      </c>
      <c r="G5" s="295">
        <f t="shared" ref="G5:G55" si="0">F5*E5</f>
        <v>2525250</v>
      </c>
    </row>
    <row r="6" spans="1:7">
      <c r="A6" s="528">
        <f>A5+1</f>
        <v>2</v>
      </c>
      <c r="B6" s="488" t="s">
        <v>1951</v>
      </c>
      <c r="C6" s="431"/>
      <c r="D6" s="109" t="s">
        <v>16</v>
      </c>
      <c r="E6" s="109">
        <v>0</v>
      </c>
      <c r="F6" s="109">
        <v>10625</v>
      </c>
      <c r="G6" s="295">
        <f t="shared" ref="G6" si="1">F6*E6</f>
        <v>0</v>
      </c>
    </row>
    <row r="7" spans="1:7">
      <c r="A7" s="950">
        <f t="shared" ref="A7:A22" si="2">A6+1</f>
        <v>3</v>
      </c>
      <c r="B7" s="109" t="s">
        <v>322</v>
      </c>
      <c r="C7" s="950"/>
      <c r="D7" s="109" t="s">
        <v>16</v>
      </c>
      <c r="E7" s="109">
        <v>21</v>
      </c>
      <c r="F7" s="109">
        <v>36875</v>
      </c>
      <c r="G7" s="295">
        <f t="shared" si="0"/>
        <v>774375</v>
      </c>
    </row>
    <row r="8" spans="1:7">
      <c r="A8" s="950">
        <f t="shared" si="2"/>
        <v>4</v>
      </c>
      <c r="B8" s="109" t="s">
        <v>1992</v>
      </c>
      <c r="C8" s="950"/>
      <c r="D8" s="109" t="s">
        <v>16</v>
      </c>
      <c r="E8" s="109">
        <v>12</v>
      </c>
      <c r="F8" s="109">
        <v>20375</v>
      </c>
      <c r="G8" s="295">
        <f t="shared" si="0"/>
        <v>244500</v>
      </c>
    </row>
    <row r="9" spans="1:7">
      <c r="A9" s="950">
        <f t="shared" si="2"/>
        <v>5</v>
      </c>
      <c r="B9" s="109" t="s">
        <v>157</v>
      </c>
      <c r="C9" s="950"/>
      <c r="D9" s="109" t="s">
        <v>16</v>
      </c>
      <c r="E9" s="109">
        <f>E5+E6+E8+2</f>
        <v>273</v>
      </c>
      <c r="F9" s="109">
        <v>4000</v>
      </c>
      <c r="G9" s="295">
        <f t="shared" si="0"/>
        <v>1092000</v>
      </c>
    </row>
    <row r="10" spans="1:7">
      <c r="A10" s="950">
        <f t="shared" si="2"/>
        <v>6</v>
      </c>
      <c r="B10" s="109" t="s">
        <v>323</v>
      </c>
      <c r="C10" s="950"/>
      <c r="D10" s="109" t="s">
        <v>16</v>
      </c>
      <c r="E10" s="109">
        <v>12</v>
      </c>
      <c r="F10" s="109">
        <v>31250</v>
      </c>
      <c r="G10" s="295">
        <f t="shared" si="0"/>
        <v>375000</v>
      </c>
    </row>
    <row r="11" spans="1:7">
      <c r="A11" s="950">
        <f t="shared" si="2"/>
        <v>7</v>
      </c>
      <c r="B11" s="528" t="s">
        <v>2118</v>
      </c>
      <c r="C11" s="950"/>
      <c r="D11" s="109" t="s">
        <v>16</v>
      </c>
      <c r="E11" s="528">
        <v>1</v>
      </c>
      <c r="F11" s="528">
        <v>47500</v>
      </c>
      <c r="G11" s="295">
        <f t="shared" si="0"/>
        <v>47500</v>
      </c>
    </row>
    <row r="12" spans="1:7">
      <c r="A12" s="950">
        <f t="shared" si="2"/>
        <v>8</v>
      </c>
      <c r="B12" s="109" t="s">
        <v>1154</v>
      </c>
      <c r="C12" s="950"/>
      <c r="D12" s="109" t="s">
        <v>16</v>
      </c>
      <c r="E12" s="109">
        <v>24</v>
      </c>
      <c r="F12" s="109">
        <v>31250</v>
      </c>
      <c r="G12" s="295">
        <f t="shared" si="0"/>
        <v>750000</v>
      </c>
    </row>
    <row r="13" spans="1:7">
      <c r="A13" s="950">
        <f t="shared" si="2"/>
        <v>9</v>
      </c>
      <c r="B13" s="109" t="s">
        <v>1419</v>
      </c>
      <c r="C13" s="950"/>
      <c r="D13" s="109" t="s">
        <v>16</v>
      </c>
      <c r="E13" s="109">
        <v>2</v>
      </c>
      <c r="F13" s="109">
        <v>31250</v>
      </c>
      <c r="G13" s="295">
        <f t="shared" si="0"/>
        <v>62500</v>
      </c>
    </row>
    <row r="14" spans="1:7">
      <c r="A14" s="950">
        <f t="shared" si="2"/>
        <v>10</v>
      </c>
      <c r="B14" s="109" t="s">
        <v>324</v>
      </c>
      <c r="C14" s="950"/>
      <c r="D14" s="109" t="s">
        <v>16</v>
      </c>
      <c r="E14" s="109">
        <v>3</v>
      </c>
      <c r="F14" s="109">
        <v>21875</v>
      </c>
      <c r="G14" s="295">
        <f t="shared" si="0"/>
        <v>65625</v>
      </c>
    </row>
    <row r="15" spans="1:7">
      <c r="A15" s="950">
        <f t="shared" si="2"/>
        <v>11</v>
      </c>
      <c r="B15" s="109" t="s">
        <v>325</v>
      </c>
      <c r="C15" s="950"/>
      <c r="D15" s="109" t="s">
        <v>16</v>
      </c>
      <c r="E15" s="109">
        <v>3</v>
      </c>
      <c r="F15" s="109">
        <v>13750</v>
      </c>
      <c r="G15" s="295">
        <f t="shared" si="0"/>
        <v>41250</v>
      </c>
    </row>
    <row r="16" spans="1:7">
      <c r="A16" s="950">
        <f t="shared" si="2"/>
        <v>12</v>
      </c>
      <c r="B16" s="109" t="s">
        <v>1952</v>
      </c>
      <c r="C16" s="950"/>
      <c r="D16" s="109" t="s">
        <v>16</v>
      </c>
      <c r="E16" s="109">
        <v>3</v>
      </c>
      <c r="F16" s="109">
        <v>10625</v>
      </c>
      <c r="G16" s="295">
        <f t="shared" si="0"/>
        <v>31875</v>
      </c>
    </row>
    <row r="17" spans="1:7">
      <c r="A17" s="950">
        <f t="shared" si="2"/>
        <v>13</v>
      </c>
      <c r="B17" s="528" t="s">
        <v>1420</v>
      </c>
      <c r="C17" s="950"/>
      <c r="D17" s="109" t="s">
        <v>16</v>
      </c>
      <c r="E17" s="528">
        <v>1</v>
      </c>
      <c r="F17" s="528">
        <v>65000</v>
      </c>
      <c r="G17" s="295">
        <f t="shared" si="0"/>
        <v>65000</v>
      </c>
    </row>
    <row r="18" spans="1:7">
      <c r="A18" s="950">
        <f t="shared" si="2"/>
        <v>14</v>
      </c>
      <c r="B18" s="109" t="s">
        <v>1953</v>
      </c>
      <c r="C18" s="950"/>
      <c r="D18" s="109" t="s">
        <v>16</v>
      </c>
      <c r="E18" s="109">
        <v>8</v>
      </c>
      <c r="F18" s="109">
        <v>8125</v>
      </c>
      <c r="G18" s="295">
        <f t="shared" si="0"/>
        <v>65000</v>
      </c>
    </row>
    <row r="19" spans="1:7">
      <c r="A19" s="950">
        <f t="shared" si="2"/>
        <v>15</v>
      </c>
      <c r="B19" s="109" t="s">
        <v>326</v>
      </c>
      <c r="C19" s="950"/>
      <c r="D19" s="109" t="s">
        <v>16</v>
      </c>
      <c r="E19" s="109">
        <v>19</v>
      </c>
      <c r="F19" s="109">
        <v>18750</v>
      </c>
      <c r="G19" s="295">
        <f t="shared" si="0"/>
        <v>356250</v>
      </c>
    </row>
    <row r="20" spans="1:7">
      <c r="A20" s="950">
        <f t="shared" si="2"/>
        <v>16</v>
      </c>
      <c r="B20" s="109" t="s">
        <v>1993</v>
      </c>
      <c r="C20" s="950"/>
      <c r="D20" s="109" t="s">
        <v>16</v>
      </c>
      <c r="E20" s="528">
        <v>4</v>
      </c>
      <c r="F20" s="109">
        <v>18750</v>
      </c>
      <c r="G20" s="295">
        <f t="shared" si="0"/>
        <v>75000</v>
      </c>
    </row>
    <row r="21" spans="1:7">
      <c r="A21" s="950">
        <f t="shared" si="2"/>
        <v>17</v>
      </c>
      <c r="B21" s="528" t="s">
        <v>1421</v>
      </c>
      <c r="C21" s="950"/>
      <c r="D21" s="109" t="s">
        <v>16</v>
      </c>
      <c r="E21" s="109">
        <v>5</v>
      </c>
      <c r="F21" s="109">
        <v>17500</v>
      </c>
      <c r="G21" s="295">
        <f t="shared" ref="G21" si="3">F21*E21</f>
        <v>87500</v>
      </c>
    </row>
    <row r="22" spans="1:7">
      <c r="A22" s="950">
        <f t="shared" si="2"/>
        <v>18</v>
      </c>
      <c r="B22" s="528" t="s">
        <v>1425</v>
      </c>
      <c r="C22" s="950"/>
      <c r="D22" s="109" t="s">
        <v>16</v>
      </c>
      <c r="E22" s="109">
        <v>5</v>
      </c>
      <c r="F22" s="109">
        <v>11875</v>
      </c>
      <c r="G22" s="295">
        <f t="shared" ref="G22" si="4">F22*E22</f>
        <v>59375</v>
      </c>
    </row>
    <row r="23" spans="1:7">
      <c r="A23" s="528"/>
      <c r="B23" s="528"/>
      <c r="C23" s="950"/>
      <c r="D23" s="528"/>
      <c r="E23" s="528"/>
      <c r="F23" s="528"/>
      <c r="G23" s="911"/>
    </row>
    <row r="24" spans="1:7">
      <c r="A24" s="109"/>
      <c r="B24" s="109"/>
      <c r="C24" s="950"/>
      <c r="D24" s="109"/>
      <c r="E24" s="109"/>
      <c r="F24" s="109"/>
      <c r="G24" s="295"/>
    </row>
    <row r="25" spans="1:7">
      <c r="A25" s="109"/>
      <c r="B25" s="294" t="s">
        <v>327</v>
      </c>
      <c r="C25" s="1413"/>
      <c r="D25" s="109"/>
      <c r="E25" s="109"/>
      <c r="F25" s="109"/>
      <c r="G25" s="295"/>
    </row>
    <row r="26" spans="1:7" ht="182">
      <c r="A26" s="109">
        <f>A22+1</f>
        <v>19</v>
      </c>
      <c r="B26" s="943" t="s">
        <v>2119</v>
      </c>
      <c r="C26" s="943"/>
      <c r="D26" s="109" t="s">
        <v>16</v>
      </c>
      <c r="E26" s="109">
        <v>381</v>
      </c>
      <c r="F26" s="109">
        <v>11000</v>
      </c>
      <c r="G26" s="295">
        <f t="shared" ref="G26:G31" si="5">F26*E26</f>
        <v>4191000</v>
      </c>
    </row>
    <row r="27" spans="1:7" ht="232">
      <c r="A27" s="109">
        <f>A26+1</f>
        <v>20</v>
      </c>
      <c r="B27" s="944" t="s">
        <v>2120</v>
      </c>
      <c r="C27" s="1415" t="s">
        <v>1308</v>
      </c>
      <c r="D27" s="109" t="s">
        <v>16</v>
      </c>
      <c r="E27" s="109">
        <v>12</v>
      </c>
      <c r="F27" s="109">
        <v>13500</v>
      </c>
      <c r="G27" s="295">
        <f t="shared" si="5"/>
        <v>162000</v>
      </c>
    </row>
    <row r="28" spans="1:7" ht="145">
      <c r="A28" s="109">
        <f>A27+1</f>
        <v>21</v>
      </c>
      <c r="B28" s="947" t="s">
        <v>2121</v>
      </c>
      <c r="C28" s="913" t="s">
        <v>2489</v>
      </c>
      <c r="D28" s="109" t="s">
        <v>16</v>
      </c>
      <c r="E28" s="528">
        <v>17</v>
      </c>
      <c r="F28" s="109">
        <v>31250</v>
      </c>
      <c r="G28" s="295">
        <f t="shared" si="5"/>
        <v>531250</v>
      </c>
    </row>
    <row r="29" spans="1:7" s="945" customFormat="1">
      <c r="A29" s="109">
        <f>A28+1</f>
        <v>22</v>
      </c>
      <c r="B29" s="950" t="s">
        <v>1902</v>
      </c>
      <c r="C29" s="950" t="s">
        <v>1217</v>
      </c>
      <c r="D29" s="946" t="s">
        <v>16</v>
      </c>
      <c r="E29" s="946">
        <v>42</v>
      </c>
      <c r="F29" s="109">
        <v>17500</v>
      </c>
      <c r="G29" s="295">
        <f t="shared" si="5"/>
        <v>735000</v>
      </c>
    </row>
    <row r="30" spans="1:7">
      <c r="A30" s="109">
        <f>A29+1</f>
        <v>23</v>
      </c>
      <c r="B30" s="109" t="s">
        <v>2491</v>
      </c>
      <c r="C30" s="950"/>
      <c r="D30" s="109" t="s">
        <v>16</v>
      </c>
      <c r="E30" s="109">
        <v>20</v>
      </c>
      <c r="F30" s="109">
        <v>5313</v>
      </c>
      <c r="G30" s="295">
        <f t="shared" si="5"/>
        <v>106260</v>
      </c>
    </row>
    <row r="31" spans="1:7" s="949" customFormat="1">
      <c r="A31" s="950">
        <v>24</v>
      </c>
      <c r="B31" s="109" t="s">
        <v>2492</v>
      </c>
      <c r="C31" s="950"/>
      <c r="D31" s="109" t="s">
        <v>16</v>
      </c>
      <c r="E31" s="950">
        <v>44</v>
      </c>
      <c r="F31" s="950">
        <v>4938</v>
      </c>
      <c r="G31" s="295">
        <f t="shared" si="5"/>
        <v>217272</v>
      </c>
    </row>
    <row r="32" spans="1:7">
      <c r="A32" s="109"/>
      <c r="B32" s="109"/>
      <c r="C32" s="950"/>
      <c r="D32" s="109"/>
      <c r="E32" s="109"/>
      <c r="F32" s="109"/>
      <c r="G32" s="295"/>
    </row>
    <row r="33" spans="1:7">
      <c r="A33" s="109"/>
      <c r="B33" s="294" t="s">
        <v>328</v>
      </c>
      <c r="C33" s="1413"/>
      <c r="D33" s="109"/>
      <c r="E33" s="109"/>
      <c r="F33" s="109"/>
      <c r="G33" s="295"/>
    </row>
    <row r="34" spans="1:7" ht="43.5">
      <c r="A34" s="109">
        <f>A31+1</f>
        <v>25</v>
      </c>
      <c r="B34" s="109" t="s">
        <v>1994</v>
      </c>
      <c r="C34" s="913" t="s">
        <v>2496</v>
      </c>
      <c r="D34" s="109" t="s">
        <v>16</v>
      </c>
      <c r="E34" s="909">
        <v>4</v>
      </c>
      <c r="F34" s="109">
        <v>13750</v>
      </c>
      <c r="G34" s="295">
        <f t="shared" si="0"/>
        <v>55000</v>
      </c>
    </row>
    <row r="35" spans="1:7">
      <c r="A35" s="109">
        <f>A34+1</f>
        <v>26</v>
      </c>
      <c r="B35" s="109" t="s">
        <v>2497</v>
      </c>
      <c r="C35" s="950" t="s">
        <v>2498</v>
      </c>
      <c r="D35" s="109" t="s">
        <v>16</v>
      </c>
      <c r="E35" s="930">
        <v>3</v>
      </c>
      <c r="F35" s="109">
        <v>13750</v>
      </c>
      <c r="G35" s="295">
        <f t="shared" si="0"/>
        <v>41250</v>
      </c>
    </row>
    <row r="36" spans="1:7" s="949" customFormat="1">
      <c r="A36" s="109">
        <f t="shared" ref="A36:A72" si="6">A35+1</f>
        <v>27</v>
      </c>
      <c r="B36" s="109" t="s">
        <v>2502</v>
      </c>
      <c r="C36" s="950" t="s">
        <v>1414</v>
      </c>
      <c r="D36" s="109" t="s">
        <v>16</v>
      </c>
      <c r="E36" s="930">
        <v>1</v>
      </c>
      <c r="F36" s="109">
        <v>13750</v>
      </c>
      <c r="G36" s="295">
        <f t="shared" si="0"/>
        <v>13750</v>
      </c>
    </row>
    <row r="37" spans="1:7" s="949" customFormat="1">
      <c r="A37" s="109">
        <f t="shared" si="6"/>
        <v>28</v>
      </c>
      <c r="B37" s="109" t="s">
        <v>2503</v>
      </c>
      <c r="C37" s="950" t="s">
        <v>186</v>
      </c>
      <c r="D37" s="109" t="s">
        <v>16</v>
      </c>
      <c r="E37" s="930">
        <v>1</v>
      </c>
      <c r="F37" s="109">
        <v>31250</v>
      </c>
      <c r="G37" s="295">
        <f t="shared" si="0"/>
        <v>31250</v>
      </c>
    </row>
    <row r="38" spans="1:7">
      <c r="A38" s="109">
        <f t="shared" si="6"/>
        <v>29</v>
      </c>
      <c r="B38" s="109" t="s">
        <v>1995</v>
      </c>
      <c r="C38" s="950" t="s">
        <v>196</v>
      </c>
      <c r="D38" s="109" t="s">
        <v>16</v>
      </c>
      <c r="E38" s="930">
        <v>6</v>
      </c>
      <c r="F38" s="109">
        <v>13750</v>
      </c>
      <c r="G38" s="295">
        <f t="shared" si="0"/>
        <v>82500</v>
      </c>
    </row>
    <row r="39" spans="1:7">
      <c r="A39" s="109">
        <f t="shared" si="6"/>
        <v>30</v>
      </c>
      <c r="B39" s="109" t="s">
        <v>1996</v>
      </c>
      <c r="C39" s="950" t="s">
        <v>186</v>
      </c>
      <c r="D39" s="109" t="s">
        <v>16</v>
      </c>
      <c r="E39" s="930">
        <v>1</v>
      </c>
      <c r="F39" s="109">
        <v>15000</v>
      </c>
      <c r="G39" s="295">
        <f t="shared" ref="G39:G49" si="7">F39*E39</f>
        <v>15000</v>
      </c>
    </row>
    <row r="40" spans="1:7" s="949" customFormat="1">
      <c r="A40" s="109">
        <f t="shared" si="6"/>
        <v>31</v>
      </c>
      <c r="B40" s="109" t="s">
        <v>2495</v>
      </c>
      <c r="C40" s="950" t="s">
        <v>2494</v>
      </c>
      <c r="D40" s="109" t="s">
        <v>16</v>
      </c>
      <c r="E40" s="930">
        <v>1</v>
      </c>
      <c r="F40" s="950">
        <v>15000</v>
      </c>
      <c r="G40" s="295">
        <f t="shared" si="7"/>
        <v>15000</v>
      </c>
    </row>
    <row r="41" spans="1:7" s="949" customFormat="1">
      <c r="A41" s="109">
        <f t="shared" si="6"/>
        <v>32</v>
      </c>
      <c r="B41" s="950" t="s">
        <v>1423</v>
      </c>
      <c r="C41" s="950" t="s">
        <v>1243</v>
      </c>
      <c r="D41" s="950" t="s">
        <v>16</v>
      </c>
      <c r="E41" s="930">
        <v>2</v>
      </c>
      <c r="F41" s="950">
        <v>22500</v>
      </c>
      <c r="G41" s="911">
        <f t="shared" si="7"/>
        <v>45000</v>
      </c>
    </row>
    <row r="42" spans="1:7" s="949" customFormat="1">
      <c r="A42" s="109">
        <f t="shared" si="6"/>
        <v>33</v>
      </c>
      <c r="B42" s="950" t="s">
        <v>1423</v>
      </c>
      <c r="C42" s="950" t="s">
        <v>2490</v>
      </c>
      <c r="D42" s="950" t="s">
        <v>16</v>
      </c>
      <c r="E42" s="930">
        <v>2</v>
      </c>
      <c r="F42" s="950">
        <v>16250</v>
      </c>
      <c r="G42" s="911">
        <f t="shared" si="7"/>
        <v>32500</v>
      </c>
    </row>
    <row r="43" spans="1:7" s="949" customFormat="1">
      <c r="A43" s="109">
        <f t="shared" si="6"/>
        <v>34</v>
      </c>
      <c r="B43" s="950" t="s">
        <v>1423</v>
      </c>
      <c r="C43" s="950" t="s">
        <v>1244</v>
      </c>
      <c r="D43" s="950" t="s">
        <v>16</v>
      </c>
      <c r="E43" s="930">
        <v>2</v>
      </c>
      <c r="F43" s="950">
        <v>17500</v>
      </c>
      <c r="G43" s="911">
        <f t="shared" si="7"/>
        <v>35000</v>
      </c>
    </row>
    <row r="44" spans="1:7" s="949" customFormat="1">
      <c r="A44" s="109">
        <f t="shared" si="6"/>
        <v>35</v>
      </c>
      <c r="B44" s="950" t="s">
        <v>1423</v>
      </c>
      <c r="C44" s="950" t="s">
        <v>2494</v>
      </c>
      <c r="D44" s="950" t="s">
        <v>16</v>
      </c>
      <c r="E44" s="930">
        <v>1</v>
      </c>
      <c r="F44" s="950">
        <v>16875</v>
      </c>
      <c r="G44" s="911">
        <f t="shared" si="7"/>
        <v>16875</v>
      </c>
    </row>
    <row r="45" spans="1:7" s="949" customFormat="1">
      <c r="A45" s="109">
        <f t="shared" si="6"/>
        <v>36</v>
      </c>
      <c r="B45" s="950" t="s">
        <v>1423</v>
      </c>
      <c r="C45" s="950" t="s">
        <v>1219</v>
      </c>
      <c r="D45" s="950" t="s">
        <v>16</v>
      </c>
      <c r="E45" s="930">
        <v>2</v>
      </c>
      <c r="F45" s="950">
        <v>18125</v>
      </c>
      <c r="G45" s="911">
        <f t="shared" ref="G45:G46" si="8">F45*E45</f>
        <v>36250</v>
      </c>
    </row>
    <row r="46" spans="1:7" s="949" customFormat="1">
      <c r="A46" s="109">
        <f t="shared" si="6"/>
        <v>37</v>
      </c>
      <c r="B46" s="950" t="s">
        <v>2507</v>
      </c>
      <c r="C46" s="950" t="s">
        <v>2195</v>
      </c>
      <c r="D46" s="950" t="s">
        <v>16</v>
      </c>
      <c r="E46" s="930">
        <v>2</v>
      </c>
      <c r="F46" s="950">
        <v>35000</v>
      </c>
      <c r="G46" s="911">
        <f t="shared" si="8"/>
        <v>70000</v>
      </c>
    </row>
    <row r="47" spans="1:7" s="949" customFormat="1">
      <c r="A47" s="109">
        <f t="shared" si="6"/>
        <v>38</v>
      </c>
      <c r="B47" s="950" t="s">
        <v>412</v>
      </c>
      <c r="C47" s="950" t="s">
        <v>1293</v>
      </c>
      <c r="D47" s="950" t="s">
        <v>16</v>
      </c>
      <c r="E47" s="930">
        <v>4</v>
      </c>
      <c r="F47" s="950">
        <v>15000</v>
      </c>
      <c r="G47" s="911">
        <f t="shared" ref="G47" si="9">F47*E47</f>
        <v>60000</v>
      </c>
    </row>
    <row r="48" spans="1:7" s="949" customFormat="1">
      <c r="A48" s="109">
        <f t="shared" si="6"/>
        <v>39</v>
      </c>
      <c r="B48" s="950" t="s">
        <v>1424</v>
      </c>
      <c r="C48" s="950" t="s">
        <v>2494</v>
      </c>
      <c r="D48" s="950" t="s">
        <v>16</v>
      </c>
      <c r="E48" s="930">
        <v>1</v>
      </c>
      <c r="F48" s="950">
        <v>47500</v>
      </c>
      <c r="G48" s="911">
        <f t="shared" si="7"/>
        <v>47500</v>
      </c>
    </row>
    <row r="49" spans="1:7" s="949" customFormat="1">
      <c r="A49" s="109">
        <f t="shared" si="6"/>
        <v>40</v>
      </c>
      <c r="B49" s="950" t="s">
        <v>1424</v>
      </c>
      <c r="C49" s="950" t="s">
        <v>1244</v>
      </c>
      <c r="D49" s="950" t="s">
        <v>16</v>
      </c>
      <c r="E49" s="930">
        <v>1</v>
      </c>
      <c r="F49" s="950">
        <v>47500</v>
      </c>
      <c r="G49" s="911">
        <f t="shared" si="7"/>
        <v>47500</v>
      </c>
    </row>
    <row r="50" spans="1:7" s="949" customFormat="1">
      <c r="A50" s="109">
        <f t="shared" si="6"/>
        <v>41</v>
      </c>
      <c r="B50" s="950" t="s">
        <v>2500</v>
      </c>
      <c r="C50" s="950" t="s">
        <v>186</v>
      </c>
      <c r="D50" s="950" t="s">
        <v>16</v>
      </c>
      <c r="E50" s="930">
        <v>1</v>
      </c>
      <c r="F50" s="950">
        <v>137500</v>
      </c>
      <c r="G50" s="911">
        <f t="shared" ref="G50" si="10">F50*E50</f>
        <v>137500</v>
      </c>
    </row>
    <row r="51" spans="1:7" s="949" customFormat="1">
      <c r="A51" s="109">
        <f t="shared" si="6"/>
        <v>42</v>
      </c>
      <c r="B51" s="950" t="s">
        <v>2501</v>
      </c>
      <c r="C51" s="950" t="s">
        <v>186</v>
      </c>
      <c r="D51" s="950" t="s">
        <v>16</v>
      </c>
      <c r="E51" s="930">
        <v>1</v>
      </c>
      <c r="F51" s="950">
        <v>87500</v>
      </c>
      <c r="G51" s="911">
        <f t="shared" ref="G51:G53" si="11">F51*E51</f>
        <v>87500</v>
      </c>
    </row>
    <row r="52" spans="1:7" s="949" customFormat="1">
      <c r="A52" s="109">
        <f t="shared" si="6"/>
        <v>43</v>
      </c>
      <c r="B52" s="950" t="s">
        <v>2504</v>
      </c>
      <c r="C52" s="950" t="s">
        <v>2505</v>
      </c>
      <c r="D52" s="950" t="s">
        <v>16</v>
      </c>
      <c r="E52" s="930">
        <v>2</v>
      </c>
      <c r="F52" s="950">
        <v>52500</v>
      </c>
      <c r="G52" s="911">
        <f t="shared" si="11"/>
        <v>105000</v>
      </c>
    </row>
    <row r="53" spans="1:7" s="949" customFormat="1">
      <c r="A53" s="109">
        <f t="shared" si="6"/>
        <v>44</v>
      </c>
      <c r="B53" s="950" t="s">
        <v>2504</v>
      </c>
      <c r="C53" s="950" t="s">
        <v>186</v>
      </c>
      <c r="D53" s="950" t="s">
        <v>16</v>
      </c>
      <c r="E53" s="930">
        <v>1</v>
      </c>
      <c r="F53" s="950">
        <v>47500</v>
      </c>
      <c r="G53" s="911">
        <f t="shared" si="11"/>
        <v>47500</v>
      </c>
    </row>
    <row r="54" spans="1:7" s="949" customFormat="1">
      <c r="A54" s="109">
        <f t="shared" si="6"/>
        <v>45</v>
      </c>
      <c r="B54" s="950" t="s">
        <v>2493</v>
      </c>
      <c r="C54" s="950" t="s">
        <v>1188</v>
      </c>
      <c r="D54" s="109" t="s">
        <v>16</v>
      </c>
      <c r="E54" s="930">
        <v>14</v>
      </c>
      <c r="F54" s="950">
        <v>27500</v>
      </c>
      <c r="G54" s="911">
        <f t="shared" si="0"/>
        <v>385000</v>
      </c>
    </row>
    <row r="55" spans="1:7">
      <c r="A55" s="109">
        <f t="shared" si="6"/>
        <v>46</v>
      </c>
      <c r="B55" s="109" t="s">
        <v>1422</v>
      </c>
      <c r="C55" s="950"/>
      <c r="D55" s="109" t="s">
        <v>16</v>
      </c>
      <c r="E55" s="909">
        <f>E12*2</f>
        <v>48</v>
      </c>
      <c r="F55" s="109">
        <v>15625</v>
      </c>
      <c r="G55" s="295">
        <f t="shared" si="0"/>
        <v>750000</v>
      </c>
    </row>
    <row r="56" spans="1:7">
      <c r="A56" s="109">
        <f t="shared" si="6"/>
        <v>47</v>
      </c>
      <c r="B56" s="109" t="s">
        <v>1955</v>
      </c>
      <c r="C56" s="950"/>
      <c r="D56" s="109" t="s">
        <v>16</v>
      </c>
      <c r="E56" s="909">
        <v>13</v>
      </c>
      <c r="F56" s="909">
        <v>225000</v>
      </c>
      <c r="G56" s="295">
        <f t="shared" ref="G56:G62" si="12">F56*E56</f>
        <v>2925000</v>
      </c>
    </row>
    <row r="57" spans="1:7">
      <c r="A57" s="109">
        <f t="shared" si="6"/>
        <v>48</v>
      </c>
      <c r="B57" s="950" t="s">
        <v>1194</v>
      </c>
      <c r="C57" s="950"/>
      <c r="D57" s="109" t="s">
        <v>16</v>
      </c>
      <c r="E57" s="909">
        <v>2</v>
      </c>
      <c r="F57" s="909">
        <v>562500</v>
      </c>
      <c r="G57" s="295">
        <f t="shared" si="12"/>
        <v>1125000</v>
      </c>
    </row>
    <row r="58" spans="1:7">
      <c r="A58" s="109">
        <f t="shared" si="6"/>
        <v>49</v>
      </c>
      <c r="B58" s="528" t="s">
        <v>329</v>
      </c>
      <c r="C58" s="950"/>
      <c r="D58" s="109" t="s">
        <v>16</v>
      </c>
      <c r="E58" s="930">
        <v>2</v>
      </c>
      <c r="F58" s="909">
        <v>137500</v>
      </c>
      <c r="G58" s="295">
        <f t="shared" si="12"/>
        <v>275000</v>
      </c>
    </row>
    <row r="59" spans="1:7">
      <c r="A59" s="109">
        <f t="shared" si="6"/>
        <v>50</v>
      </c>
      <c r="B59" s="296" t="s">
        <v>413</v>
      </c>
      <c r="C59" s="913" t="s">
        <v>200</v>
      </c>
      <c r="D59" s="109" t="s">
        <v>16</v>
      </c>
      <c r="E59" s="909">
        <v>2</v>
      </c>
      <c r="F59" s="109">
        <v>51250</v>
      </c>
      <c r="G59" s="295">
        <f t="shared" si="12"/>
        <v>102500</v>
      </c>
    </row>
    <row r="60" spans="1:7">
      <c r="A60" s="109">
        <f t="shared" si="6"/>
        <v>51</v>
      </c>
      <c r="B60" s="913" t="s">
        <v>201</v>
      </c>
      <c r="C60" s="913"/>
      <c r="D60" s="109" t="s">
        <v>16</v>
      </c>
      <c r="E60" s="909">
        <v>10</v>
      </c>
      <c r="F60" s="109">
        <v>50000</v>
      </c>
      <c r="G60" s="295">
        <f t="shared" ref="G60" si="13">F60*E60</f>
        <v>500000</v>
      </c>
    </row>
    <row r="61" spans="1:7">
      <c r="A61" s="109">
        <f t="shared" si="6"/>
        <v>52</v>
      </c>
      <c r="B61" s="109" t="s">
        <v>414</v>
      </c>
      <c r="C61" s="950" t="s">
        <v>200</v>
      </c>
      <c r="D61" s="109" t="s">
        <v>16</v>
      </c>
      <c r="E61" s="909">
        <v>8</v>
      </c>
      <c r="F61" s="109">
        <v>9375</v>
      </c>
      <c r="G61" s="295">
        <f t="shared" si="12"/>
        <v>75000</v>
      </c>
    </row>
    <row r="62" spans="1:7" s="949" customFormat="1">
      <c r="A62" s="109">
        <f t="shared" si="6"/>
        <v>53</v>
      </c>
      <c r="B62" s="109" t="s">
        <v>2499</v>
      </c>
      <c r="C62" s="950" t="s">
        <v>1917</v>
      </c>
      <c r="D62" s="109" t="s">
        <v>16</v>
      </c>
      <c r="E62" s="930">
        <v>5</v>
      </c>
      <c r="F62" s="950">
        <v>17500</v>
      </c>
      <c r="G62" s="911">
        <f t="shared" si="12"/>
        <v>87500</v>
      </c>
    </row>
    <row r="63" spans="1:7">
      <c r="A63" s="109">
        <f t="shared" si="6"/>
        <v>54</v>
      </c>
      <c r="B63" s="109" t="s">
        <v>364</v>
      </c>
      <c r="C63" s="950" t="s">
        <v>2195</v>
      </c>
      <c r="D63" s="109" t="s">
        <v>16</v>
      </c>
      <c r="E63" s="909">
        <v>2</v>
      </c>
      <c r="F63" s="109">
        <v>32500</v>
      </c>
      <c r="G63" s="295">
        <f t="shared" ref="G63:G65" si="14">F63*E63</f>
        <v>65000</v>
      </c>
    </row>
    <row r="64" spans="1:7">
      <c r="A64" s="109">
        <f t="shared" si="6"/>
        <v>55</v>
      </c>
      <c r="B64" s="109" t="s">
        <v>1956</v>
      </c>
      <c r="C64" s="950" t="s">
        <v>200</v>
      </c>
      <c r="D64" s="109" t="s">
        <v>16</v>
      </c>
      <c r="E64" s="909">
        <v>8</v>
      </c>
      <c r="F64" s="109">
        <v>8125</v>
      </c>
      <c r="G64" s="295">
        <f t="shared" si="14"/>
        <v>65000</v>
      </c>
    </row>
    <row r="65" spans="1:7" s="949" customFormat="1">
      <c r="A65" s="109">
        <f t="shared" si="6"/>
        <v>56</v>
      </c>
      <c r="B65" s="109" t="s">
        <v>2506</v>
      </c>
      <c r="C65" s="950" t="s">
        <v>1227</v>
      </c>
      <c r="D65" s="109" t="s">
        <v>16</v>
      </c>
      <c r="E65" s="930">
        <v>2</v>
      </c>
      <c r="F65" s="950">
        <v>10750</v>
      </c>
      <c r="G65" s="911">
        <f t="shared" si="14"/>
        <v>21500</v>
      </c>
    </row>
    <row r="66" spans="1:7">
      <c r="A66" s="109">
        <f t="shared" si="6"/>
        <v>57</v>
      </c>
      <c r="B66" s="109" t="s">
        <v>1997</v>
      </c>
      <c r="C66" s="950" t="s">
        <v>1188</v>
      </c>
      <c r="D66" s="109" t="s">
        <v>16</v>
      </c>
      <c r="E66" s="909">
        <v>4</v>
      </c>
      <c r="F66" s="109">
        <v>47500</v>
      </c>
      <c r="G66" s="295">
        <f t="shared" ref="G66" si="15">F66*E66</f>
        <v>190000</v>
      </c>
    </row>
    <row r="67" spans="1:7">
      <c r="A67" s="109">
        <f t="shared" si="6"/>
        <v>58</v>
      </c>
      <c r="B67" s="528" t="s">
        <v>1957</v>
      </c>
      <c r="C67" s="950" t="s">
        <v>200</v>
      </c>
      <c r="D67" s="109" t="s">
        <v>16</v>
      </c>
      <c r="E67" s="909">
        <f>6+4+6+14</f>
        <v>30</v>
      </c>
      <c r="F67" s="109">
        <v>10000</v>
      </c>
      <c r="G67" s="295">
        <f t="shared" ref="G67" si="16">F67*E67</f>
        <v>300000</v>
      </c>
    </row>
    <row r="68" spans="1:7">
      <c r="A68" s="109">
        <f t="shared" si="6"/>
        <v>59</v>
      </c>
      <c r="B68" s="528" t="s">
        <v>1958</v>
      </c>
      <c r="C68" s="950"/>
      <c r="D68" s="109" t="s">
        <v>16</v>
      </c>
      <c r="E68" s="909">
        <v>3</v>
      </c>
      <c r="F68" s="109">
        <v>62500</v>
      </c>
      <c r="G68" s="295">
        <f t="shared" ref="G68:G71" si="17">F68*E68</f>
        <v>187500</v>
      </c>
    </row>
    <row r="69" spans="1:7">
      <c r="A69" s="109">
        <f t="shared" si="6"/>
        <v>60</v>
      </c>
      <c r="B69" s="528" t="s">
        <v>1998</v>
      </c>
      <c r="C69" s="950" t="s">
        <v>1227</v>
      </c>
      <c r="D69" s="109" t="s">
        <v>16</v>
      </c>
      <c r="E69" s="930">
        <v>1</v>
      </c>
      <c r="F69" s="528">
        <v>118750</v>
      </c>
      <c r="G69" s="911">
        <f t="shared" si="17"/>
        <v>118750</v>
      </c>
    </row>
    <row r="70" spans="1:7" s="949" customFormat="1">
      <c r="A70" s="109">
        <f t="shared" si="6"/>
        <v>61</v>
      </c>
      <c r="B70" s="950" t="s">
        <v>2510</v>
      </c>
      <c r="C70" s="950" t="s">
        <v>200</v>
      </c>
      <c r="D70" s="109" t="s">
        <v>16</v>
      </c>
      <c r="E70" s="930">
        <v>1</v>
      </c>
      <c r="F70" s="950">
        <v>168750</v>
      </c>
      <c r="G70" s="911">
        <f t="shared" si="17"/>
        <v>168750</v>
      </c>
    </row>
    <row r="71" spans="1:7" s="949" customFormat="1">
      <c r="A71" s="109">
        <f t="shared" si="6"/>
        <v>62</v>
      </c>
      <c r="B71" s="950" t="s">
        <v>2511</v>
      </c>
      <c r="C71" s="950"/>
      <c r="D71" s="109" t="s">
        <v>16</v>
      </c>
      <c r="E71" s="930">
        <v>3</v>
      </c>
      <c r="F71" s="950">
        <v>47500</v>
      </c>
      <c r="G71" s="911">
        <f t="shared" si="17"/>
        <v>142500</v>
      </c>
    </row>
    <row r="72" spans="1:7" s="949" customFormat="1">
      <c r="A72" s="109">
        <f t="shared" si="6"/>
        <v>63</v>
      </c>
      <c r="B72" s="950" t="s">
        <v>2551</v>
      </c>
      <c r="C72" s="950" t="s">
        <v>1293</v>
      </c>
      <c r="D72" s="109" t="s">
        <v>16</v>
      </c>
      <c r="E72" s="930">
        <v>1</v>
      </c>
      <c r="F72" s="950">
        <v>47500</v>
      </c>
      <c r="G72" s="911">
        <f t="shared" ref="G72" si="18">F72*E72</f>
        <v>47500</v>
      </c>
    </row>
    <row r="73" spans="1:7" s="2" customFormat="1">
      <c r="A73" s="11"/>
      <c r="B73" s="11"/>
      <c r="C73" s="951"/>
      <c r="D73" s="11"/>
      <c r="E73" s="11"/>
      <c r="F73" s="11"/>
      <c r="G73" s="11"/>
    </row>
    <row r="74" spans="1:7">
      <c r="A74" s="297"/>
      <c r="B74" s="297" t="s">
        <v>91</v>
      </c>
      <c r="C74" s="1414"/>
      <c r="D74" s="297"/>
      <c r="E74" s="297"/>
      <c r="F74" s="297"/>
      <c r="G74" s="298">
        <f>SUM(G5:G73)</f>
        <v>21214157</v>
      </c>
    </row>
  </sheetData>
  <mergeCells count="1">
    <mergeCell ref="A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37E95-3DA3-45E3-8027-154E01C51D13}">
  <dimension ref="A1:F14"/>
  <sheetViews>
    <sheetView workbookViewId="0">
      <selection activeCell="E5" sqref="E5"/>
    </sheetView>
  </sheetViews>
  <sheetFormatPr defaultColWidth="9.1796875" defaultRowHeight="14.5"/>
  <cols>
    <col min="1" max="1" width="9.1796875" style="293"/>
    <col min="2" max="2" width="44.90625" style="293" customWidth="1"/>
    <col min="3" max="3" width="9.1796875" style="293"/>
    <col min="4" max="4" width="10" style="293" customWidth="1"/>
    <col min="5" max="5" width="9.54296875" style="293" bestFit="1" customWidth="1"/>
    <col min="6" max="6" width="19" style="293" customWidth="1"/>
    <col min="7" max="16384" width="9.1796875" style="293"/>
  </cols>
  <sheetData>
    <row r="1" spans="1:6">
      <c r="A1" s="1460" t="s">
        <v>417</v>
      </c>
      <c r="B1" s="1461"/>
      <c r="C1" s="1461"/>
      <c r="D1" s="1461"/>
      <c r="E1" s="1461"/>
      <c r="F1" s="1461"/>
    </row>
    <row r="2" spans="1:6">
      <c r="A2" s="6"/>
      <c r="B2" s="6"/>
      <c r="C2" s="794"/>
      <c r="D2" s="6"/>
      <c r="E2" s="6"/>
      <c r="F2" s="8"/>
    </row>
    <row r="3" spans="1:6">
      <c r="A3" s="794" t="s">
        <v>6</v>
      </c>
      <c r="B3" s="794" t="s">
        <v>2</v>
      </c>
      <c r="C3" s="794" t="s">
        <v>7</v>
      </c>
      <c r="D3" s="794" t="s">
        <v>57</v>
      </c>
      <c r="E3" s="794" t="s">
        <v>8</v>
      </c>
      <c r="F3" s="9" t="s">
        <v>9</v>
      </c>
    </row>
    <row r="4" spans="1:6">
      <c r="A4" s="109"/>
      <c r="B4" s="294" t="s">
        <v>1895</v>
      </c>
      <c r="C4" s="109"/>
      <c r="D4" s="109"/>
      <c r="E4" s="109"/>
      <c r="F4" s="109"/>
    </row>
    <row r="5" spans="1:6">
      <c r="A5" s="109">
        <v>1</v>
      </c>
      <c r="B5" s="488" t="s">
        <v>1897</v>
      </c>
      <c r="C5" s="109" t="s">
        <v>16</v>
      </c>
      <c r="D5" s="109">
        <v>20</v>
      </c>
      <c r="E5" s="109">
        <v>25000</v>
      </c>
      <c r="F5" s="295">
        <f t="shared" ref="F5:F12" si="0">E5*D5</f>
        <v>500000</v>
      </c>
    </row>
    <row r="6" spans="1:6">
      <c r="A6" s="109">
        <v>2</v>
      </c>
      <c r="B6" s="109" t="s">
        <v>1421</v>
      </c>
      <c r="C6" s="109" t="s">
        <v>16</v>
      </c>
      <c r="D6" s="109">
        <v>5</v>
      </c>
      <c r="E6" s="109">
        <v>27500</v>
      </c>
      <c r="F6" s="295">
        <f t="shared" si="0"/>
        <v>137500</v>
      </c>
    </row>
    <row r="7" spans="1:6">
      <c r="A7" s="109">
        <v>3</v>
      </c>
      <c r="B7" s="109" t="s">
        <v>1898</v>
      </c>
      <c r="C7" s="109" t="s">
        <v>16</v>
      </c>
      <c r="D7" s="109">
        <f>D6*4+12*4+3</f>
        <v>71</v>
      </c>
      <c r="E7" s="109">
        <v>5625</v>
      </c>
      <c r="F7" s="295">
        <f t="shared" si="0"/>
        <v>399375</v>
      </c>
    </row>
    <row r="8" spans="1:6">
      <c r="A8" s="109">
        <v>4</v>
      </c>
      <c r="B8" s="109" t="s">
        <v>1896</v>
      </c>
      <c r="C8" s="109" t="s">
        <v>16</v>
      </c>
      <c r="D8" s="109">
        <v>14</v>
      </c>
      <c r="E8" s="109">
        <v>43750</v>
      </c>
      <c r="F8" s="295">
        <f t="shared" si="0"/>
        <v>612500</v>
      </c>
    </row>
    <row r="9" spans="1:6">
      <c r="A9" s="109">
        <v>5</v>
      </c>
      <c r="B9" s="109" t="s">
        <v>1899</v>
      </c>
      <c r="C9" s="109" t="s">
        <v>31</v>
      </c>
      <c r="D9" s="109">
        <v>28</v>
      </c>
      <c r="E9" s="109">
        <v>6875</v>
      </c>
      <c r="F9" s="295">
        <f t="shared" si="0"/>
        <v>192500</v>
      </c>
    </row>
    <row r="10" spans="1:6">
      <c r="A10" s="109">
        <v>6</v>
      </c>
      <c r="B10" s="109" t="s">
        <v>1899</v>
      </c>
      <c r="C10" s="109" t="s">
        <v>16</v>
      </c>
      <c r="D10" s="109">
        <v>5</v>
      </c>
      <c r="E10" s="109">
        <v>6250</v>
      </c>
      <c r="F10" s="295">
        <f t="shared" si="0"/>
        <v>31250</v>
      </c>
    </row>
    <row r="11" spans="1:6">
      <c r="A11" s="109">
        <v>7</v>
      </c>
      <c r="B11" s="109" t="s">
        <v>1900</v>
      </c>
      <c r="C11" s="109" t="s">
        <v>78</v>
      </c>
      <c r="D11" s="109">
        <v>1</v>
      </c>
      <c r="E11" s="909">
        <v>375000</v>
      </c>
      <c r="F11" s="295">
        <f t="shared" si="0"/>
        <v>375000</v>
      </c>
    </row>
    <row r="12" spans="1:6">
      <c r="A12" s="109">
        <v>8</v>
      </c>
      <c r="B12" s="109" t="s">
        <v>1901</v>
      </c>
      <c r="C12" s="109" t="s">
        <v>16</v>
      </c>
      <c r="D12" s="109">
        <v>5</v>
      </c>
      <c r="E12" s="109">
        <v>18750</v>
      </c>
      <c r="F12" s="295">
        <f t="shared" si="0"/>
        <v>93750</v>
      </c>
    </row>
    <row r="13" spans="1:6" s="2" customFormat="1">
      <c r="A13" s="11"/>
      <c r="B13" s="11"/>
      <c r="C13" s="11"/>
      <c r="D13" s="11"/>
      <c r="E13" s="11"/>
      <c r="F13" s="11"/>
    </row>
    <row r="14" spans="1:6">
      <c r="A14" s="297"/>
      <c r="B14" s="297" t="s">
        <v>91</v>
      </c>
      <c r="C14" s="297"/>
      <c r="D14" s="297"/>
      <c r="E14" s="297"/>
      <c r="F14" s="298">
        <f>SUM(F5:F13)</f>
        <v>2341875</v>
      </c>
    </row>
  </sheetData>
  <mergeCells count="1">
    <mergeCell ref="A1:F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2B4B0-8749-428A-B2B6-110DCFD07C29}">
  <dimension ref="A2:F82"/>
  <sheetViews>
    <sheetView zoomScale="60" zoomScaleNormal="60" workbookViewId="0"/>
  </sheetViews>
  <sheetFormatPr defaultColWidth="9.1796875" defaultRowHeight="16.5"/>
  <cols>
    <col min="1" max="1" width="6.36328125" style="82" bestFit="1" customWidth="1"/>
    <col min="2" max="2" width="87.1796875" style="83" customWidth="1"/>
    <col min="3" max="3" width="9.1796875" style="83"/>
    <col min="4" max="4" width="13.81640625" style="83" customWidth="1"/>
    <col min="5" max="5" width="17.1796875" style="83" customWidth="1"/>
    <col min="6" max="6" width="21.81640625" style="83" customWidth="1"/>
    <col min="7" max="9" width="27.1796875" style="83" customWidth="1"/>
    <col min="10" max="251" width="9.1796875" style="83"/>
    <col min="252" max="252" width="35.453125" style="83" customWidth="1"/>
    <col min="253" max="253" width="87.1796875" style="83" customWidth="1"/>
    <col min="254" max="254" width="9.1796875" style="83"/>
    <col min="255" max="256" width="13.81640625" style="83" customWidth="1"/>
    <col min="257" max="257" width="17.1796875" style="83" customWidth="1"/>
    <col min="258" max="258" width="20.453125" style="83" customWidth="1"/>
    <col min="259" max="259" width="21.81640625" style="83" customWidth="1"/>
    <col min="260" max="260" width="23.81640625" style="83" customWidth="1"/>
    <col min="261" max="261" width="28.26953125" style="83" customWidth="1"/>
    <col min="262" max="265" width="27.1796875" style="83" customWidth="1"/>
    <col min="266" max="507" width="9.1796875" style="83"/>
    <col min="508" max="508" width="35.453125" style="83" customWidth="1"/>
    <col min="509" max="509" width="87.1796875" style="83" customWidth="1"/>
    <col min="510" max="510" width="9.1796875" style="83"/>
    <col min="511" max="512" width="13.81640625" style="83" customWidth="1"/>
    <col min="513" max="513" width="17.1796875" style="83" customWidth="1"/>
    <col min="514" max="514" width="20.453125" style="83" customWidth="1"/>
    <col min="515" max="515" width="21.81640625" style="83" customWidth="1"/>
    <col min="516" max="516" width="23.81640625" style="83" customWidth="1"/>
    <col min="517" max="517" width="28.26953125" style="83" customWidth="1"/>
    <col min="518" max="521" width="27.1796875" style="83" customWidth="1"/>
    <col min="522" max="763" width="9.1796875" style="83"/>
    <col min="764" max="764" width="35.453125" style="83" customWidth="1"/>
    <col min="765" max="765" width="87.1796875" style="83" customWidth="1"/>
    <col min="766" max="766" width="9.1796875" style="83"/>
    <col min="767" max="768" width="13.81640625" style="83" customWidth="1"/>
    <col min="769" max="769" width="17.1796875" style="83" customWidth="1"/>
    <col min="770" max="770" width="20.453125" style="83" customWidth="1"/>
    <col min="771" max="771" width="21.81640625" style="83" customWidth="1"/>
    <col min="772" max="772" width="23.81640625" style="83" customWidth="1"/>
    <col min="773" max="773" width="28.26953125" style="83" customWidth="1"/>
    <col min="774" max="777" width="27.1796875" style="83" customWidth="1"/>
    <col min="778" max="1019" width="9.1796875" style="83"/>
    <col min="1020" max="1020" width="35.453125" style="83" customWidth="1"/>
    <col min="1021" max="1021" width="87.1796875" style="83" customWidth="1"/>
    <col min="1022" max="1022" width="9.1796875" style="83"/>
    <col min="1023" max="1024" width="13.81640625" style="83" customWidth="1"/>
    <col min="1025" max="1025" width="17.1796875" style="83" customWidth="1"/>
    <col min="1026" max="1026" width="20.453125" style="83" customWidth="1"/>
    <col min="1027" max="1027" width="21.81640625" style="83" customWidth="1"/>
    <col min="1028" max="1028" width="23.81640625" style="83" customWidth="1"/>
    <col min="1029" max="1029" width="28.26953125" style="83" customWidth="1"/>
    <col min="1030" max="1033" width="27.1796875" style="83" customWidth="1"/>
    <col min="1034" max="1275" width="9.1796875" style="83"/>
    <col min="1276" max="1276" width="35.453125" style="83" customWidth="1"/>
    <col min="1277" max="1277" width="87.1796875" style="83" customWidth="1"/>
    <col min="1278" max="1278" width="9.1796875" style="83"/>
    <col min="1279" max="1280" width="13.81640625" style="83" customWidth="1"/>
    <col min="1281" max="1281" width="17.1796875" style="83" customWidth="1"/>
    <col min="1282" max="1282" width="20.453125" style="83" customWidth="1"/>
    <col min="1283" max="1283" width="21.81640625" style="83" customWidth="1"/>
    <col min="1284" max="1284" width="23.81640625" style="83" customWidth="1"/>
    <col min="1285" max="1285" width="28.26953125" style="83" customWidth="1"/>
    <col min="1286" max="1289" width="27.1796875" style="83" customWidth="1"/>
    <col min="1290" max="1531" width="9.1796875" style="83"/>
    <col min="1532" max="1532" width="35.453125" style="83" customWidth="1"/>
    <col min="1533" max="1533" width="87.1796875" style="83" customWidth="1"/>
    <col min="1534" max="1534" width="9.1796875" style="83"/>
    <col min="1535" max="1536" width="13.81640625" style="83" customWidth="1"/>
    <col min="1537" max="1537" width="17.1796875" style="83" customWidth="1"/>
    <col min="1538" max="1538" width="20.453125" style="83" customWidth="1"/>
    <col min="1539" max="1539" width="21.81640625" style="83" customWidth="1"/>
    <col min="1540" max="1540" width="23.81640625" style="83" customWidth="1"/>
    <col min="1541" max="1541" width="28.26953125" style="83" customWidth="1"/>
    <col min="1542" max="1545" width="27.1796875" style="83" customWidth="1"/>
    <col min="1546" max="1787" width="9.1796875" style="83"/>
    <col min="1788" max="1788" width="35.453125" style="83" customWidth="1"/>
    <col min="1789" max="1789" width="87.1796875" style="83" customWidth="1"/>
    <col min="1790" max="1790" width="9.1796875" style="83"/>
    <col min="1791" max="1792" width="13.81640625" style="83" customWidth="1"/>
    <col min="1793" max="1793" width="17.1796875" style="83" customWidth="1"/>
    <col min="1794" max="1794" width="20.453125" style="83" customWidth="1"/>
    <col min="1795" max="1795" width="21.81640625" style="83" customWidth="1"/>
    <col min="1796" max="1796" width="23.81640625" style="83" customWidth="1"/>
    <col min="1797" max="1797" width="28.26953125" style="83" customWidth="1"/>
    <col min="1798" max="1801" width="27.1796875" style="83" customWidth="1"/>
    <col min="1802" max="2043" width="9.1796875" style="83"/>
    <col min="2044" max="2044" width="35.453125" style="83" customWidth="1"/>
    <col min="2045" max="2045" width="87.1796875" style="83" customWidth="1"/>
    <col min="2046" max="2046" width="9.1796875" style="83"/>
    <col min="2047" max="2048" width="13.81640625" style="83" customWidth="1"/>
    <col min="2049" max="2049" width="17.1796875" style="83" customWidth="1"/>
    <col min="2050" max="2050" width="20.453125" style="83" customWidth="1"/>
    <col min="2051" max="2051" width="21.81640625" style="83" customWidth="1"/>
    <col min="2052" max="2052" width="23.81640625" style="83" customWidth="1"/>
    <col min="2053" max="2053" width="28.26953125" style="83" customWidth="1"/>
    <col min="2054" max="2057" width="27.1796875" style="83" customWidth="1"/>
    <col min="2058" max="2299" width="9.1796875" style="83"/>
    <col min="2300" max="2300" width="35.453125" style="83" customWidth="1"/>
    <col min="2301" max="2301" width="87.1796875" style="83" customWidth="1"/>
    <col min="2302" max="2302" width="9.1796875" style="83"/>
    <col min="2303" max="2304" width="13.81640625" style="83" customWidth="1"/>
    <col min="2305" max="2305" width="17.1796875" style="83" customWidth="1"/>
    <col min="2306" max="2306" width="20.453125" style="83" customWidth="1"/>
    <col min="2307" max="2307" width="21.81640625" style="83" customWidth="1"/>
    <col min="2308" max="2308" width="23.81640625" style="83" customWidth="1"/>
    <col min="2309" max="2309" width="28.26953125" style="83" customWidth="1"/>
    <col min="2310" max="2313" width="27.1796875" style="83" customWidth="1"/>
    <col min="2314" max="2555" width="9.1796875" style="83"/>
    <col min="2556" max="2556" width="35.453125" style="83" customWidth="1"/>
    <col min="2557" max="2557" width="87.1796875" style="83" customWidth="1"/>
    <col min="2558" max="2558" width="9.1796875" style="83"/>
    <col min="2559" max="2560" width="13.81640625" style="83" customWidth="1"/>
    <col min="2561" max="2561" width="17.1796875" style="83" customWidth="1"/>
    <col min="2562" max="2562" width="20.453125" style="83" customWidth="1"/>
    <col min="2563" max="2563" width="21.81640625" style="83" customWidth="1"/>
    <col min="2564" max="2564" width="23.81640625" style="83" customWidth="1"/>
    <col min="2565" max="2565" width="28.26953125" style="83" customWidth="1"/>
    <col min="2566" max="2569" width="27.1796875" style="83" customWidth="1"/>
    <col min="2570" max="2811" width="9.1796875" style="83"/>
    <col min="2812" max="2812" width="35.453125" style="83" customWidth="1"/>
    <col min="2813" max="2813" width="87.1796875" style="83" customWidth="1"/>
    <col min="2814" max="2814" width="9.1796875" style="83"/>
    <col min="2815" max="2816" width="13.81640625" style="83" customWidth="1"/>
    <col min="2817" max="2817" width="17.1796875" style="83" customWidth="1"/>
    <col min="2818" max="2818" width="20.453125" style="83" customWidth="1"/>
    <col min="2819" max="2819" width="21.81640625" style="83" customWidth="1"/>
    <col min="2820" max="2820" width="23.81640625" style="83" customWidth="1"/>
    <col min="2821" max="2821" width="28.26953125" style="83" customWidth="1"/>
    <col min="2822" max="2825" width="27.1796875" style="83" customWidth="1"/>
    <col min="2826" max="3067" width="9.1796875" style="83"/>
    <col min="3068" max="3068" width="35.453125" style="83" customWidth="1"/>
    <col min="3069" max="3069" width="87.1796875" style="83" customWidth="1"/>
    <col min="3070" max="3070" width="9.1796875" style="83"/>
    <col min="3071" max="3072" width="13.81640625" style="83" customWidth="1"/>
    <col min="3073" max="3073" width="17.1796875" style="83" customWidth="1"/>
    <col min="3074" max="3074" width="20.453125" style="83" customWidth="1"/>
    <col min="3075" max="3075" width="21.81640625" style="83" customWidth="1"/>
    <col min="3076" max="3076" width="23.81640625" style="83" customWidth="1"/>
    <col min="3077" max="3077" width="28.26953125" style="83" customWidth="1"/>
    <col min="3078" max="3081" width="27.1796875" style="83" customWidth="1"/>
    <col min="3082" max="3323" width="9.1796875" style="83"/>
    <col min="3324" max="3324" width="35.453125" style="83" customWidth="1"/>
    <col min="3325" max="3325" width="87.1796875" style="83" customWidth="1"/>
    <col min="3326" max="3326" width="9.1796875" style="83"/>
    <col min="3327" max="3328" width="13.81640625" style="83" customWidth="1"/>
    <col min="3329" max="3329" width="17.1796875" style="83" customWidth="1"/>
    <col min="3330" max="3330" width="20.453125" style="83" customWidth="1"/>
    <col min="3331" max="3331" width="21.81640625" style="83" customWidth="1"/>
    <col min="3332" max="3332" width="23.81640625" style="83" customWidth="1"/>
    <col min="3333" max="3333" width="28.26953125" style="83" customWidth="1"/>
    <col min="3334" max="3337" width="27.1796875" style="83" customWidth="1"/>
    <col min="3338" max="3579" width="9.1796875" style="83"/>
    <col min="3580" max="3580" width="35.453125" style="83" customWidth="1"/>
    <col min="3581" max="3581" width="87.1796875" style="83" customWidth="1"/>
    <col min="3582" max="3582" width="9.1796875" style="83"/>
    <col min="3583" max="3584" width="13.81640625" style="83" customWidth="1"/>
    <col min="3585" max="3585" width="17.1796875" style="83" customWidth="1"/>
    <col min="3586" max="3586" width="20.453125" style="83" customWidth="1"/>
    <col min="3587" max="3587" width="21.81640625" style="83" customWidth="1"/>
    <col min="3588" max="3588" width="23.81640625" style="83" customWidth="1"/>
    <col min="3589" max="3589" width="28.26953125" style="83" customWidth="1"/>
    <col min="3590" max="3593" width="27.1796875" style="83" customWidth="1"/>
    <col min="3594" max="3835" width="9.1796875" style="83"/>
    <col min="3836" max="3836" width="35.453125" style="83" customWidth="1"/>
    <col min="3837" max="3837" width="87.1796875" style="83" customWidth="1"/>
    <col min="3838" max="3838" width="9.1796875" style="83"/>
    <col min="3839" max="3840" width="13.81640625" style="83" customWidth="1"/>
    <col min="3841" max="3841" width="17.1796875" style="83" customWidth="1"/>
    <col min="3842" max="3842" width="20.453125" style="83" customWidth="1"/>
    <col min="3843" max="3843" width="21.81640625" style="83" customWidth="1"/>
    <col min="3844" max="3844" width="23.81640625" style="83" customWidth="1"/>
    <col min="3845" max="3845" width="28.26953125" style="83" customWidth="1"/>
    <col min="3846" max="3849" width="27.1796875" style="83" customWidth="1"/>
    <col min="3850" max="4091" width="9.1796875" style="83"/>
    <col min="4092" max="4092" width="35.453125" style="83" customWidth="1"/>
    <col min="4093" max="4093" width="87.1796875" style="83" customWidth="1"/>
    <col min="4094" max="4094" width="9.1796875" style="83"/>
    <col min="4095" max="4096" width="13.81640625" style="83" customWidth="1"/>
    <col min="4097" max="4097" width="17.1796875" style="83" customWidth="1"/>
    <col min="4098" max="4098" width="20.453125" style="83" customWidth="1"/>
    <col min="4099" max="4099" width="21.81640625" style="83" customWidth="1"/>
    <col min="4100" max="4100" width="23.81640625" style="83" customWidth="1"/>
    <col min="4101" max="4101" width="28.26953125" style="83" customWidth="1"/>
    <col min="4102" max="4105" width="27.1796875" style="83" customWidth="1"/>
    <col min="4106" max="4347" width="9.1796875" style="83"/>
    <col min="4348" max="4348" width="35.453125" style="83" customWidth="1"/>
    <col min="4349" max="4349" width="87.1796875" style="83" customWidth="1"/>
    <col min="4350" max="4350" width="9.1796875" style="83"/>
    <col min="4351" max="4352" width="13.81640625" style="83" customWidth="1"/>
    <col min="4353" max="4353" width="17.1796875" style="83" customWidth="1"/>
    <col min="4354" max="4354" width="20.453125" style="83" customWidth="1"/>
    <col min="4355" max="4355" width="21.81640625" style="83" customWidth="1"/>
    <col min="4356" max="4356" width="23.81640625" style="83" customWidth="1"/>
    <col min="4357" max="4357" width="28.26953125" style="83" customWidth="1"/>
    <col min="4358" max="4361" width="27.1796875" style="83" customWidth="1"/>
    <col min="4362" max="4603" width="9.1796875" style="83"/>
    <col min="4604" max="4604" width="35.453125" style="83" customWidth="1"/>
    <col min="4605" max="4605" width="87.1796875" style="83" customWidth="1"/>
    <col min="4606" max="4606" width="9.1796875" style="83"/>
    <col min="4607" max="4608" width="13.81640625" style="83" customWidth="1"/>
    <col min="4609" max="4609" width="17.1796875" style="83" customWidth="1"/>
    <col min="4610" max="4610" width="20.453125" style="83" customWidth="1"/>
    <col min="4611" max="4611" width="21.81640625" style="83" customWidth="1"/>
    <col min="4612" max="4612" width="23.81640625" style="83" customWidth="1"/>
    <col min="4613" max="4613" width="28.26953125" style="83" customWidth="1"/>
    <col min="4614" max="4617" width="27.1796875" style="83" customWidth="1"/>
    <col min="4618" max="4859" width="9.1796875" style="83"/>
    <col min="4860" max="4860" width="35.453125" style="83" customWidth="1"/>
    <col min="4861" max="4861" width="87.1796875" style="83" customWidth="1"/>
    <col min="4862" max="4862" width="9.1796875" style="83"/>
    <col min="4863" max="4864" width="13.81640625" style="83" customWidth="1"/>
    <col min="4865" max="4865" width="17.1796875" style="83" customWidth="1"/>
    <col min="4866" max="4866" width="20.453125" style="83" customWidth="1"/>
    <col min="4867" max="4867" width="21.81640625" style="83" customWidth="1"/>
    <col min="4868" max="4868" width="23.81640625" style="83" customWidth="1"/>
    <col min="4869" max="4869" width="28.26953125" style="83" customWidth="1"/>
    <col min="4870" max="4873" width="27.1796875" style="83" customWidth="1"/>
    <col min="4874" max="5115" width="9.1796875" style="83"/>
    <col min="5116" max="5116" width="35.453125" style="83" customWidth="1"/>
    <col min="5117" max="5117" width="87.1796875" style="83" customWidth="1"/>
    <col min="5118" max="5118" width="9.1796875" style="83"/>
    <col min="5119" max="5120" width="13.81640625" style="83" customWidth="1"/>
    <col min="5121" max="5121" width="17.1796875" style="83" customWidth="1"/>
    <col min="5122" max="5122" width="20.453125" style="83" customWidth="1"/>
    <col min="5123" max="5123" width="21.81640625" style="83" customWidth="1"/>
    <col min="5124" max="5124" width="23.81640625" style="83" customWidth="1"/>
    <col min="5125" max="5125" width="28.26953125" style="83" customWidth="1"/>
    <col min="5126" max="5129" width="27.1796875" style="83" customWidth="1"/>
    <col min="5130" max="5371" width="9.1796875" style="83"/>
    <col min="5372" max="5372" width="35.453125" style="83" customWidth="1"/>
    <col min="5373" max="5373" width="87.1796875" style="83" customWidth="1"/>
    <col min="5374" max="5374" width="9.1796875" style="83"/>
    <col min="5375" max="5376" width="13.81640625" style="83" customWidth="1"/>
    <col min="5377" max="5377" width="17.1796875" style="83" customWidth="1"/>
    <col min="5378" max="5378" width="20.453125" style="83" customWidth="1"/>
    <col min="5379" max="5379" width="21.81640625" style="83" customWidth="1"/>
    <col min="5380" max="5380" width="23.81640625" style="83" customWidth="1"/>
    <col min="5381" max="5381" width="28.26953125" style="83" customWidth="1"/>
    <col min="5382" max="5385" width="27.1796875" style="83" customWidth="1"/>
    <col min="5386" max="5627" width="9.1796875" style="83"/>
    <col min="5628" max="5628" width="35.453125" style="83" customWidth="1"/>
    <col min="5629" max="5629" width="87.1796875" style="83" customWidth="1"/>
    <col min="5630" max="5630" width="9.1796875" style="83"/>
    <col min="5631" max="5632" width="13.81640625" style="83" customWidth="1"/>
    <col min="5633" max="5633" width="17.1796875" style="83" customWidth="1"/>
    <col min="5634" max="5634" width="20.453125" style="83" customWidth="1"/>
    <col min="5635" max="5635" width="21.81640625" style="83" customWidth="1"/>
    <col min="5636" max="5636" width="23.81640625" style="83" customWidth="1"/>
    <col min="5637" max="5637" width="28.26953125" style="83" customWidth="1"/>
    <col min="5638" max="5641" width="27.1796875" style="83" customWidth="1"/>
    <col min="5642" max="5883" width="9.1796875" style="83"/>
    <col min="5884" max="5884" width="35.453125" style="83" customWidth="1"/>
    <col min="5885" max="5885" width="87.1796875" style="83" customWidth="1"/>
    <col min="5886" max="5886" width="9.1796875" style="83"/>
    <col min="5887" max="5888" width="13.81640625" style="83" customWidth="1"/>
    <col min="5889" max="5889" width="17.1796875" style="83" customWidth="1"/>
    <col min="5890" max="5890" width="20.453125" style="83" customWidth="1"/>
    <col min="5891" max="5891" width="21.81640625" style="83" customWidth="1"/>
    <col min="5892" max="5892" width="23.81640625" style="83" customWidth="1"/>
    <col min="5893" max="5893" width="28.26953125" style="83" customWidth="1"/>
    <col min="5894" max="5897" width="27.1796875" style="83" customWidth="1"/>
    <col min="5898" max="6139" width="9.1796875" style="83"/>
    <col min="6140" max="6140" width="35.453125" style="83" customWidth="1"/>
    <col min="6141" max="6141" width="87.1796875" style="83" customWidth="1"/>
    <col min="6142" max="6142" width="9.1796875" style="83"/>
    <col min="6143" max="6144" width="13.81640625" style="83" customWidth="1"/>
    <col min="6145" max="6145" width="17.1796875" style="83" customWidth="1"/>
    <col min="6146" max="6146" width="20.453125" style="83" customWidth="1"/>
    <col min="6147" max="6147" width="21.81640625" style="83" customWidth="1"/>
    <col min="6148" max="6148" width="23.81640625" style="83" customWidth="1"/>
    <col min="6149" max="6149" width="28.26953125" style="83" customWidth="1"/>
    <col min="6150" max="6153" width="27.1796875" style="83" customWidth="1"/>
    <col min="6154" max="6395" width="9.1796875" style="83"/>
    <col min="6396" max="6396" width="35.453125" style="83" customWidth="1"/>
    <col min="6397" max="6397" width="87.1796875" style="83" customWidth="1"/>
    <col min="6398" max="6398" width="9.1796875" style="83"/>
    <col min="6399" max="6400" width="13.81640625" style="83" customWidth="1"/>
    <col min="6401" max="6401" width="17.1796875" style="83" customWidth="1"/>
    <col min="6402" max="6402" width="20.453125" style="83" customWidth="1"/>
    <col min="6403" max="6403" width="21.81640625" style="83" customWidth="1"/>
    <col min="6404" max="6404" width="23.81640625" style="83" customWidth="1"/>
    <col min="6405" max="6405" width="28.26953125" style="83" customWidth="1"/>
    <col min="6406" max="6409" width="27.1796875" style="83" customWidth="1"/>
    <col min="6410" max="6651" width="9.1796875" style="83"/>
    <col min="6652" max="6652" width="35.453125" style="83" customWidth="1"/>
    <col min="6653" max="6653" width="87.1796875" style="83" customWidth="1"/>
    <col min="6654" max="6654" width="9.1796875" style="83"/>
    <col min="6655" max="6656" width="13.81640625" style="83" customWidth="1"/>
    <col min="6657" max="6657" width="17.1796875" style="83" customWidth="1"/>
    <col min="6658" max="6658" width="20.453125" style="83" customWidth="1"/>
    <col min="6659" max="6659" width="21.81640625" style="83" customWidth="1"/>
    <col min="6660" max="6660" width="23.81640625" style="83" customWidth="1"/>
    <col min="6661" max="6661" width="28.26953125" style="83" customWidth="1"/>
    <col min="6662" max="6665" width="27.1796875" style="83" customWidth="1"/>
    <col min="6666" max="6907" width="9.1796875" style="83"/>
    <col min="6908" max="6908" width="35.453125" style="83" customWidth="1"/>
    <col min="6909" max="6909" width="87.1796875" style="83" customWidth="1"/>
    <col min="6910" max="6910" width="9.1796875" style="83"/>
    <col min="6911" max="6912" width="13.81640625" style="83" customWidth="1"/>
    <col min="6913" max="6913" width="17.1796875" style="83" customWidth="1"/>
    <col min="6914" max="6914" width="20.453125" style="83" customWidth="1"/>
    <col min="6915" max="6915" width="21.81640625" style="83" customWidth="1"/>
    <col min="6916" max="6916" width="23.81640625" style="83" customWidth="1"/>
    <col min="6917" max="6917" width="28.26953125" style="83" customWidth="1"/>
    <col min="6918" max="6921" width="27.1796875" style="83" customWidth="1"/>
    <col min="6922" max="7163" width="9.1796875" style="83"/>
    <col min="7164" max="7164" width="35.453125" style="83" customWidth="1"/>
    <col min="7165" max="7165" width="87.1796875" style="83" customWidth="1"/>
    <col min="7166" max="7166" width="9.1796875" style="83"/>
    <col min="7167" max="7168" width="13.81640625" style="83" customWidth="1"/>
    <col min="7169" max="7169" width="17.1796875" style="83" customWidth="1"/>
    <col min="7170" max="7170" width="20.453125" style="83" customWidth="1"/>
    <col min="7171" max="7171" width="21.81640625" style="83" customWidth="1"/>
    <col min="7172" max="7172" width="23.81640625" style="83" customWidth="1"/>
    <col min="7173" max="7173" width="28.26953125" style="83" customWidth="1"/>
    <col min="7174" max="7177" width="27.1796875" style="83" customWidth="1"/>
    <col min="7178" max="7419" width="9.1796875" style="83"/>
    <col min="7420" max="7420" width="35.453125" style="83" customWidth="1"/>
    <col min="7421" max="7421" width="87.1796875" style="83" customWidth="1"/>
    <col min="7422" max="7422" width="9.1796875" style="83"/>
    <col min="7423" max="7424" width="13.81640625" style="83" customWidth="1"/>
    <col min="7425" max="7425" width="17.1796875" style="83" customWidth="1"/>
    <col min="7426" max="7426" width="20.453125" style="83" customWidth="1"/>
    <col min="7427" max="7427" width="21.81640625" style="83" customWidth="1"/>
    <col min="7428" max="7428" width="23.81640625" style="83" customWidth="1"/>
    <col min="7429" max="7429" width="28.26953125" style="83" customWidth="1"/>
    <col min="7430" max="7433" width="27.1796875" style="83" customWidth="1"/>
    <col min="7434" max="7675" width="9.1796875" style="83"/>
    <col min="7676" max="7676" width="35.453125" style="83" customWidth="1"/>
    <col min="7677" max="7677" width="87.1796875" style="83" customWidth="1"/>
    <col min="7678" max="7678" width="9.1796875" style="83"/>
    <col min="7679" max="7680" width="13.81640625" style="83" customWidth="1"/>
    <col min="7681" max="7681" width="17.1796875" style="83" customWidth="1"/>
    <col min="7682" max="7682" width="20.453125" style="83" customWidth="1"/>
    <col min="7683" max="7683" width="21.81640625" style="83" customWidth="1"/>
    <col min="7684" max="7684" width="23.81640625" style="83" customWidth="1"/>
    <col min="7685" max="7685" width="28.26953125" style="83" customWidth="1"/>
    <col min="7686" max="7689" width="27.1796875" style="83" customWidth="1"/>
    <col min="7690" max="7931" width="9.1796875" style="83"/>
    <col min="7932" max="7932" width="35.453125" style="83" customWidth="1"/>
    <col min="7933" max="7933" width="87.1796875" style="83" customWidth="1"/>
    <col min="7934" max="7934" width="9.1796875" style="83"/>
    <col min="7935" max="7936" width="13.81640625" style="83" customWidth="1"/>
    <col min="7937" max="7937" width="17.1796875" style="83" customWidth="1"/>
    <col min="7938" max="7938" width="20.453125" style="83" customWidth="1"/>
    <col min="7939" max="7939" width="21.81640625" style="83" customWidth="1"/>
    <col min="7940" max="7940" width="23.81640625" style="83" customWidth="1"/>
    <col min="7941" max="7941" width="28.26953125" style="83" customWidth="1"/>
    <col min="7942" max="7945" width="27.1796875" style="83" customWidth="1"/>
    <col min="7946" max="8187" width="9.1796875" style="83"/>
    <col min="8188" max="8188" width="35.453125" style="83" customWidth="1"/>
    <col min="8189" max="8189" width="87.1796875" style="83" customWidth="1"/>
    <col min="8190" max="8190" width="9.1796875" style="83"/>
    <col min="8191" max="8192" width="13.81640625" style="83" customWidth="1"/>
    <col min="8193" max="8193" width="17.1796875" style="83" customWidth="1"/>
    <col min="8194" max="8194" width="20.453125" style="83" customWidth="1"/>
    <col min="8195" max="8195" width="21.81640625" style="83" customWidth="1"/>
    <col min="8196" max="8196" width="23.81640625" style="83" customWidth="1"/>
    <col min="8197" max="8197" width="28.26953125" style="83" customWidth="1"/>
    <col min="8198" max="8201" width="27.1796875" style="83" customWidth="1"/>
    <col min="8202" max="8443" width="9.1796875" style="83"/>
    <col min="8444" max="8444" width="35.453125" style="83" customWidth="1"/>
    <col min="8445" max="8445" width="87.1796875" style="83" customWidth="1"/>
    <col min="8446" max="8446" width="9.1796875" style="83"/>
    <col min="8447" max="8448" width="13.81640625" style="83" customWidth="1"/>
    <col min="8449" max="8449" width="17.1796875" style="83" customWidth="1"/>
    <col min="8450" max="8450" width="20.453125" style="83" customWidth="1"/>
    <col min="8451" max="8451" width="21.81640625" style="83" customWidth="1"/>
    <col min="8452" max="8452" width="23.81640625" style="83" customWidth="1"/>
    <col min="8453" max="8453" width="28.26953125" style="83" customWidth="1"/>
    <col min="8454" max="8457" width="27.1796875" style="83" customWidth="1"/>
    <col min="8458" max="8699" width="9.1796875" style="83"/>
    <col min="8700" max="8700" width="35.453125" style="83" customWidth="1"/>
    <col min="8701" max="8701" width="87.1796875" style="83" customWidth="1"/>
    <col min="8702" max="8702" width="9.1796875" style="83"/>
    <col min="8703" max="8704" width="13.81640625" style="83" customWidth="1"/>
    <col min="8705" max="8705" width="17.1796875" style="83" customWidth="1"/>
    <col min="8706" max="8706" width="20.453125" style="83" customWidth="1"/>
    <col min="8707" max="8707" width="21.81640625" style="83" customWidth="1"/>
    <col min="8708" max="8708" width="23.81640625" style="83" customWidth="1"/>
    <col min="8709" max="8709" width="28.26953125" style="83" customWidth="1"/>
    <col min="8710" max="8713" width="27.1796875" style="83" customWidth="1"/>
    <col min="8714" max="8955" width="9.1796875" style="83"/>
    <col min="8956" max="8956" width="35.453125" style="83" customWidth="1"/>
    <col min="8957" max="8957" width="87.1796875" style="83" customWidth="1"/>
    <col min="8958" max="8958" width="9.1796875" style="83"/>
    <col min="8959" max="8960" width="13.81640625" style="83" customWidth="1"/>
    <col min="8961" max="8961" width="17.1796875" style="83" customWidth="1"/>
    <col min="8962" max="8962" width="20.453125" style="83" customWidth="1"/>
    <col min="8963" max="8963" width="21.81640625" style="83" customWidth="1"/>
    <col min="8964" max="8964" width="23.81640625" style="83" customWidth="1"/>
    <col min="8965" max="8965" width="28.26953125" style="83" customWidth="1"/>
    <col min="8966" max="8969" width="27.1796875" style="83" customWidth="1"/>
    <col min="8970" max="9211" width="9.1796875" style="83"/>
    <col min="9212" max="9212" width="35.453125" style="83" customWidth="1"/>
    <col min="9213" max="9213" width="87.1796875" style="83" customWidth="1"/>
    <col min="9214" max="9214" width="9.1796875" style="83"/>
    <col min="9215" max="9216" width="13.81640625" style="83" customWidth="1"/>
    <col min="9217" max="9217" width="17.1796875" style="83" customWidth="1"/>
    <col min="9218" max="9218" width="20.453125" style="83" customWidth="1"/>
    <col min="9219" max="9219" width="21.81640625" style="83" customWidth="1"/>
    <col min="9220" max="9220" width="23.81640625" style="83" customWidth="1"/>
    <col min="9221" max="9221" width="28.26953125" style="83" customWidth="1"/>
    <col min="9222" max="9225" width="27.1796875" style="83" customWidth="1"/>
    <col min="9226" max="9467" width="9.1796875" style="83"/>
    <col min="9468" max="9468" width="35.453125" style="83" customWidth="1"/>
    <col min="9469" max="9469" width="87.1796875" style="83" customWidth="1"/>
    <col min="9470" max="9470" width="9.1796875" style="83"/>
    <col min="9471" max="9472" width="13.81640625" style="83" customWidth="1"/>
    <col min="9473" max="9473" width="17.1796875" style="83" customWidth="1"/>
    <col min="9474" max="9474" width="20.453125" style="83" customWidth="1"/>
    <col min="9475" max="9475" width="21.81640625" style="83" customWidth="1"/>
    <col min="9476" max="9476" width="23.81640625" style="83" customWidth="1"/>
    <col min="9477" max="9477" width="28.26953125" style="83" customWidth="1"/>
    <col min="9478" max="9481" width="27.1796875" style="83" customWidth="1"/>
    <col min="9482" max="9723" width="9.1796875" style="83"/>
    <col min="9724" max="9724" width="35.453125" style="83" customWidth="1"/>
    <col min="9725" max="9725" width="87.1796875" style="83" customWidth="1"/>
    <col min="9726" max="9726" width="9.1796875" style="83"/>
    <col min="9727" max="9728" width="13.81640625" style="83" customWidth="1"/>
    <col min="9729" max="9729" width="17.1796875" style="83" customWidth="1"/>
    <col min="9730" max="9730" width="20.453125" style="83" customWidth="1"/>
    <col min="9731" max="9731" width="21.81640625" style="83" customWidth="1"/>
    <col min="9732" max="9732" width="23.81640625" style="83" customWidth="1"/>
    <col min="9733" max="9733" width="28.26953125" style="83" customWidth="1"/>
    <col min="9734" max="9737" width="27.1796875" style="83" customWidth="1"/>
    <col min="9738" max="9979" width="9.1796875" style="83"/>
    <col min="9980" max="9980" width="35.453125" style="83" customWidth="1"/>
    <col min="9981" max="9981" width="87.1796875" style="83" customWidth="1"/>
    <col min="9982" max="9982" width="9.1796875" style="83"/>
    <col min="9983" max="9984" width="13.81640625" style="83" customWidth="1"/>
    <col min="9985" max="9985" width="17.1796875" style="83" customWidth="1"/>
    <col min="9986" max="9986" width="20.453125" style="83" customWidth="1"/>
    <col min="9987" max="9987" width="21.81640625" style="83" customWidth="1"/>
    <col min="9988" max="9988" width="23.81640625" style="83" customWidth="1"/>
    <col min="9989" max="9989" width="28.26953125" style="83" customWidth="1"/>
    <col min="9990" max="9993" width="27.1796875" style="83" customWidth="1"/>
    <col min="9994" max="10235" width="9.1796875" style="83"/>
    <col min="10236" max="10236" width="35.453125" style="83" customWidth="1"/>
    <col min="10237" max="10237" width="87.1796875" style="83" customWidth="1"/>
    <col min="10238" max="10238" width="9.1796875" style="83"/>
    <col min="10239" max="10240" width="13.81640625" style="83" customWidth="1"/>
    <col min="10241" max="10241" width="17.1796875" style="83" customWidth="1"/>
    <col min="10242" max="10242" width="20.453125" style="83" customWidth="1"/>
    <col min="10243" max="10243" width="21.81640625" style="83" customWidth="1"/>
    <col min="10244" max="10244" width="23.81640625" style="83" customWidth="1"/>
    <col min="10245" max="10245" width="28.26953125" style="83" customWidth="1"/>
    <col min="10246" max="10249" width="27.1796875" style="83" customWidth="1"/>
    <col min="10250" max="10491" width="9.1796875" style="83"/>
    <col min="10492" max="10492" width="35.453125" style="83" customWidth="1"/>
    <col min="10493" max="10493" width="87.1796875" style="83" customWidth="1"/>
    <col min="10494" max="10494" width="9.1796875" style="83"/>
    <col min="10495" max="10496" width="13.81640625" style="83" customWidth="1"/>
    <col min="10497" max="10497" width="17.1796875" style="83" customWidth="1"/>
    <col min="10498" max="10498" width="20.453125" style="83" customWidth="1"/>
    <col min="10499" max="10499" width="21.81640625" style="83" customWidth="1"/>
    <col min="10500" max="10500" width="23.81640625" style="83" customWidth="1"/>
    <col min="10501" max="10501" width="28.26953125" style="83" customWidth="1"/>
    <col min="10502" max="10505" width="27.1796875" style="83" customWidth="1"/>
    <col min="10506" max="10747" width="9.1796875" style="83"/>
    <col min="10748" max="10748" width="35.453125" style="83" customWidth="1"/>
    <col min="10749" max="10749" width="87.1796875" style="83" customWidth="1"/>
    <col min="10750" max="10750" width="9.1796875" style="83"/>
    <col min="10751" max="10752" width="13.81640625" style="83" customWidth="1"/>
    <col min="10753" max="10753" width="17.1796875" style="83" customWidth="1"/>
    <col min="10754" max="10754" width="20.453125" style="83" customWidth="1"/>
    <col min="10755" max="10755" width="21.81640625" style="83" customWidth="1"/>
    <col min="10756" max="10756" width="23.81640625" style="83" customWidth="1"/>
    <col min="10757" max="10757" width="28.26953125" style="83" customWidth="1"/>
    <col min="10758" max="10761" width="27.1796875" style="83" customWidth="1"/>
    <col min="10762" max="11003" width="9.1796875" style="83"/>
    <col min="11004" max="11004" width="35.453125" style="83" customWidth="1"/>
    <col min="11005" max="11005" width="87.1796875" style="83" customWidth="1"/>
    <col min="11006" max="11006" width="9.1796875" style="83"/>
    <col min="11007" max="11008" width="13.81640625" style="83" customWidth="1"/>
    <col min="11009" max="11009" width="17.1796875" style="83" customWidth="1"/>
    <col min="11010" max="11010" width="20.453125" style="83" customWidth="1"/>
    <col min="11011" max="11011" width="21.81640625" style="83" customWidth="1"/>
    <col min="11012" max="11012" width="23.81640625" style="83" customWidth="1"/>
    <col min="11013" max="11013" width="28.26953125" style="83" customWidth="1"/>
    <col min="11014" max="11017" width="27.1796875" style="83" customWidth="1"/>
    <col min="11018" max="11259" width="9.1796875" style="83"/>
    <col min="11260" max="11260" width="35.453125" style="83" customWidth="1"/>
    <col min="11261" max="11261" width="87.1796875" style="83" customWidth="1"/>
    <col min="11262" max="11262" width="9.1796875" style="83"/>
    <col min="11263" max="11264" width="13.81640625" style="83" customWidth="1"/>
    <col min="11265" max="11265" width="17.1796875" style="83" customWidth="1"/>
    <col min="11266" max="11266" width="20.453125" style="83" customWidth="1"/>
    <col min="11267" max="11267" width="21.81640625" style="83" customWidth="1"/>
    <col min="11268" max="11268" width="23.81640625" style="83" customWidth="1"/>
    <col min="11269" max="11269" width="28.26953125" style="83" customWidth="1"/>
    <col min="11270" max="11273" width="27.1796875" style="83" customWidth="1"/>
    <col min="11274" max="11515" width="9.1796875" style="83"/>
    <col min="11516" max="11516" width="35.453125" style="83" customWidth="1"/>
    <col min="11517" max="11517" width="87.1796875" style="83" customWidth="1"/>
    <col min="11518" max="11518" width="9.1796875" style="83"/>
    <col min="11519" max="11520" width="13.81640625" style="83" customWidth="1"/>
    <col min="11521" max="11521" width="17.1796875" style="83" customWidth="1"/>
    <col min="11522" max="11522" width="20.453125" style="83" customWidth="1"/>
    <col min="11523" max="11523" width="21.81640625" style="83" customWidth="1"/>
    <col min="11524" max="11524" width="23.81640625" style="83" customWidth="1"/>
    <col min="11525" max="11525" width="28.26953125" style="83" customWidth="1"/>
    <col min="11526" max="11529" width="27.1796875" style="83" customWidth="1"/>
    <col min="11530" max="11771" width="9.1796875" style="83"/>
    <col min="11772" max="11772" width="35.453125" style="83" customWidth="1"/>
    <col min="11773" max="11773" width="87.1796875" style="83" customWidth="1"/>
    <col min="11774" max="11774" width="9.1796875" style="83"/>
    <col min="11775" max="11776" width="13.81640625" style="83" customWidth="1"/>
    <col min="11777" max="11777" width="17.1796875" style="83" customWidth="1"/>
    <col min="11778" max="11778" width="20.453125" style="83" customWidth="1"/>
    <col min="11779" max="11779" width="21.81640625" style="83" customWidth="1"/>
    <col min="11780" max="11780" width="23.81640625" style="83" customWidth="1"/>
    <col min="11781" max="11781" width="28.26953125" style="83" customWidth="1"/>
    <col min="11782" max="11785" width="27.1796875" style="83" customWidth="1"/>
    <col min="11786" max="12027" width="9.1796875" style="83"/>
    <col min="12028" max="12028" width="35.453125" style="83" customWidth="1"/>
    <col min="12029" max="12029" width="87.1796875" style="83" customWidth="1"/>
    <col min="12030" max="12030" width="9.1796875" style="83"/>
    <col min="12031" max="12032" width="13.81640625" style="83" customWidth="1"/>
    <col min="12033" max="12033" width="17.1796875" style="83" customWidth="1"/>
    <col min="12034" max="12034" width="20.453125" style="83" customWidth="1"/>
    <col min="12035" max="12035" width="21.81640625" style="83" customWidth="1"/>
    <col min="12036" max="12036" width="23.81640625" style="83" customWidth="1"/>
    <col min="12037" max="12037" width="28.26953125" style="83" customWidth="1"/>
    <col min="12038" max="12041" width="27.1796875" style="83" customWidth="1"/>
    <col min="12042" max="12283" width="9.1796875" style="83"/>
    <col min="12284" max="12284" width="35.453125" style="83" customWidth="1"/>
    <col min="12285" max="12285" width="87.1796875" style="83" customWidth="1"/>
    <col min="12286" max="12286" width="9.1796875" style="83"/>
    <col min="12287" max="12288" width="13.81640625" style="83" customWidth="1"/>
    <col min="12289" max="12289" width="17.1796875" style="83" customWidth="1"/>
    <col min="12290" max="12290" width="20.453125" style="83" customWidth="1"/>
    <col min="12291" max="12291" width="21.81640625" style="83" customWidth="1"/>
    <col min="12292" max="12292" width="23.81640625" style="83" customWidth="1"/>
    <col min="12293" max="12293" width="28.26953125" style="83" customWidth="1"/>
    <col min="12294" max="12297" width="27.1796875" style="83" customWidth="1"/>
    <col min="12298" max="12539" width="9.1796875" style="83"/>
    <col min="12540" max="12540" width="35.453125" style="83" customWidth="1"/>
    <col min="12541" max="12541" width="87.1796875" style="83" customWidth="1"/>
    <col min="12542" max="12542" width="9.1796875" style="83"/>
    <col min="12543" max="12544" width="13.81640625" style="83" customWidth="1"/>
    <col min="12545" max="12545" width="17.1796875" style="83" customWidth="1"/>
    <col min="12546" max="12546" width="20.453125" style="83" customWidth="1"/>
    <col min="12547" max="12547" width="21.81640625" style="83" customWidth="1"/>
    <col min="12548" max="12548" width="23.81640625" style="83" customWidth="1"/>
    <col min="12549" max="12549" width="28.26953125" style="83" customWidth="1"/>
    <col min="12550" max="12553" width="27.1796875" style="83" customWidth="1"/>
    <col min="12554" max="12795" width="9.1796875" style="83"/>
    <col min="12796" max="12796" width="35.453125" style="83" customWidth="1"/>
    <col min="12797" max="12797" width="87.1796875" style="83" customWidth="1"/>
    <col min="12798" max="12798" width="9.1796875" style="83"/>
    <col min="12799" max="12800" width="13.81640625" style="83" customWidth="1"/>
    <col min="12801" max="12801" width="17.1796875" style="83" customWidth="1"/>
    <col min="12802" max="12802" width="20.453125" style="83" customWidth="1"/>
    <col min="12803" max="12803" width="21.81640625" style="83" customWidth="1"/>
    <col min="12804" max="12804" width="23.81640625" style="83" customWidth="1"/>
    <col min="12805" max="12805" width="28.26953125" style="83" customWidth="1"/>
    <col min="12806" max="12809" width="27.1796875" style="83" customWidth="1"/>
    <col min="12810" max="13051" width="9.1796875" style="83"/>
    <col min="13052" max="13052" width="35.453125" style="83" customWidth="1"/>
    <col min="13053" max="13053" width="87.1796875" style="83" customWidth="1"/>
    <col min="13054" max="13054" width="9.1796875" style="83"/>
    <col min="13055" max="13056" width="13.81640625" style="83" customWidth="1"/>
    <col min="13057" max="13057" width="17.1796875" style="83" customWidth="1"/>
    <col min="13058" max="13058" width="20.453125" style="83" customWidth="1"/>
    <col min="13059" max="13059" width="21.81640625" style="83" customWidth="1"/>
    <col min="13060" max="13060" width="23.81640625" style="83" customWidth="1"/>
    <col min="13061" max="13061" width="28.26953125" style="83" customWidth="1"/>
    <col min="13062" max="13065" width="27.1796875" style="83" customWidth="1"/>
    <col min="13066" max="13307" width="9.1796875" style="83"/>
    <col min="13308" max="13308" width="35.453125" style="83" customWidth="1"/>
    <col min="13309" max="13309" width="87.1796875" style="83" customWidth="1"/>
    <col min="13310" max="13310" width="9.1796875" style="83"/>
    <col min="13311" max="13312" width="13.81640625" style="83" customWidth="1"/>
    <col min="13313" max="13313" width="17.1796875" style="83" customWidth="1"/>
    <col min="13314" max="13314" width="20.453125" style="83" customWidth="1"/>
    <col min="13315" max="13315" width="21.81640625" style="83" customWidth="1"/>
    <col min="13316" max="13316" width="23.81640625" style="83" customWidth="1"/>
    <col min="13317" max="13317" width="28.26953125" style="83" customWidth="1"/>
    <col min="13318" max="13321" width="27.1796875" style="83" customWidth="1"/>
    <col min="13322" max="13563" width="9.1796875" style="83"/>
    <col min="13564" max="13564" width="35.453125" style="83" customWidth="1"/>
    <col min="13565" max="13565" width="87.1796875" style="83" customWidth="1"/>
    <col min="13566" max="13566" width="9.1796875" style="83"/>
    <col min="13567" max="13568" width="13.81640625" style="83" customWidth="1"/>
    <col min="13569" max="13569" width="17.1796875" style="83" customWidth="1"/>
    <col min="13570" max="13570" width="20.453125" style="83" customWidth="1"/>
    <col min="13571" max="13571" width="21.81640625" style="83" customWidth="1"/>
    <col min="13572" max="13572" width="23.81640625" style="83" customWidth="1"/>
    <col min="13573" max="13573" width="28.26953125" style="83" customWidth="1"/>
    <col min="13574" max="13577" width="27.1796875" style="83" customWidth="1"/>
    <col min="13578" max="13819" width="9.1796875" style="83"/>
    <col min="13820" max="13820" width="35.453125" style="83" customWidth="1"/>
    <col min="13821" max="13821" width="87.1796875" style="83" customWidth="1"/>
    <col min="13822" max="13822" width="9.1796875" style="83"/>
    <col min="13823" max="13824" width="13.81640625" style="83" customWidth="1"/>
    <col min="13825" max="13825" width="17.1796875" style="83" customWidth="1"/>
    <col min="13826" max="13826" width="20.453125" style="83" customWidth="1"/>
    <col min="13827" max="13827" width="21.81640625" style="83" customWidth="1"/>
    <col min="13828" max="13828" width="23.81640625" style="83" customWidth="1"/>
    <col min="13829" max="13829" width="28.26953125" style="83" customWidth="1"/>
    <col min="13830" max="13833" width="27.1796875" style="83" customWidth="1"/>
    <col min="13834" max="14075" width="9.1796875" style="83"/>
    <col min="14076" max="14076" width="35.453125" style="83" customWidth="1"/>
    <col min="14077" max="14077" width="87.1796875" style="83" customWidth="1"/>
    <col min="14078" max="14078" width="9.1796875" style="83"/>
    <col min="14079" max="14080" width="13.81640625" style="83" customWidth="1"/>
    <col min="14081" max="14081" width="17.1796875" style="83" customWidth="1"/>
    <col min="14082" max="14082" width="20.453125" style="83" customWidth="1"/>
    <col min="14083" max="14083" width="21.81640625" style="83" customWidth="1"/>
    <col min="14084" max="14084" width="23.81640625" style="83" customWidth="1"/>
    <col min="14085" max="14085" width="28.26953125" style="83" customWidth="1"/>
    <col min="14086" max="14089" width="27.1796875" style="83" customWidth="1"/>
    <col min="14090" max="14331" width="9.1796875" style="83"/>
    <col min="14332" max="14332" width="35.453125" style="83" customWidth="1"/>
    <col min="14333" max="14333" width="87.1796875" style="83" customWidth="1"/>
    <col min="14334" max="14334" width="9.1796875" style="83"/>
    <col min="14335" max="14336" width="13.81640625" style="83" customWidth="1"/>
    <col min="14337" max="14337" width="17.1796875" style="83" customWidth="1"/>
    <col min="14338" max="14338" width="20.453125" style="83" customWidth="1"/>
    <col min="14339" max="14339" width="21.81640625" style="83" customWidth="1"/>
    <col min="14340" max="14340" width="23.81640625" style="83" customWidth="1"/>
    <col min="14341" max="14341" width="28.26953125" style="83" customWidth="1"/>
    <col min="14342" max="14345" width="27.1796875" style="83" customWidth="1"/>
    <col min="14346" max="14587" width="9.1796875" style="83"/>
    <col min="14588" max="14588" width="35.453125" style="83" customWidth="1"/>
    <col min="14589" max="14589" width="87.1796875" style="83" customWidth="1"/>
    <col min="14590" max="14590" width="9.1796875" style="83"/>
    <col min="14591" max="14592" width="13.81640625" style="83" customWidth="1"/>
    <col min="14593" max="14593" width="17.1796875" style="83" customWidth="1"/>
    <col min="14594" max="14594" width="20.453125" style="83" customWidth="1"/>
    <col min="14595" max="14595" width="21.81640625" style="83" customWidth="1"/>
    <col min="14596" max="14596" width="23.81640625" style="83" customWidth="1"/>
    <col min="14597" max="14597" width="28.26953125" style="83" customWidth="1"/>
    <col min="14598" max="14601" width="27.1796875" style="83" customWidth="1"/>
    <col min="14602" max="14843" width="9.1796875" style="83"/>
    <col min="14844" max="14844" width="35.453125" style="83" customWidth="1"/>
    <col min="14845" max="14845" width="87.1796875" style="83" customWidth="1"/>
    <col min="14846" max="14846" width="9.1796875" style="83"/>
    <col min="14847" max="14848" width="13.81640625" style="83" customWidth="1"/>
    <col min="14849" max="14849" width="17.1796875" style="83" customWidth="1"/>
    <col min="14850" max="14850" width="20.453125" style="83" customWidth="1"/>
    <col min="14851" max="14851" width="21.81640625" style="83" customWidth="1"/>
    <col min="14852" max="14852" width="23.81640625" style="83" customWidth="1"/>
    <col min="14853" max="14853" width="28.26953125" style="83" customWidth="1"/>
    <col min="14854" max="14857" width="27.1796875" style="83" customWidth="1"/>
    <col min="14858" max="15099" width="9.1796875" style="83"/>
    <col min="15100" max="15100" width="35.453125" style="83" customWidth="1"/>
    <col min="15101" max="15101" width="87.1796875" style="83" customWidth="1"/>
    <col min="15102" max="15102" width="9.1796875" style="83"/>
    <col min="15103" max="15104" width="13.81640625" style="83" customWidth="1"/>
    <col min="15105" max="15105" width="17.1796875" style="83" customWidth="1"/>
    <col min="15106" max="15106" width="20.453125" style="83" customWidth="1"/>
    <col min="15107" max="15107" width="21.81640625" style="83" customWidth="1"/>
    <col min="15108" max="15108" width="23.81640625" style="83" customWidth="1"/>
    <col min="15109" max="15109" width="28.26953125" style="83" customWidth="1"/>
    <col min="15110" max="15113" width="27.1796875" style="83" customWidth="1"/>
    <col min="15114" max="15355" width="9.1796875" style="83"/>
    <col min="15356" max="15356" width="35.453125" style="83" customWidth="1"/>
    <col min="15357" max="15357" width="87.1796875" style="83" customWidth="1"/>
    <col min="15358" max="15358" width="9.1796875" style="83"/>
    <col min="15359" max="15360" width="13.81640625" style="83" customWidth="1"/>
    <col min="15361" max="15361" width="17.1796875" style="83" customWidth="1"/>
    <col min="15362" max="15362" width="20.453125" style="83" customWidth="1"/>
    <col min="15363" max="15363" width="21.81640625" style="83" customWidth="1"/>
    <col min="15364" max="15364" width="23.81640625" style="83" customWidth="1"/>
    <col min="15365" max="15365" width="28.26953125" style="83" customWidth="1"/>
    <col min="15366" max="15369" width="27.1796875" style="83" customWidth="1"/>
    <col min="15370" max="15611" width="9.1796875" style="83"/>
    <col min="15612" max="15612" width="35.453125" style="83" customWidth="1"/>
    <col min="15613" max="15613" width="87.1796875" style="83" customWidth="1"/>
    <col min="15614" max="15614" width="9.1796875" style="83"/>
    <col min="15615" max="15616" width="13.81640625" style="83" customWidth="1"/>
    <col min="15617" max="15617" width="17.1796875" style="83" customWidth="1"/>
    <col min="15618" max="15618" width="20.453125" style="83" customWidth="1"/>
    <col min="15619" max="15619" width="21.81640625" style="83" customWidth="1"/>
    <col min="15620" max="15620" width="23.81640625" style="83" customWidth="1"/>
    <col min="15621" max="15621" width="28.26953125" style="83" customWidth="1"/>
    <col min="15622" max="15625" width="27.1796875" style="83" customWidth="1"/>
    <col min="15626" max="15867" width="9.1796875" style="83"/>
    <col min="15868" max="15868" width="35.453125" style="83" customWidth="1"/>
    <col min="15869" max="15869" width="87.1796875" style="83" customWidth="1"/>
    <col min="15870" max="15870" width="9.1796875" style="83"/>
    <col min="15871" max="15872" width="13.81640625" style="83" customWidth="1"/>
    <col min="15873" max="15873" width="17.1796875" style="83" customWidth="1"/>
    <col min="15874" max="15874" width="20.453125" style="83" customWidth="1"/>
    <col min="15875" max="15875" width="21.81640625" style="83" customWidth="1"/>
    <col min="15876" max="15876" width="23.81640625" style="83" customWidth="1"/>
    <col min="15877" max="15877" width="28.26953125" style="83" customWidth="1"/>
    <col min="15878" max="15881" width="27.1796875" style="83" customWidth="1"/>
    <col min="15882" max="16123" width="9.1796875" style="83"/>
    <col min="16124" max="16124" width="35.453125" style="83" customWidth="1"/>
    <col min="16125" max="16125" width="87.1796875" style="83" customWidth="1"/>
    <col min="16126" max="16126" width="9.1796875" style="83"/>
    <col min="16127" max="16128" width="13.81640625" style="83" customWidth="1"/>
    <col min="16129" max="16129" width="17.1796875" style="83" customWidth="1"/>
    <col min="16130" max="16130" width="20.453125" style="83" customWidth="1"/>
    <col min="16131" max="16131" width="21.81640625" style="83" customWidth="1"/>
    <col min="16132" max="16132" width="23.81640625" style="83" customWidth="1"/>
    <col min="16133" max="16133" width="28.26953125" style="83" customWidth="1"/>
    <col min="16134" max="16137" width="27.1796875" style="83" customWidth="1"/>
    <col min="16138" max="16384" width="9.1796875" style="83"/>
  </cols>
  <sheetData>
    <row r="2" spans="1:6" ht="31.5" customHeight="1">
      <c r="A2" s="76" t="s">
        <v>6</v>
      </c>
      <c r="B2" s="76" t="s">
        <v>2</v>
      </c>
      <c r="C2" s="76" t="s">
        <v>7</v>
      </c>
      <c r="D2" s="76" t="s">
        <v>57</v>
      </c>
      <c r="E2" s="76" t="s">
        <v>8</v>
      </c>
      <c r="F2" s="9" t="s">
        <v>9</v>
      </c>
    </row>
    <row r="3" spans="1:6" s="2" customFormat="1" ht="14.5">
      <c r="A3" s="10">
        <v>1.01</v>
      </c>
      <c r="B3" s="79" t="s">
        <v>333</v>
      </c>
      <c r="C3" s="11" t="s">
        <v>55</v>
      </c>
      <c r="D3" s="12">
        <v>87</v>
      </c>
      <c r="E3" s="19">
        <v>650</v>
      </c>
      <c r="F3" s="13">
        <f>E3*D3</f>
        <v>56550</v>
      </c>
    </row>
    <row r="4" spans="1:6" s="2" customFormat="1" ht="72.5">
      <c r="A4" s="11"/>
      <c r="B4" s="14" t="s">
        <v>334</v>
      </c>
      <c r="C4" s="11"/>
      <c r="D4" s="12"/>
      <c r="E4" s="11"/>
      <c r="F4" s="13"/>
    </row>
    <row r="5" spans="1:6">
      <c r="A5" s="84"/>
      <c r="B5" s="91"/>
      <c r="C5" s="88"/>
      <c r="D5" s="87"/>
      <c r="E5" s="87"/>
      <c r="F5" s="89"/>
    </row>
    <row r="6" spans="1:6" s="2" customFormat="1" ht="14.5">
      <c r="A6" s="10">
        <f>A3+0.01</f>
        <v>1.02</v>
      </c>
      <c r="B6" s="79" t="s">
        <v>335</v>
      </c>
      <c r="C6" s="11" t="s">
        <v>55</v>
      </c>
      <c r="D6" s="12">
        <v>21</v>
      </c>
      <c r="E6" s="19">
        <v>1816</v>
      </c>
      <c r="F6" s="13">
        <f>E6*D6</f>
        <v>38136</v>
      </c>
    </row>
    <row r="7" spans="1:6" s="2" customFormat="1" ht="87">
      <c r="A7" s="11"/>
      <c r="B7" s="14" t="s">
        <v>365</v>
      </c>
      <c r="C7" s="11"/>
      <c r="D7" s="12"/>
      <c r="E7" s="11"/>
      <c r="F7" s="13"/>
    </row>
    <row r="8" spans="1:6">
      <c r="A8" s="84"/>
      <c r="B8" s="90"/>
      <c r="C8" s="88"/>
      <c r="D8" s="87"/>
      <c r="E8" s="87"/>
      <c r="F8" s="89"/>
    </row>
    <row r="9" spans="1:6" s="2" customFormat="1" ht="14.5">
      <c r="A9" s="10">
        <f>A6+0.01</f>
        <v>1.03</v>
      </c>
      <c r="B9" s="79" t="s">
        <v>178</v>
      </c>
      <c r="C9" s="11" t="s">
        <v>55</v>
      </c>
      <c r="D9" s="12">
        <v>205</v>
      </c>
      <c r="E9" s="19">
        <v>471</v>
      </c>
      <c r="F9" s="13">
        <f>E9*D9</f>
        <v>96555</v>
      </c>
    </row>
    <row r="10" spans="1:6" s="2" customFormat="1" ht="116">
      <c r="A10" s="11"/>
      <c r="B10" s="14" t="s">
        <v>336</v>
      </c>
      <c r="C10" s="11"/>
      <c r="D10" s="12"/>
      <c r="E10" s="11"/>
      <c r="F10" s="13"/>
    </row>
    <row r="11" spans="1:6">
      <c r="A11" s="84"/>
      <c r="B11" s="90"/>
      <c r="C11" s="86"/>
      <c r="D11" s="87"/>
      <c r="E11" s="87"/>
      <c r="F11" s="89"/>
    </row>
    <row r="12" spans="1:6" s="2" customFormat="1" ht="14.5">
      <c r="A12" s="10">
        <f>A9+0.01</f>
        <v>1.04</v>
      </c>
      <c r="B12" s="79" t="s">
        <v>337</v>
      </c>
      <c r="C12" s="11" t="s">
        <v>10</v>
      </c>
      <c r="D12" s="12">
        <v>133</v>
      </c>
      <c r="E12" s="19">
        <v>1009</v>
      </c>
      <c r="F12" s="13">
        <f>E12*D12</f>
        <v>134197</v>
      </c>
    </row>
    <row r="13" spans="1:6" s="2" customFormat="1" ht="87">
      <c r="A13" s="11"/>
      <c r="B13" s="14" t="s">
        <v>338</v>
      </c>
      <c r="C13" s="11"/>
      <c r="D13" s="12"/>
      <c r="E13" s="11"/>
      <c r="F13" s="13"/>
    </row>
    <row r="14" spans="1:6" s="2" customFormat="1" ht="29">
      <c r="A14" s="11"/>
      <c r="B14" s="14" t="s">
        <v>368</v>
      </c>
      <c r="C14" s="11"/>
      <c r="D14" s="12"/>
      <c r="E14" s="11"/>
      <c r="F14" s="13"/>
    </row>
    <row r="15" spans="1:6" s="2" customFormat="1" ht="14.5">
      <c r="A15" s="11"/>
      <c r="B15" s="14" t="s">
        <v>339</v>
      </c>
      <c r="C15" s="11"/>
      <c r="D15" s="12"/>
      <c r="E15" s="11"/>
      <c r="F15" s="13"/>
    </row>
    <row r="16" spans="1:6" s="2" customFormat="1" ht="29">
      <c r="A16" s="11"/>
      <c r="B16" s="14" t="s">
        <v>340</v>
      </c>
      <c r="C16" s="11"/>
      <c r="D16" s="12"/>
      <c r="E16" s="11"/>
      <c r="F16" s="13"/>
    </row>
    <row r="17" spans="1:6" s="2" customFormat="1" ht="29">
      <c r="A17" s="11"/>
      <c r="B17" s="14" t="s">
        <v>341</v>
      </c>
      <c r="C17" s="11"/>
      <c r="D17" s="12"/>
      <c r="E17" s="11"/>
      <c r="F17" s="13"/>
    </row>
    <row r="18" spans="1:6" s="2" customFormat="1" ht="14.5">
      <c r="A18" s="11"/>
      <c r="B18" s="14" t="s">
        <v>342</v>
      </c>
      <c r="C18" s="11"/>
      <c r="D18" s="12"/>
      <c r="E18" s="11"/>
      <c r="F18" s="13"/>
    </row>
    <row r="19" spans="1:6" s="2" customFormat="1" ht="14.5">
      <c r="A19" s="11"/>
      <c r="B19" s="14" t="s">
        <v>343</v>
      </c>
      <c r="C19" s="11"/>
      <c r="D19" s="12"/>
      <c r="E19" s="11"/>
      <c r="F19" s="13"/>
    </row>
    <row r="20" spans="1:6" s="2" customFormat="1" ht="29">
      <c r="A20" s="11"/>
      <c r="B20" s="14" t="s">
        <v>344</v>
      </c>
      <c r="C20" s="11"/>
      <c r="D20" s="12"/>
      <c r="E20" s="11"/>
      <c r="F20" s="13"/>
    </row>
    <row r="21" spans="1:6" s="2" customFormat="1" ht="29">
      <c r="A21" s="11"/>
      <c r="B21" s="14" t="s">
        <v>345</v>
      </c>
      <c r="C21" s="11"/>
      <c r="D21" s="12"/>
      <c r="E21" s="11"/>
      <c r="F21" s="13"/>
    </row>
    <row r="22" spans="1:6" s="2" customFormat="1" ht="29">
      <c r="A22" s="11"/>
      <c r="B22" s="14" t="s">
        <v>346</v>
      </c>
      <c r="C22" s="11"/>
      <c r="D22" s="12"/>
      <c r="E22" s="11"/>
      <c r="F22" s="13"/>
    </row>
    <row r="23" spans="1:6" s="2" customFormat="1" ht="14.5">
      <c r="A23" s="11"/>
      <c r="B23" s="14" t="s">
        <v>347</v>
      </c>
      <c r="C23" s="11"/>
      <c r="D23" s="12"/>
      <c r="E23" s="11"/>
      <c r="F23" s="13"/>
    </row>
    <row r="24" spans="1:6" s="2" customFormat="1" ht="14.5">
      <c r="A24" s="11"/>
      <c r="B24" s="14" t="s">
        <v>348</v>
      </c>
      <c r="C24" s="11"/>
      <c r="D24" s="12"/>
      <c r="E24" s="11"/>
      <c r="F24" s="13"/>
    </row>
    <row r="25" spans="1:6" s="2" customFormat="1" ht="14.5">
      <c r="A25" s="11"/>
      <c r="B25" s="14" t="s">
        <v>349</v>
      </c>
      <c r="C25" s="11"/>
      <c r="D25" s="12"/>
      <c r="E25" s="11"/>
      <c r="F25" s="13"/>
    </row>
    <row r="26" spans="1:6">
      <c r="A26" s="84"/>
      <c r="B26" s="90"/>
      <c r="C26" s="86"/>
      <c r="D26" s="87"/>
      <c r="E26" s="87"/>
      <c r="F26" s="89"/>
    </row>
    <row r="27" spans="1:6" s="2" customFormat="1" ht="14.5">
      <c r="A27" s="10">
        <f>A12+0.01</f>
        <v>1.05</v>
      </c>
      <c r="B27" s="79" t="s">
        <v>350</v>
      </c>
      <c r="C27" s="11" t="s">
        <v>351</v>
      </c>
      <c r="D27" s="12">
        <v>27</v>
      </c>
      <c r="E27" s="19">
        <v>13889</v>
      </c>
      <c r="F27" s="13">
        <f>E27*D27</f>
        <v>375003</v>
      </c>
    </row>
    <row r="28" spans="1:6" s="2" customFormat="1" ht="58">
      <c r="A28" s="11"/>
      <c r="B28" s="14" t="s">
        <v>352</v>
      </c>
      <c r="C28" s="11"/>
      <c r="D28" s="12"/>
      <c r="E28" s="11"/>
      <c r="F28" s="13"/>
    </row>
    <row r="29" spans="1:6">
      <c r="A29" s="84"/>
      <c r="B29" s="90"/>
      <c r="C29" s="86"/>
      <c r="D29" s="87"/>
      <c r="E29" s="87"/>
      <c r="F29" s="89"/>
    </row>
    <row r="30" spans="1:6" s="2" customFormat="1" ht="14.5">
      <c r="A30" s="10">
        <f>A27+0.01</f>
        <v>1.06</v>
      </c>
      <c r="B30" s="79" t="s">
        <v>353</v>
      </c>
      <c r="C30" s="11" t="s">
        <v>10</v>
      </c>
      <c r="D30" s="12">
        <v>87</v>
      </c>
      <c r="E30" s="19">
        <v>673</v>
      </c>
      <c r="F30" s="13">
        <f>E30*D30</f>
        <v>58551</v>
      </c>
    </row>
    <row r="31" spans="1:6" s="2" customFormat="1" ht="58">
      <c r="A31" s="11"/>
      <c r="B31" s="14" t="s">
        <v>354</v>
      </c>
      <c r="C31" s="11"/>
      <c r="D31" s="12"/>
      <c r="E31" s="11"/>
      <c r="F31" s="13"/>
    </row>
    <row r="32" spans="1:6">
      <c r="A32" s="84"/>
      <c r="B32" s="85"/>
      <c r="C32" s="88"/>
      <c r="D32" s="87"/>
      <c r="E32" s="87"/>
      <c r="F32" s="89"/>
    </row>
    <row r="33" spans="1:6" s="2" customFormat="1" ht="14.5">
      <c r="A33" s="10">
        <f>A30+0.01</f>
        <v>1.07</v>
      </c>
      <c r="B33" s="79" t="s">
        <v>367</v>
      </c>
      <c r="C33" s="11" t="s">
        <v>31</v>
      </c>
      <c r="D33" s="12">
        <v>13</v>
      </c>
      <c r="E33" s="19">
        <v>8659</v>
      </c>
      <c r="F33" s="13">
        <f>E33*D33</f>
        <v>112567</v>
      </c>
    </row>
    <row r="34" spans="1:6" s="2" customFormat="1" ht="58">
      <c r="A34" s="11"/>
      <c r="B34" s="14" t="s">
        <v>305</v>
      </c>
      <c r="C34" s="11"/>
      <c r="D34" s="12"/>
      <c r="E34" s="11"/>
      <c r="F34" s="13"/>
    </row>
    <row r="35" spans="1:6">
      <c r="A35" s="84"/>
      <c r="B35" s="91"/>
      <c r="C35" s="93"/>
      <c r="D35" s="87"/>
      <c r="E35" s="87"/>
      <c r="F35" s="89"/>
    </row>
    <row r="36" spans="1:6" s="2" customFormat="1" ht="14.5">
      <c r="A36" s="10">
        <f>A33+0.01</f>
        <v>1.08</v>
      </c>
      <c r="B36" s="79" t="s">
        <v>1922</v>
      </c>
      <c r="C36" s="11" t="s">
        <v>55</v>
      </c>
      <c r="D36" s="12">
        <v>87</v>
      </c>
      <c r="E36" s="19">
        <v>2099</v>
      </c>
      <c r="F36" s="13">
        <f>E36*D36</f>
        <v>182613</v>
      </c>
    </row>
    <row r="37" spans="1:6" s="2" customFormat="1" ht="58">
      <c r="A37" s="11"/>
      <c r="B37" s="14" t="s">
        <v>355</v>
      </c>
      <c r="C37" s="11"/>
      <c r="D37" s="12"/>
      <c r="E37" s="11"/>
      <c r="F37" s="13"/>
    </row>
    <row r="38" spans="1:6">
      <c r="A38" s="84"/>
      <c r="B38" s="91"/>
      <c r="C38" s="93"/>
      <c r="D38" s="87"/>
      <c r="E38" s="87"/>
      <c r="F38" s="89"/>
    </row>
    <row r="39" spans="1:6" s="952" customFormat="1" ht="14.5">
      <c r="A39" s="10">
        <f>A36+0.01</f>
        <v>1.0900000000000001</v>
      </c>
      <c r="B39" s="79" t="s">
        <v>2216</v>
      </c>
      <c r="C39" s="11" t="s">
        <v>55</v>
      </c>
      <c r="D39" s="953">
        <v>297</v>
      </c>
      <c r="E39" s="19">
        <v>269</v>
      </c>
      <c r="F39" s="13">
        <f>E39*D39</f>
        <v>79893</v>
      </c>
    </row>
    <row r="40" spans="1:6" s="952" customFormat="1" ht="14.5">
      <c r="A40" s="11"/>
      <c r="B40" s="14" t="s">
        <v>2217</v>
      </c>
      <c r="C40" s="11"/>
      <c r="D40" s="12"/>
      <c r="E40" s="11"/>
      <c r="F40" s="13"/>
    </row>
    <row r="41" spans="1:6" s="2" customFormat="1" ht="14.5">
      <c r="A41" s="497"/>
      <c r="B41" s="507"/>
      <c r="C41" s="497"/>
      <c r="D41" s="498"/>
      <c r="E41" s="497"/>
      <c r="F41" s="499"/>
    </row>
    <row r="42" spans="1:6" s="2" customFormat="1" ht="14.5">
      <c r="A42" s="500">
        <f>A36+0.01</f>
        <v>1.0900000000000001</v>
      </c>
      <c r="B42" s="508" t="s">
        <v>1910</v>
      </c>
      <c r="C42" s="497" t="s">
        <v>10</v>
      </c>
      <c r="D42" s="498">
        <v>205</v>
      </c>
      <c r="E42" s="497">
        <v>3567</v>
      </c>
      <c r="F42" s="13">
        <f>E42*D42</f>
        <v>731235</v>
      </c>
    </row>
    <row r="43" spans="1:6">
      <c r="A43" s="94"/>
      <c r="B43" s="95"/>
      <c r="C43" s="96"/>
      <c r="D43" s="87"/>
      <c r="E43" s="87"/>
      <c r="F43" s="89"/>
    </row>
    <row r="44" spans="1:6" s="2" customFormat="1" ht="14.5">
      <c r="A44" s="10">
        <f>A36+0.01</f>
        <v>1.0900000000000001</v>
      </c>
      <c r="B44" s="79" t="s">
        <v>369</v>
      </c>
      <c r="C44" s="11" t="s">
        <v>31</v>
      </c>
      <c r="D44" s="12">
        <v>22</v>
      </c>
      <c r="E44" s="19">
        <v>923</v>
      </c>
      <c r="F44" s="13">
        <f>E44*D44</f>
        <v>20306</v>
      </c>
    </row>
    <row r="45" spans="1:6" s="2" customFormat="1" ht="29">
      <c r="A45" s="11"/>
      <c r="B45" s="14" t="s">
        <v>370</v>
      </c>
      <c r="C45" s="11"/>
      <c r="D45" s="12"/>
      <c r="E45" s="11"/>
      <c r="F45" s="13"/>
    </row>
    <row r="46" spans="1:6">
      <c r="A46" s="94"/>
      <c r="B46" s="95"/>
      <c r="C46" s="96"/>
      <c r="D46" s="87"/>
      <c r="E46" s="87"/>
      <c r="F46" s="89"/>
    </row>
    <row r="47" spans="1:6" s="2" customFormat="1" ht="14.5">
      <c r="A47" s="81">
        <f>A44+0.01</f>
        <v>1.1000000000000001</v>
      </c>
      <c r="B47" s="79" t="s">
        <v>371</v>
      </c>
      <c r="C47" s="11" t="s">
        <v>31</v>
      </c>
      <c r="D47" s="12">
        <v>24</v>
      </c>
      <c r="E47" s="19">
        <v>1845</v>
      </c>
      <c r="F47" s="13">
        <f>E47*D47</f>
        <v>44280</v>
      </c>
    </row>
    <row r="48" spans="1:6" s="2" customFormat="1" ht="29">
      <c r="A48" s="11"/>
      <c r="B48" s="14" t="s">
        <v>370</v>
      </c>
      <c r="C48" s="11"/>
      <c r="D48" s="12"/>
      <c r="E48" s="11"/>
      <c r="F48" s="13"/>
    </row>
    <row r="49" spans="1:6" s="2" customFormat="1" ht="14.5">
      <c r="A49" s="490"/>
      <c r="B49" s="491"/>
      <c r="C49" s="490"/>
      <c r="D49" s="492"/>
      <c r="E49" s="490"/>
      <c r="F49" s="493"/>
    </row>
    <row r="50" spans="1:6" s="2" customFormat="1" ht="14.5">
      <c r="A50" s="81">
        <f>A47+0.01</f>
        <v>1.1100000000000001</v>
      </c>
      <c r="B50" s="79" t="s">
        <v>1161</v>
      </c>
      <c r="C50" s="11" t="s">
        <v>10</v>
      </c>
      <c r="D50" s="492"/>
      <c r="E50" s="19">
        <v>6391</v>
      </c>
      <c r="F50" s="13">
        <f>E50*D50</f>
        <v>0</v>
      </c>
    </row>
    <row r="51" spans="1:6" s="2" customFormat="1" ht="29">
      <c r="A51" s="11"/>
      <c r="B51" s="14" t="s">
        <v>1162</v>
      </c>
      <c r="C51" s="11"/>
      <c r="D51" s="12"/>
      <c r="E51" s="11"/>
      <c r="F51" s="13"/>
    </row>
    <row r="52" spans="1:6" s="2" customFormat="1" ht="14.5">
      <c r="A52" s="490"/>
      <c r="B52" s="491"/>
      <c r="C52" s="490"/>
      <c r="D52" s="492"/>
      <c r="E52" s="490"/>
      <c r="F52" s="493"/>
    </row>
    <row r="53" spans="1:6" s="2" customFormat="1" ht="14.5">
      <c r="A53" s="81">
        <f>A50+0.01</f>
        <v>1.1200000000000001</v>
      </c>
      <c r="B53" s="79" t="s">
        <v>1163</v>
      </c>
      <c r="C53" s="11" t="s">
        <v>31</v>
      </c>
      <c r="D53" s="494">
        <v>80</v>
      </c>
      <c r="E53" s="19">
        <v>923</v>
      </c>
      <c r="F53" s="13">
        <f>E53*D53</f>
        <v>73840</v>
      </c>
    </row>
    <row r="54" spans="1:6" s="2" customFormat="1" ht="29">
      <c r="A54" s="11"/>
      <c r="B54" s="14" t="s">
        <v>1164</v>
      </c>
      <c r="C54" s="11"/>
      <c r="D54" s="12"/>
      <c r="E54" s="11"/>
      <c r="F54" s="13"/>
    </row>
    <row r="55" spans="1:6">
      <c r="A55" s="94"/>
      <c r="B55" s="95"/>
      <c r="C55" s="96"/>
      <c r="D55" s="87"/>
      <c r="E55" s="87"/>
      <c r="F55" s="89"/>
    </row>
    <row r="56" spans="1:6" s="2" customFormat="1" ht="14.5">
      <c r="A56" s="10">
        <f>A47+0.01</f>
        <v>1.1100000000000001</v>
      </c>
      <c r="B56" s="79" t="s">
        <v>372</v>
      </c>
      <c r="C56" s="11" t="s">
        <v>31</v>
      </c>
      <c r="D56" s="12">
        <v>117</v>
      </c>
      <c r="E56" s="19">
        <v>3071</v>
      </c>
      <c r="F56" s="13">
        <f>E56*D56</f>
        <v>359307</v>
      </c>
    </row>
    <row r="57" spans="1:6" s="2" customFormat="1" ht="87">
      <c r="A57" s="11"/>
      <c r="B57" s="14" t="s">
        <v>373</v>
      </c>
      <c r="C57" s="11"/>
      <c r="D57" s="12"/>
      <c r="E57" s="11"/>
      <c r="F57" s="13"/>
    </row>
    <row r="58" spans="1:6">
      <c r="A58" s="94"/>
      <c r="B58" s="95"/>
      <c r="C58" s="96"/>
      <c r="D58" s="87"/>
      <c r="E58" s="87"/>
      <c r="F58" s="89"/>
    </row>
    <row r="59" spans="1:6" s="2" customFormat="1" ht="14.5">
      <c r="A59" s="10">
        <f>A56+0.01</f>
        <v>1.1200000000000001</v>
      </c>
      <c r="B59" s="10" t="s">
        <v>2060</v>
      </c>
      <c r="C59" s="11" t="s">
        <v>10</v>
      </c>
      <c r="D59" s="12">
        <v>23</v>
      </c>
      <c r="E59" s="19">
        <v>1615</v>
      </c>
      <c r="F59" s="13">
        <f>E59*D59</f>
        <v>37145</v>
      </c>
    </row>
    <row r="60" spans="1:6" s="2" customFormat="1" ht="87">
      <c r="A60" s="11"/>
      <c r="B60" s="14" t="s">
        <v>2061</v>
      </c>
      <c r="C60" s="11"/>
      <c r="D60" s="12"/>
      <c r="E60" s="11"/>
      <c r="F60" s="13"/>
    </row>
    <row r="61" spans="1:6" s="2" customFormat="1" ht="87">
      <c r="A61" s="11"/>
      <c r="B61" s="14" t="s">
        <v>39</v>
      </c>
      <c r="C61" s="11"/>
      <c r="D61" s="12"/>
      <c r="E61" s="11"/>
      <c r="F61" s="13"/>
    </row>
    <row r="62" spans="1:6" s="2" customFormat="1" ht="14.5">
      <c r="A62" s="11"/>
      <c r="B62" s="14"/>
      <c r="C62" s="11"/>
      <c r="D62" s="12"/>
      <c r="E62" s="11"/>
      <c r="F62" s="13"/>
    </row>
    <row r="63" spans="1:6" s="2" customFormat="1" ht="14.5">
      <c r="A63" s="10">
        <f>A59+0.01</f>
        <v>1.1300000000000001</v>
      </c>
      <c r="B63" s="508" t="str">
        <f>'[6]BOQ-C&amp;I'!B417</f>
        <v>PELMET</v>
      </c>
      <c r="C63" s="11" t="s">
        <v>31</v>
      </c>
      <c r="D63" s="12">
        <v>66</v>
      </c>
      <c r="E63" s="11">
        <v>1435</v>
      </c>
      <c r="F63" s="13">
        <f>E63*D63</f>
        <v>94710</v>
      </c>
    </row>
    <row r="64" spans="1:6" s="2" customFormat="1" ht="72.5">
      <c r="A64" s="10"/>
      <c r="B64" s="507" t="str">
        <f>'[6]BOQ-C&amp;I'!B418</f>
        <v>Providing and fixing pelmets made of 18mm Pre laminated ply of size 150x150mm wide along windows and glazed area and with  necessary wood support, and also to mount the Blinds and Pull Down screens. The edges on the glazing side has to finished with enamel paint / Edge banding .  Vertical support Ply to be anchored to the structural beam. Fixing detail may vary as per site conditions. Rate to be inclusive of the same. Make of Ply- Archid ply, Green ply, Century</v>
      </c>
      <c r="C64" s="11"/>
      <c r="D64" s="12"/>
      <c r="E64" s="11"/>
      <c r="F64" s="13"/>
    </row>
    <row r="65" spans="1:6" s="2" customFormat="1" ht="14.5">
      <c r="A65" s="10"/>
      <c r="B65" s="79"/>
      <c r="C65" s="11"/>
      <c r="D65" s="12"/>
      <c r="E65" s="11"/>
      <c r="F65" s="13"/>
    </row>
    <row r="66" spans="1:6">
      <c r="A66" s="110"/>
      <c r="B66" s="111"/>
      <c r="C66" s="112"/>
      <c r="D66" s="113"/>
      <c r="E66" s="87"/>
      <c r="F66" s="89"/>
    </row>
    <row r="67" spans="1:6" s="2" customFormat="1" ht="14.5">
      <c r="A67" s="10">
        <f>A56+0.01</f>
        <v>1.1200000000000001</v>
      </c>
      <c r="B67" s="79" t="s">
        <v>356</v>
      </c>
      <c r="C67" s="11" t="s">
        <v>10</v>
      </c>
      <c r="D67" s="12">
        <v>27</v>
      </c>
      <c r="E67" s="19">
        <v>6660</v>
      </c>
      <c r="F67" s="13">
        <f>E67*D67</f>
        <v>179820</v>
      </c>
    </row>
    <row r="68" spans="1:6" s="2" customFormat="1" ht="43.5">
      <c r="A68" s="11"/>
      <c r="B68" s="14" t="s">
        <v>357</v>
      </c>
      <c r="C68" s="11"/>
      <c r="D68" s="12"/>
      <c r="E68" s="11"/>
      <c r="F68" s="13"/>
    </row>
    <row r="69" spans="1:6" s="2" customFormat="1" ht="14.5">
      <c r="A69" s="11"/>
      <c r="B69" s="14" t="s">
        <v>358</v>
      </c>
      <c r="C69" s="11"/>
      <c r="D69" s="12"/>
      <c r="E69" s="11"/>
      <c r="F69" s="13"/>
    </row>
    <row r="70" spans="1:6">
      <c r="A70" s="103"/>
      <c r="B70" s="100"/>
      <c r="C70" s="104"/>
      <c r="D70" s="87"/>
      <c r="E70" s="87"/>
      <c r="F70" s="89"/>
    </row>
    <row r="71" spans="1:6" s="2" customFormat="1" ht="14.5">
      <c r="A71" s="10">
        <f>A67+0.01</f>
        <v>1.1300000000000001</v>
      </c>
      <c r="B71" s="79" t="s">
        <v>166</v>
      </c>
      <c r="C71" s="11"/>
      <c r="D71" s="12"/>
      <c r="E71" s="19"/>
      <c r="F71" s="13"/>
    </row>
    <row r="72" spans="1:6" s="2" customFormat="1" ht="14.5">
      <c r="A72" s="10"/>
      <c r="B72" s="79" t="s">
        <v>60</v>
      </c>
      <c r="C72" s="11" t="s">
        <v>16</v>
      </c>
      <c r="D72" s="12">
        <v>5</v>
      </c>
      <c r="E72" s="19">
        <v>47500</v>
      </c>
      <c r="F72" s="13">
        <f>E72*D72</f>
        <v>237500</v>
      </c>
    </row>
    <row r="73" spans="1:6" s="2" customFormat="1" ht="14.5">
      <c r="A73" s="500"/>
      <c r="B73" s="79" t="s">
        <v>1911</v>
      </c>
      <c r="C73" s="11" t="s">
        <v>16</v>
      </c>
      <c r="D73" s="12">
        <v>2</v>
      </c>
      <c r="E73" s="19">
        <v>47500</v>
      </c>
      <c r="F73" s="13">
        <f>E73*D73</f>
        <v>95000</v>
      </c>
    </row>
    <row r="74" spans="1:6" s="2" customFormat="1" ht="29">
      <c r="A74" s="11"/>
      <c r="B74" s="14" t="s">
        <v>168</v>
      </c>
      <c r="C74" s="11"/>
      <c r="D74" s="12"/>
      <c r="E74" s="11"/>
      <c r="F74" s="13"/>
    </row>
    <row r="75" spans="1:6">
      <c r="A75" s="105"/>
      <c r="B75" s="97"/>
      <c r="C75" s="102"/>
      <c r="D75" s="87"/>
      <c r="E75" s="87"/>
      <c r="F75" s="89"/>
    </row>
    <row r="76" spans="1:6" s="2" customFormat="1" ht="14.5">
      <c r="A76" s="10">
        <f>A71+0.01</f>
        <v>1.1400000000000001</v>
      </c>
      <c r="B76" s="79" t="s">
        <v>359</v>
      </c>
      <c r="C76" s="11" t="s">
        <v>360</v>
      </c>
      <c r="D76" s="12">
        <v>15</v>
      </c>
      <c r="E76" s="19">
        <v>42500</v>
      </c>
      <c r="F76" s="13">
        <f>E76*D76</f>
        <v>637500</v>
      </c>
    </row>
    <row r="77" spans="1:6">
      <c r="A77" s="98"/>
      <c r="B77" s="101"/>
      <c r="C77" s="99"/>
      <c r="D77" s="89"/>
      <c r="E77" s="92"/>
      <c r="F77" s="106"/>
    </row>
    <row r="78" spans="1:6" s="2" customFormat="1" ht="14.5">
      <c r="A78" s="10">
        <f>A76+0.01</f>
        <v>1.1500000000000001</v>
      </c>
      <c r="B78" s="79" t="s">
        <v>361</v>
      </c>
      <c r="C78" s="11" t="s">
        <v>16</v>
      </c>
      <c r="D78" s="12">
        <v>6</v>
      </c>
      <c r="E78" s="19">
        <v>6875</v>
      </c>
      <c r="F78" s="13">
        <f>E78*D78</f>
        <v>41250</v>
      </c>
    </row>
    <row r="79" spans="1:6">
      <c r="A79" s="98"/>
      <c r="B79" s="101"/>
      <c r="C79" s="99"/>
      <c r="D79" s="89"/>
      <c r="E79" s="92"/>
      <c r="F79" s="106"/>
    </row>
    <row r="80" spans="1:6" s="952" customFormat="1" ht="14.5">
      <c r="A80" s="10">
        <f>A78+0.01</f>
        <v>1.1600000000000001</v>
      </c>
      <c r="B80" s="79" t="s">
        <v>2219</v>
      </c>
      <c r="C80" s="11" t="s">
        <v>16</v>
      </c>
      <c r="D80" s="12">
        <v>48</v>
      </c>
      <c r="E80" s="19">
        <v>3750</v>
      </c>
      <c r="F80" s="13">
        <f>E80*D80</f>
        <v>180000</v>
      </c>
    </row>
    <row r="81" spans="1:6">
      <c r="A81" s="84"/>
      <c r="B81" s="85"/>
      <c r="C81" s="88"/>
      <c r="D81" s="87"/>
      <c r="E81" s="87"/>
      <c r="F81" s="87"/>
    </row>
    <row r="82" spans="1:6">
      <c r="A82" s="22"/>
      <c r="B82" s="22" t="s">
        <v>170</v>
      </c>
      <c r="C82" s="22"/>
      <c r="D82" s="22"/>
      <c r="E82" s="22"/>
      <c r="F82" s="23">
        <f>SUM(F3:F81)</f>
        <v>3865958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4EB90-9FD7-4104-8530-D85C128AB255}">
  <dimension ref="A1:G9"/>
  <sheetViews>
    <sheetView zoomScale="70" zoomScaleNormal="70" workbookViewId="0">
      <selection activeCell="D5" sqref="D5"/>
    </sheetView>
  </sheetViews>
  <sheetFormatPr defaultRowHeight="14.5"/>
  <cols>
    <col min="1" max="1" width="11.1796875" style="949" bestFit="1" customWidth="1"/>
    <col min="2" max="2" width="76" style="949" customWidth="1"/>
    <col min="3" max="3" width="26.54296875" style="949" customWidth="1"/>
    <col min="4" max="4" width="9.1796875" style="949"/>
    <col min="5" max="5" width="10" style="949" customWidth="1"/>
    <col min="6" max="6" width="12" style="949" customWidth="1"/>
    <col min="7" max="7" width="19" style="949" customWidth="1"/>
    <col min="8" max="16384" width="8.7265625" style="949"/>
  </cols>
  <sheetData>
    <row r="1" spans="1:7">
      <c r="A1" s="1459" t="s">
        <v>2220</v>
      </c>
      <c r="B1" s="1459"/>
      <c r="C1" s="1459"/>
      <c r="D1" s="1459"/>
      <c r="E1" s="1459"/>
      <c r="F1" s="1459"/>
      <c r="G1" s="1459"/>
    </row>
    <row r="2" spans="1:7">
      <c r="A2" s="6"/>
      <c r="B2" s="6"/>
      <c r="C2" s="6"/>
      <c r="D2" s="937"/>
      <c r="E2" s="6"/>
      <c r="F2" s="6"/>
      <c r="G2" s="8"/>
    </row>
    <row r="3" spans="1:7">
      <c r="A3" s="937" t="s">
        <v>6</v>
      </c>
      <c r="B3" s="937" t="s">
        <v>2</v>
      </c>
      <c r="C3" s="937" t="s">
        <v>2221</v>
      </c>
      <c r="D3" s="937" t="s">
        <v>7</v>
      </c>
      <c r="E3" s="937" t="s">
        <v>57</v>
      </c>
      <c r="F3" s="937" t="s">
        <v>8</v>
      </c>
      <c r="G3" s="9" t="s">
        <v>9</v>
      </c>
    </row>
    <row r="4" spans="1:7" ht="129" customHeight="1">
      <c r="A4" s="950">
        <v>1</v>
      </c>
      <c r="B4" s="950" t="s">
        <v>2222</v>
      </c>
      <c r="C4" s="950"/>
      <c r="D4" s="950" t="s">
        <v>16</v>
      </c>
      <c r="E4" s="950">
        <v>2</v>
      </c>
      <c r="F4" s="950">
        <v>56250</v>
      </c>
      <c r="G4" s="911">
        <f>F4*E4</f>
        <v>112500</v>
      </c>
    </row>
    <row r="5" spans="1:7" ht="124.5" customHeight="1">
      <c r="A5" s="950">
        <v>2</v>
      </c>
      <c r="B5" s="950" t="s">
        <v>2223</v>
      </c>
      <c r="C5" s="950"/>
      <c r="D5" s="950" t="s">
        <v>10</v>
      </c>
      <c r="E5" s="950">
        <v>13</v>
      </c>
      <c r="F5" s="950">
        <v>18750</v>
      </c>
      <c r="G5" s="911">
        <f t="shared" ref="G5:G7" si="0">F5*E5</f>
        <v>243750</v>
      </c>
    </row>
    <row r="6" spans="1:7" ht="124.5" customHeight="1">
      <c r="A6" s="950"/>
      <c r="B6" s="950" t="s">
        <v>2540</v>
      </c>
      <c r="C6" s="950"/>
      <c r="D6" s="950" t="s">
        <v>10</v>
      </c>
      <c r="E6" s="950">
        <v>3</v>
      </c>
      <c r="F6" s="950">
        <v>31250</v>
      </c>
      <c r="G6" s="911">
        <f t="shared" si="0"/>
        <v>93750</v>
      </c>
    </row>
    <row r="7" spans="1:7" ht="95" customHeight="1">
      <c r="A7" s="950">
        <v>3</v>
      </c>
      <c r="B7" s="950" t="s">
        <v>2224</v>
      </c>
      <c r="C7" s="950"/>
      <c r="D7" s="950" t="s">
        <v>16</v>
      </c>
      <c r="E7" s="950">
        <v>0</v>
      </c>
      <c r="F7" s="950">
        <v>31250</v>
      </c>
      <c r="G7" s="911">
        <f t="shared" si="0"/>
        <v>0</v>
      </c>
    </row>
    <row r="8" spans="1:7">
      <c r="A8" s="950"/>
      <c r="B8" s="950"/>
      <c r="C8" s="950"/>
      <c r="D8" s="950"/>
      <c r="E8" s="950"/>
      <c r="F8" s="950"/>
      <c r="G8" s="950"/>
    </row>
    <row r="9" spans="1:7" s="83" customFormat="1" ht="16.5">
      <c r="A9" s="954"/>
      <c r="B9" s="954" t="s">
        <v>170</v>
      </c>
      <c r="C9" s="954"/>
      <c r="D9" s="954"/>
      <c r="E9" s="954"/>
      <c r="F9" s="955"/>
      <c r="G9" s="955">
        <f>SUM(G4:G8)</f>
        <v>450000</v>
      </c>
    </row>
  </sheetData>
  <mergeCells count="1">
    <mergeCell ref="A1:G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C8E61-4415-4350-AD16-C358661F2D08}">
  <dimension ref="A1:F47"/>
  <sheetViews>
    <sheetView view="pageBreakPreview" zoomScale="50" zoomScaleNormal="100" zoomScaleSheetLayoutView="50" workbookViewId="0">
      <selection activeCell="F8" sqref="F8"/>
    </sheetView>
  </sheetViews>
  <sheetFormatPr defaultColWidth="8.90625" defaultRowHeight="23.5"/>
  <cols>
    <col min="1" max="1" width="6.36328125" style="135" bestFit="1" customWidth="1"/>
    <col min="2" max="2" width="61.453125" style="135" customWidth="1"/>
    <col min="3" max="3" width="25.54296875" style="142" customWidth="1"/>
    <col min="4" max="4" width="22.6328125" style="142" customWidth="1"/>
    <col min="5" max="5" width="34.08984375" style="135" customWidth="1"/>
    <col min="6" max="6" width="65.1796875" style="135" customWidth="1"/>
    <col min="7" max="7" width="8.90625" style="135"/>
    <col min="8" max="8" width="13" style="135" bestFit="1" customWidth="1"/>
    <col min="9" max="16384" width="8.90625" style="135"/>
  </cols>
  <sheetData>
    <row r="1" spans="1:6" s="118" customFormat="1" ht="24.65" customHeight="1">
      <c r="A1" s="114" t="s">
        <v>1426</v>
      </c>
      <c r="B1" s="115"/>
      <c r="C1" s="116"/>
      <c r="D1" s="116"/>
      <c r="E1" s="116"/>
      <c r="F1" s="117"/>
    </row>
    <row r="2" spans="1:6" s="118" customFormat="1" ht="24.65" customHeight="1">
      <c r="A2" s="119" t="s">
        <v>418</v>
      </c>
      <c r="B2" s="529"/>
      <c r="C2" s="530"/>
      <c r="D2" s="530"/>
      <c r="E2" s="531" t="s">
        <v>419</v>
      </c>
      <c r="F2" s="531" t="s">
        <v>1427</v>
      </c>
    </row>
    <row r="3" spans="1:6" s="118" customFormat="1" ht="24.65" customHeight="1" thickBot="1">
      <c r="A3" s="120" t="s">
        <v>420</v>
      </c>
      <c r="B3" s="121"/>
      <c r="C3" s="122"/>
      <c r="D3" s="122"/>
      <c r="E3" s="123">
        <v>0</v>
      </c>
      <c r="F3" s="123" t="s">
        <v>421</v>
      </c>
    </row>
    <row r="4" spans="1:6" s="124" customFormat="1" ht="25.25" customHeight="1" thickBot="1">
      <c r="A4" s="932" t="s">
        <v>422</v>
      </c>
      <c r="B4" s="933"/>
      <c r="C4" s="933"/>
      <c r="D4" s="933"/>
      <c r="E4" s="933"/>
      <c r="F4" s="934"/>
    </row>
    <row r="5" spans="1:6" s="124" customFormat="1" ht="21.65" customHeight="1">
      <c r="A5" s="1469" t="s">
        <v>423</v>
      </c>
      <c r="B5" s="1467" t="s">
        <v>424</v>
      </c>
      <c r="C5" s="1465" t="s">
        <v>425</v>
      </c>
      <c r="D5" s="1467" t="s">
        <v>426</v>
      </c>
      <c r="E5" s="1467" t="s">
        <v>427</v>
      </c>
      <c r="F5" s="1471" t="s">
        <v>428</v>
      </c>
    </row>
    <row r="6" spans="1:6" s="124" customFormat="1" ht="24.65" customHeight="1">
      <c r="A6" s="1470"/>
      <c r="B6" s="1468"/>
      <c r="C6" s="1466"/>
      <c r="D6" s="1468"/>
      <c r="E6" s="1468"/>
      <c r="F6" s="1472"/>
    </row>
    <row r="7" spans="1:6" s="537" customFormat="1" ht="25" customHeight="1">
      <c r="A7" s="532" t="s">
        <v>406</v>
      </c>
      <c r="B7" s="533" t="s">
        <v>429</v>
      </c>
      <c r="C7" s="534"/>
      <c r="D7" s="534"/>
      <c r="E7" s="535"/>
      <c r="F7" s="536"/>
    </row>
    <row r="8" spans="1:6" s="124" customFormat="1" ht="25" customHeight="1">
      <c r="A8" s="126">
        <v>1</v>
      </c>
      <c r="B8" s="538" t="s">
        <v>430</v>
      </c>
      <c r="C8" s="1416">
        <f>'Internal Electrical Works '!G74</f>
        <v>153326</v>
      </c>
      <c r="D8" s="1416">
        <f>'Internal Electrical Works '!H74</f>
        <v>9250</v>
      </c>
      <c r="E8" s="539">
        <f>C8+D8</f>
        <v>162576</v>
      </c>
      <c r="F8" s="1610"/>
    </row>
    <row r="9" spans="1:6" s="124" customFormat="1" ht="25" customHeight="1">
      <c r="A9" s="126">
        <v>2</v>
      </c>
      <c r="B9" s="538" t="s">
        <v>431</v>
      </c>
      <c r="C9" s="1416">
        <f>'Internal Electrical Works '!G214</f>
        <v>501239</v>
      </c>
      <c r="D9" s="1416">
        <f>'Internal Electrical Works '!H214</f>
        <v>29888</v>
      </c>
      <c r="E9" s="539">
        <f t="shared" ref="E9:E18" si="0">C9+D9</f>
        <v>531127</v>
      </c>
      <c r="F9" s="127"/>
    </row>
    <row r="10" spans="1:6" s="124" customFormat="1" ht="25" customHeight="1">
      <c r="A10" s="126">
        <v>3</v>
      </c>
      <c r="B10" s="538" t="s">
        <v>432</v>
      </c>
      <c r="C10" s="1416">
        <f>'Internal Electrical Works '!G301</f>
        <v>709420</v>
      </c>
      <c r="D10" s="1416">
        <f>'Internal Electrical Works '!H301</f>
        <v>56834</v>
      </c>
      <c r="E10" s="539">
        <f t="shared" si="0"/>
        <v>766254</v>
      </c>
      <c r="F10" s="127"/>
    </row>
    <row r="11" spans="1:6" s="124" customFormat="1" ht="25" customHeight="1">
      <c r="A11" s="126">
        <v>4</v>
      </c>
      <c r="B11" s="538" t="s">
        <v>433</v>
      </c>
      <c r="C11" s="1416">
        <f>'Internal Electrical Works '!G348</f>
        <v>1623704</v>
      </c>
      <c r="D11" s="1416">
        <f>'Internal Electrical Works '!H348</f>
        <v>207997</v>
      </c>
      <c r="E11" s="539">
        <f t="shared" si="0"/>
        <v>1831701</v>
      </c>
      <c r="F11" s="127"/>
    </row>
    <row r="12" spans="1:6" s="124" customFormat="1" ht="25" customHeight="1">
      <c r="A12" s="126">
        <v>5</v>
      </c>
      <c r="B12" s="538" t="s">
        <v>434</v>
      </c>
      <c r="C12" s="1416">
        <f>'Internal Electrical Works '!G366</f>
        <v>4533550</v>
      </c>
      <c r="D12" s="1416">
        <f>'Internal Electrical Works '!H366</f>
        <v>837350</v>
      </c>
      <c r="E12" s="539">
        <f t="shared" si="0"/>
        <v>5370900</v>
      </c>
      <c r="F12" s="127"/>
    </row>
    <row r="13" spans="1:6" s="124" customFormat="1" ht="25" customHeight="1">
      <c r="A13" s="126">
        <v>6</v>
      </c>
      <c r="B13" s="538" t="s">
        <v>435</v>
      </c>
      <c r="C13" s="1416">
        <f>'Internal Electrical Works '!G378</f>
        <v>1387710</v>
      </c>
      <c r="D13" s="1416">
        <f>'Internal Electrical Works '!H378</f>
        <v>541090</v>
      </c>
      <c r="E13" s="539">
        <f t="shared" si="0"/>
        <v>1928800</v>
      </c>
      <c r="F13" s="127"/>
    </row>
    <row r="14" spans="1:6" s="124" customFormat="1" ht="25" customHeight="1">
      <c r="A14" s="126">
        <v>7</v>
      </c>
      <c r="B14" s="538" t="s">
        <v>436</v>
      </c>
      <c r="C14" s="1416">
        <f>'Internal Electrical Works '!G439</f>
        <v>1577253</v>
      </c>
      <c r="D14" s="1416">
        <f>'Internal Electrical Works '!H439</f>
        <v>304831</v>
      </c>
      <c r="E14" s="539">
        <f t="shared" si="0"/>
        <v>1882084</v>
      </c>
      <c r="F14" s="127"/>
    </row>
    <row r="15" spans="1:6" s="124" customFormat="1" ht="25" customHeight="1">
      <c r="A15" s="126">
        <v>8</v>
      </c>
      <c r="B15" s="538" t="s">
        <v>437</v>
      </c>
      <c r="C15" s="1416">
        <f>'Internal Electrical Works '!G469</f>
        <v>226001</v>
      </c>
      <c r="D15" s="1416">
        <f>'Internal Electrical Works '!H469</f>
        <v>52827</v>
      </c>
      <c r="E15" s="539">
        <f t="shared" si="0"/>
        <v>278828</v>
      </c>
      <c r="F15" s="127"/>
    </row>
    <row r="16" spans="1:6" s="124" customFormat="1" ht="25" customHeight="1">
      <c r="A16" s="126">
        <v>9</v>
      </c>
      <c r="B16" s="538" t="s">
        <v>438</v>
      </c>
      <c r="C16" s="1416">
        <f>'Internal Electrical Works '!G492</f>
        <v>149700</v>
      </c>
      <c r="D16" s="1416">
        <f>'Internal Electrical Works '!H492</f>
        <v>93900</v>
      </c>
      <c r="E16" s="539">
        <f t="shared" si="0"/>
        <v>243600</v>
      </c>
      <c r="F16" s="127"/>
    </row>
    <row r="17" spans="1:6" s="124" customFormat="1" ht="25" customHeight="1">
      <c r="A17" s="126">
        <v>10</v>
      </c>
      <c r="B17" s="538" t="s">
        <v>439</v>
      </c>
      <c r="C17" s="1416">
        <f>'Internal Electrical Works '!G499</f>
        <v>10350</v>
      </c>
      <c r="D17" s="1416">
        <f>'Internal Electrical Works '!H499</f>
        <v>5100</v>
      </c>
      <c r="E17" s="539">
        <f t="shared" si="0"/>
        <v>15450</v>
      </c>
      <c r="F17" s="125"/>
    </row>
    <row r="18" spans="1:6" s="124" customFormat="1" ht="25" customHeight="1">
      <c r="A18" s="126">
        <v>11</v>
      </c>
      <c r="B18" s="538" t="s">
        <v>440</v>
      </c>
      <c r="C18" s="1416">
        <f>'Internal Electrical Works '!G515</f>
        <v>53125</v>
      </c>
      <c r="D18" s="1416">
        <f>'Internal Electrical Works '!H515</f>
        <v>230625</v>
      </c>
      <c r="E18" s="539">
        <f t="shared" si="0"/>
        <v>283750</v>
      </c>
      <c r="F18" s="125"/>
    </row>
    <row r="19" spans="1:6" s="124" customFormat="1" ht="25" customHeight="1">
      <c r="A19" s="126"/>
      <c r="B19" s="538"/>
      <c r="C19" s="1416"/>
      <c r="D19" s="1416"/>
      <c r="E19" s="539"/>
      <c r="F19" s="125"/>
    </row>
    <row r="20" spans="1:6" s="124" customFormat="1" ht="25" customHeight="1">
      <c r="A20" s="126"/>
      <c r="B20" s="538"/>
      <c r="C20" s="1416">
        <f>SUM(C3:C18)</f>
        <v>10925378</v>
      </c>
      <c r="D20" s="1416">
        <f>SUM(D3:D18)</f>
        <v>2369692</v>
      </c>
      <c r="E20" s="539">
        <f>SUM(E8:E19)</f>
        <v>13295070</v>
      </c>
      <c r="F20" s="125"/>
    </row>
    <row r="21" spans="1:6" s="124" customFormat="1" ht="25" customHeight="1">
      <c r="A21" s="126"/>
      <c r="B21" s="538"/>
      <c r="C21" s="1416"/>
      <c r="D21" s="1416"/>
      <c r="E21" s="539"/>
      <c r="F21" s="129"/>
    </row>
    <row r="22" spans="1:6" s="130" customFormat="1" ht="25" customHeight="1">
      <c r="A22" s="540" t="s">
        <v>407</v>
      </c>
      <c r="B22" s="541" t="s">
        <v>441</v>
      </c>
      <c r="C22" s="1417">
        <f>1200*3500</f>
        <v>4200000</v>
      </c>
      <c r="D22" s="1417">
        <v>500000</v>
      </c>
      <c r="E22" s="543">
        <f>D22+C22</f>
        <v>4700000</v>
      </c>
      <c r="F22" s="1610"/>
    </row>
    <row r="23" spans="1:6" s="130" customFormat="1" ht="25" customHeight="1">
      <c r="A23" s="540"/>
      <c r="B23" s="541"/>
      <c r="C23" s="1417"/>
      <c r="D23" s="1417"/>
      <c r="E23" s="543"/>
      <c r="F23" s="129"/>
    </row>
    <row r="24" spans="1:6" s="130" customFormat="1" ht="25" customHeight="1">
      <c r="A24" s="540" t="s">
        <v>408</v>
      </c>
      <c r="B24" s="541" t="s">
        <v>442</v>
      </c>
      <c r="C24" s="1417">
        <f>'UPS-Indegene'!G12</f>
        <v>0</v>
      </c>
      <c r="D24" s="1417">
        <f>'UPS-Indegene'!H12</f>
        <v>0</v>
      </c>
      <c r="E24" s="543">
        <f t="shared" ref="E24" si="1">C24+D24</f>
        <v>0</v>
      </c>
      <c r="F24" s="1610"/>
    </row>
    <row r="25" spans="1:6" s="130" customFormat="1" ht="25" customHeight="1">
      <c r="A25" s="540"/>
      <c r="B25" s="541"/>
      <c r="C25" s="1417"/>
      <c r="D25" s="1417"/>
      <c r="E25" s="543"/>
      <c r="F25" s="129"/>
    </row>
    <row r="26" spans="1:6" s="130" customFormat="1" ht="25" customHeight="1">
      <c r="A26" s="540" t="s">
        <v>443</v>
      </c>
      <c r="B26" s="541" t="s">
        <v>444</v>
      </c>
      <c r="C26" s="1417">
        <f>IT!G105</f>
        <v>2720115.7</v>
      </c>
      <c r="D26" s="1417">
        <f>IT!H105</f>
        <v>210281.8</v>
      </c>
      <c r="E26" s="543">
        <f t="shared" ref="E26:E29" si="2">C26+D26</f>
        <v>2930397.5</v>
      </c>
      <c r="F26" s="1610"/>
    </row>
    <row r="27" spans="1:6" s="130" customFormat="1" ht="25" customHeight="1">
      <c r="A27" s="540" t="s">
        <v>445</v>
      </c>
      <c r="B27" s="541" t="s">
        <v>446</v>
      </c>
      <c r="C27" s="1417">
        <f>CCTV!G32</f>
        <v>629072</v>
      </c>
      <c r="D27" s="1417">
        <f>CCTV!H32</f>
        <v>112842</v>
      </c>
      <c r="E27" s="543">
        <f t="shared" si="2"/>
        <v>741914</v>
      </c>
      <c r="F27" s="129"/>
    </row>
    <row r="28" spans="1:6" s="130" customFormat="1" ht="25" customHeight="1">
      <c r="A28" s="540" t="s">
        <v>447</v>
      </c>
      <c r="B28" s="541" t="s">
        <v>448</v>
      </c>
      <c r="C28" s="1417">
        <f>ACS!G39</f>
        <v>166100</v>
      </c>
      <c r="D28" s="1417">
        <f>ACS!H39</f>
        <v>44600</v>
      </c>
      <c r="E28" s="543">
        <f t="shared" si="2"/>
        <v>210700</v>
      </c>
      <c r="F28" s="129"/>
    </row>
    <row r="29" spans="1:6" s="130" customFormat="1">
      <c r="A29" s="540" t="s">
        <v>1428</v>
      </c>
      <c r="B29" s="541" t="s">
        <v>1429</v>
      </c>
      <c r="C29" s="1417">
        <f>'LMS '!I13</f>
        <v>1064520</v>
      </c>
      <c r="D29" s="1417">
        <f>'LMS '!J13</f>
        <v>51240</v>
      </c>
      <c r="E29" s="543">
        <f t="shared" si="2"/>
        <v>1115760</v>
      </c>
      <c r="F29" s="1611"/>
    </row>
    <row r="30" spans="1:6" s="130" customFormat="1" ht="25" customHeight="1">
      <c r="A30" s="540"/>
      <c r="B30" s="541"/>
      <c r="C30" s="542"/>
      <c r="D30" s="542"/>
      <c r="E30" s="543"/>
      <c r="F30" s="129"/>
    </row>
    <row r="31" spans="1:6" s="130" customFormat="1" ht="25" customHeight="1">
      <c r="A31" s="128"/>
      <c r="B31" s="544"/>
      <c r="C31" s="542"/>
      <c r="D31" s="542"/>
      <c r="E31" s="539"/>
      <c r="F31" s="129"/>
    </row>
    <row r="32" spans="1:6" s="132" customFormat="1" ht="25" customHeight="1">
      <c r="A32" s="131"/>
      <c r="B32" s="545" t="s">
        <v>449</v>
      </c>
      <c r="C32" s="546"/>
      <c r="D32" s="546"/>
      <c r="E32" s="547">
        <f>SUM(E23:E31)</f>
        <v>4998771.5</v>
      </c>
      <c r="F32" s="546"/>
    </row>
    <row r="33" spans="1:6" s="132" customFormat="1" ht="25" customHeight="1">
      <c r="A33" s="131"/>
      <c r="B33" s="545" t="s">
        <v>450</v>
      </c>
      <c r="C33" s="546"/>
      <c r="D33" s="546"/>
      <c r="E33" s="545"/>
      <c r="F33" s="546"/>
    </row>
    <row r="34" spans="1:6" s="132" customFormat="1" ht="25" customHeight="1">
      <c r="A34" s="131"/>
      <c r="B34" s="545" t="s">
        <v>451</v>
      </c>
      <c r="C34" s="546"/>
      <c r="D34" s="546"/>
      <c r="E34" s="547"/>
      <c r="F34" s="546"/>
    </row>
    <row r="35" spans="1:6" ht="25" customHeight="1">
      <c r="A35" s="133"/>
      <c r="B35" s="548"/>
      <c r="C35" s="549"/>
      <c r="D35" s="549"/>
      <c r="E35" s="548"/>
      <c r="F35" s="134"/>
    </row>
    <row r="36" spans="1:6" s="138" customFormat="1" ht="25" customHeight="1">
      <c r="A36" s="136"/>
      <c r="B36" s="550" t="s">
        <v>452</v>
      </c>
      <c r="C36" s="551"/>
      <c r="D36" s="551"/>
      <c r="E36" s="552"/>
      <c r="F36" s="137"/>
    </row>
    <row r="37" spans="1:6" s="140" customFormat="1" ht="25" customHeight="1">
      <c r="A37" s="139"/>
      <c r="B37" s="1462" t="s">
        <v>453</v>
      </c>
      <c r="C37" s="1463"/>
      <c r="D37" s="1463"/>
      <c r="E37" s="1463"/>
      <c r="F37" s="1464"/>
    </row>
    <row r="38" spans="1:6" s="140" customFormat="1" ht="21">
      <c r="A38" s="139"/>
      <c r="B38" s="1462" t="s">
        <v>454</v>
      </c>
      <c r="C38" s="1463"/>
      <c r="D38" s="1463"/>
      <c r="E38" s="1463"/>
      <c r="F38" s="1464"/>
    </row>
    <row r="39" spans="1:6" s="140" customFormat="1" ht="21">
      <c r="A39" s="139"/>
      <c r="B39" s="1462" t="s">
        <v>455</v>
      </c>
      <c r="C39" s="1463"/>
      <c r="D39" s="1463"/>
      <c r="E39" s="1463"/>
      <c r="F39" s="1464"/>
    </row>
    <row r="40" spans="1:6" s="140" customFormat="1" ht="21">
      <c r="A40" s="139"/>
      <c r="B40" s="1462" t="s">
        <v>456</v>
      </c>
      <c r="C40" s="1463"/>
      <c r="D40" s="1463"/>
      <c r="E40" s="1463"/>
      <c r="F40" s="1464"/>
    </row>
    <row r="41" spans="1:6" s="140" customFormat="1" ht="21">
      <c r="A41" s="139"/>
      <c r="B41" s="1462" t="s">
        <v>457</v>
      </c>
      <c r="C41" s="1463"/>
      <c r="D41" s="1463"/>
      <c r="E41" s="1463"/>
      <c r="F41" s="1464"/>
    </row>
    <row r="42" spans="1:6" s="140" customFormat="1" ht="25" customHeight="1">
      <c r="A42" s="139"/>
      <c r="B42" s="1462" t="s">
        <v>458</v>
      </c>
      <c r="C42" s="1463"/>
      <c r="D42" s="1463"/>
      <c r="E42" s="1463"/>
      <c r="F42" s="1464"/>
    </row>
    <row r="43" spans="1:6" s="140" customFormat="1" ht="25" customHeight="1">
      <c r="A43" s="139"/>
      <c r="B43" s="1462" t="s">
        <v>459</v>
      </c>
      <c r="C43" s="1463"/>
      <c r="D43" s="1463"/>
      <c r="E43" s="1463"/>
      <c r="F43" s="1464"/>
    </row>
    <row r="44" spans="1:6" s="140" customFormat="1" ht="25" customHeight="1">
      <c r="A44" s="139"/>
      <c r="B44" s="1462" t="s">
        <v>460</v>
      </c>
      <c r="C44" s="1463"/>
      <c r="D44" s="1463"/>
      <c r="E44" s="1463"/>
      <c r="F44" s="1464"/>
    </row>
    <row r="45" spans="1:6" s="140" customFormat="1" ht="25" customHeight="1">
      <c r="A45" s="139"/>
      <c r="B45" s="1462" t="s">
        <v>461</v>
      </c>
      <c r="C45" s="1463"/>
      <c r="D45" s="1463"/>
      <c r="E45" s="1463"/>
      <c r="F45" s="1464"/>
    </row>
    <row r="46" spans="1:6" s="140" customFormat="1" ht="46.75" customHeight="1">
      <c r="A46" s="139"/>
      <c r="B46" s="1462" t="s">
        <v>462</v>
      </c>
      <c r="C46" s="1463"/>
      <c r="D46" s="1463"/>
      <c r="E46" s="1463"/>
      <c r="F46" s="1464"/>
    </row>
    <row r="47" spans="1:6" s="140" customFormat="1" ht="43.75" customHeight="1" thickBot="1">
      <c r="A47" s="141"/>
      <c r="B47" s="1462" t="s">
        <v>463</v>
      </c>
      <c r="C47" s="1463"/>
      <c r="D47" s="1463"/>
      <c r="E47" s="1463"/>
      <c r="F47" s="1464"/>
    </row>
  </sheetData>
  <mergeCells count="17">
    <mergeCell ref="B42:F42"/>
    <mergeCell ref="A5:A6"/>
    <mergeCell ref="B5:B6"/>
    <mergeCell ref="C5:C6"/>
    <mergeCell ref="D5:D6"/>
    <mergeCell ref="E5:E6"/>
    <mergeCell ref="F5:F6"/>
    <mergeCell ref="B37:F37"/>
    <mergeCell ref="B38:F38"/>
    <mergeCell ref="B39:F39"/>
    <mergeCell ref="B40:F40"/>
    <mergeCell ref="B41:F41"/>
    <mergeCell ref="B43:F43"/>
    <mergeCell ref="B44:F44"/>
    <mergeCell ref="B45:F45"/>
    <mergeCell ref="B46:F46"/>
    <mergeCell ref="B47:F47"/>
  </mergeCells>
  <pageMargins left="0.7" right="0.7" top="0.75" bottom="0.75" header="0.3" footer="0.3"/>
  <pageSetup scale="37"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52501-D557-461F-8525-8432692B50F0}">
  <dimension ref="A1:I515"/>
  <sheetViews>
    <sheetView view="pageBreakPreview" zoomScale="70" zoomScaleSheetLayoutView="70" workbookViewId="0">
      <pane xSplit="2" ySplit="8" topLeftCell="C9" activePane="bottomRight" state="frozen"/>
      <selection activeCell="E33" sqref="E33"/>
      <selection pane="topRight" activeCell="E33" sqref="E33"/>
      <selection pane="bottomLeft" activeCell="E33" sqref="E33"/>
      <selection pane="bottomRight" activeCell="C9" sqref="C9"/>
    </sheetView>
  </sheetViews>
  <sheetFormatPr defaultColWidth="9.08984375" defaultRowHeight="14.5"/>
  <cols>
    <col min="1" max="1" width="6.08984375" style="149" customWidth="1"/>
    <col min="2" max="2" width="106.1796875" style="150" customWidth="1"/>
    <col min="3" max="3" width="5.90625" style="144" bestFit="1" customWidth="1"/>
    <col min="4" max="4" width="8.36328125" style="149" customWidth="1"/>
    <col min="5" max="5" width="9.54296875" style="151" customWidth="1"/>
    <col min="6" max="6" width="12.54296875" style="151" customWidth="1"/>
    <col min="7" max="7" width="16.36328125" style="152" customWidth="1"/>
    <col min="8" max="8" width="15.6328125" style="152" customWidth="1"/>
    <col min="9" max="9" width="28.08984375" style="152" bestFit="1" customWidth="1"/>
    <col min="10" max="16384" width="9.08984375" style="152"/>
  </cols>
  <sheetData>
    <row r="1" spans="1:9" s="143" customFormat="1" ht="15.5">
      <c r="A1" s="1475" t="s">
        <v>1430</v>
      </c>
      <c r="B1" s="1475"/>
      <c r="C1" s="1475"/>
      <c r="D1" s="438"/>
      <c r="E1" s="438"/>
      <c r="F1" s="439"/>
      <c r="G1" s="439"/>
      <c r="H1" s="439"/>
      <c r="I1" s="469" t="s">
        <v>2231</v>
      </c>
    </row>
    <row r="2" spans="1:9" s="143" customFormat="1" ht="15.5">
      <c r="A2" s="1475" t="s">
        <v>464</v>
      </c>
      <c r="B2" s="1475"/>
      <c r="C2" s="1475"/>
      <c r="D2" s="438"/>
      <c r="E2" s="438"/>
      <c r="F2" s="439"/>
      <c r="G2" s="439"/>
      <c r="H2" s="439"/>
      <c r="I2" s="469" t="s">
        <v>2232</v>
      </c>
    </row>
    <row r="3" spans="1:9" s="143" customFormat="1" ht="15.5">
      <c r="A3" s="473"/>
      <c r="B3" s="444"/>
      <c r="C3" s="444"/>
      <c r="D3" s="439"/>
      <c r="E3" s="439"/>
      <c r="F3" s="439"/>
      <c r="G3" s="439"/>
      <c r="H3" s="439"/>
      <c r="I3" s="445"/>
    </row>
    <row r="4" spans="1:9" s="144" customFormat="1" ht="15.5" customHeight="1">
      <c r="A4" s="1476" t="s">
        <v>374</v>
      </c>
      <c r="B4" s="1476" t="s">
        <v>465</v>
      </c>
      <c r="C4" s="1476" t="s">
        <v>466</v>
      </c>
      <c r="D4" s="1474" t="s">
        <v>20</v>
      </c>
      <c r="E4" s="1477" t="s">
        <v>8</v>
      </c>
      <c r="F4" s="1477"/>
      <c r="G4" s="1473" t="s">
        <v>467</v>
      </c>
      <c r="H4" s="1473" t="s">
        <v>468</v>
      </c>
      <c r="I4" s="1478" t="s">
        <v>428</v>
      </c>
    </row>
    <row r="5" spans="1:9" s="144" customFormat="1" ht="15.5">
      <c r="A5" s="1476"/>
      <c r="B5" s="1476"/>
      <c r="C5" s="1476"/>
      <c r="D5" s="1474" t="s">
        <v>469</v>
      </c>
      <c r="E5" s="437" t="s">
        <v>470</v>
      </c>
      <c r="F5" s="938" t="s">
        <v>471</v>
      </c>
      <c r="G5" s="1473"/>
      <c r="H5" s="1473"/>
      <c r="I5" s="1479"/>
    </row>
    <row r="6" spans="1:9" s="145" customFormat="1">
      <c r="A6" s="384"/>
      <c r="B6" s="396"/>
      <c r="C6" s="383"/>
      <c r="D6" s="384"/>
      <c r="E6" s="385"/>
      <c r="F6" s="385"/>
      <c r="G6" s="386"/>
      <c r="H6" s="386"/>
      <c r="I6" s="386"/>
    </row>
    <row r="7" spans="1:9" s="145" customFormat="1">
      <c r="A7" s="446">
        <v>1</v>
      </c>
      <c r="B7" s="382" t="s">
        <v>472</v>
      </c>
      <c r="C7" s="383"/>
      <c r="D7" s="384"/>
      <c r="E7" s="385"/>
      <c r="F7" s="385"/>
      <c r="G7" s="386"/>
      <c r="H7" s="386"/>
      <c r="I7" s="386"/>
    </row>
    <row r="8" spans="1:9" s="145" customFormat="1">
      <c r="A8" s="446"/>
      <c r="B8" s="382"/>
      <c r="C8" s="383"/>
      <c r="D8" s="384"/>
      <c r="E8" s="385"/>
      <c r="F8" s="385"/>
      <c r="G8" s="386"/>
      <c r="H8" s="386"/>
      <c r="I8" s="386"/>
    </row>
    <row r="9" spans="1:9" s="145" customFormat="1" ht="145">
      <c r="A9" s="475"/>
      <c r="B9" s="387" t="s">
        <v>1431</v>
      </c>
      <c r="C9" s="383"/>
      <c r="D9" s="384"/>
      <c r="E9" s="385"/>
      <c r="F9" s="385"/>
      <c r="G9" s="386"/>
      <c r="H9" s="386"/>
      <c r="I9" s="1455"/>
    </row>
    <row r="10" spans="1:9" s="145" customFormat="1">
      <c r="A10" s="475"/>
      <c r="B10" s="387"/>
      <c r="C10" s="383"/>
      <c r="D10" s="384"/>
      <c r="E10" s="385"/>
      <c r="F10" s="385"/>
      <c r="G10" s="386"/>
      <c r="H10" s="386"/>
      <c r="I10" s="447"/>
    </row>
    <row r="11" spans="1:9" s="146" customFormat="1">
      <c r="A11" s="476">
        <v>1.1000000000000001</v>
      </c>
      <c r="B11" s="481" t="s">
        <v>2233</v>
      </c>
      <c r="C11" s="434" t="s">
        <v>16</v>
      </c>
      <c r="D11" s="433">
        <f>1*0</f>
        <v>0</v>
      </c>
      <c r="E11" s="429">
        <v>312500</v>
      </c>
      <c r="F11" s="429">
        <v>62500</v>
      </c>
      <c r="G11" s="489">
        <f>IF($D11="","",IFERROR($D11*E11,""))</f>
        <v>0</v>
      </c>
      <c r="H11" s="489">
        <f>IF($D11="","",IFERROR($D11*F11,""))</f>
        <v>0</v>
      </c>
      <c r="I11" s="431"/>
    </row>
    <row r="12" spans="1:9" s="146" customFormat="1">
      <c r="A12" s="476"/>
      <c r="B12" s="477" t="s">
        <v>2234</v>
      </c>
      <c r="C12" s="432"/>
      <c r="D12" s="432"/>
      <c r="E12" s="432"/>
      <c r="F12" s="432"/>
      <c r="G12" s="432"/>
      <c r="H12" s="432"/>
      <c r="I12" s="432"/>
    </row>
    <row r="13" spans="1:9" s="146" customFormat="1">
      <c r="A13" s="476"/>
      <c r="B13" s="477"/>
      <c r="C13" s="432"/>
      <c r="D13" s="432"/>
      <c r="E13" s="432"/>
      <c r="F13" s="432"/>
      <c r="G13" s="432"/>
      <c r="H13" s="432"/>
      <c r="I13" s="432"/>
    </row>
    <row r="14" spans="1:9" s="146" customFormat="1">
      <c r="A14" s="476">
        <v>1.2</v>
      </c>
      <c r="B14" s="481" t="s">
        <v>2235</v>
      </c>
      <c r="C14" s="434" t="s">
        <v>16</v>
      </c>
      <c r="D14" s="433">
        <f>1*0</f>
        <v>0</v>
      </c>
      <c r="E14" s="429">
        <v>250000</v>
      </c>
      <c r="F14" s="429">
        <v>22500</v>
      </c>
      <c r="G14" s="489">
        <f>IF($D14="","",IFERROR($D14*E14,""))</f>
        <v>0</v>
      </c>
      <c r="H14" s="489">
        <f>IF($D14="","",IFERROR($D14*F14,""))</f>
        <v>0</v>
      </c>
      <c r="I14" s="431"/>
    </row>
    <row r="15" spans="1:9" s="146" customFormat="1">
      <c r="A15" s="476"/>
      <c r="B15" s="477" t="s">
        <v>2236</v>
      </c>
      <c r="C15" s="432"/>
      <c r="D15" s="432"/>
      <c r="E15" s="432"/>
      <c r="F15" s="432"/>
      <c r="G15" s="432"/>
      <c r="H15" s="432"/>
      <c r="I15" s="432"/>
    </row>
    <row r="16" spans="1:9" s="146" customFormat="1">
      <c r="A16" s="476"/>
      <c r="B16" s="477"/>
      <c r="C16" s="432"/>
      <c r="D16" s="432"/>
      <c r="E16" s="432"/>
      <c r="F16" s="432"/>
      <c r="G16" s="432"/>
      <c r="H16" s="432"/>
      <c r="I16" s="432"/>
    </row>
    <row r="17" spans="1:9" s="146" customFormat="1">
      <c r="A17" s="476">
        <v>1.3</v>
      </c>
      <c r="B17" s="481" t="s">
        <v>2237</v>
      </c>
      <c r="C17" s="434" t="s">
        <v>16</v>
      </c>
      <c r="D17" s="433">
        <f>1*0</f>
        <v>0</v>
      </c>
      <c r="E17" s="429">
        <v>62500</v>
      </c>
      <c r="F17" s="429">
        <v>18000</v>
      </c>
      <c r="G17" s="489">
        <f>IF($D17="","",IFERROR($D17*E17,""))</f>
        <v>0</v>
      </c>
      <c r="H17" s="489">
        <f>IF($D17="","",IFERROR($D17*F17,""))</f>
        <v>0</v>
      </c>
      <c r="I17" s="431"/>
    </row>
    <row r="18" spans="1:9" s="146" customFormat="1">
      <c r="A18" s="476"/>
      <c r="B18" s="477" t="s">
        <v>2238</v>
      </c>
      <c r="C18" s="432"/>
      <c r="D18" s="432"/>
      <c r="E18" s="432"/>
      <c r="F18" s="432"/>
      <c r="G18" s="432"/>
      <c r="H18" s="432"/>
      <c r="I18" s="432"/>
    </row>
    <row r="19" spans="1:9" s="146" customFormat="1">
      <c r="A19" s="476"/>
      <c r="B19" s="481"/>
      <c r="C19" s="432"/>
      <c r="D19" s="432"/>
      <c r="E19" s="432"/>
      <c r="F19" s="432"/>
      <c r="G19" s="432"/>
      <c r="H19" s="432"/>
      <c r="I19" s="432"/>
    </row>
    <row r="20" spans="1:9" s="146" customFormat="1">
      <c r="A20" s="476">
        <v>1.4</v>
      </c>
      <c r="B20" s="481" t="s">
        <v>2239</v>
      </c>
      <c r="C20" s="434" t="s">
        <v>16</v>
      </c>
      <c r="D20" s="433">
        <f>1*0</f>
        <v>0</v>
      </c>
      <c r="E20" s="429">
        <v>62500</v>
      </c>
      <c r="F20" s="429">
        <v>18000</v>
      </c>
      <c r="G20" s="489">
        <f>IF($D20="","",IFERROR($D20*E20,""))</f>
        <v>0</v>
      </c>
      <c r="H20" s="489">
        <f>IF($D20="","",IFERROR($D20*F20,""))</f>
        <v>0</v>
      </c>
      <c r="I20" s="431"/>
    </row>
    <row r="21" spans="1:9" s="146" customFormat="1">
      <c r="A21" s="476"/>
      <c r="B21" s="477" t="s">
        <v>2240</v>
      </c>
      <c r="C21" s="432"/>
      <c r="D21" s="432"/>
      <c r="E21" s="432"/>
      <c r="F21" s="432"/>
      <c r="G21" s="432"/>
      <c r="H21" s="432"/>
      <c r="I21" s="432"/>
    </row>
    <row r="22" spans="1:9" s="146" customFormat="1">
      <c r="A22" s="476"/>
      <c r="B22" s="481"/>
      <c r="C22" s="432"/>
      <c r="D22" s="432"/>
      <c r="E22" s="432"/>
      <c r="F22" s="432"/>
      <c r="G22" s="432"/>
      <c r="H22" s="432"/>
      <c r="I22" s="432"/>
    </row>
    <row r="23" spans="1:9" s="146" customFormat="1">
      <c r="A23" s="476">
        <v>1.5</v>
      </c>
      <c r="B23" s="481" t="s">
        <v>2241</v>
      </c>
      <c r="C23" s="434" t="s">
        <v>16</v>
      </c>
      <c r="D23" s="433">
        <f>1*0</f>
        <v>0</v>
      </c>
      <c r="E23" s="429">
        <v>31250</v>
      </c>
      <c r="F23" s="429">
        <v>18000</v>
      </c>
      <c r="G23" s="489">
        <f>IF($D23="","",IFERROR($D23*E23,""))</f>
        <v>0</v>
      </c>
      <c r="H23" s="489">
        <f>IF($D23="","",IFERROR($D23*F23,""))</f>
        <v>0</v>
      </c>
      <c r="I23" s="1453"/>
    </row>
    <row r="24" spans="1:9" s="146" customFormat="1">
      <c r="A24" s="476"/>
      <c r="B24" s="477" t="s">
        <v>2242</v>
      </c>
      <c r="C24" s="432"/>
      <c r="D24" s="432"/>
      <c r="E24" s="432"/>
      <c r="F24" s="432"/>
      <c r="G24" s="432"/>
      <c r="H24" s="432"/>
      <c r="I24" s="432"/>
    </row>
    <row r="25" spans="1:9" s="146" customFormat="1">
      <c r="A25" s="476"/>
      <c r="B25" s="477"/>
      <c r="C25" s="432"/>
      <c r="D25" s="432"/>
      <c r="E25" s="432"/>
      <c r="F25" s="432"/>
      <c r="G25" s="432"/>
      <c r="H25" s="432"/>
      <c r="I25" s="432"/>
    </row>
    <row r="26" spans="1:9" s="148" customFormat="1">
      <c r="A26" s="476">
        <v>1.6</v>
      </c>
      <c r="B26" s="481" t="s">
        <v>2243</v>
      </c>
      <c r="C26" s="434" t="s">
        <v>16</v>
      </c>
      <c r="D26" s="433">
        <f>1*0</f>
        <v>0</v>
      </c>
      <c r="E26" s="429">
        <v>31250</v>
      </c>
      <c r="F26" s="429">
        <v>15000</v>
      </c>
      <c r="G26" s="489">
        <f>IF($D26="","",IFERROR($D26*E26,""))</f>
        <v>0</v>
      </c>
      <c r="H26" s="489">
        <f>IF($D26="","",IFERROR($D26*F26,""))</f>
        <v>0</v>
      </c>
      <c r="I26" s="431"/>
    </row>
    <row r="27" spans="1:9" s="148" customFormat="1">
      <c r="A27" s="476"/>
      <c r="B27" s="477" t="s">
        <v>2244</v>
      </c>
      <c r="C27" s="432"/>
      <c r="D27" s="432"/>
      <c r="E27" s="432"/>
      <c r="F27" s="432"/>
      <c r="G27" s="432"/>
      <c r="H27" s="432"/>
      <c r="I27" s="432"/>
    </row>
    <row r="28" spans="1:9" s="148" customFormat="1">
      <c r="A28" s="476"/>
      <c r="B28" s="477"/>
      <c r="C28" s="432"/>
      <c r="D28" s="432"/>
      <c r="E28" s="432"/>
      <c r="F28" s="432"/>
      <c r="G28" s="432"/>
      <c r="H28" s="432"/>
      <c r="I28" s="432"/>
    </row>
    <row r="29" spans="1:9" s="148" customFormat="1">
      <c r="A29" s="476">
        <v>1.7</v>
      </c>
      <c r="B29" s="481" t="s">
        <v>2245</v>
      </c>
      <c r="C29" s="434" t="s">
        <v>16</v>
      </c>
      <c r="D29" s="433">
        <f>1*0</f>
        <v>0</v>
      </c>
      <c r="E29" s="429">
        <v>31250</v>
      </c>
      <c r="F29" s="429">
        <v>15000</v>
      </c>
      <c r="G29" s="489">
        <f>IF($D29="","",IFERROR($D29*E29,""))</f>
        <v>0</v>
      </c>
      <c r="H29" s="489">
        <f>IF($D29="","",IFERROR($D29*F29,""))</f>
        <v>0</v>
      </c>
      <c r="I29" s="431"/>
    </row>
    <row r="30" spans="1:9" s="148" customFormat="1">
      <c r="A30" s="476"/>
      <c r="B30" s="477" t="s">
        <v>2246</v>
      </c>
      <c r="C30" s="432"/>
      <c r="D30" s="432"/>
      <c r="E30" s="432"/>
      <c r="F30" s="432"/>
      <c r="G30" s="432"/>
      <c r="H30" s="432"/>
      <c r="I30" s="432"/>
    </row>
    <row r="31" spans="1:9" s="148" customFormat="1">
      <c r="A31" s="476"/>
      <c r="B31" s="477"/>
      <c r="C31" s="432"/>
      <c r="D31" s="432"/>
      <c r="E31" s="432"/>
      <c r="F31" s="432"/>
      <c r="G31" s="432"/>
      <c r="H31" s="432"/>
      <c r="I31" s="432"/>
    </row>
    <row r="32" spans="1:9" s="148" customFormat="1">
      <c r="A32" s="476">
        <v>1.7</v>
      </c>
      <c r="B32" s="481" t="s">
        <v>2550</v>
      </c>
      <c r="C32" s="434" t="s">
        <v>16</v>
      </c>
      <c r="D32" s="433">
        <f>1*0</f>
        <v>0</v>
      </c>
      <c r="E32" s="429">
        <v>31250</v>
      </c>
      <c r="F32" s="429">
        <v>15000</v>
      </c>
      <c r="G32" s="489">
        <f>IF($D32="","",IFERROR($D32*E32,""))</f>
        <v>0</v>
      </c>
      <c r="H32" s="489">
        <f>IF($D32="","",IFERROR($D32*F32,""))</f>
        <v>0</v>
      </c>
      <c r="I32" s="431"/>
    </row>
    <row r="33" spans="1:9" s="148" customFormat="1">
      <c r="A33" s="476"/>
      <c r="B33" s="477" t="s">
        <v>2555</v>
      </c>
      <c r="C33" s="432"/>
      <c r="D33" s="432"/>
      <c r="E33" s="432"/>
      <c r="F33" s="432"/>
      <c r="G33" s="432"/>
      <c r="H33" s="432"/>
      <c r="I33" s="432"/>
    </row>
    <row r="34" spans="1:9" s="148" customFormat="1">
      <c r="A34" s="476"/>
      <c r="B34" s="477"/>
      <c r="C34" s="432"/>
      <c r="D34" s="432"/>
      <c r="E34" s="432"/>
      <c r="F34" s="432"/>
      <c r="G34" s="432"/>
      <c r="H34" s="432"/>
      <c r="I34" s="432"/>
    </row>
    <row r="35" spans="1:9" s="148" customFormat="1">
      <c r="A35" s="476">
        <v>1.8</v>
      </c>
      <c r="B35" s="481" t="s">
        <v>2247</v>
      </c>
      <c r="C35" s="434" t="s">
        <v>16</v>
      </c>
      <c r="D35" s="433">
        <f>1*0</f>
        <v>0</v>
      </c>
      <c r="E35" s="429">
        <v>193750</v>
      </c>
      <c r="F35" s="429">
        <v>15000</v>
      </c>
      <c r="G35" s="489">
        <f>IF($D35="","",IFERROR($D35*E35,""))</f>
        <v>0</v>
      </c>
      <c r="H35" s="489">
        <f>IF($D35="","",IFERROR($D35*F35,""))</f>
        <v>0</v>
      </c>
      <c r="I35" s="431"/>
    </row>
    <row r="36" spans="1:9" s="148" customFormat="1">
      <c r="A36" s="476"/>
      <c r="B36" s="477" t="s">
        <v>2248</v>
      </c>
      <c r="C36" s="432"/>
      <c r="D36" s="432"/>
      <c r="E36" s="432"/>
      <c r="F36" s="432"/>
      <c r="G36" s="432"/>
      <c r="H36" s="432"/>
      <c r="I36" s="432"/>
    </row>
    <row r="37" spans="1:9" s="148" customFormat="1">
      <c r="A37" s="476"/>
      <c r="B37" s="477"/>
      <c r="C37" s="432"/>
      <c r="D37" s="432"/>
      <c r="E37" s="432"/>
      <c r="F37" s="432"/>
      <c r="G37" s="432"/>
      <c r="H37" s="432"/>
      <c r="I37" s="432"/>
    </row>
    <row r="38" spans="1:9" s="148" customFormat="1">
      <c r="A38" s="476">
        <v>1.9</v>
      </c>
      <c r="B38" s="481" t="s">
        <v>2249</v>
      </c>
      <c r="C38" s="434" t="s">
        <v>16</v>
      </c>
      <c r="D38" s="433">
        <f>1*0</f>
        <v>0</v>
      </c>
      <c r="E38" s="429">
        <v>156250</v>
      </c>
      <c r="F38" s="429">
        <v>15000</v>
      </c>
      <c r="G38" s="489">
        <f>IF($D38="","",IFERROR($D38*E38,""))</f>
        <v>0</v>
      </c>
      <c r="H38" s="489">
        <f>IF($D38="","",IFERROR($D38*F38,""))</f>
        <v>0</v>
      </c>
      <c r="I38" s="431"/>
    </row>
    <row r="39" spans="1:9" s="148" customFormat="1">
      <c r="A39" s="476"/>
      <c r="B39" s="477" t="s">
        <v>2250</v>
      </c>
      <c r="C39" s="432"/>
      <c r="D39" s="432"/>
      <c r="E39" s="432"/>
      <c r="F39" s="432"/>
      <c r="G39" s="432"/>
      <c r="H39" s="432"/>
      <c r="I39" s="432"/>
    </row>
    <row r="40" spans="1:9" s="148" customFormat="1">
      <c r="A40" s="476"/>
      <c r="B40" s="477"/>
      <c r="C40" s="432"/>
      <c r="D40" s="432"/>
      <c r="E40" s="432"/>
      <c r="F40" s="432"/>
      <c r="G40" s="432"/>
      <c r="H40" s="432"/>
      <c r="I40" s="432"/>
    </row>
    <row r="41" spans="1:9" s="148" customFormat="1">
      <c r="A41" s="554">
        <v>1.1000000000000001</v>
      </c>
      <c r="B41" s="423" t="s">
        <v>1433</v>
      </c>
      <c r="C41" s="555"/>
      <c r="D41" s="429"/>
      <c r="E41" s="429"/>
      <c r="F41" s="429"/>
      <c r="G41" s="431"/>
      <c r="H41" s="431"/>
      <c r="I41" s="431"/>
    </row>
    <row r="42" spans="1:9" s="148" customFormat="1">
      <c r="A42" s="554" t="s">
        <v>385</v>
      </c>
      <c r="B42" s="556" t="s">
        <v>473</v>
      </c>
      <c r="C42" s="434" t="s">
        <v>16</v>
      </c>
      <c r="D42" s="433">
        <f>4*0</f>
        <v>0</v>
      </c>
      <c r="E42" s="429">
        <v>27808</v>
      </c>
      <c r="F42" s="429">
        <v>5250</v>
      </c>
      <c r="G42" s="489">
        <f t="shared" ref="G42:H62" si="0">IF($D42="","",IFERROR($D42*E42,""))</f>
        <v>0</v>
      </c>
      <c r="H42" s="489">
        <f t="shared" si="0"/>
        <v>0</v>
      </c>
      <c r="I42" s="431"/>
    </row>
    <row r="43" spans="1:9" s="148" customFormat="1">
      <c r="A43" s="554" t="s">
        <v>387</v>
      </c>
      <c r="B43" s="556" t="s">
        <v>2251</v>
      </c>
      <c r="C43" s="434" t="s">
        <v>16</v>
      </c>
      <c r="D43" s="433">
        <f>4*0</f>
        <v>0</v>
      </c>
      <c r="E43" s="429">
        <v>13780</v>
      </c>
      <c r="F43" s="429">
        <v>2250</v>
      </c>
      <c r="G43" s="489">
        <f t="shared" si="0"/>
        <v>0</v>
      </c>
      <c r="H43" s="489">
        <f t="shared" si="0"/>
        <v>0</v>
      </c>
      <c r="I43" s="431"/>
    </row>
    <row r="44" spans="1:9" s="148" customFormat="1">
      <c r="A44" s="554" t="s">
        <v>388</v>
      </c>
      <c r="B44" s="556" t="s">
        <v>474</v>
      </c>
      <c r="C44" s="434" t="s">
        <v>16</v>
      </c>
      <c r="D44" s="433">
        <v>0</v>
      </c>
      <c r="E44" s="429">
        <v>11531</v>
      </c>
      <c r="F44" s="429">
        <v>1500</v>
      </c>
      <c r="G44" s="489">
        <f t="shared" si="0"/>
        <v>0</v>
      </c>
      <c r="H44" s="489">
        <f t="shared" si="0"/>
        <v>0</v>
      </c>
      <c r="I44" s="431"/>
    </row>
    <row r="45" spans="1:9" s="148" customFormat="1">
      <c r="A45" s="554" t="s">
        <v>389</v>
      </c>
      <c r="B45" s="556" t="s">
        <v>475</v>
      </c>
      <c r="C45" s="434" t="s">
        <v>16</v>
      </c>
      <c r="D45" s="433">
        <v>0</v>
      </c>
      <c r="E45" s="429">
        <v>11531</v>
      </c>
      <c r="F45" s="429">
        <v>1500</v>
      </c>
      <c r="G45" s="489">
        <f t="shared" si="0"/>
        <v>0</v>
      </c>
      <c r="H45" s="489">
        <f t="shared" si="0"/>
        <v>0</v>
      </c>
      <c r="I45" s="431"/>
    </row>
    <row r="46" spans="1:9" s="148" customFormat="1">
      <c r="A46" s="554" t="s">
        <v>390</v>
      </c>
      <c r="B46" s="556" t="s">
        <v>476</v>
      </c>
      <c r="C46" s="434" t="s">
        <v>16</v>
      </c>
      <c r="D46" s="433">
        <v>0</v>
      </c>
      <c r="E46" s="429">
        <v>6596</v>
      </c>
      <c r="F46" s="429">
        <v>1125</v>
      </c>
      <c r="G46" s="489">
        <f t="shared" si="0"/>
        <v>0</v>
      </c>
      <c r="H46" s="489">
        <f t="shared" si="0"/>
        <v>0</v>
      </c>
      <c r="I46" s="431"/>
    </row>
    <row r="47" spans="1:9" s="148" customFormat="1">
      <c r="A47" s="554" t="s">
        <v>391</v>
      </c>
      <c r="B47" s="556" t="s">
        <v>477</v>
      </c>
      <c r="C47" s="434" t="s">
        <v>16</v>
      </c>
      <c r="D47" s="433">
        <v>6</v>
      </c>
      <c r="E47" s="429">
        <v>6596</v>
      </c>
      <c r="F47" s="429">
        <v>1125</v>
      </c>
      <c r="G47" s="489">
        <f t="shared" si="0"/>
        <v>39576</v>
      </c>
      <c r="H47" s="489">
        <f t="shared" si="0"/>
        <v>6750</v>
      </c>
      <c r="I47" s="431"/>
    </row>
    <row r="48" spans="1:9" s="148" customFormat="1">
      <c r="A48" s="554" t="s">
        <v>392</v>
      </c>
      <c r="B48" s="556" t="s">
        <v>478</v>
      </c>
      <c r="C48" s="434" t="s">
        <v>16</v>
      </c>
      <c r="D48" s="433">
        <v>0</v>
      </c>
      <c r="E48" s="429">
        <v>6219</v>
      </c>
      <c r="F48" s="429">
        <v>750</v>
      </c>
      <c r="G48" s="489">
        <f t="shared" si="0"/>
        <v>0</v>
      </c>
      <c r="H48" s="489">
        <f t="shared" si="0"/>
        <v>0</v>
      </c>
      <c r="I48" s="431"/>
    </row>
    <row r="49" spans="1:9" s="148" customFormat="1">
      <c r="A49" s="554" t="s">
        <v>393</v>
      </c>
      <c r="B49" s="556" t="s">
        <v>2253</v>
      </c>
      <c r="C49" s="434" t="s">
        <v>16</v>
      </c>
      <c r="D49" s="433">
        <v>0</v>
      </c>
      <c r="E49" s="429">
        <v>6219</v>
      </c>
      <c r="F49" s="429">
        <v>750</v>
      </c>
      <c r="G49" s="489">
        <f t="shared" si="0"/>
        <v>0</v>
      </c>
      <c r="H49" s="489">
        <f t="shared" si="0"/>
        <v>0</v>
      </c>
      <c r="I49" s="431"/>
    </row>
    <row r="50" spans="1:9" s="148" customFormat="1">
      <c r="A50" s="554" t="s">
        <v>394</v>
      </c>
      <c r="B50" s="556" t="s">
        <v>479</v>
      </c>
      <c r="C50" s="434" t="s">
        <v>16</v>
      </c>
      <c r="D50" s="433">
        <v>0</v>
      </c>
      <c r="E50" s="429">
        <v>4764</v>
      </c>
      <c r="F50" s="429">
        <v>750</v>
      </c>
      <c r="G50" s="489">
        <f t="shared" si="0"/>
        <v>0</v>
      </c>
      <c r="H50" s="489">
        <f t="shared" si="0"/>
        <v>0</v>
      </c>
      <c r="I50" s="431"/>
    </row>
    <row r="51" spans="1:9" s="148" customFormat="1">
      <c r="A51" s="554" t="s">
        <v>397</v>
      </c>
      <c r="B51" s="556" t="s">
        <v>480</v>
      </c>
      <c r="C51" s="434" t="s">
        <v>16</v>
      </c>
      <c r="D51" s="433">
        <v>0</v>
      </c>
      <c r="E51" s="429">
        <v>4764</v>
      </c>
      <c r="F51" s="429">
        <v>750</v>
      </c>
      <c r="G51" s="489">
        <f t="shared" si="0"/>
        <v>0</v>
      </c>
      <c r="H51" s="489">
        <f t="shared" si="0"/>
        <v>0</v>
      </c>
      <c r="I51" s="431"/>
    </row>
    <row r="52" spans="1:9" s="148" customFormat="1">
      <c r="A52" s="554" t="s">
        <v>1436</v>
      </c>
      <c r="B52" s="556" t="s">
        <v>1437</v>
      </c>
      <c r="C52" s="434" t="s">
        <v>16</v>
      </c>
      <c r="D52" s="433">
        <v>0</v>
      </c>
      <c r="E52" s="429">
        <v>4764</v>
      </c>
      <c r="F52" s="429">
        <v>750</v>
      </c>
      <c r="G52" s="489">
        <f t="shared" si="0"/>
        <v>0</v>
      </c>
      <c r="H52" s="489">
        <f t="shared" si="0"/>
        <v>0</v>
      </c>
      <c r="I52" s="431"/>
    </row>
    <row r="53" spans="1:9" s="148" customFormat="1">
      <c r="A53" s="554" t="s">
        <v>1438</v>
      </c>
      <c r="B53" s="556" t="s">
        <v>1439</v>
      </c>
      <c r="C53" s="434" t="s">
        <v>16</v>
      </c>
      <c r="D53" s="433">
        <f>2*0</f>
        <v>0</v>
      </c>
      <c r="E53" s="429">
        <v>4764</v>
      </c>
      <c r="F53" s="429">
        <v>750</v>
      </c>
      <c r="G53" s="489">
        <f t="shared" si="0"/>
        <v>0</v>
      </c>
      <c r="H53" s="489">
        <f t="shared" si="0"/>
        <v>0</v>
      </c>
      <c r="I53" s="431"/>
    </row>
    <row r="54" spans="1:9" s="148" customFormat="1">
      <c r="A54" s="554" t="s">
        <v>398</v>
      </c>
      <c r="B54" s="556" t="s">
        <v>481</v>
      </c>
      <c r="C54" s="434" t="s">
        <v>16</v>
      </c>
      <c r="D54" s="433">
        <f>2*0</f>
        <v>0</v>
      </c>
      <c r="E54" s="429">
        <v>3544</v>
      </c>
      <c r="F54" s="429">
        <v>750</v>
      </c>
      <c r="G54" s="489">
        <f t="shared" si="0"/>
        <v>0</v>
      </c>
      <c r="H54" s="489">
        <f t="shared" si="0"/>
        <v>0</v>
      </c>
      <c r="I54" s="431"/>
    </row>
    <row r="55" spans="1:9" s="148" customFormat="1">
      <c r="A55" s="554" t="s">
        <v>399</v>
      </c>
      <c r="B55" s="556" t="s">
        <v>483</v>
      </c>
      <c r="C55" s="434" t="s">
        <v>16</v>
      </c>
      <c r="D55" s="433">
        <v>0</v>
      </c>
      <c r="E55" s="429">
        <v>3544</v>
      </c>
      <c r="F55" s="429">
        <v>750</v>
      </c>
      <c r="G55" s="489">
        <f t="shared" si="0"/>
        <v>0</v>
      </c>
      <c r="H55" s="489">
        <f t="shared" si="0"/>
        <v>0</v>
      </c>
      <c r="I55" s="431"/>
    </row>
    <row r="56" spans="1:9" s="148" customFormat="1">
      <c r="A56" s="554" t="s">
        <v>401</v>
      </c>
      <c r="B56" s="556" t="s">
        <v>484</v>
      </c>
      <c r="C56" s="434" t="s">
        <v>16</v>
      </c>
      <c r="D56" s="433">
        <v>0</v>
      </c>
      <c r="E56" s="429">
        <v>3544</v>
      </c>
      <c r="F56" s="429">
        <v>750</v>
      </c>
      <c r="G56" s="489">
        <f t="shared" si="0"/>
        <v>0</v>
      </c>
      <c r="H56" s="489">
        <f t="shared" si="0"/>
        <v>0</v>
      </c>
      <c r="I56" s="431"/>
    </row>
    <row r="57" spans="1:9" s="148" customFormat="1">
      <c r="A57" s="554" t="s">
        <v>402</v>
      </c>
      <c r="B57" s="556" t="s">
        <v>485</v>
      </c>
      <c r="C57" s="434" t="s">
        <v>16</v>
      </c>
      <c r="D57" s="433">
        <v>0</v>
      </c>
      <c r="E57" s="429">
        <v>3544</v>
      </c>
      <c r="F57" s="429">
        <v>750</v>
      </c>
      <c r="G57" s="489">
        <f t="shared" si="0"/>
        <v>0</v>
      </c>
      <c r="H57" s="489">
        <f t="shared" si="0"/>
        <v>0</v>
      </c>
      <c r="I57" s="431"/>
    </row>
    <row r="58" spans="1:9" s="145" customFormat="1">
      <c r="A58" s="554" t="s">
        <v>403</v>
      </c>
      <c r="B58" s="556" t="s">
        <v>486</v>
      </c>
      <c r="C58" s="434" t="s">
        <v>16</v>
      </c>
      <c r="D58" s="433">
        <v>0</v>
      </c>
      <c r="E58" s="429">
        <v>2473</v>
      </c>
      <c r="F58" s="429">
        <v>525</v>
      </c>
      <c r="G58" s="489">
        <f t="shared" si="0"/>
        <v>0</v>
      </c>
      <c r="H58" s="489">
        <f t="shared" si="0"/>
        <v>0</v>
      </c>
      <c r="I58" s="431"/>
    </row>
    <row r="59" spans="1:9" s="147" customFormat="1">
      <c r="A59" s="554" t="s">
        <v>404</v>
      </c>
      <c r="B59" s="556" t="s">
        <v>487</v>
      </c>
      <c r="C59" s="434" t="s">
        <v>16</v>
      </c>
      <c r="D59" s="433">
        <v>0</v>
      </c>
      <c r="E59" s="429">
        <v>2473</v>
      </c>
      <c r="F59" s="429">
        <v>525</v>
      </c>
      <c r="G59" s="489">
        <f t="shared" si="0"/>
        <v>0</v>
      </c>
      <c r="H59" s="489">
        <f t="shared" si="0"/>
        <v>0</v>
      </c>
      <c r="I59" s="431"/>
    </row>
    <row r="60" spans="1:9" s="145" customFormat="1">
      <c r="A60" s="554" t="s">
        <v>405</v>
      </c>
      <c r="B60" s="556" t="s">
        <v>488</v>
      </c>
      <c r="C60" s="434" t="s">
        <v>16</v>
      </c>
      <c r="D60" s="433">
        <v>0</v>
      </c>
      <c r="E60" s="429">
        <v>2473</v>
      </c>
      <c r="F60" s="429">
        <v>525</v>
      </c>
      <c r="G60" s="489">
        <f t="shared" si="0"/>
        <v>0</v>
      </c>
      <c r="H60" s="489">
        <f t="shared" si="0"/>
        <v>0</v>
      </c>
      <c r="I60" s="431"/>
    </row>
    <row r="61" spans="1:9" s="148" customFormat="1">
      <c r="A61" s="554" t="s">
        <v>491</v>
      </c>
      <c r="B61" s="556" t="s">
        <v>489</v>
      </c>
      <c r="C61" s="434" t="s">
        <v>16</v>
      </c>
      <c r="D61" s="433">
        <v>0</v>
      </c>
      <c r="E61" s="429">
        <v>2473</v>
      </c>
      <c r="F61" s="429">
        <v>525</v>
      </c>
      <c r="G61" s="489">
        <f t="shared" si="0"/>
        <v>0</v>
      </c>
      <c r="H61" s="489">
        <f t="shared" si="0"/>
        <v>0</v>
      </c>
      <c r="I61" s="431"/>
    </row>
    <row r="62" spans="1:9" s="148" customFormat="1">
      <c r="A62" s="554" t="s">
        <v>1442</v>
      </c>
      <c r="B62" s="556" t="s">
        <v>490</v>
      </c>
      <c r="C62" s="434" t="s">
        <v>16</v>
      </c>
      <c r="D62" s="433">
        <v>0</v>
      </c>
      <c r="E62" s="429">
        <v>5670</v>
      </c>
      <c r="F62" s="429">
        <v>750</v>
      </c>
      <c r="G62" s="489">
        <f t="shared" si="0"/>
        <v>0</v>
      </c>
      <c r="H62" s="489">
        <f t="shared" si="0"/>
        <v>0</v>
      </c>
      <c r="I62" s="449"/>
    </row>
    <row r="63" spans="1:9" s="148" customFormat="1">
      <c r="A63" s="554" t="s">
        <v>1443</v>
      </c>
      <c r="B63" s="556" t="s">
        <v>492</v>
      </c>
      <c r="C63" s="434" t="s">
        <v>16</v>
      </c>
      <c r="D63" s="433">
        <v>0</v>
      </c>
      <c r="E63" s="429">
        <v>5670</v>
      </c>
      <c r="F63" s="429">
        <v>750</v>
      </c>
      <c r="G63" s="489">
        <f t="shared" ref="G63:H63" si="1">IF($D63="","",IFERROR($D63*E63,""))</f>
        <v>0</v>
      </c>
      <c r="H63" s="489">
        <f t="shared" si="1"/>
        <v>0</v>
      </c>
      <c r="I63" s="431"/>
    </row>
    <row r="64" spans="1:9" s="148" customFormat="1">
      <c r="A64" s="554"/>
      <c r="B64" s="556"/>
      <c r="C64" s="434"/>
      <c r="D64" s="433"/>
      <c r="E64" s="429"/>
      <c r="F64" s="429"/>
      <c r="G64" s="489"/>
      <c r="H64" s="489"/>
      <c r="I64" s="431"/>
    </row>
    <row r="65" spans="1:9" s="148" customFormat="1" ht="43.5">
      <c r="A65" s="554" t="s">
        <v>1444</v>
      </c>
      <c r="B65" s="556" t="s">
        <v>1445</v>
      </c>
      <c r="C65" s="434" t="s">
        <v>16</v>
      </c>
      <c r="D65" s="433">
        <f>2*0</f>
        <v>0</v>
      </c>
      <c r="E65" s="429">
        <v>193750</v>
      </c>
      <c r="F65" s="429">
        <v>3750</v>
      </c>
      <c r="G65" s="489">
        <f t="shared" ref="G65:H68" si="2">IF($D65="","",IFERROR($D65*E65,""))</f>
        <v>0</v>
      </c>
      <c r="H65" s="489">
        <f t="shared" si="2"/>
        <v>0</v>
      </c>
      <c r="I65" s="449"/>
    </row>
    <row r="66" spans="1:9" s="148" customFormat="1" ht="43.5">
      <c r="A66" s="554" t="s">
        <v>2254</v>
      </c>
      <c r="B66" s="556" t="s">
        <v>2255</v>
      </c>
      <c r="C66" s="434" t="s">
        <v>16</v>
      </c>
      <c r="D66" s="433">
        <f>2*0</f>
        <v>0</v>
      </c>
      <c r="E66" s="429">
        <v>168750</v>
      </c>
      <c r="F66" s="429">
        <v>3750</v>
      </c>
      <c r="G66" s="489">
        <f t="shared" si="2"/>
        <v>0</v>
      </c>
      <c r="H66" s="489">
        <f t="shared" si="2"/>
        <v>0</v>
      </c>
      <c r="I66" s="449"/>
    </row>
    <row r="67" spans="1:9" s="148" customFormat="1" ht="43.5">
      <c r="A67" s="554" t="s">
        <v>2256</v>
      </c>
      <c r="B67" s="556" t="s">
        <v>2257</v>
      </c>
      <c r="C67" s="434" t="s">
        <v>16</v>
      </c>
      <c r="D67" s="433">
        <f>2*0</f>
        <v>0</v>
      </c>
      <c r="E67" s="429">
        <v>143750</v>
      </c>
      <c r="F67" s="429">
        <v>3750</v>
      </c>
      <c r="G67" s="489">
        <f t="shared" si="2"/>
        <v>0</v>
      </c>
      <c r="H67" s="489">
        <f t="shared" si="2"/>
        <v>0</v>
      </c>
      <c r="I67" s="449"/>
    </row>
    <row r="68" spans="1:9" s="148" customFormat="1" ht="29">
      <c r="A68" s="554" t="s">
        <v>2258</v>
      </c>
      <c r="B68" s="556" t="s">
        <v>2259</v>
      </c>
      <c r="C68" s="434" t="s">
        <v>16</v>
      </c>
      <c r="D68" s="433">
        <f>1*0</f>
        <v>0</v>
      </c>
      <c r="E68" s="429">
        <v>268750</v>
      </c>
      <c r="F68" s="429">
        <v>3750</v>
      </c>
      <c r="G68" s="489">
        <f t="shared" si="2"/>
        <v>0</v>
      </c>
      <c r="H68" s="489">
        <f t="shared" si="2"/>
        <v>0</v>
      </c>
      <c r="I68" s="449"/>
    </row>
    <row r="69" spans="1:9" s="148" customFormat="1">
      <c r="A69" s="557"/>
      <c r="B69" s="556"/>
      <c r="C69" s="434"/>
      <c r="D69" s="433"/>
      <c r="E69" s="429"/>
      <c r="F69" s="431"/>
      <c r="G69" s="489"/>
      <c r="H69" s="489"/>
      <c r="I69" s="431"/>
    </row>
    <row r="70" spans="1:9" s="148" customFormat="1">
      <c r="A70" s="430">
        <v>1.9</v>
      </c>
      <c r="B70" s="423" t="s">
        <v>493</v>
      </c>
      <c r="C70" s="429"/>
      <c r="D70" s="429"/>
      <c r="E70" s="429"/>
      <c r="F70" s="429"/>
      <c r="G70" s="431"/>
      <c r="H70" s="431"/>
      <c r="I70" s="431"/>
    </row>
    <row r="71" spans="1:9" s="148" customFormat="1" ht="58">
      <c r="A71" s="554" t="s">
        <v>385</v>
      </c>
      <c r="B71" s="558" t="s">
        <v>1447</v>
      </c>
      <c r="C71" s="434" t="s">
        <v>16</v>
      </c>
      <c r="D71" s="433" t="s">
        <v>828</v>
      </c>
      <c r="E71" s="429">
        <v>29375</v>
      </c>
      <c r="F71" s="429">
        <v>1250</v>
      </c>
      <c r="G71" s="489" t="str">
        <f t="shared" ref="G71:H72" si="3">IF($D71="","",IFERROR($D71*E71,""))</f>
        <v/>
      </c>
      <c r="H71" s="489" t="str">
        <f t="shared" si="3"/>
        <v/>
      </c>
      <c r="I71" s="449"/>
    </row>
    <row r="72" spans="1:9" s="148" customFormat="1" ht="58">
      <c r="A72" s="554" t="s">
        <v>387</v>
      </c>
      <c r="B72" s="559" t="s">
        <v>1449</v>
      </c>
      <c r="C72" s="434" t="s">
        <v>16</v>
      </c>
      <c r="D72" s="433">
        <v>2</v>
      </c>
      <c r="E72" s="429">
        <v>56875</v>
      </c>
      <c r="F72" s="429">
        <v>1250</v>
      </c>
      <c r="G72" s="489">
        <f t="shared" si="3"/>
        <v>113750</v>
      </c>
      <c r="H72" s="489">
        <f t="shared" si="3"/>
        <v>2500</v>
      </c>
      <c r="I72" s="449"/>
    </row>
    <row r="73" spans="1:9" s="148" customFormat="1">
      <c r="A73" s="450"/>
      <c r="B73" s="391"/>
      <c r="C73" s="393"/>
      <c r="D73" s="384"/>
      <c r="E73" s="385"/>
      <c r="F73" s="385"/>
      <c r="G73" s="386"/>
      <c r="H73" s="386"/>
      <c r="I73" s="386"/>
    </row>
    <row r="74" spans="1:9" s="148" customFormat="1">
      <c r="A74" s="451"/>
      <c r="B74" s="394" t="s">
        <v>494</v>
      </c>
      <c r="C74" s="394"/>
      <c r="D74" s="395"/>
      <c r="E74" s="395"/>
      <c r="F74" s="395"/>
      <c r="G74" s="395">
        <f>SUM(G7:G73)</f>
        <v>153326</v>
      </c>
      <c r="H74" s="395">
        <f>SUM(H7:H73)</f>
        <v>9250</v>
      </c>
      <c r="I74" s="395"/>
    </row>
    <row r="75" spans="1:9" s="148" customFormat="1">
      <c r="A75" s="384"/>
      <c r="B75" s="396"/>
      <c r="C75" s="383"/>
      <c r="D75" s="384"/>
      <c r="E75" s="385"/>
      <c r="F75" s="385"/>
      <c r="G75" s="386"/>
      <c r="H75" s="386"/>
      <c r="I75" s="386"/>
    </row>
    <row r="76" spans="1:9" s="148" customFormat="1">
      <c r="A76" s="560">
        <v>2</v>
      </c>
      <c r="B76" s="423" t="s">
        <v>495</v>
      </c>
      <c r="C76" s="434"/>
      <c r="D76" s="429"/>
      <c r="E76" s="429"/>
      <c r="F76" s="429"/>
      <c r="G76" s="431"/>
      <c r="H76" s="431"/>
      <c r="I76" s="431"/>
    </row>
    <row r="77" spans="1:9" s="148" customFormat="1" ht="116">
      <c r="A77" s="557"/>
      <c r="B77" s="561" t="s">
        <v>496</v>
      </c>
      <c r="C77" s="434"/>
      <c r="D77" s="429"/>
      <c r="E77" s="429"/>
      <c r="F77" s="429"/>
      <c r="G77" s="431"/>
      <c r="H77" s="431"/>
      <c r="I77" s="431"/>
    </row>
    <row r="78" spans="1:9" s="148" customFormat="1">
      <c r="A78" s="557"/>
      <c r="B78" s="561"/>
      <c r="C78" s="434"/>
      <c r="D78" s="429"/>
      <c r="E78" s="429"/>
      <c r="F78" s="429"/>
      <c r="G78" s="431"/>
      <c r="H78" s="431"/>
      <c r="I78" s="431"/>
    </row>
    <row r="79" spans="1:9" s="148" customFormat="1">
      <c r="A79" s="472" t="s">
        <v>385</v>
      </c>
      <c r="B79" s="423" t="s">
        <v>497</v>
      </c>
      <c r="C79" s="434" t="s">
        <v>16</v>
      </c>
      <c r="D79" s="433">
        <v>0</v>
      </c>
      <c r="E79" s="429">
        <v>27026</v>
      </c>
      <c r="F79" s="429">
        <v>1500</v>
      </c>
      <c r="G79" s="489">
        <f>IF($D79="","",IFERROR($D79*E79,""))</f>
        <v>0</v>
      </c>
      <c r="H79" s="489">
        <f>IF($D79="","",IFERROR($D79*F79,""))</f>
        <v>0</v>
      </c>
      <c r="I79" s="431"/>
    </row>
    <row r="80" spans="1:9" s="148" customFormat="1">
      <c r="A80" s="472"/>
      <c r="B80" s="562" t="s">
        <v>498</v>
      </c>
      <c r="C80" s="434"/>
      <c r="D80" s="429"/>
      <c r="E80" s="429"/>
      <c r="F80" s="429"/>
      <c r="G80" s="431"/>
      <c r="H80" s="431"/>
      <c r="I80" s="431"/>
    </row>
    <row r="81" spans="1:9" s="148" customFormat="1">
      <c r="A81" s="472"/>
      <c r="B81" s="562" t="s">
        <v>499</v>
      </c>
      <c r="C81" s="434"/>
      <c r="D81" s="429"/>
      <c r="E81" s="429"/>
      <c r="F81" s="429"/>
      <c r="G81" s="431"/>
      <c r="H81" s="431"/>
      <c r="I81" s="431"/>
    </row>
    <row r="82" spans="1:9" s="148" customFormat="1">
      <c r="A82" s="472"/>
      <c r="B82" s="562" t="s">
        <v>500</v>
      </c>
      <c r="C82" s="434"/>
      <c r="D82" s="429"/>
      <c r="E82" s="429"/>
      <c r="F82" s="429"/>
      <c r="G82" s="431"/>
      <c r="H82" s="431"/>
      <c r="I82" s="431"/>
    </row>
    <row r="83" spans="1:9" s="148" customFormat="1">
      <c r="A83" s="472"/>
      <c r="B83" s="562" t="s">
        <v>501</v>
      </c>
      <c r="C83" s="434"/>
      <c r="D83" s="429"/>
      <c r="E83" s="429"/>
      <c r="F83" s="429"/>
      <c r="G83" s="431"/>
      <c r="H83" s="431"/>
      <c r="I83" s="431"/>
    </row>
    <row r="84" spans="1:9" s="148" customFormat="1">
      <c r="A84" s="472"/>
      <c r="B84" s="562" t="s">
        <v>502</v>
      </c>
      <c r="C84" s="434"/>
      <c r="D84" s="429"/>
      <c r="E84" s="429"/>
      <c r="F84" s="429"/>
      <c r="G84" s="431"/>
      <c r="H84" s="431"/>
      <c r="I84" s="431"/>
    </row>
    <row r="85" spans="1:9" s="148" customFormat="1" ht="29">
      <c r="A85" s="472"/>
      <c r="B85" s="428" t="s">
        <v>503</v>
      </c>
      <c r="C85" s="434"/>
      <c r="D85" s="429"/>
      <c r="E85" s="429"/>
      <c r="F85" s="429"/>
      <c r="G85" s="431"/>
      <c r="H85" s="431"/>
      <c r="I85" s="431"/>
    </row>
    <row r="86" spans="1:9" s="148" customFormat="1">
      <c r="A86" s="472"/>
      <c r="B86" s="428"/>
      <c r="C86" s="434"/>
      <c r="D86" s="429"/>
      <c r="E86" s="429"/>
      <c r="F86" s="429"/>
      <c r="G86" s="431"/>
      <c r="H86" s="431"/>
      <c r="I86" s="431"/>
    </row>
    <row r="87" spans="1:9" s="148" customFormat="1">
      <c r="A87" s="472" t="s">
        <v>387</v>
      </c>
      <c r="B87" s="423" t="s">
        <v>504</v>
      </c>
      <c r="C87" s="434" t="s">
        <v>16</v>
      </c>
      <c r="D87" s="433">
        <v>0</v>
      </c>
      <c r="E87" s="429">
        <v>27881</v>
      </c>
      <c r="F87" s="429">
        <v>1975</v>
      </c>
      <c r="G87" s="489">
        <f>IF($D87="","",IFERROR($D87*E87,""))</f>
        <v>0</v>
      </c>
      <c r="H87" s="489">
        <f>IF($D87="","",IFERROR($D87*F87,""))</f>
        <v>0</v>
      </c>
      <c r="I87" s="431"/>
    </row>
    <row r="88" spans="1:9" s="148" customFormat="1">
      <c r="A88" s="472"/>
      <c r="B88" s="562" t="s">
        <v>498</v>
      </c>
      <c r="C88" s="434"/>
      <c r="D88" s="429"/>
      <c r="E88" s="429"/>
      <c r="F88" s="429"/>
      <c r="G88" s="431"/>
      <c r="H88" s="431"/>
      <c r="I88" s="431"/>
    </row>
    <row r="89" spans="1:9" s="148" customFormat="1">
      <c r="A89" s="472"/>
      <c r="B89" s="562" t="s">
        <v>505</v>
      </c>
      <c r="C89" s="434"/>
      <c r="D89" s="429"/>
      <c r="E89" s="429"/>
      <c r="F89" s="429"/>
      <c r="G89" s="431"/>
      <c r="H89" s="431"/>
      <c r="I89" s="431"/>
    </row>
    <row r="90" spans="1:9" s="148" customFormat="1">
      <c r="A90" s="472"/>
      <c r="B90" s="562" t="s">
        <v>522</v>
      </c>
      <c r="C90" s="434"/>
      <c r="D90" s="429"/>
      <c r="E90" s="429"/>
      <c r="F90" s="429"/>
      <c r="G90" s="431"/>
      <c r="H90" s="431"/>
      <c r="I90" s="431"/>
    </row>
    <row r="91" spans="1:9" s="148" customFormat="1">
      <c r="A91" s="472"/>
      <c r="B91" s="562" t="s">
        <v>507</v>
      </c>
      <c r="C91" s="434"/>
      <c r="D91" s="429"/>
      <c r="E91" s="429"/>
      <c r="F91" s="429"/>
      <c r="G91" s="431"/>
      <c r="H91" s="431"/>
      <c r="I91" s="431"/>
    </row>
    <row r="92" spans="1:9" s="148" customFormat="1">
      <c r="A92" s="472"/>
      <c r="B92" s="562" t="s">
        <v>508</v>
      </c>
      <c r="C92" s="434"/>
      <c r="D92" s="429"/>
      <c r="E92" s="429"/>
      <c r="F92" s="429"/>
      <c r="G92" s="431"/>
      <c r="H92" s="431"/>
      <c r="I92" s="431"/>
    </row>
    <row r="93" spans="1:9" s="148" customFormat="1" ht="29">
      <c r="A93" s="472"/>
      <c r="B93" s="428" t="s">
        <v>503</v>
      </c>
      <c r="C93" s="434"/>
      <c r="D93" s="429"/>
      <c r="E93" s="429"/>
      <c r="F93" s="429"/>
      <c r="G93" s="431"/>
      <c r="H93" s="431"/>
      <c r="I93" s="431"/>
    </row>
    <row r="94" spans="1:9" s="148" customFormat="1">
      <c r="A94" s="472"/>
      <c r="B94" s="428"/>
      <c r="C94" s="434"/>
      <c r="D94" s="429"/>
      <c r="E94" s="429"/>
      <c r="F94" s="429"/>
      <c r="G94" s="431"/>
      <c r="H94" s="431"/>
      <c r="I94" s="431"/>
    </row>
    <row r="95" spans="1:9" s="148" customFormat="1">
      <c r="A95" s="472" t="s">
        <v>388</v>
      </c>
      <c r="B95" s="423" t="s">
        <v>509</v>
      </c>
      <c r="C95" s="434" t="s">
        <v>16</v>
      </c>
      <c r="D95" s="433">
        <v>3</v>
      </c>
      <c r="E95" s="429">
        <v>38106</v>
      </c>
      <c r="F95" s="429">
        <v>1975</v>
      </c>
      <c r="G95" s="489">
        <f>IF($D95="","",IFERROR($D95*E95,""))</f>
        <v>114318</v>
      </c>
      <c r="H95" s="489">
        <f>IF($D95="","",IFERROR($D95*F95,""))</f>
        <v>5925</v>
      </c>
      <c r="I95" s="431"/>
    </row>
    <row r="96" spans="1:9" s="148" customFormat="1">
      <c r="A96" s="472"/>
      <c r="B96" s="562" t="s">
        <v>498</v>
      </c>
      <c r="C96" s="434"/>
      <c r="D96" s="429"/>
      <c r="E96" s="429"/>
      <c r="F96" s="429"/>
      <c r="G96" s="431"/>
      <c r="H96" s="431"/>
      <c r="I96" s="431"/>
    </row>
    <row r="97" spans="1:9" s="148" customFormat="1">
      <c r="A97" s="472"/>
      <c r="B97" s="562" t="s">
        <v>510</v>
      </c>
      <c r="C97" s="434"/>
      <c r="D97" s="429"/>
      <c r="E97" s="429"/>
      <c r="F97" s="429"/>
      <c r="G97" s="431"/>
      <c r="H97" s="431"/>
      <c r="I97" s="431"/>
    </row>
    <row r="98" spans="1:9" s="148" customFormat="1">
      <c r="A98" s="472"/>
      <c r="B98" s="562" t="s">
        <v>506</v>
      </c>
      <c r="C98" s="434"/>
      <c r="D98" s="429"/>
      <c r="E98" s="429"/>
      <c r="F98" s="429"/>
      <c r="G98" s="431"/>
      <c r="H98" s="431"/>
      <c r="I98" s="431"/>
    </row>
    <row r="99" spans="1:9" s="148" customFormat="1">
      <c r="A99" s="472"/>
      <c r="B99" s="562" t="s">
        <v>519</v>
      </c>
      <c r="C99" s="434"/>
      <c r="D99" s="429"/>
      <c r="E99" s="429"/>
      <c r="F99" s="429"/>
      <c r="G99" s="431"/>
      <c r="H99" s="431"/>
      <c r="I99" s="431"/>
    </row>
    <row r="100" spans="1:9" s="148" customFormat="1">
      <c r="A100" s="472"/>
      <c r="B100" s="562" t="s">
        <v>2260</v>
      </c>
      <c r="C100" s="434"/>
      <c r="D100" s="429"/>
      <c r="E100" s="429"/>
      <c r="F100" s="429"/>
      <c r="G100" s="431"/>
      <c r="H100" s="431"/>
      <c r="I100" s="431"/>
    </row>
    <row r="101" spans="1:9" s="148" customFormat="1" ht="29">
      <c r="A101" s="472"/>
      <c r="B101" s="428" t="s">
        <v>503</v>
      </c>
      <c r="C101" s="434"/>
      <c r="D101" s="429"/>
      <c r="E101" s="429"/>
      <c r="F101" s="429"/>
      <c r="G101" s="431"/>
      <c r="H101" s="431"/>
      <c r="I101" s="431"/>
    </row>
    <row r="102" spans="1:9" s="148" customFormat="1">
      <c r="A102" s="472"/>
      <c r="B102" s="428"/>
      <c r="C102" s="434"/>
      <c r="D102" s="429"/>
      <c r="E102" s="429"/>
      <c r="F102" s="429"/>
      <c r="G102" s="431"/>
      <c r="H102" s="431"/>
      <c r="I102" s="431"/>
    </row>
    <row r="103" spans="1:9" s="148" customFormat="1">
      <c r="A103" s="472" t="s">
        <v>389</v>
      </c>
      <c r="B103" s="423" t="s">
        <v>511</v>
      </c>
      <c r="C103" s="434" t="s">
        <v>16</v>
      </c>
      <c r="D103" s="433">
        <v>0</v>
      </c>
      <c r="E103" s="429">
        <v>32881</v>
      </c>
      <c r="F103" s="429">
        <v>1650</v>
      </c>
      <c r="G103" s="489">
        <f>IF($D103="","",IFERROR($D103*E103,""))</f>
        <v>0</v>
      </c>
      <c r="H103" s="489">
        <f>IF($D103="","",IFERROR($D103*F103,""))</f>
        <v>0</v>
      </c>
      <c r="I103" s="431"/>
    </row>
    <row r="104" spans="1:9" s="148" customFormat="1">
      <c r="A104" s="472"/>
      <c r="B104" s="562" t="s">
        <v>498</v>
      </c>
      <c r="C104" s="434"/>
      <c r="D104" s="429"/>
      <c r="E104" s="429"/>
      <c r="F104" s="429"/>
      <c r="G104" s="431"/>
      <c r="H104" s="431"/>
      <c r="I104" s="431"/>
    </row>
    <row r="105" spans="1:9" s="148" customFormat="1">
      <c r="A105" s="472"/>
      <c r="B105" s="562" t="s">
        <v>512</v>
      </c>
      <c r="C105" s="434"/>
      <c r="D105" s="429"/>
      <c r="E105" s="429"/>
      <c r="F105" s="429"/>
      <c r="G105" s="431"/>
      <c r="H105" s="431"/>
      <c r="I105" s="431"/>
    </row>
    <row r="106" spans="1:9" s="148" customFormat="1">
      <c r="A106" s="472"/>
      <c r="B106" s="562" t="s">
        <v>506</v>
      </c>
      <c r="C106" s="434"/>
      <c r="D106" s="429"/>
      <c r="E106" s="429"/>
      <c r="F106" s="429"/>
      <c r="G106" s="431"/>
      <c r="H106" s="431"/>
      <c r="I106" s="431"/>
    </row>
    <row r="107" spans="1:9" s="148" customFormat="1">
      <c r="A107" s="472"/>
      <c r="B107" s="562" t="s">
        <v>507</v>
      </c>
      <c r="C107" s="434"/>
      <c r="D107" s="429"/>
      <c r="E107" s="429"/>
      <c r="F107" s="429"/>
      <c r="G107" s="431"/>
      <c r="H107" s="431"/>
      <c r="I107" s="431"/>
    </row>
    <row r="108" spans="1:9" s="148" customFormat="1">
      <c r="A108" s="472"/>
      <c r="B108" s="562" t="s">
        <v>513</v>
      </c>
      <c r="C108" s="434"/>
      <c r="D108" s="429"/>
      <c r="E108" s="429"/>
      <c r="F108" s="429"/>
      <c r="G108" s="431"/>
      <c r="H108" s="431"/>
      <c r="I108" s="431"/>
    </row>
    <row r="109" spans="1:9" s="148" customFormat="1" ht="29">
      <c r="A109" s="472"/>
      <c r="B109" s="428" t="s">
        <v>514</v>
      </c>
      <c r="C109" s="434"/>
      <c r="D109" s="429"/>
      <c r="E109" s="429"/>
      <c r="F109" s="429"/>
      <c r="G109" s="431"/>
      <c r="H109" s="431"/>
      <c r="I109" s="431"/>
    </row>
    <row r="110" spans="1:9" s="148" customFormat="1">
      <c r="A110" s="472"/>
      <c r="B110" s="428"/>
      <c r="C110" s="434"/>
      <c r="D110" s="429"/>
      <c r="E110" s="429"/>
      <c r="F110" s="429"/>
      <c r="G110" s="431"/>
      <c r="H110" s="431"/>
      <c r="I110" s="431"/>
    </row>
    <row r="111" spans="1:9" s="148" customFormat="1">
      <c r="A111" s="472" t="s">
        <v>390</v>
      </c>
      <c r="B111" s="423" t="s">
        <v>515</v>
      </c>
      <c r="C111" s="434" t="s">
        <v>16</v>
      </c>
      <c r="D111" s="433">
        <v>0</v>
      </c>
      <c r="E111" s="429">
        <v>38106</v>
      </c>
      <c r="F111" s="429">
        <v>1800</v>
      </c>
      <c r="G111" s="489">
        <f>IF($D111="","",IFERROR($D111*E111,""))</f>
        <v>0</v>
      </c>
      <c r="H111" s="489">
        <f>IF($D111="","",IFERROR($D111*F111,""))</f>
        <v>0</v>
      </c>
      <c r="I111" s="431"/>
    </row>
    <row r="112" spans="1:9" s="148" customFormat="1">
      <c r="A112" s="472"/>
      <c r="B112" s="562" t="s">
        <v>498</v>
      </c>
      <c r="C112" s="434"/>
      <c r="D112" s="429"/>
      <c r="E112" s="429"/>
      <c r="F112" s="429"/>
      <c r="G112" s="431"/>
      <c r="H112" s="431"/>
      <c r="I112" s="431"/>
    </row>
    <row r="113" spans="1:9" s="148" customFormat="1">
      <c r="A113" s="472"/>
      <c r="B113" s="562" t="s">
        <v>516</v>
      </c>
      <c r="C113" s="434"/>
      <c r="D113" s="429"/>
      <c r="E113" s="429"/>
      <c r="F113" s="429"/>
      <c r="G113" s="431"/>
      <c r="H113" s="431"/>
      <c r="I113" s="431"/>
    </row>
    <row r="114" spans="1:9" s="148" customFormat="1">
      <c r="A114" s="472"/>
      <c r="B114" s="562" t="s">
        <v>506</v>
      </c>
      <c r="C114" s="434"/>
      <c r="D114" s="429"/>
      <c r="E114" s="429"/>
      <c r="F114" s="429"/>
      <c r="G114" s="431"/>
      <c r="H114" s="431"/>
      <c r="I114" s="431"/>
    </row>
    <row r="115" spans="1:9" s="148" customFormat="1">
      <c r="A115" s="472"/>
      <c r="B115" s="562" t="s">
        <v>507</v>
      </c>
      <c r="C115" s="434"/>
      <c r="D115" s="429"/>
      <c r="E115" s="429"/>
      <c r="F115" s="429"/>
      <c r="G115" s="431"/>
      <c r="H115" s="431"/>
      <c r="I115" s="431"/>
    </row>
    <row r="116" spans="1:9" s="148" customFormat="1">
      <c r="A116" s="472"/>
      <c r="B116" s="562" t="s">
        <v>517</v>
      </c>
      <c r="C116" s="434"/>
      <c r="D116" s="429"/>
      <c r="E116" s="429"/>
      <c r="F116" s="429"/>
      <c r="G116" s="431"/>
      <c r="H116" s="431"/>
      <c r="I116" s="431"/>
    </row>
    <row r="117" spans="1:9" s="148" customFormat="1" ht="29">
      <c r="A117" s="472"/>
      <c r="B117" s="428" t="s">
        <v>514</v>
      </c>
      <c r="C117" s="434"/>
      <c r="D117" s="429"/>
      <c r="E117" s="429"/>
      <c r="F117" s="429"/>
      <c r="G117" s="431"/>
      <c r="H117" s="431"/>
      <c r="I117" s="431"/>
    </row>
    <row r="118" spans="1:9" s="148" customFormat="1">
      <c r="A118" s="472"/>
      <c r="B118" s="428"/>
      <c r="C118" s="434"/>
      <c r="D118" s="429"/>
      <c r="E118" s="429"/>
      <c r="F118" s="429"/>
      <c r="G118" s="431"/>
      <c r="H118" s="431"/>
      <c r="I118" s="431"/>
    </row>
    <row r="119" spans="1:9" s="148" customFormat="1">
      <c r="A119" s="472" t="s">
        <v>391</v>
      </c>
      <c r="B119" s="423" t="s">
        <v>515</v>
      </c>
      <c r="C119" s="434" t="s">
        <v>16</v>
      </c>
      <c r="D119" s="433">
        <v>4</v>
      </c>
      <c r="E119" s="429">
        <v>33106</v>
      </c>
      <c r="F119" s="429">
        <v>2050</v>
      </c>
      <c r="G119" s="489">
        <f>IF($D119="","",IFERROR($D119*E119,""))</f>
        <v>132424</v>
      </c>
      <c r="H119" s="489">
        <f>IF($D119="","",IFERROR($D119*F119,""))</f>
        <v>8200</v>
      </c>
      <c r="I119" s="431"/>
    </row>
    <row r="120" spans="1:9" s="148" customFormat="1">
      <c r="A120" s="472"/>
      <c r="B120" s="562" t="s">
        <v>498</v>
      </c>
      <c r="C120" s="434"/>
      <c r="D120" s="429"/>
      <c r="E120" s="429"/>
      <c r="F120" s="429"/>
      <c r="G120" s="431"/>
      <c r="H120" s="431"/>
      <c r="I120" s="431"/>
    </row>
    <row r="121" spans="1:9" s="148" customFormat="1">
      <c r="A121" s="472"/>
      <c r="B121" s="562" t="s">
        <v>516</v>
      </c>
      <c r="C121" s="434"/>
      <c r="D121" s="429"/>
      <c r="E121" s="429"/>
      <c r="F121" s="429"/>
      <c r="G121" s="431"/>
      <c r="H121" s="431"/>
      <c r="I121" s="431"/>
    </row>
    <row r="122" spans="1:9" s="148" customFormat="1">
      <c r="A122" s="472"/>
      <c r="B122" s="562" t="s">
        <v>527</v>
      </c>
      <c r="C122" s="434"/>
      <c r="D122" s="429"/>
      <c r="E122" s="429"/>
      <c r="F122" s="429"/>
      <c r="G122" s="431"/>
      <c r="H122" s="431"/>
      <c r="I122" s="431"/>
    </row>
    <row r="123" spans="1:9" s="148" customFormat="1">
      <c r="A123" s="472"/>
      <c r="B123" s="562" t="s">
        <v>519</v>
      </c>
      <c r="C123" s="434"/>
      <c r="D123" s="429"/>
      <c r="E123" s="429"/>
      <c r="F123" s="429"/>
      <c r="G123" s="431"/>
      <c r="H123" s="431"/>
      <c r="I123" s="431"/>
    </row>
    <row r="124" spans="1:9" s="148" customFormat="1">
      <c r="A124" s="472"/>
      <c r="B124" s="562" t="s">
        <v>2261</v>
      </c>
      <c r="C124" s="434"/>
      <c r="D124" s="429"/>
      <c r="E124" s="429"/>
      <c r="F124" s="429"/>
      <c r="G124" s="431"/>
      <c r="H124" s="431"/>
      <c r="I124" s="431"/>
    </row>
    <row r="125" spans="1:9" s="148" customFormat="1" ht="29">
      <c r="A125" s="472"/>
      <c r="B125" s="428" t="s">
        <v>514</v>
      </c>
      <c r="C125" s="434"/>
      <c r="D125" s="429"/>
      <c r="E125" s="429"/>
      <c r="F125" s="429"/>
      <c r="G125" s="431"/>
      <c r="H125" s="431"/>
      <c r="I125" s="431"/>
    </row>
    <row r="126" spans="1:9" s="148" customFormat="1">
      <c r="A126" s="472"/>
      <c r="B126" s="428"/>
      <c r="C126" s="434"/>
      <c r="D126" s="429"/>
      <c r="E126" s="429"/>
      <c r="F126" s="429"/>
      <c r="G126" s="431"/>
      <c r="H126" s="431"/>
      <c r="I126" s="431"/>
    </row>
    <row r="127" spans="1:9" s="148" customFormat="1">
      <c r="A127" s="472" t="s">
        <v>392</v>
      </c>
      <c r="B127" s="423" t="s">
        <v>520</v>
      </c>
      <c r="C127" s="434" t="s">
        <v>16</v>
      </c>
      <c r="D127" s="433">
        <v>1</v>
      </c>
      <c r="E127" s="429">
        <v>43384</v>
      </c>
      <c r="F127" s="429">
        <v>1650</v>
      </c>
      <c r="G127" s="489">
        <f>IF($D127="","",IFERROR($D127*E127,""))</f>
        <v>43384</v>
      </c>
      <c r="H127" s="489">
        <f>IF($D127="","",IFERROR($D127*F127,""))</f>
        <v>1650</v>
      </c>
      <c r="I127" s="431"/>
    </row>
    <row r="128" spans="1:9" s="148" customFormat="1">
      <c r="A128" s="472"/>
      <c r="B128" s="562" t="s">
        <v>498</v>
      </c>
      <c r="C128" s="434"/>
      <c r="D128" s="429"/>
      <c r="E128" s="429"/>
      <c r="F128" s="429"/>
      <c r="G128" s="431"/>
      <c r="H128" s="431"/>
      <c r="I128" s="431"/>
    </row>
    <row r="129" spans="1:9" s="148" customFormat="1">
      <c r="A129" s="472"/>
      <c r="B129" s="562" t="s">
        <v>521</v>
      </c>
      <c r="C129" s="434"/>
      <c r="D129" s="429"/>
      <c r="E129" s="429"/>
      <c r="F129" s="429"/>
      <c r="G129" s="431"/>
      <c r="H129" s="431"/>
      <c r="I129" s="431"/>
    </row>
    <row r="130" spans="1:9" s="148" customFormat="1">
      <c r="A130" s="472"/>
      <c r="B130" s="562" t="s">
        <v>522</v>
      </c>
      <c r="C130" s="434"/>
      <c r="D130" s="429"/>
      <c r="E130" s="429"/>
      <c r="F130" s="429"/>
      <c r="G130" s="431"/>
      <c r="H130" s="431"/>
      <c r="I130" s="431"/>
    </row>
    <row r="131" spans="1:9" s="148" customFormat="1">
      <c r="A131" s="472"/>
      <c r="B131" s="562" t="s">
        <v>523</v>
      </c>
      <c r="C131" s="434"/>
      <c r="D131" s="429"/>
      <c r="E131" s="429"/>
      <c r="F131" s="429"/>
      <c r="G131" s="431"/>
      <c r="H131" s="431"/>
      <c r="I131" s="431"/>
    </row>
    <row r="132" spans="1:9" s="148" customFormat="1">
      <c r="A132" s="472"/>
      <c r="B132" s="562" t="s">
        <v>524</v>
      </c>
      <c r="C132" s="434"/>
      <c r="D132" s="429"/>
      <c r="E132" s="429"/>
      <c r="F132" s="429"/>
      <c r="G132" s="431"/>
      <c r="H132" s="431"/>
      <c r="I132" s="431"/>
    </row>
    <row r="133" spans="1:9" s="148" customFormat="1" ht="29">
      <c r="A133" s="472"/>
      <c r="B133" s="428" t="s">
        <v>525</v>
      </c>
      <c r="C133" s="434"/>
      <c r="D133" s="429"/>
      <c r="E133" s="429"/>
      <c r="F133" s="429"/>
      <c r="G133" s="431"/>
      <c r="H133" s="431"/>
      <c r="I133" s="431"/>
    </row>
    <row r="134" spans="1:9" s="148" customFormat="1">
      <c r="A134" s="472"/>
      <c r="B134" s="428"/>
      <c r="C134" s="434"/>
      <c r="D134" s="429"/>
      <c r="E134" s="429"/>
      <c r="F134" s="429"/>
      <c r="G134" s="431"/>
      <c r="H134" s="431"/>
      <c r="I134" s="431"/>
    </row>
    <row r="135" spans="1:9" s="148" customFormat="1">
      <c r="A135" s="472" t="s">
        <v>1450</v>
      </c>
      <c r="B135" s="423" t="s">
        <v>1451</v>
      </c>
      <c r="C135" s="434" t="s">
        <v>16</v>
      </c>
      <c r="D135" s="433">
        <v>0</v>
      </c>
      <c r="E135" s="429">
        <v>32134</v>
      </c>
      <c r="F135" s="429">
        <v>1900</v>
      </c>
      <c r="G135" s="489">
        <f>IF($D135="","",IFERROR($D135*E135,""))</f>
        <v>0</v>
      </c>
      <c r="H135" s="489">
        <f>IF($D135="","",IFERROR($D135*F135,""))</f>
        <v>0</v>
      </c>
      <c r="I135" s="431"/>
    </row>
    <row r="136" spans="1:9" s="148" customFormat="1">
      <c r="A136" s="472"/>
      <c r="B136" s="562" t="s">
        <v>498</v>
      </c>
      <c r="C136" s="434"/>
      <c r="D136" s="429"/>
      <c r="E136" s="429"/>
      <c r="F136" s="429"/>
      <c r="G136" s="431"/>
      <c r="H136" s="431"/>
      <c r="I136" s="431"/>
    </row>
    <row r="137" spans="1:9" s="148" customFormat="1">
      <c r="A137" s="472"/>
      <c r="B137" s="562" t="s">
        <v>1452</v>
      </c>
      <c r="C137" s="434"/>
      <c r="D137" s="429"/>
      <c r="E137" s="429"/>
      <c r="F137" s="429"/>
      <c r="G137" s="431"/>
      <c r="H137" s="431"/>
      <c r="I137" s="431"/>
    </row>
    <row r="138" spans="1:9" s="148" customFormat="1">
      <c r="A138" s="472"/>
      <c r="B138" s="562" t="s">
        <v>522</v>
      </c>
      <c r="C138" s="434"/>
      <c r="D138" s="429"/>
      <c r="E138" s="429"/>
      <c r="F138" s="429"/>
      <c r="G138" s="431"/>
      <c r="H138" s="431"/>
      <c r="I138" s="431"/>
    </row>
    <row r="139" spans="1:9" s="148" customFormat="1">
      <c r="A139" s="472"/>
      <c r="B139" s="562" t="s">
        <v>523</v>
      </c>
      <c r="C139" s="434"/>
      <c r="D139" s="429"/>
      <c r="E139" s="429"/>
      <c r="F139" s="429"/>
      <c r="G139" s="431"/>
      <c r="H139" s="431"/>
      <c r="I139" s="431"/>
    </row>
    <row r="140" spans="1:9" s="148" customFormat="1">
      <c r="A140" s="472"/>
      <c r="B140" s="562" t="s">
        <v>524</v>
      </c>
      <c r="C140" s="434"/>
      <c r="D140" s="429"/>
      <c r="E140" s="429"/>
      <c r="F140" s="429"/>
      <c r="G140" s="431"/>
      <c r="H140" s="431"/>
      <c r="I140" s="431"/>
    </row>
    <row r="141" spans="1:9" s="148" customFormat="1" ht="29">
      <c r="A141" s="472"/>
      <c r="B141" s="428" t="s">
        <v>525</v>
      </c>
      <c r="C141" s="434"/>
      <c r="D141" s="429"/>
      <c r="E141" s="429"/>
      <c r="F141" s="429"/>
      <c r="G141" s="431"/>
      <c r="H141" s="431"/>
      <c r="I141" s="431"/>
    </row>
    <row r="142" spans="1:9" s="148" customFormat="1">
      <c r="A142" s="472"/>
      <c r="B142" s="428"/>
      <c r="C142" s="434"/>
      <c r="D142" s="429"/>
      <c r="E142" s="429"/>
      <c r="F142" s="429"/>
      <c r="G142" s="431"/>
      <c r="H142" s="431"/>
      <c r="I142" s="431"/>
    </row>
    <row r="143" spans="1:9" s="148" customFormat="1">
      <c r="A143" s="472" t="s">
        <v>1453</v>
      </c>
      <c r="B143" s="423" t="s">
        <v>1454</v>
      </c>
      <c r="C143" s="434" t="s">
        <v>16</v>
      </c>
      <c r="D143" s="433">
        <v>0</v>
      </c>
      <c r="E143" s="429">
        <v>32014</v>
      </c>
      <c r="F143" s="429">
        <v>1900</v>
      </c>
      <c r="G143" s="489">
        <f>IF($D143="","",IFERROR($D143*E143,""))</f>
        <v>0</v>
      </c>
      <c r="H143" s="489">
        <f>IF($D143="","",IFERROR($D143*F143,""))</f>
        <v>0</v>
      </c>
      <c r="I143" s="431"/>
    </row>
    <row r="144" spans="1:9" s="148" customFormat="1">
      <c r="A144" s="472"/>
      <c r="B144" s="562" t="s">
        <v>498</v>
      </c>
      <c r="C144" s="434"/>
      <c r="D144" s="429"/>
      <c r="E144" s="429"/>
      <c r="F144" s="429"/>
      <c r="G144" s="431"/>
      <c r="H144" s="431"/>
      <c r="I144" s="431"/>
    </row>
    <row r="145" spans="1:9" s="148" customFormat="1">
      <c r="A145" s="472"/>
      <c r="B145" s="562" t="s">
        <v>1455</v>
      </c>
      <c r="C145" s="434"/>
      <c r="D145" s="429"/>
      <c r="E145" s="429"/>
      <c r="F145" s="429"/>
      <c r="G145" s="431"/>
      <c r="H145" s="431"/>
      <c r="I145" s="431"/>
    </row>
    <row r="146" spans="1:9" s="148" customFormat="1">
      <c r="A146" s="472"/>
      <c r="B146" s="562" t="s">
        <v>1456</v>
      </c>
      <c r="C146" s="434"/>
      <c r="D146" s="429"/>
      <c r="E146" s="429"/>
      <c r="F146" s="429"/>
      <c r="G146" s="431"/>
      <c r="H146" s="431"/>
      <c r="I146" s="431"/>
    </row>
    <row r="147" spans="1:9" s="148" customFormat="1">
      <c r="A147" s="472"/>
      <c r="B147" s="562" t="s">
        <v>1457</v>
      </c>
      <c r="C147" s="434"/>
      <c r="D147" s="429"/>
      <c r="E147" s="429"/>
      <c r="F147" s="429"/>
      <c r="G147" s="431"/>
      <c r="H147" s="431"/>
      <c r="I147" s="431"/>
    </row>
    <row r="148" spans="1:9" s="148" customFormat="1">
      <c r="A148" s="472"/>
      <c r="B148" s="562" t="s">
        <v>524</v>
      </c>
      <c r="C148" s="434"/>
      <c r="D148" s="429"/>
      <c r="E148" s="429"/>
      <c r="F148" s="429"/>
      <c r="G148" s="431"/>
      <c r="H148" s="431"/>
      <c r="I148" s="431"/>
    </row>
    <row r="149" spans="1:9" s="148" customFormat="1" ht="29">
      <c r="A149" s="472"/>
      <c r="B149" s="428" t="s">
        <v>525</v>
      </c>
      <c r="C149" s="434"/>
      <c r="D149" s="429"/>
      <c r="E149" s="429"/>
      <c r="F149" s="429"/>
      <c r="G149" s="431"/>
      <c r="H149" s="431"/>
      <c r="I149" s="431"/>
    </row>
    <row r="150" spans="1:9" s="148" customFormat="1">
      <c r="A150" s="472"/>
      <c r="B150" s="428"/>
      <c r="C150" s="434"/>
      <c r="D150" s="429"/>
      <c r="E150" s="429"/>
      <c r="F150" s="429"/>
      <c r="G150" s="431"/>
      <c r="H150" s="431"/>
      <c r="I150" s="431"/>
    </row>
    <row r="151" spans="1:9" s="148" customFormat="1">
      <c r="A151" s="472" t="s">
        <v>393</v>
      </c>
      <c r="B151" s="423" t="s">
        <v>526</v>
      </c>
      <c r="C151" s="434" t="s">
        <v>16</v>
      </c>
      <c r="D151" s="433">
        <v>5</v>
      </c>
      <c r="E151" s="429">
        <v>33548</v>
      </c>
      <c r="F151" s="429">
        <v>2050</v>
      </c>
      <c r="G151" s="489">
        <f>IF($D151="","",IFERROR($D151*E151,""))</f>
        <v>167740</v>
      </c>
      <c r="H151" s="489">
        <f>IF($D151="","",IFERROR($D151*F151,""))</f>
        <v>10250</v>
      </c>
      <c r="I151" s="431"/>
    </row>
    <row r="152" spans="1:9" s="148" customFormat="1">
      <c r="A152" s="472"/>
      <c r="B152" s="562" t="s">
        <v>498</v>
      </c>
      <c r="C152" s="434"/>
      <c r="D152" s="429"/>
      <c r="E152" s="429"/>
      <c r="F152" s="429"/>
      <c r="G152" s="431"/>
      <c r="H152" s="431"/>
      <c r="I152" s="431"/>
    </row>
    <row r="153" spans="1:9" s="148" customFormat="1">
      <c r="A153" s="472"/>
      <c r="B153" s="562" t="s">
        <v>516</v>
      </c>
      <c r="C153" s="434"/>
      <c r="D153" s="429"/>
      <c r="E153" s="429"/>
      <c r="F153" s="429"/>
      <c r="G153" s="431"/>
      <c r="H153" s="431"/>
      <c r="I153" s="431"/>
    </row>
    <row r="154" spans="1:9" s="148" customFormat="1">
      <c r="A154" s="472"/>
      <c r="B154" s="562" t="s">
        <v>527</v>
      </c>
      <c r="C154" s="434"/>
      <c r="D154" s="429"/>
      <c r="E154" s="429"/>
      <c r="F154" s="429"/>
      <c r="G154" s="431"/>
      <c r="H154" s="431"/>
      <c r="I154" s="431"/>
    </row>
    <row r="155" spans="1:9" s="148" customFormat="1">
      <c r="A155" s="472"/>
      <c r="B155" s="562" t="s">
        <v>528</v>
      </c>
      <c r="C155" s="434"/>
      <c r="D155" s="429"/>
      <c r="E155" s="429"/>
      <c r="F155" s="429"/>
      <c r="G155" s="431"/>
      <c r="H155" s="431"/>
      <c r="I155" s="431"/>
    </row>
    <row r="156" spans="1:9" s="148" customFormat="1">
      <c r="A156" s="472"/>
      <c r="B156" s="562" t="s">
        <v>2262</v>
      </c>
      <c r="C156" s="434"/>
      <c r="D156" s="429"/>
      <c r="E156" s="429"/>
      <c r="F156" s="429"/>
      <c r="G156" s="431"/>
      <c r="H156" s="431"/>
      <c r="I156" s="431"/>
    </row>
    <row r="157" spans="1:9" s="148" customFormat="1" ht="29">
      <c r="A157" s="472"/>
      <c r="B157" s="428" t="s">
        <v>525</v>
      </c>
      <c r="C157" s="434"/>
      <c r="D157" s="429"/>
      <c r="E157" s="429"/>
      <c r="F157" s="429"/>
      <c r="G157" s="431"/>
      <c r="H157" s="431"/>
      <c r="I157" s="431"/>
    </row>
    <row r="158" spans="1:9" s="148" customFormat="1">
      <c r="A158" s="472"/>
      <c r="B158" s="428"/>
      <c r="C158" s="434"/>
      <c r="D158" s="429"/>
      <c r="E158" s="429"/>
      <c r="F158" s="429"/>
      <c r="G158" s="431"/>
      <c r="H158" s="431"/>
      <c r="I158" s="431"/>
    </row>
    <row r="159" spans="1:9" s="148" customFormat="1">
      <c r="A159" s="472" t="s">
        <v>394</v>
      </c>
      <c r="B159" s="424" t="s">
        <v>2263</v>
      </c>
      <c r="C159" s="434" t="s">
        <v>16</v>
      </c>
      <c r="D159" s="433">
        <v>1</v>
      </c>
      <c r="E159" s="429">
        <v>10625</v>
      </c>
      <c r="F159" s="429">
        <v>938</v>
      </c>
      <c r="G159" s="489">
        <f>IF($D159="","",IFERROR($D159*E159,""))</f>
        <v>10625</v>
      </c>
      <c r="H159" s="489">
        <f>IF($D159="","",IFERROR($D159*F159,""))</f>
        <v>938</v>
      </c>
      <c r="I159" s="431"/>
    </row>
    <row r="160" spans="1:9" s="148" customFormat="1">
      <c r="A160" s="472"/>
      <c r="B160" s="562" t="s">
        <v>498</v>
      </c>
      <c r="C160" s="434"/>
      <c r="D160" s="429"/>
      <c r="E160" s="429"/>
      <c r="F160" s="429"/>
      <c r="G160" s="431"/>
      <c r="H160" s="431"/>
      <c r="I160" s="431"/>
    </row>
    <row r="161" spans="1:9" s="148" customFormat="1">
      <c r="A161" s="472"/>
      <c r="B161" s="562" t="s">
        <v>2264</v>
      </c>
      <c r="C161" s="434"/>
      <c r="D161" s="429"/>
      <c r="E161" s="429"/>
      <c r="F161" s="429"/>
      <c r="G161" s="431"/>
      <c r="H161" s="431"/>
      <c r="I161" s="431"/>
    </row>
    <row r="162" spans="1:9" s="148" customFormat="1">
      <c r="A162" s="472"/>
      <c r="B162" s="562" t="s">
        <v>1458</v>
      </c>
      <c r="C162" s="434"/>
      <c r="D162" s="429"/>
      <c r="E162" s="429"/>
      <c r="F162" s="429"/>
      <c r="G162" s="431"/>
      <c r="H162" s="431"/>
      <c r="I162" s="431"/>
    </row>
    <row r="163" spans="1:9" s="148" customFormat="1">
      <c r="A163" s="472"/>
      <c r="B163" s="562" t="s">
        <v>2265</v>
      </c>
      <c r="C163" s="434"/>
      <c r="D163" s="429"/>
      <c r="E163" s="429"/>
      <c r="F163" s="429"/>
      <c r="G163" s="431"/>
      <c r="H163" s="431"/>
      <c r="I163" s="431"/>
    </row>
    <row r="164" spans="1:9" s="146" customFormat="1" ht="29">
      <c r="A164" s="472"/>
      <c r="B164" s="428" t="s">
        <v>529</v>
      </c>
      <c r="C164" s="434"/>
      <c r="D164" s="429"/>
      <c r="E164" s="429"/>
      <c r="F164" s="429"/>
      <c r="G164" s="431"/>
      <c r="H164" s="431"/>
      <c r="I164" s="431"/>
    </row>
    <row r="165" spans="1:9" s="148" customFormat="1">
      <c r="A165" s="472"/>
      <c r="B165" s="428"/>
      <c r="C165" s="434"/>
      <c r="D165" s="429"/>
      <c r="E165" s="429"/>
      <c r="F165" s="429"/>
      <c r="G165" s="431"/>
      <c r="H165" s="431"/>
      <c r="I165" s="431"/>
    </row>
    <row r="166" spans="1:9" s="148" customFormat="1">
      <c r="A166" s="472" t="s">
        <v>397</v>
      </c>
      <c r="B166" s="424" t="s">
        <v>530</v>
      </c>
      <c r="C166" s="434" t="s">
        <v>16</v>
      </c>
      <c r="D166" s="433">
        <v>3</v>
      </c>
      <c r="E166" s="429">
        <v>10916</v>
      </c>
      <c r="F166" s="429">
        <v>975</v>
      </c>
      <c r="G166" s="489">
        <f>IF($D166="","",IFERROR($D166*E166,""))</f>
        <v>32748</v>
      </c>
      <c r="H166" s="489">
        <f>IF($D166="","",IFERROR($D166*F166,""))</f>
        <v>2925</v>
      </c>
      <c r="I166" s="431"/>
    </row>
    <row r="167" spans="1:9" s="148" customFormat="1">
      <c r="A167" s="472"/>
      <c r="B167" s="562" t="s">
        <v>498</v>
      </c>
      <c r="C167" s="434"/>
      <c r="D167" s="429"/>
      <c r="E167" s="429"/>
      <c r="F167" s="429"/>
      <c r="G167" s="431"/>
      <c r="H167" s="431"/>
      <c r="I167" s="431"/>
    </row>
    <row r="168" spans="1:9" s="148" customFormat="1">
      <c r="A168" s="472"/>
      <c r="B168" s="562" t="s">
        <v>531</v>
      </c>
      <c r="C168" s="434"/>
      <c r="D168" s="429"/>
      <c r="E168" s="429"/>
      <c r="F168" s="429"/>
      <c r="G168" s="431"/>
      <c r="H168" s="431"/>
      <c r="I168" s="431"/>
    </row>
    <row r="169" spans="1:9" s="148" customFormat="1">
      <c r="A169" s="472"/>
      <c r="B169" s="562" t="s">
        <v>2266</v>
      </c>
      <c r="C169" s="434"/>
      <c r="D169" s="429"/>
      <c r="E169" s="429"/>
      <c r="F169" s="429"/>
      <c r="G169" s="431"/>
      <c r="H169" s="431"/>
      <c r="I169" s="431"/>
    </row>
    <row r="170" spans="1:9" s="148" customFormat="1">
      <c r="A170" s="472"/>
      <c r="B170" s="562" t="s">
        <v>1459</v>
      </c>
      <c r="C170" s="434"/>
      <c r="D170" s="429"/>
      <c r="E170" s="429"/>
      <c r="F170" s="429"/>
      <c r="G170" s="431"/>
      <c r="H170" s="431"/>
      <c r="I170" s="431"/>
    </row>
    <row r="171" spans="1:9" s="148" customFormat="1" ht="29">
      <c r="A171" s="472"/>
      <c r="B171" s="428" t="s">
        <v>529</v>
      </c>
      <c r="C171" s="434"/>
      <c r="D171" s="429"/>
      <c r="E171" s="429"/>
      <c r="F171" s="429"/>
      <c r="G171" s="431"/>
      <c r="H171" s="431"/>
      <c r="I171" s="431"/>
    </row>
    <row r="172" spans="1:9" s="146" customFormat="1">
      <c r="A172" s="472"/>
      <c r="B172" s="428"/>
      <c r="C172" s="434"/>
      <c r="D172" s="429"/>
      <c r="E172" s="429"/>
      <c r="F172" s="429"/>
      <c r="G172" s="431"/>
      <c r="H172" s="431"/>
      <c r="I172" s="431"/>
    </row>
    <row r="173" spans="1:9" s="148" customFormat="1">
      <c r="A173" s="472" t="s">
        <v>398</v>
      </c>
      <c r="B173" s="424" t="s">
        <v>532</v>
      </c>
      <c r="C173" s="434" t="s">
        <v>16</v>
      </c>
      <c r="D173" s="433">
        <v>0</v>
      </c>
      <c r="E173" s="429">
        <v>22499</v>
      </c>
      <c r="F173" s="429">
        <v>1725</v>
      </c>
      <c r="G173" s="489">
        <f>IF($D173="","",IFERROR($D173*E173,""))</f>
        <v>0</v>
      </c>
      <c r="H173" s="489">
        <f>IF($D173="","",IFERROR($D173*F173,""))</f>
        <v>0</v>
      </c>
      <c r="I173" s="431"/>
    </row>
    <row r="174" spans="1:9" s="148" customFormat="1">
      <c r="A174" s="472"/>
      <c r="B174" s="562" t="s">
        <v>498</v>
      </c>
      <c r="C174" s="434"/>
      <c r="D174" s="429"/>
      <c r="E174" s="429"/>
      <c r="F174" s="429"/>
      <c r="G174" s="431"/>
      <c r="H174" s="431"/>
      <c r="I174" s="431"/>
    </row>
    <row r="175" spans="1:9" s="148" customFormat="1">
      <c r="A175" s="472"/>
      <c r="B175" s="562" t="s">
        <v>533</v>
      </c>
      <c r="C175" s="434"/>
      <c r="D175" s="429"/>
      <c r="E175" s="429"/>
      <c r="F175" s="429"/>
      <c r="G175" s="431"/>
      <c r="H175" s="431"/>
      <c r="I175" s="431"/>
    </row>
    <row r="176" spans="1:9" s="148" customFormat="1">
      <c r="A176" s="472"/>
      <c r="B176" s="562" t="s">
        <v>518</v>
      </c>
      <c r="C176" s="434"/>
      <c r="D176" s="429"/>
      <c r="E176" s="429"/>
      <c r="F176" s="429"/>
      <c r="G176" s="431"/>
      <c r="H176" s="431"/>
      <c r="I176" s="431"/>
    </row>
    <row r="177" spans="1:9" s="148" customFormat="1">
      <c r="A177" s="472"/>
      <c r="B177" s="562" t="s">
        <v>534</v>
      </c>
      <c r="C177" s="434"/>
      <c r="D177" s="429"/>
      <c r="E177" s="429"/>
      <c r="F177" s="429"/>
      <c r="G177" s="431"/>
      <c r="H177" s="431"/>
      <c r="I177" s="431"/>
    </row>
    <row r="178" spans="1:9" s="148" customFormat="1" ht="29">
      <c r="A178" s="472"/>
      <c r="B178" s="428" t="s">
        <v>529</v>
      </c>
      <c r="C178" s="434"/>
      <c r="D178" s="429"/>
      <c r="E178" s="429"/>
      <c r="F178" s="429"/>
      <c r="G178" s="431"/>
      <c r="H178" s="431"/>
      <c r="I178" s="431"/>
    </row>
    <row r="179" spans="1:9" s="148" customFormat="1">
      <c r="A179" s="476"/>
      <c r="B179" s="428"/>
      <c r="C179" s="563"/>
      <c r="D179" s="476"/>
      <c r="E179" s="429"/>
      <c r="F179" s="429"/>
      <c r="G179" s="432"/>
      <c r="H179" s="432"/>
      <c r="I179" s="432"/>
    </row>
    <row r="180" spans="1:9" s="148" customFormat="1">
      <c r="A180" s="472" t="s">
        <v>399</v>
      </c>
      <c r="B180" s="424" t="s">
        <v>535</v>
      </c>
      <c r="C180" s="434" t="s">
        <v>16</v>
      </c>
      <c r="D180" s="433">
        <v>0</v>
      </c>
      <c r="E180" s="429">
        <v>28926</v>
      </c>
      <c r="F180" s="429">
        <v>1950</v>
      </c>
      <c r="G180" s="489">
        <f>IF($D180="","",IFERROR($D180*E180,""))</f>
        <v>0</v>
      </c>
      <c r="H180" s="489">
        <f>IF($D180="","",IFERROR($D180*F180,""))</f>
        <v>0</v>
      </c>
      <c r="I180" s="431"/>
    </row>
    <row r="181" spans="1:9" s="148" customFormat="1">
      <c r="A181" s="472"/>
      <c r="B181" s="562" t="s">
        <v>498</v>
      </c>
      <c r="C181" s="434"/>
      <c r="D181" s="429"/>
      <c r="E181" s="429"/>
      <c r="F181" s="429"/>
      <c r="G181" s="431"/>
      <c r="H181" s="431"/>
      <c r="I181" s="431"/>
    </row>
    <row r="182" spans="1:9" s="148" customFormat="1">
      <c r="A182" s="472"/>
      <c r="B182" s="562" t="s">
        <v>536</v>
      </c>
      <c r="C182" s="434"/>
      <c r="D182" s="429"/>
      <c r="E182" s="429"/>
      <c r="F182" s="429"/>
      <c r="G182" s="431"/>
      <c r="H182" s="431"/>
      <c r="I182" s="431"/>
    </row>
    <row r="183" spans="1:9" s="148" customFormat="1">
      <c r="A183" s="472"/>
      <c r="B183" s="562" t="s">
        <v>518</v>
      </c>
      <c r="C183" s="434"/>
      <c r="D183" s="429"/>
      <c r="E183" s="429"/>
      <c r="F183" s="429"/>
      <c r="G183" s="431"/>
      <c r="H183" s="431"/>
      <c r="I183" s="431"/>
    </row>
    <row r="184" spans="1:9" s="148" customFormat="1">
      <c r="A184" s="472"/>
      <c r="B184" s="562" t="s">
        <v>537</v>
      </c>
      <c r="C184" s="434"/>
      <c r="D184" s="429"/>
      <c r="E184" s="429"/>
      <c r="F184" s="429"/>
      <c r="G184" s="431"/>
      <c r="H184" s="431"/>
      <c r="I184" s="431"/>
    </row>
    <row r="185" spans="1:9" s="148" customFormat="1">
      <c r="A185" s="472"/>
      <c r="B185" s="562" t="s">
        <v>538</v>
      </c>
      <c r="C185" s="434"/>
      <c r="D185" s="429"/>
      <c r="E185" s="429"/>
      <c r="F185" s="429"/>
      <c r="G185" s="431"/>
      <c r="H185" s="431"/>
      <c r="I185" s="431"/>
    </row>
    <row r="186" spans="1:9" s="148" customFormat="1" ht="29">
      <c r="A186" s="472"/>
      <c r="B186" s="428" t="s">
        <v>529</v>
      </c>
      <c r="C186" s="434"/>
      <c r="D186" s="429"/>
      <c r="E186" s="429"/>
      <c r="F186" s="429"/>
      <c r="G186" s="431"/>
      <c r="H186" s="431"/>
      <c r="I186" s="431"/>
    </row>
    <row r="187" spans="1:9" s="571" customFormat="1">
      <c r="A187" s="476"/>
      <c r="B187" s="428"/>
      <c r="C187" s="563"/>
      <c r="D187" s="476"/>
      <c r="E187" s="429"/>
      <c r="F187" s="429"/>
      <c r="G187" s="432"/>
      <c r="H187" s="432"/>
      <c r="I187" s="432"/>
    </row>
    <row r="188" spans="1:9" s="571" customFormat="1">
      <c r="A188" s="564" t="s">
        <v>401</v>
      </c>
      <c r="B188" s="424" t="s">
        <v>539</v>
      </c>
      <c r="C188" s="434" t="s">
        <v>16</v>
      </c>
      <c r="D188" s="433">
        <v>0</v>
      </c>
      <c r="E188" s="429">
        <v>13876</v>
      </c>
      <c r="F188" s="429">
        <v>1500</v>
      </c>
      <c r="G188" s="489">
        <f>IF($D188="","",IFERROR($D188*E188,""))</f>
        <v>0</v>
      </c>
      <c r="H188" s="489">
        <f>IF($D188="","",IFERROR($D188*F188,""))</f>
        <v>0</v>
      </c>
      <c r="I188" s="478"/>
    </row>
    <row r="189" spans="1:9" s="571" customFormat="1">
      <c r="A189" s="564"/>
      <c r="B189" s="562" t="s">
        <v>498</v>
      </c>
      <c r="C189" s="434"/>
      <c r="D189" s="429"/>
      <c r="E189" s="429"/>
      <c r="F189" s="429"/>
      <c r="G189" s="431"/>
      <c r="H189" s="431"/>
      <c r="I189" s="478"/>
    </row>
    <row r="190" spans="1:9" s="571" customFormat="1">
      <c r="A190" s="564"/>
      <c r="B190" s="562" t="s">
        <v>540</v>
      </c>
      <c r="C190" s="434"/>
      <c r="D190" s="429"/>
      <c r="E190" s="429"/>
      <c r="F190" s="429"/>
      <c r="G190" s="431"/>
      <c r="H190" s="431"/>
      <c r="I190" s="478"/>
    </row>
    <row r="191" spans="1:9" s="571" customFormat="1">
      <c r="A191" s="472"/>
      <c r="B191" s="562" t="s">
        <v>541</v>
      </c>
      <c r="C191" s="434"/>
      <c r="D191" s="429"/>
      <c r="E191" s="429"/>
      <c r="F191" s="429"/>
      <c r="G191" s="431"/>
      <c r="H191" s="431"/>
      <c r="I191" s="431"/>
    </row>
    <row r="192" spans="1:9" s="571" customFormat="1">
      <c r="A192" s="472"/>
      <c r="B192" s="562" t="s">
        <v>542</v>
      </c>
      <c r="C192" s="434"/>
      <c r="D192" s="429"/>
      <c r="E192" s="429"/>
      <c r="F192" s="429"/>
      <c r="G192" s="431"/>
      <c r="H192" s="431"/>
      <c r="I192" s="431"/>
    </row>
    <row r="193" spans="1:9" s="571" customFormat="1" ht="29">
      <c r="A193" s="564"/>
      <c r="B193" s="428" t="s">
        <v>543</v>
      </c>
      <c r="C193" s="434"/>
      <c r="D193" s="429"/>
      <c r="E193" s="429"/>
      <c r="F193" s="429"/>
      <c r="G193" s="431"/>
      <c r="H193" s="431"/>
      <c r="I193" s="478"/>
    </row>
    <row r="194" spans="1:9" s="571" customFormat="1">
      <c r="A194" s="565"/>
      <c r="B194" s="428"/>
      <c r="C194" s="434"/>
      <c r="D194" s="429"/>
      <c r="E194" s="429"/>
      <c r="F194" s="429"/>
      <c r="G194" s="431"/>
      <c r="H194" s="431"/>
      <c r="I194" s="566"/>
    </row>
    <row r="195" spans="1:9" s="571" customFormat="1">
      <c r="A195" s="564" t="s">
        <v>402</v>
      </c>
      <c r="B195" s="424" t="s">
        <v>544</v>
      </c>
      <c r="C195" s="434" t="s">
        <v>16</v>
      </c>
      <c r="D195" s="433">
        <v>0</v>
      </c>
      <c r="E195" s="429">
        <v>14804</v>
      </c>
      <c r="F195" s="429">
        <v>1650</v>
      </c>
      <c r="G195" s="489">
        <f>IF($D195="","",IFERROR($D195*E195,""))</f>
        <v>0</v>
      </c>
      <c r="H195" s="489">
        <f>IF($D195="","",IFERROR($D195*F195,""))</f>
        <v>0</v>
      </c>
      <c r="I195" s="478"/>
    </row>
    <row r="196" spans="1:9" s="571" customFormat="1">
      <c r="A196" s="564"/>
      <c r="B196" s="562" t="s">
        <v>498</v>
      </c>
      <c r="C196" s="434"/>
      <c r="D196" s="429"/>
      <c r="E196" s="429"/>
      <c r="F196" s="429"/>
      <c r="G196" s="431"/>
      <c r="H196" s="431"/>
      <c r="I196" s="478"/>
    </row>
    <row r="197" spans="1:9" s="571" customFormat="1">
      <c r="A197" s="564"/>
      <c r="B197" s="562" t="s">
        <v>545</v>
      </c>
      <c r="C197" s="434"/>
      <c r="D197" s="429"/>
      <c r="E197" s="429"/>
      <c r="F197" s="429"/>
      <c r="G197" s="431"/>
      <c r="H197" s="431"/>
      <c r="I197" s="478"/>
    </row>
    <row r="198" spans="1:9" s="145" customFormat="1">
      <c r="A198" s="472"/>
      <c r="B198" s="562" t="s">
        <v>546</v>
      </c>
      <c r="C198" s="434"/>
      <c r="D198" s="429"/>
      <c r="E198" s="429"/>
      <c r="F198" s="429"/>
      <c r="G198" s="431"/>
      <c r="H198" s="431"/>
      <c r="I198" s="431"/>
    </row>
    <row r="199" spans="1:9" s="147" customFormat="1">
      <c r="A199" s="472"/>
      <c r="B199" s="562" t="s">
        <v>542</v>
      </c>
      <c r="C199" s="434"/>
      <c r="D199" s="429"/>
      <c r="E199" s="429"/>
      <c r="F199" s="429"/>
      <c r="G199" s="431"/>
      <c r="H199" s="431"/>
      <c r="I199" s="431"/>
    </row>
    <row r="200" spans="1:9" s="145" customFormat="1" ht="29">
      <c r="A200" s="564"/>
      <c r="B200" s="428" t="s">
        <v>543</v>
      </c>
      <c r="C200" s="434"/>
      <c r="D200" s="429"/>
      <c r="E200" s="429"/>
      <c r="F200" s="429"/>
      <c r="G200" s="431"/>
      <c r="H200" s="431"/>
      <c r="I200" s="478"/>
    </row>
    <row r="201" spans="1:9" s="146" customFormat="1">
      <c r="A201" s="565"/>
      <c r="B201" s="428"/>
      <c r="C201" s="434"/>
      <c r="D201" s="429"/>
      <c r="E201" s="429"/>
      <c r="F201" s="429"/>
      <c r="G201" s="431"/>
      <c r="H201" s="431"/>
      <c r="I201" s="566"/>
    </row>
    <row r="202" spans="1:9" s="146" customFormat="1">
      <c r="A202" s="567">
        <v>2.2000000000000002</v>
      </c>
      <c r="B202" s="424" t="s">
        <v>547</v>
      </c>
      <c r="C202" s="568"/>
      <c r="D202" s="569"/>
      <c r="E202" s="570"/>
      <c r="F202" s="570"/>
      <c r="G202" s="489"/>
      <c r="H202" s="489"/>
      <c r="I202" s="454"/>
    </row>
    <row r="203" spans="1:9" s="146" customFormat="1">
      <c r="A203" s="567" t="s">
        <v>385</v>
      </c>
      <c r="B203" s="572" t="s">
        <v>548</v>
      </c>
      <c r="C203" s="568" t="s">
        <v>16</v>
      </c>
      <c r="D203" s="433">
        <v>0</v>
      </c>
      <c r="E203" s="429">
        <v>2723</v>
      </c>
      <c r="F203" s="429">
        <v>188</v>
      </c>
      <c r="G203" s="489">
        <f t="shared" ref="G203:H209" si="4">IF($D203="","",IFERROR($D203*E203,""))</f>
        <v>0</v>
      </c>
      <c r="H203" s="489">
        <f t="shared" si="4"/>
        <v>0</v>
      </c>
      <c r="I203" s="454"/>
    </row>
    <row r="204" spans="1:9" s="146" customFormat="1">
      <c r="A204" s="567" t="s">
        <v>387</v>
      </c>
      <c r="B204" s="572" t="s">
        <v>549</v>
      </c>
      <c r="C204" s="568" t="s">
        <v>16</v>
      </c>
      <c r="D204" s="433">
        <v>0</v>
      </c>
      <c r="E204" s="429">
        <v>2723</v>
      </c>
      <c r="F204" s="429">
        <v>188</v>
      </c>
      <c r="G204" s="489">
        <f t="shared" si="4"/>
        <v>0</v>
      </c>
      <c r="H204" s="489">
        <f t="shared" si="4"/>
        <v>0</v>
      </c>
      <c r="I204" s="454"/>
    </row>
    <row r="205" spans="1:9" s="148" customFormat="1">
      <c r="A205" s="567" t="s">
        <v>388</v>
      </c>
      <c r="B205" s="572" t="s">
        <v>550</v>
      </c>
      <c r="C205" s="568" t="s">
        <v>16</v>
      </c>
      <c r="D205" s="433">
        <v>0</v>
      </c>
      <c r="E205" s="429">
        <v>265</v>
      </c>
      <c r="F205" s="429">
        <v>113</v>
      </c>
      <c r="G205" s="489">
        <f t="shared" si="4"/>
        <v>0</v>
      </c>
      <c r="H205" s="489">
        <f t="shared" si="4"/>
        <v>0</v>
      </c>
      <c r="I205" s="454"/>
    </row>
    <row r="206" spans="1:9" s="146" customFormat="1">
      <c r="A206" s="567" t="s">
        <v>389</v>
      </c>
      <c r="B206" s="572" t="s">
        <v>551</v>
      </c>
      <c r="C206" s="568" t="s">
        <v>16</v>
      </c>
      <c r="D206" s="433">
        <v>0</v>
      </c>
      <c r="E206" s="429">
        <v>265</v>
      </c>
      <c r="F206" s="429">
        <v>113</v>
      </c>
      <c r="G206" s="489">
        <f t="shared" si="4"/>
        <v>0</v>
      </c>
      <c r="H206" s="489">
        <f t="shared" si="4"/>
        <v>0</v>
      </c>
      <c r="I206" s="454"/>
    </row>
    <row r="207" spans="1:9" s="148" customFormat="1">
      <c r="A207" s="567" t="s">
        <v>390</v>
      </c>
      <c r="B207" s="572" t="s">
        <v>552</v>
      </c>
      <c r="C207" s="568" t="s">
        <v>16</v>
      </c>
      <c r="D207" s="433">
        <v>0</v>
      </c>
      <c r="E207" s="429">
        <v>265</v>
      </c>
      <c r="F207" s="429">
        <v>150</v>
      </c>
      <c r="G207" s="489">
        <f t="shared" si="4"/>
        <v>0</v>
      </c>
      <c r="H207" s="489">
        <f t="shared" si="4"/>
        <v>0</v>
      </c>
      <c r="I207" s="454"/>
    </row>
    <row r="208" spans="1:9" s="148" customFormat="1">
      <c r="A208" s="567" t="s">
        <v>391</v>
      </c>
      <c r="B208" s="572" t="s">
        <v>553</v>
      </c>
      <c r="C208" s="568" t="s">
        <v>16</v>
      </c>
      <c r="D208" s="433">
        <v>0</v>
      </c>
      <c r="E208" s="429">
        <v>869</v>
      </c>
      <c r="F208" s="429">
        <v>150</v>
      </c>
      <c r="G208" s="489">
        <f t="shared" si="4"/>
        <v>0</v>
      </c>
      <c r="H208" s="489">
        <f t="shared" si="4"/>
        <v>0</v>
      </c>
      <c r="I208" s="454"/>
    </row>
    <row r="209" spans="1:9" s="148" customFormat="1">
      <c r="A209" s="567" t="s">
        <v>392</v>
      </c>
      <c r="B209" s="572" t="s">
        <v>554</v>
      </c>
      <c r="C209" s="568" t="s">
        <v>16</v>
      </c>
      <c r="D209" s="433">
        <v>0</v>
      </c>
      <c r="E209" s="429">
        <v>869</v>
      </c>
      <c r="F209" s="429">
        <v>150</v>
      </c>
      <c r="G209" s="489">
        <f t="shared" si="4"/>
        <v>0</v>
      </c>
      <c r="H209" s="489">
        <f t="shared" si="4"/>
        <v>0</v>
      </c>
      <c r="I209" s="454"/>
    </row>
    <row r="210" spans="1:9" s="148" customFormat="1">
      <c r="A210" s="567"/>
      <c r="B210" s="572"/>
      <c r="C210" s="568"/>
      <c r="D210" s="433"/>
      <c r="E210" s="570"/>
      <c r="F210" s="570"/>
      <c r="G210" s="489"/>
      <c r="H210" s="489"/>
      <c r="I210" s="454"/>
    </row>
    <row r="211" spans="1:9" s="148" customFormat="1" ht="29">
      <c r="A211" s="567">
        <v>2.2999999999999998</v>
      </c>
      <c r="B211" s="482" t="s">
        <v>555</v>
      </c>
      <c r="C211" s="568" t="s">
        <v>16</v>
      </c>
      <c r="D211" s="433">
        <v>0</v>
      </c>
      <c r="E211" s="429">
        <v>1810</v>
      </c>
      <c r="F211" s="429">
        <v>300</v>
      </c>
      <c r="G211" s="489">
        <f t="shared" ref="G211:H212" si="5">IF($D211="","",IFERROR($D211*E211,""))</f>
        <v>0</v>
      </c>
      <c r="H211" s="489">
        <f t="shared" si="5"/>
        <v>0</v>
      </c>
      <c r="I211" s="454"/>
    </row>
    <row r="212" spans="1:9" s="148" customFormat="1" ht="29">
      <c r="A212" s="567">
        <v>2.4</v>
      </c>
      <c r="B212" s="482" t="s">
        <v>556</v>
      </c>
      <c r="C212" s="568" t="s">
        <v>16</v>
      </c>
      <c r="D212" s="433">
        <v>0</v>
      </c>
      <c r="E212" s="429">
        <v>2261</v>
      </c>
      <c r="F212" s="429">
        <v>300</v>
      </c>
      <c r="G212" s="489">
        <f t="shared" si="5"/>
        <v>0</v>
      </c>
      <c r="H212" s="489">
        <f t="shared" si="5"/>
        <v>0</v>
      </c>
      <c r="I212" s="454"/>
    </row>
    <row r="213" spans="1:9" s="148" customFormat="1">
      <c r="A213" s="455"/>
      <c r="B213" s="400"/>
      <c r="C213" s="399"/>
      <c r="D213" s="384"/>
      <c r="E213" s="385"/>
      <c r="F213" s="385"/>
      <c r="G213" s="386"/>
      <c r="H213" s="386"/>
      <c r="I213" s="386"/>
    </row>
    <row r="214" spans="1:9" s="148" customFormat="1">
      <c r="A214" s="451"/>
      <c r="B214" s="394" t="s">
        <v>557</v>
      </c>
      <c r="C214" s="394"/>
      <c r="D214" s="395"/>
      <c r="E214" s="395"/>
      <c r="F214" s="395"/>
      <c r="G214" s="395">
        <f>SUM(G76:G213)</f>
        <v>501239</v>
      </c>
      <c r="H214" s="395">
        <f>SUM(H76:H213)</f>
        <v>29888</v>
      </c>
      <c r="I214" s="395"/>
    </row>
    <row r="215" spans="1:9" s="148" customFormat="1">
      <c r="A215" s="384"/>
      <c r="B215" s="396"/>
      <c r="C215" s="383"/>
      <c r="D215" s="384"/>
      <c r="E215" s="385"/>
      <c r="F215" s="385"/>
      <c r="G215" s="386"/>
      <c r="H215" s="386"/>
      <c r="I215" s="386"/>
    </row>
    <row r="216" spans="1:9" s="148" customFormat="1">
      <c r="A216" s="573">
        <v>3</v>
      </c>
      <c r="B216" s="574" t="s">
        <v>558</v>
      </c>
      <c r="C216" s="563"/>
      <c r="D216" s="476"/>
      <c r="E216" s="429"/>
      <c r="F216" s="429"/>
      <c r="G216" s="432"/>
      <c r="H216" s="432"/>
      <c r="I216" s="432"/>
    </row>
    <row r="217" spans="1:9" s="148" customFormat="1">
      <c r="A217" s="476"/>
      <c r="B217" s="427"/>
      <c r="C217" s="563"/>
      <c r="D217" s="476"/>
      <c r="E217" s="429"/>
      <c r="F217" s="429"/>
      <c r="G217" s="432"/>
      <c r="H217" s="432"/>
      <c r="I217" s="432"/>
    </row>
    <row r="218" spans="1:9" s="146" customFormat="1">
      <c r="A218" s="575" t="s">
        <v>559</v>
      </c>
      <c r="B218" s="574" t="s">
        <v>560</v>
      </c>
      <c r="C218" s="576"/>
      <c r="D218" s="476"/>
      <c r="E218" s="429"/>
      <c r="F218" s="429"/>
      <c r="G218" s="432"/>
      <c r="H218" s="432"/>
      <c r="I218" s="432"/>
    </row>
    <row r="219" spans="1:9" s="148" customFormat="1" ht="87">
      <c r="A219" s="575"/>
      <c r="B219" s="425" t="s">
        <v>561</v>
      </c>
      <c r="C219" s="576"/>
      <c r="D219" s="476"/>
      <c r="E219" s="429"/>
      <c r="F219" s="429"/>
      <c r="G219" s="432"/>
      <c r="H219" s="432"/>
      <c r="I219" s="431"/>
    </row>
    <row r="220" spans="1:9" s="148" customFormat="1" ht="29">
      <c r="A220" s="472"/>
      <c r="B220" s="577" t="s">
        <v>563</v>
      </c>
      <c r="C220" s="434"/>
      <c r="D220" s="429"/>
      <c r="E220" s="429"/>
      <c r="F220" s="429"/>
      <c r="G220" s="431"/>
      <c r="H220" s="431"/>
      <c r="I220" s="431"/>
    </row>
    <row r="221" spans="1:9" s="148" customFormat="1">
      <c r="A221" s="575"/>
      <c r="B221" s="578"/>
      <c r="C221" s="576"/>
      <c r="D221" s="476"/>
      <c r="E221" s="429"/>
      <c r="F221" s="429"/>
      <c r="G221" s="432"/>
      <c r="H221" s="432"/>
      <c r="I221" s="432"/>
    </row>
    <row r="222" spans="1:9" s="148" customFormat="1">
      <c r="A222" s="472" t="s">
        <v>385</v>
      </c>
      <c r="B222" s="556" t="s">
        <v>1460</v>
      </c>
      <c r="C222" s="434" t="s">
        <v>31</v>
      </c>
      <c r="D222" s="433">
        <f>50*0</f>
        <v>0</v>
      </c>
      <c r="E222" s="429">
        <v>1226</v>
      </c>
      <c r="F222" s="429">
        <v>188</v>
      </c>
      <c r="G222" s="489">
        <f t="shared" ref="G222:H232" si="6">IF($D222="","",IFERROR($D222*E222,""))</f>
        <v>0</v>
      </c>
      <c r="H222" s="489">
        <f t="shared" si="6"/>
        <v>0</v>
      </c>
      <c r="I222" s="428"/>
    </row>
    <row r="223" spans="1:9" s="148" customFormat="1">
      <c r="A223" s="472" t="s">
        <v>387</v>
      </c>
      <c r="B223" s="556" t="s">
        <v>564</v>
      </c>
      <c r="C223" s="434" t="s">
        <v>31</v>
      </c>
      <c r="D223" s="433">
        <f>375*0</f>
        <v>0</v>
      </c>
      <c r="E223" s="429">
        <v>989</v>
      </c>
      <c r="F223" s="429">
        <v>150</v>
      </c>
      <c r="G223" s="489">
        <f t="shared" si="6"/>
        <v>0</v>
      </c>
      <c r="H223" s="489">
        <f t="shared" si="6"/>
        <v>0</v>
      </c>
      <c r="I223" s="428"/>
    </row>
    <row r="224" spans="1:9" s="148" customFormat="1">
      <c r="A224" s="472" t="s">
        <v>388</v>
      </c>
      <c r="B224" s="556" t="s">
        <v>565</v>
      </c>
      <c r="C224" s="434" t="s">
        <v>31</v>
      </c>
      <c r="D224" s="433">
        <f>150*0</f>
        <v>0</v>
      </c>
      <c r="E224" s="429">
        <v>815</v>
      </c>
      <c r="F224" s="429">
        <v>120</v>
      </c>
      <c r="G224" s="489">
        <f t="shared" si="6"/>
        <v>0</v>
      </c>
      <c r="H224" s="489">
        <f t="shared" si="6"/>
        <v>0</v>
      </c>
      <c r="I224" s="428"/>
    </row>
    <row r="225" spans="1:9" s="148" customFormat="1">
      <c r="A225" s="472" t="s">
        <v>389</v>
      </c>
      <c r="B225" s="556" t="s">
        <v>566</v>
      </c>
      <c r="C225" s="434" t="s">
        <v>31</v>
      </c>
      <c r="D225" s="433">
        <v>0</v>
      </c>
      <c r="E225" s="429">
        <v>725</v>
      </c>
      <c r="F225" s="429">
        <v>98</v>
      </c>
      <c r="G225" s="489">
        <f t="shared" si="6"/>
        <v>0</v>
      </c>
      <c r="H225" s="489">
        <f t="shared" si="6"/>
        <v>0</v>
      </c>
      <c r="I225" s="428"/>
    </row>
    <row r="226" spans="1:9" s="148" customFormat="1">
      <c r="A226" s="472" t="s">
        <v>390</v>
      </c>
      <c r="B226" s="556" t="s">
        <v>567</v>
      </c>
      <c r="C226" s="434" t="s">
        <v>31</v>
      </c>
      <c r="D226" s="433">
        <f>450*0</f>
        <v>0</v>
      </c>
      <c r="E226" s="429">
        <v>604</v>
      </c>
      <c r="F226" s="429">
        <v>68</v>
      </c>
      <c r="G226" s="489">
        <f t="shared" si="6"/>
        <v>0</v>
      </c>
      <c r="H226" s="489">
        <f t="shared" si="6"/>
        <v>0</v>
      </c>
      <c r="I226" s="428"/>
    </row>
    <row r="227" spans="1:9" s="148" customFormat="1">
      <c r="A227" s="472" t="s">
        <v>391</v>
      </c>
      <c r="B227" s="556" t="s">
        <v>568</v>
      </c>
      <c r="C227" s="434" t="s">
        <v>31</v>
      </c>
      <c r="D227" s="433">
        <f>100*0</f>
        <v>0</v>
      </c>
      <c r="E227" s="429">
        <v>446</v>
      </c>
      <c r="F227" s="429">
        <v>60</v>
      </c>
      <c r="G227" s="489">
        <f t="shared" si="6"/>
        <v>0</v>
      </c>
      <c r="H227" s="489">
        <f t="shared" si="6"/>
        <v>0</v>
      </c>
      <c r="I227" s="431"/>
    </row>
    <row r="228" spans="1:9" s="148" customFormat="1">
      <c r="A228" s="472" t="s">
        <v>392</v>
      </c>
      <c r="B228" s="556" t="s">
        <v>569</v>
      </c>
      <c r="C228" s="434" t="s">
        <v>31</v>
      </c>
      <c r="D228" s="433">
        <v>0</v>
      </c>
      <c r="E228" s="429">
        <v>393</v>
      </c>
      <c r="F228" s="429">
        <v>53</v>
      </c>
      <c r="G228" s="489">
        <f t="shared" si="6"/>
        <v>0</v>
      </c>
      <c r="H228" s="489">
        <f t="shared" si="6"/>
        <v>0</v>
      </c>
      <c r="I228" s="431"/>
    </row>
    <row r="229" spans="1:9" s="581" customFormat="1">
      <c r="A229" s="472" t="s">
        <v>393</v>
      </c>
      <c r="B229" s="556" t="s">
        <v>570</v>
      </c>
      <c r="C229" s="434" t="s">
        <v>31</v>
      </c>
      <c r="D229" s="433">
        <v>50</v>
      </c>
      <c r="E229" s="429">
        <v>181</v>
      </c>
      <c r="F229" s="429">
        <v>45</v>
      </c>
      <c r="G229" s="489">
        <f t="shared" si="6"/>
        <v>9050</v>
      </c>
      <c r="H229" s="489">
        <f t="shared" si="6"/>
        <v>2250</v>
      </c>
      <c r="I229" s="431"/>
    </row>
    <row r="230" spans="1:9" s="581" customFormat="1">
      <c r="A230" s="472" t="s">
        <v>394</v>
      </c>
      <c r="B230" s="556" t="s">
        <v>571</v>
      </c>
      <c r="C230" s="434" t="s">
        <v>31</v>
      </c>
      <c r="D230" s="433">
        <v>0</v>
      </c>
      <c r="E230" s="429">
        <v>165</v>
      </c>
      <c r="F230" s="429">
        <v>38</v>
      </c>
      <c r="G230" s="489">
        <f t="shared" si="6"/>
        <v>0</v>
      </c>
      <c r="H230" s="489">
        <f t="shared" si="6"/>
        <v>0</v>
      </c>
      <c r="I230" s="431"/>
    </row>
    <row r="231" spans="1:9" s="148" customFormat="1">
      <c r="A231" s="472" t="s">
        <v>397</v>
      </c>
      <c r="B231" s="556" t="s">
        <v>2270</v>
      </c>
      <c r="C231" s="434" t="s">
        <v>31</v>
      </c>
      <c r="D231" s="433">
        <f>350*0</f>
        <v>0</v>
      </c>
      <c r="E231" s="429">
        <v>1588</v>
      </c>
      <c r="F231" s="429">
        <v>44</v>
      </c>
      <c r="G231" s="489">
        <f t="shared" si="6"/>
        <v>0</v>
      </c>
      <c r="H231" s="489">
        <f t="shared" si="6"/>
        <v>0</v>
      </c>
      <c r="I231" s="428"/>
    </row>
    <row r="232" spans="1:9" s="148" customFormat="1">
      <c r="A232" s="472" t="s">
        <v>397</v>
      </c>
      <c r="B232" s="556" t="s">
        <v>2272</v>
      </c>
      <c r="C232" s="434" t="s">
        <v>31</v>
      </c>
      <c r="D232" s="433">
        <v>0</v>
      </c>
      <c r="E232" s="429">
        <v>1719</v>
      </c>
      <c r="F232" s="429">
        <v>44</v>
      </c>
      <c r="G232" s="489">
        <f t="shared" si="6"/>
        <v>0</v>
      </c>
      <c r="H232" s="489">
        <f t="shared" si="6"/>
        <v>0</v>
      </c>
      <c r="I232" s="428"/>
    </row>
    <row r="233" spans="1:9" s="148" customFormat="1">
      <c r="A233" s="472"/>
      <c r="B233" s="474"/>
      <c r="C233" s="434"/>
      <c r="D233" s="429"/>
      <c r="E233" s="429"/>
      <c r="F233" s="429"/>
      <c r="G233" s="431"/>
      <c r="H233" s="431"/>
      <c r="I233" s="431"/>
    </row>
    <row r="234" spans="1:9" s="148" customFormat="1">
      <c r="A234" s="579" t="s">
        <v>572</v>
      </c>
      <c r="B234" s="423" t="s">
        <v>573</v>
      </c>
      <c r="C234" s="434"/>
      <c r="D234" s="429"/>
      <c r="E234" s="429"/>
      <c r="F234" s="429"/>
      <c r="G234" s="431"/>
      <c r="H234" s="431"/>
      <c r="I234" s="431"/>
    </row>
    <row r="235" spans="1:9" s="148" customFormat="1" ht="58">
      <c r="A235" s="575" t="s">
        <v>574</v>
      </c>
      <c r="B235" s="426" t="s">
        <v>575</v>
      </c>
      <c r="C235" s="434"/>
      <c r="D235" s="476"/>
      <c r="E235" s="429"/>
      <c r="F235" s="429"/>
      <c r="G235" s="432"/>
      <c r="H235" s="432"/>
      <c r="I235" s="431"/>
    </row>
    <row r="236" spans="1:9" s="148" customFormat="1">
      <c r="A236" s="579"/>
      <c r="B236" s="423" t="s">
        <v>576</v>
      </c>
      <c r="C236" s="434"/>
      <c r="D236" s="429"/>
      <c r="E236" s="429"/>
      <c r="F236" s="429"/>
      <c r="G236" s="431"/>
      <c r="H236" s="431"/>
      <c r="I236" s="431"/>
    </row>
    <row r="237" spans="1:9" s="148" customFormat="1">
      <c r="A237" s="579"/>
      <c r="B237" s="423"/>
      <c r="C237" s="434"/>
      <c r="D237" s="429"/>
      <c r="E237" s="429"/>
      <c r="F237" s="429"/>
      <c r="G237" s="431"/>
      <c r="H237" s="431"/>
      <c r="I237" s="431"/>
    </row>
    <row r="238" spans="1:9" s="148" customFormat="1">
      <c r="A238" s="472" t="s">
        <v>385</v>
      </c>
      <c r="B238" s="474" t="s">
        <v>577</v>
      </c>
      <c r="C238" s="434" t="s">
        <v>31</v>
      </c>
      <c r="D238" s="433">
        <v>0</v>
      </c>
      <c r="E238" s="429">
        <v>2536</v>
      </c>
      <c r="F238" s="429">
        <v>53</v>
      </c>
      <c r="G238" s="489">
        <f t="shared" ref="G238:H246" si="7">IF($D238="","",IFERROR($D238*E238,""))</f>
        <v>0</v>
      </c>
      <c r="H238" s="489">
        <f t="shared" si="7"/>
        <v>0</v>
      </c>
      <c r="I238" s="431"/>
    </row>
    <row r="239" spans="1:9" s="148" customFormat="1">
      <c r="A239" s="472" t="s">
        <v>387</v>
      </c>
      <c r="B239" s="474" t="s">
        <v>578</v>
      </c>
      <c r="C239" s="434" t="s">
        <v>31</v>
      </c>
      <c r="D239" s="433">
        <f>(46+110+25+25+120+120)*0</f>
        <v>0</v>
      </c>
      <c r="E239" s="429">
        <v>1225</v>
      </c>
      <c r="F239" s="429">
        <v>45</v>
      </c>
      <c r="G239" s="489">
        <f t="shared" si="7"/>
        <v>0</v>
      </c>
      <c r="H239" s="489">
        <f t="shared" si="7"/>
        <v>0</v>
      </c>
      <c r="I239" s="431"/>
    </row>
    <row r="240" spans="1:9" s="148" customFormat="1">
      <c r="A240" s="472" t="s">
        <v>388</v>
      </c>
      <c r="B240" s="474" t="s">
        <v>579</v>
      </c>
      <c r="C240" s="434" t="s">
        <v>31</v>
      </c>
      <c r="D240" s="433">
        <v>305</v>
      </c>
      <c r="E240" s="429">
        <v>844</v>
      </c>
      <c r="F240" s="429">
        <v>38</v>
      </c>
      <c r="G240" s="489">
        <f t="shared" si="7"/>
        <v>257420</v>
      </c>
      <c r="H240" s="489">
        <f t="shared" si="7"/>
        <v>11590</v>
      </c>
      <c r="I240" s="431"/>
    </row>
    <row r="241" spans="1:9" s="148" customFormat="1">
      <c r="A241" s="472" t="s">
        <v>389</v>
      </c>
      <c r="B241" s="474" t="s">
        <v>580</v>
      </c>
      <c r="C241" s="434" t="s">
        <v>31</v>
      </c>
      <c r="D241" s="433">
        <f>150</f>
        <v>150</v>
      </c>
      <c r="E241" s="429">
        <v>661</v>
      </c>
      <c r="F241" s="429">
        <v>34</v>
      </c>
      <c r="G241" s="489">
        <f t="shared" si="7"/>
        <v>99150</v>
      </c>
      <c r="H241" s="489">
        <f t="shared" si="7"/>
        <v>5100</v>
      </c>
      <c r="I241" s="431"/>
    </row>
    <row r="242" spans="1:9" s="148" customFormat="1">
      <c r="A242" s="472" t="s">
        <v>390</v>
      </c>
      <c r="B242" s="474" t="s">
        <v>581</v>
      </c>
      <c r="C242" s="434" t="s">
        <v>31</v>
      </c>
      <c r="D242" s="433">
        <f>30+(2*7)</f>
        <v>44</v>
      </c>
      <c r="E242" s="429">
        <v>450</v>
      </c>
      <c r="F242" s="429">
        <v>30</v>
      </c>
      <c r="G242" s="489">
        <f t="shared" si="7"/>
        <v>19800</v>
      </c>
      <c r="H242" s="489">
        <f t="shared" si="7"/>
        <v>1320</v>
      </c>
      <c r="I242" s="431"/>
    </row>
    <row r="243" spans="1:9" s="148" customFormat="1">
      <c r="A243" s="472" t="s">
        <v>391</v>
      </c>
      <c r="B243" s="474" t="s">
        <v>2577</v>
      </c>
      <c r="C243" s="434" t="s">
        <v>31</v>
      </c>
      <c r="D243" s="433">
        <v>120</v>
      </c>
      <c r="E243" s="429">
        <v>450</v>
      </c>
      <c r="F243" s="429">
        <v>30</v>
      </c>
      <c r="G243" s="489">
        <f t="shared" ref="G243" si="8">IF($D243="","",IFERROR($D243*E243,""))</f>
        <v>54000</v>
      </c>
      <c r="H243" s="489">
        <f t="shared" ref="H243" si="9">IF($D243="","",IFERROR($D243*F243,""))</f>
        <v>3600</v>
      </c>
      <c r="I243" s="431"/>
    </row>
    <row r="244" spans="1:9" s="148" customFormat="1">
      <c r="A244" s="472" t="s">
        <v>392</v>
      </c>
      <c r="B244" s="474" t="s">
        <v>582</v>
      </c>
      <c r="C244" s="434" t="s">
        <v>31</v>
      </c>
      <c r="D244" s="433">
        <v>30</v>
      </c>
      <c r="E244" s="429">
        <v>364</v>
      </c>
      <c r="F244" s="429">
        <v>34</v>
      </c>
      <c r="G244" s="489">
        <f t="shared" si="7"/>
        <v>10920</v>
      </c>
      <c r="H244" s="489">
        <f t="shared" si="7"/>
        <v>1020</v>
      </c>
      <c r="I244" s="431"/>
    </row>
    <row r="245" spans="1:9" s="146" customFormat="1">
      <c r="A245" s="472" t="s">
        <v>393</v>
      </c>
      <c r="B245" s="474" t="s">
        <v>583</v>
      </c>
      <c r="C245" s="434" t="s">
        <v>31</v>
      </c>
      <c r="D245" s="433">
        <f>(70+70+70)</f>
        <v>210</v>
      </c>
      <c r="E245" s="429">
        <v>351</v>
      </c>
      <c r="F245" s="429">
        <v>30</v>
      </c>
      <c r="G245" s="489">
        <f t="shared" si="7"/>
        <v>73710</v>
      </c>
      <c r="H245" s="489">
        <f t="shared" si="7"/>
        <v>6300</v>
      </c>
      <c r="I245" s="431"/>
    </row>
    <row r="246" spans="1:9" s="148" customFormat="1">
      <c r="A246" s="472"/>
      <c r="B246" s="474"/>
      <c r="C246" s="434"/>
      <c r="D246" s="429"/>
      <c r="E246" s="429"/>
      <c r="F246" s="429"/>
      <c r="G246" s="489" t="str">
        <f t="shared" si="7"/>
        <v/>
      </c>
      <c r="H246" s="489" t="str">
        <f t="shared" si="7"/>
        <v/>
      </c>
      <c r="I246" s="431"/>
    </row>
    <row r="247" spans="1:9" s="148" customFormat="1">
      <c r="A247" s="579" t="s">
        <v>584</v>
      </c>
      <c r="B247" s="423" t="s">
        <v>585</v>
      </c>
      <c r="C247" s="580"/>
      <c r="D247" s="430"/>
      <c r="E247" s="430"/>
      <c r="F247" s="430"/>
      <c r="G247" s="449"/>
      <c r="H247" s="449"/>
      <c r="I247" s="449"/>
    </row>
    <row r="248" spans="1:9" s="148" customFormat="1">
      <c r="A248" s="579"/>
      <c r="B248" s="423"/>
      <c r="C248" s="580"/>
      <c r="D248" s="430"/>
      <c r="E248" s="430"/>
      <c r="F248" s="430"/>
      <c r="G248" s="449"/>
      <c r="H248" s="449"/>
      <c r="I248" s="449"/>
    </row>
    <row r="249" spans="1:9" s="148" customFormat="1">
      <c r="A249" s="472" t="s">
        <v>385</v>
      </c>
      <c r="B249" s="474" t="s">
        <v>586</v>
      </c>
      <c r="C249" s="434" t="s">
        <v>31</v>
      </c>
      <c r="D249" s="433">
        <f>180*0</f>
        <v>0</v>
      </c>
      <c r="E249" s="429">
        <v>1310</v>
      </c>
      <c r="F249" s="429">
        <v>128</v>
      </c>
      <c r="G249" s="489">
        <f t="shared" ref="G249:H258" si="10">IF($D249="","",IFERROR($D249*E249,""))</f>
        <v>0</v>
      </c>
      <c r="H249" s="489">
        <f t="shared" si="10"/>
        <v>0</v>
      </c>
      <c r="I249" s="431"/>
    </row>
    <row r="250" spans="1:9" s="148" customFormat="1">
      <c r="A250" s="472" t="s">
        <v>387</v>
      </c>
      <c r="B250" s="474" t="s">
        <v>587</v>
      </c>
      <c r="C250" s="434" t="s">
        <v>31</v>
      </c>
      <c r="D250" s="433">
        <v>0</v>
      </c>
      <c r="E250" s="429">
        <v>1088</v>
      </c>
      <c r="F250" s="429">
        <v>98</v>
      </c>
      <c r="G250" s="489">
        <f t="shared" si="10"/>
        <v>0</v>
      </c>
      <c r="H250" s="489">
        <f t="shared" si="10"/>
        <v>0</v>
      </c>
      <c r="I250" s="431"/>
    </row>
    <row r="251" spans="1:9" s="148" customFormat="1">
      <c r="A251" s="472" t="s">
        <v>388</v>
      </c>
      <c r="B251" s="474" t="s">
        <v>588</v>
      </c>
      <c r="C251" s="434" t="s">
        <v>31</v>
      </c>
      <c r="D251" s="433">
        <v>0</v>
      </c>
      <c r="E251" s="429">
        <v>770</v>
      </c>
      <c r="F251" s="429">
        <v>68</v>
      </c>
      <c r="G251" s="489">
        <f t="shared" si="10"/>
        <v>0</v>
      </c>
      <c r="H251" s="489">
        <f t="shared" si="10"/>
        <v>0</v>
      </c>
      <c r="I251" s="431"/>
    </row>
    <row r="252" spans="1:9" s="148" customFormat="1">
      <c r="A252" s="472" t="s">
        <v>389</v>
      </c>
      <c r="B252" s="474" t="s">
        <v>589</v>
      </c>
      <c r="C252" s="434" t="s">
        <v>31</v>
      </c>
      <c r="D252" s="433">
        <f>180*0</f>
        <v>0</v>
      </c>
      <c r="E252" s="429">
        <v>540</v>
      </c>
      <c r="F252" s="429">
        <v>60</v>
      </c>
      <c r="G252" s="489">
        <f t="shared" si="10"/>
        <v>0</v>
      </c>
      <c r="H252" s="489">
        <f t="shared" si="10"/>
        <v>0</v>
      </c>
      <c r="I252" s="431"/>
    </row>
    <row r="253" spans="1:9" s="148" customFormat="1">
      <c r="A253" s="472" t="s">
        <v>390</v>
      </c>
      <c r="B253" s="474" t="s">
        <v>590</v>
      </c>
      <c r="C253" s="434" t="s">
        <v>31</v>
      </c>
      <c r="D253" s="433">
        <v>0</v>
      </c>
      <c r="E253" s="429">
        <v>386</v>
      </c>
      <c r="F253" s="429">
        <v>53</v>
      </c>
      <c r="G253" s="489">
        <f t="shared" si="10"/>
        <v>0</v>
      </c>
      <c r="H253" s="489">
        <f t="shared" si="10"/>
        <v>0</v>
      </c>
      <c r="I253" s="431"/>
    </row>
    <row r="254" spans="1:9" s="148" customFormat="1">
      <c r="A254" s="472" t="s">
        <v>391</v>
      </c>
      <c r="B254" s="474" t="s">
        <v>591</v>
      </c>
      <c r="C254" s="434" t="s">
        <v>31</v>
      </c>
      <c r="D254" s="433">
        <v>0</v>
      </c>
      <c r="E254" s="429">
        <v>245</v>
      </c>
      <c r="F254" s="429">
        <v>45</v>
      </c>
      <c r="G254" s="489">
        <f t="shared" si="10"/>
        <v>0</v>
      </c>
      <c r="H254" s="489">
        <f t="shared" si="10"/>
        <v>0</v>
      </c>
      <c r="I254" s="431"/>
    </row>
    <row r="255" spans="1:9" s="148" customFormat="1">
      <c r="A255" s="472" t="s">
        <v>392</v>
      </c>
      <c r="B255" s="474" t="s">
        <v>592</v>
      </c>
      <c r="C255" s="434" t="s">
        <v>31</v>
      </c>
      <c r="D255" s="433">
        <f>75*0</f>
        <v>0</v>
      </c>
      <c r="E255" s="429">
        <v>158</v>
      </c>
      <c r="F255" s="429">
        <v>38</v>
      </c>
      <c r="G255" s="489">
        <f t="shared" si="10"/>
        <v>0</v>
      </c>
      <c r="H255" s="489">
        <f t="shared" si="10"/>
        <v>0</v>
      </c>
      <c r="I255" s="431"/>
    </row>
    <row r="256" spans="1:9" s="148" customFormat="1">
      <c r="A256" s="472" t="s">
        <v>393</v>
      </c>
      <c r="B256" s="474" t="s">
        <v>593</v>
      </c>
      <c r="C256" s="434" t="s">
        <v>31</v>
      </c>
      <c r="D256" s="433">
        <f>75*0</f>
        <v>0</v>
      </c>
      <c r="E256" s="429">
        <v>90</v>
      </c>
      <c r="F256" s="429">
        <v>30</v>
      </c>
      <c r="G256" s="489">
        <f t="shared" si="10"/>
        <v>0</v>
      </c>
      <c r="H256" s="489">
        <f t="shared" si="10"/>
        <v>0</v>
      </c>
      <c r="I256" s="431"/>
    </row>
    <row r="257" spans="1:9" s="148" customFormat="1">
      <c r="A257" s="472" t="s">
        <v>394</v>
      </c>
      <c r="B257" s="474" t="s">
        <v>594</v>
      </c>
      <c r="C257" s="434" t="s">
        <v>31</v>
      </c>
      <c r="D257" s="433">
        <v>0</v>
      </c>
      <c r="E257" s="429">
        <v>371</v>
      </c>
      <c r="F257" s="429">
        <v>34</v>
      </c>
      <c r="G257" s="489">
        <f t="shared" si="10"/>
        <v>0</v>
      </c>
      <c r="H257" s="489">
        <f t="shared" si="10"/>
        <v>0</v>
      </c>
      <c r="I257" s="431"/>
    </row>
    <row r="258" spans="1:9" s="148" customFormat="1">
      <c r="A258" s="472" t="s">
        <v>397</v>
      </c>
      <c r="B258" s="474" t="s">
        <v>595</v>
      </c>
      <c r="C258" s="434" t="s">
        <v>31</v>
      </c>
      <c r="D258" s="433">
        <v>0</v>
      </c>
      <c r="E258" s="429">
        <v>645</v>
      </c>
      <c r="F258" s="429">
        <v>38</v>
      </c>
      <c r="G258" s="489">
        <f t="shared" si="10"/>
        <v>0</v>
      </c>
      <c r="H258" s="489">
        <f t="shared" si="10"/>
        <v>0</v>
      </c>
      <c r="I258" s="431"/>
    </row>
    <row r="259" spans="1:9" s="148" customFormat="1">
      <c r="A259" s="472" t="s">
        <v>398</v>
      </c>
      <c r="B259" s="474" t="s">
        <v>2578</v>
      </c>
      <c r="C259" s="434" t="s">
        <v>31</v>
      </c>
      <c r="D259" s="433">
        <v>120</v>
      </c>
      <c r="E259" s="429">
        <v>645</v>
      </c>
      <c r="F259" s="429">
        <v>38</v>
      </c>
      <c r="G259" s="489">
        <f t="shared" ref="G259" si="11">IF($D259="","",IFERROR($D259*E259,""))</f>
        <v>77400</v>
      </c>
      <c r="H259" s="489">
        <f t="shared" ref="H259" si="12">IF($D259="","",IFERROR($D259*F259,""))</f>
        <v>4560</v>
      </c>
      <c r="I259" s="431"/>
    </row>
    <row r="260" spans="1:9" s="148" customFormat="1">
      <c r="A260" s="472" t="s">
        <v>399</v>
      </c>
      <c r="B260" s="474" t="s">
        <v>596</v>
      </c>
      <c r="C260" s="434" t="s">
        <v>31</v>
      </c>
      <c r="D260" s="433">
        <f>0+350</f>
        <v>350</v>
      </c>
      <c r="E260" s="429">
        <v>280</v>
      </c>
      <c r="F260" s="429">
        <v>34</v>
      </c>
      <c r="G260" s="489">
        <f>IF($D260="","",IFERROR($D260*E260,""))</f>
        <v>98000</v>
      </c>
      <c r="H260" s="489">
        <f>IF($D260="","",IFERROR($D260*F260,""))</f>
        <v>11900</v>
      </c>
      <c r="I260" s="478"/>
    </row>
    <row r="261" spans="1:9" s="148" customFormat="1">
      <c r="A261" s="472"/>
      <c r="B261" s="474"/>
      <c r="C261" s="434"/>
      <c r="D261" s="429"/>
      <c r="E261" s="429"/>
      <c r="F261" s="429"/>
      <c r="G261" s="431"/>
      <c r="H261" s="431"/>
      <c r="I261" s="431"/>
    </row>
    <row r="262" spans="1:9" s="148" customFormat="1">
      <c r="A262" s="579" t="s">
        <v>597</v>
      </c>
      <c r="B262" s="423" t="s">
        <v>598</v>
      </c>
      <c r="C262" s="434"/>
      <c r="D262" s="429"/>
      <c r="E262" s="429"/>
      <c r="F262" s="429"/>
      <c r="G262" s="431"/>
      <c r="H262" s="431"/>
      <c r="I262" s="431"/>
    </row>
    <row r="263" spans="1:9" s="148" customFormat="1" ht="87">
      <c r="A263" s="575"/>
      <c r="B263" s="427" t="s">
        <v>599</v>
      </c>
      <c r="C263" s="576"/>
      <c r="D263" s="476"/>
      <c r="E263" s="429"/>
      <c r="F263" s="429"/>
      <c r="G263" s="432"/>
      <c r="H263" s="432"/>
      <c r="I263" s="432"/>
    </row>
    <row r="264" spans="1:9" s="148" customFormat="1">
      <c r="A264" s="472" t="s">
        <v>385</v>
      </c>
      <c r="B264" s="556" t="s">
        <v>1460</v>
      </c>
      <c r="C264" s="434" t="s">
        <v>16</v>
      </c>
      <c r="D264" s="433">
        <f>2*0</f>
        <v>0</v>
      </c>
      <c r="E264" s="429">
        <v>1285</v>
      </c>
      <c r="F264" s="429">
        <v>938</v>
      </c>
      <c r="G264" s="489">
        <f t="shared" ref="G264:H274" si="13">IF($D264="","",IFERROR($D264*E264,""))</f>
        <v>0</v>
      </c>
      <c r="H264" s="489">
        <f t="shared" si="13"/>
        <v>0</v>
      </c>
      <c r="I264" s="431"/>
    </row>
    <row r="265" spans="1:9" s="148" customFormat="1">
      <c r="A265" s="472" t="s">
        <v>385</v>
      </c>
      <c r="B265" s="556" t="s">
        <v>564</v>
      </c>
      <c r="C265" s="434" t="s">
        <v>16</v>
      </c>
      <c r="D265" s="433">
        <f>16*0</f>
        <v>0</v>
      </c>
      <c r="E265" s="429">
        <v>933</v>
      </c>
      <c r="F265" s="429">
        <v>750</v>
      </c>
      <c r="G265" s="489">
        <f t="shared" si="13"/>
        <v>0</v>
      </c>
      <c r="H265" s="489">
        <f t="shared" si="13"/>
        <v>0</v>
      </c>
      <c r="I265" s="431"/>
    </row>
    <row r="266" spans="1:9" s="148" customFormat="1">
      <c r="A266" s="472" t="s">
        <v>387</v>
      </c>
      <c r="B266" s="556" t="s">
        <v>565</v>
      </c>
      <c r="C266" s="434" t="s">
        <v>16</v>
      </c>
      <c r="D266" s="433">
        <f>4*0</f>
        <v>0</v>
      </c>
      <c r="E266" s="429">
        <v>745</v>
      </c>
      <c r="F266" s="429">
        <v>675</v>
      </c>
      <c r="G266" s="489">
        <f t="shared" si="13"/>
        <v>0</v>
      </c>
      <c r="H266" s="489">
        <f t="shared" si="13"/>
        <v>0</v>
      </c>
      <c r="I266" s="431"/>
    </row>
    <row r="267" spans="1:9" s="148" customFormat="1">
      <c r="A267" s="472" t="s">
        <v>388</v>
      </c>
      <c r="B267" s="556" t="s">
        <v>566</v>
      </c>
      <c r="C267" s="434" t="s">
        <v>16</v>
      </c>
      <c r="D267" s="433">
        <v>0</v>
      </c>
      <c r="E267" s="429">
        <v>593</v>
      </c>
      <c r="F267" s="429">
        <v>525</v>
      </c>
      <c r="G267" s="489">
        <f t="shared" si="13"/>
        <v>0</v>
      </c>
      <c r="H267" s="489">
        <f t="shared" si="13"/>
        <v>0</v>
      </c>
      <c r="I267" s="431"/>
    </row>
    <row r="268" spans="1:9" s="148" customFormat="1">
      <c r="A268" s="472" t="s">
        <v>389</v>
      </c>
      <c r="B268" s="556" t="s">
        <v>567</v>
      </c>
      <c r="C268" s="434" t="s">
        <v>16</v>
      </c>
      <c r="D268" s="433">
        <f>4*0</f>
        <v>0</v>
      </c>
      <c r="E268" s="429">
        <v>409</v>
      </c>
      <c r="F268" s="429">
        <v>398</v>
      </c>
      <c r="G268" s="489">
        <f t="shared" si="13"/>
        <v>0</v>
      </c>
      <c r="H268" s="489">
        <f t="shared" si="13"/>
        <v>0</v>
      </c>
      <c r="I268" s="431"/>
    </row>
    <row r="269" spans="1:9" s="148" customFormat="1">
      <c r="A269" s="472" t="s">
        <v>390</v>
      </c>
      <c r="B269" s="556" t="s">
        <v>568</v>
      </c>
      <c r="C269" s="434" t="s">
        <v>16</v>
      </c>
      <c r="D269" s="433">
        <f>2*0</f>
        <v>0</v>
      </c>
      <c r="E269" s="429">
        <v>315</v>
      </c>
      <c r="F269" s="429">
        <v>300</v>
      </c>
      <c r="G269" s="489">
        <f t="shared" si="13"/>
        <v>0</v>
      </c>
      <c r="H269" s="489">
        <f t="shared" si="13"/>
        <v>0</v>
      </c>
      <c r="I269" s="431"/>
    </row>
    <row r="270" spans="1:9" s="148" customFormat="1">
      <c r="A270" s="472" t="s">
        <v>391</v>
      </c>
      <c r="B270" s="556" t="s">
        <v>600</v>
      </c>
      <c r="C270" s="434" t="s">
        <v>16</v>
      </c>
      <c r="D270" s="433">
        <f>2*0</f>
        <v>0</v>
      </c>
      <c r="E270" s="429">
        <v>273</v>
      </c>
      <c r="F270" s="429">
        <v>263</v>
      </c>
      <c r="G270" s="489">
        <f t="shared" si="13"/>
        <v>0</v>
      </c>
      <c r="H270" s="489">
        <f t="shared" si="13"/>
        <v>0</v>
      </c>
      <c r="I270" s="431"/>
    </row>
    <row r="271" spans="1:9" s="148" customFormat="1">
      <c r="A271" s="472" t="s">
        <v>392</v>
      </c>
      <c r="B271" s="556" t="s">
        <v>570</v>
      </c>
      <c r="C271" s="434" t="s">
        <v>16</v>
      </c>
      <c r="D271" s="433">
        <f>30*0+14</f>
        <v>14</v>
      </c>
      <c r="E271" s="429">
        <v>238</v>
      </c>
      <c r="F271" s="429">
        <v>225</v>
      </c>
      <c r="G271" s="489">
        <f t="shared" si="13"/>
        <v>3332</v>
      </c>
      <c r="H271" s="489">
        <f t="shared" si="13"/>
        <v>3150</v>
      </c>
      <c r="I271" s="431"/>
    </row>
    <row r="272" spans="1:9" s="148" customFormat="1">
      <c r="A272" s="472" t="s">
        <v>393</v>
      </c>
      <c r="B272" s="556" t="s">
        <v>571</v>
      </c>
      <c r="C272" s="434" t="s">
        <v>16</v>
      </c>
      <c r="D272" s="433"/>
      <c r="E272" s="429">
        <v>169</v>
      </c>
      <c r="F272" s="429">
        <v>150</v>
      </c>
      <c r="G272" s="489" t="str">
        <f t="shared" si="13"/>
        <v/>
      </c>
      <c r="H272" s="489" t="str">
        <f t="shared" si="13"/>
        <v/>
      </c>
      <c r="I272" s="431"/>
    </row>
    <row r="273" spans="1:9" s="148" customFormat="1">
      <c r="A273" s="472" t="s">
        <v>1711</v>
      </c>
      <c r="B273" s="556" t="s">
        <v>2270</v>
      </c>
      <c r="C273" s="434" t="s">
        <v>16</v>
      </c>
      <c r="D273" s="433">
        <f>8*0</f>
        <v>0</v>
      </c>
      <c r="E273" s="429">
        <v>1500</v>
      </c>
      <c r="F273" s="429">
        <v>250</v>
      </c>
      <c r="G273" s="489">
        <f t="shared" si="13"/>
        <v>0</v>
      </c>
      <c r="H273" s="489">
        <f t="shared" si="13"/>
        <v>0</v>
      </c>
      <c r="I273" s="431"/>
    </row>
    <row r="274" spans="1:9" s="148" customFormat="1">
      <c r="A274" s="472" t="s">
        <v>2273</v>
      </c>
      <c r="B274" s="556" t="s">
        <v>2272</v>
      </c>
      <c r="C274" s="434" t="s">
        <v>16</v>
      </c>
      <c r="D274" s="433">
        <v>0</v>
      </c>
      <c r="E274" s="429">
        <v>1875</v>
      </c>
      <c r="F274" s="429">
        <v>313</v>
      </c>
      <c r="G274" s="489">
        <f t="shared" si="13"/>
        <v>0</v>
      </c>
      <c r="H274" s="489">
        <f t="shared" si="13"/>
        <v>0</v>
      </c>
      <c r="I274" s="431"/>
    </row>
    <row r="275" spans="1:9" s="148" customFormat="1">
      <c r="A275" s="472"/>
      <c r="B275" s="474"/>
      <c r="C275" s="434"/>
      <c r="D275" s="429"/>
      <c r="E275" s="429"/>
      <c r="F275" s="429"/>
      <c r="G275" s="431"/>
      <c r="H275" s="431"/>
      <c r="I275" s="431"/>
    </row>
    <row r="276" spans="1:9" s="148" customFormat="1">
      <c r="A276" s="579" t="s">
        <v>601</v>
      </c>
      <c r="B276" s="423" t="s">
        <v>576</v>
      </c>
      <c r="C276" s="434"/>
      <c r="D276" s="429"/>
      <c r="E276" s="429"/>
      <c r="F276" s="429"/>
      <c r="G276" s="431"/>
      <c r="H276" s="431"/>
      <c r="I276" s="431"/>
    </row>
    <row r="277" spans="1:9" s="148" customFormat="1">
      <c r="A277" s="472"/>
      <c r="B277" s="423"/>
      <c r="C277" s="434"/>
      <c r="D277" s="429"/>
      <c r="E277" s="429"/>
      <c r="F277" s="429"/>
      <c r="G277" s="431"/>
      <c r="H277" s="431"/>
      <c r="I277" s="431"/>
    </row>
    <row r="278" spans="1:9" s="148" customFormat="1">
      <c r="A278" s="472" t="s">
        <v>385</v>
      </c>
      <c r="B278" s="474" t="s">
        <v>577</v>
      </c>
      <c r="C278" s="434" t="s">
        <v>16</v>
      </c>
      <c r="D278" s="433">
        <v>0</v>
      </c>
      <c r="E278" s="429">
        <v>280</v>
      </c>
      <c r="F278" s="429">
        <v>270</v>
      </c>
      <c r="G278" s="489">
        <f t="shared" ref="G278:H285" si="14">IF($D278="","",IFERROR($D278*E278,""))</f>
        <v>0</v>
      </c>
      <c r="H278" s="489">
        <f t="shared" si="14"/>
        <v>0</v>
      </c>
      <c r="I278" s="431"/>
    </row>
    <row r="279" spans="1:9" s="148" customFormat="1">
      <c r="A279" s="472" t="s">
        <v>387</v>
      </c>
      <c r="B279" s="474" t="s">
        <v>578</v>
      </c>
      <c r="C279" s="434" t="s">
        <v>16</v>
      </c>
      <c r="D279" s="433">
        <f>14*0</f>
        <v>0</v>
      </c>
      <c r="E279" s="429">
        <v>238</v>
      </c>
      <c r="F279" s="429">
        <v>225</v>
      </c>
      <c r="G279" s="489">
        <f t="shared" si="14"/>
        <v>0</v>
      </c>
      <c r="H279" s="489">
        <f t="shared" si="14"/>
        <v>0</v>
      </c>
      <c r="I279" s="431"/>
    </row>
    <row r="280" spans="1:9" s="148" customFormat="1">
      <c r="A280" s="472" t="s">
        <v>388</v>
      </c>
      <c r="B280" s="474" t="s">
        <v>579</v>
      </c>
      <c r="C280" s="434" t="s">
        <v>16</v>
      </c>
      <c r="D280" s="433">
        <v>14</v>
      </c>
      <c r="E280" s="429">
        <v>169</v>
      </c>
      <c r="F280" s="429">
        <v>158</v>
      </c>
      <c r="G280" s="489">
        <f t="shared" si="14"/>
        <v>2366</v>
      </c>
      <c r="H280" s="489">
        <f t="shared" si="14"/>
        <v>2212</v>
      </c>
      <c r="I280" s="431"/>
    </row>
    <row r="281" spans="1:9" s="147" customFormat="1">
      <c r="A281" s="472" t="s">
        <v>389</v>
      </c>
      <c r="B281" s="474" t="s">
        <v>580</v>
      </c>
      <c r="C281" s="434" t="s">
        <v>16</v>
      </c>
      <c r="D281" s="433">
        <f>6*0+10</f>
        <v>10</v>
      </c>
      <c r="E281" s="429">
        <v>139</v>
      </c>
      <c r="F281" s="429">
        <v>120</v>
      </c>
      <c r="G281" s="489">
        <f t="shared" si="14"/>
        <v>1390</v>
      </c>
      <c r="H281" s="489">
        <f t="shared" si="14"/>
        <v>1200</v>
      </c>
      <c r="I281" s="431"/>
    </row>
    <row r="282" spans="1:9" s="146" customFormat="1">
      <c r="A282" s="472" t="s">
        <v>390</v>
      </c>
      <c r="B282" s="474" t="s">
        <v>581</v>
      </c>
      <c r="C282" s="434" t="s">
        <v>16</v>
      </c>
      <c r="D282" s="433">
        <v>2</v>
      </c>
      <c r="E282" s="429">
        <v>118</v>
      </c>
      <c r="F282" s="429">
        <v>113</v>
      </c>
      <c r="G282" s="489">
        <f t="shared" si="14"/>
        <v>236</v>
      </c>
      <c r="H282" s="489">
        <f t="shared" si="14"/>
        <v>226</v>
      </c>
      <c r="I282" s="431"/>
    </row>
    <row r="283" spans="1:9" s="146" customFormat="1">
      <c r="A283" s="472" t="s">
        <v>391</v>
      </c>
      <c r="B283" s="474" t="s">
        <v>581</v>
      </c>
      <c r="C283" s="434" t="s">
        <v>16</v>
      </c>
      <c r="D283" s="433">
        <v>10</v>
      </c>
      <c r="E283" s="429">
        <v>139</v>
      </c>
      <c r="F283" s="429">
        <v>120</v>
      </c>
      <c r="G283" s="489">
        <f t="shared" ref="G283" si="15">IF($D283="","",IFERROR($D283*E283,""))</f>
        <v>1390</v>
      </c>
      <c r="H283" s="489">
        <f t="shared" ref="H283" si="16">IF($D283="","",IFERROR($D283*F283,""))</f>
        <v>1200</v>
      </c>
      <c r="I283" s="431"/>
    </row>
    <row r="284" spans="1:9" s="148" customFormat="1">
      <c r="A284" s="472" t="s">
        <v>392</v>
      </c>
      <c r="B284" s="474" t="s">
        <v>582</v>
      </c>
      <c r="C284" s="434" t="s">
        <v>16</v>
      </c>
      <c r="D284" s="433">
        <v>2</v>
      </c>
      <c r="E284" s="429">
        <v>123</v>
      </c>
      <c r="F284" s="429">
        <v>113</v>
      </c>
      <c r="G284" s="489">
        <f t="shared" si="14"/>
        <v>246</v>
      </c>
      <c r="H284" s="489">
        <f t="shared" si="14"/>
        <v>226</v>
      </c>
      <c r="I284" s="431"/>
    </row>
    <row r="285" spans="1:9" s="146" customFormat="1">
      <c r="A285" s="472" t="s">
        <v>393</v>
      </c>
      <c r="B285" s="474" t="s">
        <v>583</v>
      </c>
      <c r="C285" s="434" t="s">
        <v>16</v>
      </c>
      <c r="D285" s="433">
        <v>10</v>
      </c>
      <c r="E285" s="429">
        <v>101</v>
      </c>
      <c r="F285" s="429">
        <v>98</v>
      </c>
      <c r="G285" s="489">
        <f t="shared" si="14"/>
        <v>1010</v>
      </c>
      <c r="H285" s="489">
        <f t="shared" si="14"/>
        <v>980</v>
      </c>
      <c r="I285" s="431"/>
    </row>
    <row r="286" spans="1:9" s="148" customFormat="1">
      <c r="A286" s="472"/>
      <c r="B286" s="474"/>
      <c r="C286" s="434"/>
      <c r="D286" s="429"/>
      <c r="E286" s="429"/>
      <c r="F286" s="429"/>
      <c r="G286" s="431"/>
      <c r="H286" s="431"/>
      <c r="I286" s="431"/>
    </row>
    <row r="287" spans="1:9" s="148" customFormat="1">
      <c r="A287" s="579" t="s">
        <v>602</v>
      </c>
      <c r="B287" s="423" t="s">
        <v>585</v>
      </c>
      <c r="C287" s="434"/>
      <c r="D287" s="429"/>
      <c r="E287" s="429"/>
      <c r="F287" s="429"/>
      <c r="G287" s="431"/>
      <c r="H287" s="431"/>
      <c r="I287" s="431"/>
    </row>
    <row r="288" spans="1:9" s="148" customFormat="1">
      <c r="A288" s="472"/>
      <c r="B288" s="423"/>
      <c r="C288" s="434"/>
      <c r="D288" s="429"/>
      <c r="E288" s="429"/>
      <c r="F288" s="429"/>
      <c r="G288" s="431"/>
      <c r="H288" s="431"/>
      <c r="I288" s="431"/>
    </row>
    <row r="289" spans="1:9" s="148" customFormat="1">
      <c r="A289" s="472" t="s">
        <v>385</v>
      </c>
      <c r="B289" s="474" t="s">
        <v>603</v>
      </c>
      <c r="C289" s="434" t="s">
        <v>16</v>
      </c>
      <c r="D289" s="433">
        <f>36*0</f>
        <v>0</v>
      </c>
      <c r="E289" s="429">
        <v>413</v>
      </c>
      <c r="F289" s="429">
        <v>275</v>
      </c>
      <c r="G289" s="489">
        <f t="shared" ref="G289:H298" si="17">IF($D289="","",IFERROR($D289*E289,""))</f>
        <v>0</v>
      </c>
      <c r="H289" s="489">
        <f t="shared" si="17"/>
        <v>0</v>
      </c>
      <c r="I289" s="431"/>
    </row>
    <row r="290" spans="1:9" s="148" customFormat="1">
      <c r="A290" s="472" t="s">
        <v>387</v>
      </c>
      <c r="B290" s="474" t="s">
        <v>604</v>
      </c>
      <c r="C290" s="434" t="s">
        <v>16</v>
      </c>
      <c r="D290" s="433">
        <v>0</v>
      </c>
      <c r="E290" s="429">
        <v>336</v>
      </c>
      <c r="F290" s="429">
        <v>269</v>
      </c>
      <c r="G290" s="489">
        <f t="shared" si="17"/>
        <v>0</v>
      </c>
      <c r="H290" s="489">
        <f t="shared" si="17"/>
        <v>0</v>
      </c>
      <c r="I290" s="431"/>
    </row>
    <row r="291" spans="1:9" s="148" customFormat="1">
      <c r="A291" s="472" t="s">
        <v>388</v>
      </c>
      <c r="B291" s="474" t="s">
        <v>605</v>
      </c>
      <c r="C291" s="434" t="s">
        <v>16</v>
      </c>
      <c r="D291" s="433">
        <v>0</v>
      </c>
      <c r="E291" s="429">
        <v>249</v>
      </c>
      <c r="F291" s="429">
        <v>215</v>
      </c>
      <c r="G291" s="489">
        <f t="shared" si="17"/>
        <v>0</v>
      </c>
      <c r="H291" s="489">
        <f t="shared" si="17"/>
        <v>0</v>
      </c>
      <c r="I291" s="431"/>
    </row>
    <row r="292" spans="1:9" s="148" customFormat="1">
      <c r="A292" s="472" t="s">
        <v>389</v>
      </c>
      <c r="B292" s="474" t="s">
        <v>606</v>
      </c>
      <c r="C292" s="434" t="s">
        <v>16</v>
      </c>
      <c r="D292" s="433">
        <f>36*0</f>
        <v>0</v>
      </c>
      <c r="E292" s="429">
        <v>191</v>
      </c>
      <c r="F292" s="429">
        <v>175</v>
      </c>
      <c r="G292" s="489">
        <f t="shared" si="17"/>
        <v>0</v>
      </c>
      <c r="H292" s="489">
        <f t="shared" si="17"/>
        <v>0</v>
      </c>
      <c r="I292" s="431"/>
    </row>
    <row r="293" spans="1:9" s="148" customFormat="1">
      <c r="A293" s="472" t="s">
        <v>390</v>
      </c>
      <c r="B293" s="474" t="s">
        <v>607</v>
      </c>
      <c r="C293" s="434" t="s">
        <v>16</v>
      </c>
      <c r="D293" s="433">
        <v>0</v>
      </c>
      <c r="E293" s="429">
        <v>176</v>
      </c>
      <c r="F293" s="429">
        <v>140</v>
      </c>
      <c r="G293" s="489">
        <f t="shared" si="17"/>
        <v>0</v>
      </c>
      <c r="H293" s="489">
        <f t="shared" si="17"/>
        <v>0</v>
      </c>
      <c r="I293" s="431"/>
    </row>
    <row r="294" spans="1:9" s="148" customFormat="1">
      <c r="A294" s="472" t="s">
        <v>391</v>
      </c>
      <c r="B294" s="474" t="s">
        <v>608</v>
      </c>
      <c r="C294" s="434" t="s">
        <v>16</v>
      </c>
      <c r="D294" s="433">
        <v>0</v>
      </c>
      <c r="E294" s="429">
        <v>156</v>
      </c>
      <c r="F294" s="429">
        <v>123</v>
      </c>
      <c r="G294" s="489">
        <f t="shared" si="17"/>
        <v>0</v>
      </c>
      <c r="H294" s="489">
        <f t="shared" si="17"/>
        <v>0</v>
      </c>
      <c r="I294" s="431"/>
    </row>
    <row r="295" spans="1:9" s="148" customFormat="1">
      <c r="A295" s="472" t="s">
        <v>392</v>
      </c>
      <c r="B295" s="474" t="s">
        <v>609</v>
      </c>
      <c r="C295" s="434" t="s">
        <v>16</v>
      </c>
      <c r="D295" s="433">
        <f>14*0</f>
        <v>0</v>
      </c>
      <c r="E295" s="429">
        <v>140</v>
      </c>
      <c r="F295" s="429">
        <v>105</v>
      </c>
      <c r="G295" s="489">
        <f t="shared" si="17"/>
        <v>0</v>
      </c>
      <c r="H295" s="489">
        <f t="shared" si="17"/>
        <v>0</v>
      </c>
      <c r="I295" s="431"/>
    </row>
    <row r="296" spans="1:9" s="148" customFormat="1">
      <c r="A296" s="472" t="s">
        <v>393</v>
      </c>
      <c r="B296" s="474" t="s">
        <v>610</v>
      </c>
      <c r="C296" s="434" t="s">
        <v>16</v>
      </c>
      <c r="D296" s="433">
        <v>0</v>
      </c>
      <c r="E296" s="429">
        <v>123</v>
      </c>
      <c r="F296" s="429">
        <v>88</v>
      </c>
      <c r="G296" s="489">
        <f t="shared" si="17"/>
        <v>0</v>
      </c>
      <c r="H296" s="489">
        <f t="shared" si="17"/>
        <v>0</v>
      </c>
      <c r="I296" s="431"/>
    </row>
    <row r="297" spans="1:9" s="148" customFormat="1">
      <c r="A297" s="472" t="s">
        <v>394</v>
      </c>
      <c r="B297" s="474" t="s">
        <v>594</v>
      </c>
      <c r="C297" s="434" t="s">
        <v>31</v>
      </c>
      <c r="D297" s="433">
        <v>0</v>
      </c>
      <c r="E297" s="429">
        <v>155</v>
      </c>
      <c r="F297" s="429">
        <v>135</v>
      </c>
      <c r="G297" s="489">
        <f t="shared" si="17"/>
        <v>0</v>
      </c>
      <c r="H297" s="489">
        <f t="shared" si="17"/>
        <v>0</v>
      </c>
      <c r="I297" s="431"/>
    </row>
    <row r="298" spans="1:9" s="148" customFormat="1">
      <c r="A298" s="472" t="s">
        <v>397</v>
      </c>
      <c r="B298" s="474" t="s">
        <v>595</v>
      </c>
      <c r="C298" s="434" t="s">
        <v>31</v>
      </c>
      <c r="D298" s="433">
        <v>0</v>
      </c>
      <c r="E298" s="429">
        <v>181</v>
      </c>
      <c r="F298" s="429">
        <v>150</v>
      </c>
      <c r="G298" s="489">
        <f t="shared" si="17"/>
        <v>0</v>
      </c>
      <c r="H298" s="489">
        <f t="shared" si="17"/>
        <v>0</v>
      </c>
      <c r="I298" s="431"/>
    </row>
    <row r="299" spans="1:9" s="146" customFormat="1">
      <c r="A299" s="472" t="s">
        <v>398</v>
      </c>
      <c r="B299" s="474" t="s">
        <v>611</v>
      </c>
      <c r="C299" s="434" t="s">
        <v>16</v>
      </c>
      <c r="D299" s="433">
        <v>0</v>
      </c>
      <c r="E299" s="429">
        <v>153</v>
      </c>
      <c r="F299" s="429">
        <v>113</v>
      </c>
      <c r="G299" s="489">
        <f>IF($D299="","",IFERROR($D299*E299,""))</f>
        <v>0</v>
      </c>
      <c r="H299" s="489">
        <f>IF($D299="","",IFERROR($D299*F299,""))</f>
        <v>0</v>
      </c>
      <c r="I299" s="431"/>
    </row>
    <row r="300" spans="1:9" s="146" customFormat="1">
      <c r="A300" s="429"/>
      <c r="B300" s="427"/>
      <c r="C300" s="555"/>
      <c r="D300" s="429"/>
      <c r="E300" s="429"/>
      <c r="F300" s="429"/>
      <c r="G300" s="431"/>
      <c r="H300" s="431"/>
      <c r="I300" s="431"/>
    </row>
    <row r="301" spans="1:9" s="148" customFormat="1">
      <c r="A301" s="451"/>
      <c r="B301" s="394" t="s">
        <v>612</v>
      </c>
      <c r="C301" s="394"/>
      <c r="D301" s="395"/>
      <c r="E301" s="395"/>
      <c r="F301" s="395"/>
      <c r="G301" s="395">
        <f>SUM(G219:G300)</f>
        <v>709420</v>
      </c>
      <c r="H301" s="395">
        <f>SUM(H219:H300)</f>
        <v>56834</v>
      </c>
      <c r="I301" s="395"/>
    </row>
    <row r="302" spans="1:9" s="148" customFormat="1">
      <c r="A302" s="476"/>
      <c r="B302" s="582"/>
      <c r="C302" s="563"/>
      <c r="D302" s="476"/>
      <c r="E302" s="429"/>
      <c r="F302" s="429"/>
      <c r="G302" s="432"/>
      <c r="H302" s="432"/>
      <c r="I302" s="432"/>
    </row>
    <row r="303" spans="1:9" s="148" customFormat="1">
      <c r="A303" s="430">
        <v>4</v>
      </c>
      <c r="B303" s="423" t="s">
        <v>613</v>
      </c>
      <c r="C303" s="555"/>
      <c r="D303" s="429"/>
      <c r="E303" s="429"/>
      <c r="F303" s="429"/>
      <c r="G303" s="431"/>
      <c r="H303" s="431"/>
      <c r="I303" s="431"/>
    </row>
    <row r="304" spans="1:9" s="148" customFormat="1" ht="72.5">
      <c r="A304" s="476"/>
      <c r="B304" s="583" t="s">
        <v>614</v>
      </c>
      <c r="C304" s="563"/>
      <c r="D304" s="476"/>
      <c r="E304" s="429"/>
      <c r="F304" s="429"/>
      <c r="G304" s="432"/>
      <c r="H304" s="432"/>
      <c r="I304" s="425"/>
    </row>
    <row r="305" spans="1:9" s="148" customFormat="1">
      <c r="A305" s="429"/>
      <c r="B305" s="471" t="s">
        <v>615</v>
      </c>
      <c r="C305" s="555"/>
      <c r="D305" s="429"/>
      <c r="E305" s="429"/>
      <c r="F305" s="429"/>
      <c r="G305" s="431"/>
      <c r="H305" s="431"/>
      <c r="I305" s="425"/>
    </row>
    <row r="306" spans="1:9" s="148" customFormat="1" ht="29">
      <c r="A306" s="429">
        <v>4.0999999999999996</v>
      </c>
      <c r="B306" s="427" t="s">
        <v>616</v>
      </c>
      <c r="C306" s="434" t="s">
        <v>16</v>
      </c>
      <c r="D306" s="433">
        <v>40</v>
      </c>
      <c r="E306" s="429">
        <v>316</v>
      </c>
      <c r="F306" s="429">
        <v>113</v>
      </c>
      <c r="G306" s="489">
        <f t="shared" ref="G306:H327" si="18">IF($D306="","",IFERROR($D306*E306,""))</f>
        <v>12640</v>
      </c>
      <c r="H306" s="489">
        <f t="shared" si="18"/>
        <v>4520</v>
      </c>
      <c r="I306" s="431"/>
    </row>
    <row r="307" spans="1:9" s="148" customFormat="1" ht="43.5">
      <c r="A307" s="429">
        <v>4.2</v>
      </c>
      <c r="B307" s="427" t="s">
        <v>617</v>
      </c>
      <c r="C307" s="434" t="s">
        <v>16</v>
      </c>
      <c r="D307" s="433">
        <v>0</v>
      </c>
      <c r="E307" s="429">
        <v>263</v>
      </c>
      <c r="F307" s="429">
        <v>113</v>
      </c>
      <c r="G307" s="489">
        <f t="shared" si="18"/>
        <v>0</v>
      </c>
      <c r="H307" s="489">
        <f t="shared" si="18"/>
        <v>0</v>
      </c>
      <c r="I307" s="431"/>
    </row>
    <row r="308" spans="1:9" s="148" customFormat="1" ht="43.5">
      <c r="A308" s="429">
        <v>4.3</v>
      </c>
      <c r="B308" s="427" t="s">
        <v>618</v>
      </c>
      <c r="C308" s="434" t="s">
        <v>16</v>
      </c>
      <c r="D308" s="433">
        <v>0</v>
      </c>
      <c r="E308" s="429">
        <v>438</v>
      </c>
      <c r="F308" s="429">
        <v>120</v>
      </c>
      <c r="G308" s="489">
        <f t="shared" si="18"/>
        <v>0</v>
      </c>
      <c r="H308" s="489">
        <f t="shared" si="18"/>
        <v>0</v>
      </c>
      <c r="I308" s="431"/>
    </row>
    <row r="309" spans="1:9" s="148" customFormat="1" ht="43.5">
      <c r="A309" s="429">
        <v>4.4000000000000004</v>
      </c>
      <c r="B309" s="427" t="s">
        <v>619</v>
      </c>
      <c r="C309" s="434" t="s">
        <v>16</v>
      </c>
      <c r="D309" s="433">
        <v>0</v>
      </c>
      <c r="E309" s="429">
        <v>343</v>
      </c>
      <c r="F309" s="429">
        <v>120</v>
      </c>
      <c r="G309" s="489">
        <f t="shared" si="18"/>
        <v>0</v>
      </c>
      <c r="H309" s="489">
        <f t="shared" si="18"/>
        <v>0</v>
      </c>
      <c r="I309" s="431"/>
    </row>
    <row r="310" spans="1:9" s="148" customFormat="1" ht="43.5">
      <c r="A310" s="429">
        <v>4.5</v>
      </c>
      <c r="B310" s="427" t="s">
        <v>620</v>
      </c>
      <c r="C310" s="434" t="s">
        <v>16</v>
      </c>
      <c r="D310" s="433">
        <v>60</v>
      </c>
      <c r="E310" s="429">
        <v>406</v>
      </c>
      <c r="F310" s="429">
        <v>128</v>
      </c>
      <c r="G310" s="489">
        <f t="shared" si="18"/>
        <v>24360</v>
      </c>
      <c r="H310" s="489">
        <f t="shared" si="18"/>
        <v>7680</v>
      </c>
      <c r="I310" s="431"/>
    </row>
    <row r="311" spans="1:9" s="148" customFormat="1" ht="43.5">
      <c r="A311" s="429">
        <v>4.5999999999999996</v>
      </c>
      <c r="B311" s="427" t="s">
        <v>621</v>
      </c>
      <c r="C311" s="434" t="s">
        <v>16</v>
      </c>
      <c r="D311" s="433">
        <v>125</v>
      </c>
      <c r="E311" s="429">
        <v>608</v>
      </c>
      <c r="F311" s="429">
        <v>135</v>
      </c>
      <c r="G311" s="489">
        <f t="shared" si="18"/>
        <v>76000</v>
      </c>
      <c r="H311" s="489">
        <f t="shared" si="18"/>
        <v>16875</v>
      </c>
      <c r="I311" s="431"/>
    </row>
    <row r="312" spans="1:9" s="148" customFormat="1" ht="43.5">
      <c r="A312" s="429">
        <v>4.7</v>
      </c>
      <c r="B312" s="427" t="s">
        <v>622</v>
      </c>
      <c r="C312" s="434" t="s">
        <v>16</v>
      </c>
      <c r="D312" s="433">
        <v>45</v>
      </c>
      <c r="E312" s="429">
        <v>750</v>
      </c>
      <c r="F312" s="429">
        <v>188</v>
      </c>
      <c r="G312" s="489">
        <f t="shared" si="18"/>
        <v>33750</v>
      </c>
      <c r="H312" s="489">
        <f t="shared" si="18"/>
        <v>8460</v>
      </c>
      <c r="I312" s="428"/>
    </row>
    <row r="313" spans="1:9" s="148" customFormat="1" ht="43.5">
      <c r="A313" s="429">
        <v>4.8</v>
      </c>
      <c r="B313" s="426" t="s">
        <v>623</v>
      </c>
      <c r="C313" s="434" t="s">
        <v>16</v>
      </c>
      <c r="D313" s="433">
        <v>80</v>
      </c>
      <c r="E313" s="429">
        <v>1151</v>
      </c>
      <c r="F313" s="429">
        <v>225</v>
      </c>
      <c r="G313" s="489">
        <f t="shared" si="18"/>
        <v>92080</v>
      </c>
      <c r="H313" s="489">
        <f t="shared" si="18"/>
        <v>18000</v>
      </c>
      <c r="I313" s="431"/>
    </row>
    <row r="314" spans="1:9" s="148" customFormat="1" ht="58">
      <c r="A314" s="554">
        <v>4.9000000000000004</v>
      </c>
      <c r="B314" s="426" t="s">
        <v>624</v>
      </c>
      <c r="C314" s="434" t="s">
        <v>16</v>
      </c>
      <c r="D314" s="433">
        <v>5</v>
      </c>
      <c r="E314" s="429">
        <v>9981</v>
      </c>
      <c r="F314" s="429">
        <v>450</v>
      </c>
      <c r="G314" s="489">
        <f t="shared" si="18"/>
        <v>49905</v>
      </c>
      <c r="H314" s="489">
        <f t="shared" si="18"/>
        <v>2250</v>
      </c>
      <c r="I314" s="425"/>
    </row>
    <row r="315" spans="1:9" s="148" customFormat="1" ht="58">
      <c r="A315" s="554" t="s">
        <v>2274</v>
      </c>
      <c r="B315" s="426" t="s">
        <v>2275</v>
      </c>
      <c r="C315" s="434" t="s">
        <v>16</v>
      </c>
      <c r="D315" s="433">
        <v>12</v>
      </c>
      <c r="E315" s="429">
        <v>18958</v>
      </c>
      <c r="F315" s="429">
        <v>450</v>
      </c>
      <c r="G315" s="489">
        <f t="shared" si="18"/>
        <v>227496</v>
      </c>
      <c r="H315" s="489">
        <f t="shared" si="18"/>
        <v>5400</v>
      </c>
      <c r="I315" s="425"/>
    </row>
    <row r="316" spans="1:9" s="148" customFormat="1" ht="43.5">
      <c r="A316" s="554" t="s">
        <v>2276</v>
      </c>
      <c r="B316" s="426" t="s">
        <v>2277</v>
      </c>
      <c r="C316" s="434" t="s">
        <v>16</v>
      </c>
      <c r="D316" s="433">
        <v>25</v>
      </c>
      <c r="E316" s="429">
        <v>6875</v>
      </c>
      <c r="F316" s="429">
        <v>188</v>
      </c>
      <c r="G316" s="489">
        <f t="shared" si="18"/>
        <v>171875</v>
      </c>
      <c r="H316" s="489">
        <f t="shared" si="18"/>
        <v>4700</v>
      </c>
      <c r="I316" s="425"/>
    </row>
    <row r="317" spans="1:9" s="148" customFormat="1" ht="58.5" customHeight="1">
      <c r="A317" s="557">
        <v>4.0999999999999996</v>
      </c>
      <c r="B317" s="426" t="s">
        <v>625</v>
      </c>
      <c r="C317" s="434" t="s">
        <v>16</v>
      </c>
      <c r="D317" s="433">
        <v>5</v>
      </c>
      <c r="E317" s="429">
        <v>18750</v>
      </c>
      <c r="F317" s="429">
        <v>188</v>
      </c>
      <c r="G317" s="489">
        <f t="shared" si="18"/>
        <v>93750</v>
      </c>
      <c r="H317" s="489">
        <f t="shared" si="18"/>
        <v>940</v>
      </c>
      <c r="I317" s="425"/>
    </row>
    <row r="318" spans="1:9" s="148" customFormat="1" ht="43.5">
      <c r="A318" s="429">
        <v>4.1100000000000003</v>
      </c>
      <c r="B318" s="427" t="s">
        <v>626</v>
      </c>
      <c r="C318" s="434" t="s">
        <v>16</v>
      </c>
      <c r="D318" s="433">
        <v>92</v>
      </c>
      <c r="E318" s="429">
        <v>406</v>
      </c>
      <c r="F318" s="429">
        <v>128</v>
      </c>
      <c r="G318" s="489">
        <f t="shared" si="18"/>
        <v>37352</v>
      </c>
      <c r="H318" s="489">
        <f t="shared" si="18"/>
        <v>11776</v>
      </c>
      <c r="I318" s="431"/>
    </row>
    <row r="319" spans="1:9" s="148" customFormat="1" ht="43.5">
      <c r="A319" s="429">
        <v>4.12</v>
      </c>
      <c r="B319" s="427" t="s">
        <v>627</v>
      </c>
      <c r="C319" s="434" t="s">
        <v>16</v>
      </c>
      <c r="D319" s="433">
        <v>30</v>
      </c>
      <c r="E319" s="429">
        <v>608</v>
      </c>
      <c r="F319" s="429">
        <v>143</v>
      </c>
      <c r="G319" s="489">
        <f t="shared" si="18"/>
        <v>18240</v>
      </c>
      <c r="H319" s="489">
        <f t="shared" si="18"/>
        <v>4290</v>
      </c>
      <c r="I319" s="431"/>
    </row>
    <row r="320" spans="1:9" s="148" customFormat="1" ht="43.5">
      <c r="A320" s="483">
        <v>4.13</v>
      </c>
      <c r="B320" s="426" t="s">
        <v>628</v>
      </c>
      <c r="C320" s="434" t="s">
        <v>16</v>
      </c>
      <c r="D320" s="433">
        <v>13</v>
      </c>
      <c r="E320" s="429">
        <v>1151</v>
      </c>
      <c r="F320" s="429">
        <v>195</v>
      </c>
      <c r="G320" s="489">
        <f t="shared" si="18"/>
        <v>14963</v>
      </c>
      <c r="H320" s="489">
        <f t="shared" si="18"/>
        <v>2535</v>
      </c>
      <c r="I320" s="431"/>
    </row>
    <row r="321" spans="1:9" s="148" customFormat="1">
      <c r="A321" s="479">
        <v>4.1399999999999997</v>
      </c>
      <c r="B321" s="474" t="s">
        <v>629</v>
      </c>
      <c r="C321" s="434" t="s">
        <v>630</v>
      </c>
      <c r="D321" s="433" t="s">
        <v>828</v>
      </c>
      <c r="E321" s="429">
        <v>2408</v>
      </c>
      <c r="F321" s="429">
        <v>225</v>
      </c>
      <c r="G321" s="489" t="str">
        <f t="shared" si="18"/>
        <v/>
      </c>
      <c r="H321" s="489" t="str">
        <f t="shared" si="18"/>
        <v/>
      </c>
      <c r="I321" s="431"/>
    </row>
    <row r="322" spans="1:9" s="148" customFormat="1">
      <c r="A322" s="557">
        <v>4.1500000000000004</v>
      </c>
      <c r="B322" s="425" t="s">
        <v>631</v>
      </c>
      <c r="C322" s="434" t="s">
        <v>16</v>
      </c>
      <c r="D322" s="433">
        <v>0</v>
      </c>
      <c r="E322" s="429">
        <v>103</v>
      </c>
      <c r="F322" s="429">
        <v>45</v>
      </c>
      <c r="G322" s="489">
        <f t="shared" si="18"/>
        <v>0</v>
      </c>
      <c r="H322" s="489">
        <f t="shared" si="18"/>
        <v>0</v>
      </c>
      <c r="I322" s="431"/>
    </row>
    <row r="323" spans="1:9" s="146" customFormat="1">
      <c r="A323" s="472" t="s">
        <v>632</v>
      </c>
      <c r="B323" s="425" t="s">
        <v>633</v>
      </c>
      <c r="C323" s="434" t="s">
        <v>16</v>
      </c>
      <c r="D323" s="433">
        <v>2</v>
      </c>
      <c r="E323" s="429">
        <v>103</v>
      </c>
      <c r="F323" s="429">
        <v>45</v>
      </c>
      <c r="G323" s="489">
        <f t="shared" si="18"/>
        <v>206</v>
      </c>
      <c r="H323" s="489">
        <f t="shared" si="18"/>
        <v>90</v>
      </c>
      <c r="I323" s="431"/>
    </row>
    <row r="324" spans="1:9" s="146" customFormat="1">
      <c r="A324" s="557">
        <v>4.17</v>
      </c>
      <c r="B324" s="425" t="s">
        <v>634</v>
      </c>
      <c r="C324" s="434" t="s">
        <v>16</v>
      </c>
      <c r="D324" s="433">
        <v>3</v>
      </c>
      <c r="E324" s="429">
        <v>136</v>
      </c>
      <c r="F324" s="429">
        <v>60</v>
      </c>
      <c r="G324" s="489">
        <f t="shared" si="18"/>
        <v>408</v>
      </c>
      <c r="H324" s="489">
        <f t="shared" si="18"/>
        <v>180</v>
      </c>
      <c r="I324" s="431"/>
    </row>
    <row r="325" spans="1:9" s="145" customFormat="1">
      <c r="A325" s="472" t="s">
        <v>635</v>
      </c>
      <c r="B325" s="425" t="s">
        <v>636</v>
      </c>
      <c r="C325" s="434" t="s">
        <v>16</v>
      </c>
      <c r="D325" s="433">
        <v>3</v>
      </c>
      <c r="E325" s="429">
        <v>215</v>
      </c>
      <c r="F325" s="429">
        <v>75</v>
      </c>
      <c r="G325" s="489">
        <f t="shared" si="18"/>
        <v>645</v>
      </c>
      <c r="H325" s="489">
        <f t="shared" si="18"/>
        <v>225</v>
      </c>
      <c r="I325" s="431"/>
    </row>
    <row r="326" spans="1:9" s="147" customFormat="1">
      <c r="A326" s="472" t="s">
        <v>637</v>
      </c>
      <c r="B326" s="584" t="s">
        <v>638</v>
      </c>
      <c r="C326" s="585" t="s">
        <v>16</v>
      </c>
      <c r="D326" s="433">
        <v>15</v>
      </c>
      <c r="E326" s="429">
        <v>68</v>
      </c>
      <c r="F326" s="429">
        <v>30</v>
      </c>
      <c r="G326" s="489">
        <f t="shared" si="18"/>
        <v>1020</v>
      </c>
      <c r="H326" s="489">
        <f t="shared" si="18"/>
        <v>450</v>
      </c>
      <c r="I326" s="431"/>
    </row>
    <row r="327" spans="1:9" s="145" customFormat="1">
      <c r="A327" s="472" t="s">
        <v>639</v>
      </c>
      <c r="B327" s="584" t="s">
        <v>640</v>
      </c>
      <c r="C327" s="585" t="s">
        <v>16</v>
      </c>
      <c r="D327" s="433">
        <v>100</v>
      </c>
      <c r="E327" s="429">
        <v>156</v>
      </c>
      <c r="F327" s="429">
        <v>90</v>
      </c>
      <c r="G327" s="489">
        <f t="shared" si="18"/>
        <v>15600</v>
      </c>
      <c r="H327" s="489">
        <f t="shared" si="18"/>
        <v>9000</v>
      </c>
      <c r="I327" s="431"/>
    </row>
    <row r="328" spans="1:9" s="143" customFormat="1" ht="29">
      <c r="A328" s="472" t="s">
        <v>641</v>
      </c>
      <c r="B328" s="425" t="s">
        <v>642</v>
      </c>
      <c r="C328" s="434"/>
      <c r="D328" s="433"/>
      <c r="E328" s="429"/>
      <c r="F328" s="429"/>
      <c r="G328" s="489"/>
      <c r="H328" s="489"/>
      <c r="I328" s="431"/>
    </row>
    <row r="329" spans="1:9" s="143" customFormat="1" ht="29">
      <c r="A329" s="472" t="s">
        <v>385</v>
      </c>
      <c r="B329" s="425" t="s">
        <v>643</v>
      </c>
      <c r="C329" s="434" t="s">
        <v>16</v>
      </c>
      <c r="D329" s="433">
        <v>0</v>
      </c>
      <c r="E329" s="429">
        <v>3166</v>
      </c>
      <c r="F329" s="429">
        <v>300</v>
      </c>
      <c r="G329" s="489">
        <f t="shared" ref="G329:H331" si="19">IF($D329="","",IFERROR($D329*E329,""))</f>
        <v>0</v>
      </c>
      <c r="H329" s="489">
        <f t="shared" si="19"/>
        <v>0</v>
      </c>
      <c r="I329" s="431"/>
    </row>
    <row r="330" spans="1:9" s="148" customFormat="1">
      <c r="A330" s="472" t="s">
        <v>387</v>
      </c>
      <c r="B330" s="425" t="s">
        <v>644</v>
      </c>
      <c r="C330" s="434" t="s">
        <v>16</v>
      </c>
      <c r="D330" s="433">
        <v>0</v>
      </c>
      <c r="E330" s="429">
        <v>9498</v>
      </c>
      <c r="F330" s="429">
        <v>375</v>
      </c>
      <c r="G330" s="489">
        <f t="shared" si="19"/>
        <v>0</v>
      </c>
      <c r="H330" s="489">
        <f t="shared" si="19"/>
        <v>0</v>
      </c>
      <c r="I330" s="431"/>
    </row>
    <row r="331" spans="1:9" s="148" customFormat="1" ht="43.5">
      <c r="A331" s="429" t="s">
        <v>2278</v>
      </c>
      <c r="B331" s="426" t="s">
        <v>2279</v>
      </c>
      <c r="C331" s="434" t="s">
        <v>16</v>
      </c>
      <c r="D331" s="433">
        <v>15</v>
      </c>
      <c r="E331" s="429">
        <v>1063</v>
      </c>
      <c r="F331" s="429">
        <v>125</v>
      </c>
      <c r="G331" s="489">
        <f t="shared" si="19"/>
        <v>15945</v>
      </c>
      <c r="H331" s="489">
        <f t="shared" si="19"/>
        <v>1875</v>
      </c>
      <c r="I331" s="431"/>
    </row>
    <row r="332" spans="1:9" s="148" customFormat="1">
      <c r="A332" s="586" t="s">
        <v>645</v>
      </c>
      <c r="B332" s="423" t="s">
        <v>646</v>
      </c>
      <c r="C332" s="434"/>
      <c r="D332" s="429"/>
      <c r="E332" s="429">
        <v>0</v>
      </c>
      <c r="F332" s="429">
        <v>0</v>
      </c>
      <c r="G332" s="431"/>
      <c r="H332" s="431"/>
      <c r="I332" s="431"/>
    </row>
    <row r="333" spans="1:9" s="148" customFormat="1" ht="29">
      <c r="A333" s="472" t="s">
        <v>385</v>
      </c>
      <c r="B333" s="425" t="s">
        <v>2280</v>
      </c>
      <c r="C333" s="434" t="s">
        <v>16</v>
      </c>
      <c r="D333" s="433">
        <v>4</v>
      </c>
      <c r="E333" s="429">
        <v>2021</v>
      </c>
      <c r="F333" s="429">
        <v>450</v>
      </c>
      <c r="G333" s="489">
        <f t="shared" ref="G333:H338" si="20">IF($D333="","",IFERROR($D333*E333,""))</f>
        <v>8084</v>
      </c>
      <c r="H333" s="489">
        <f t="shared" si="20"/>
        <v>1800</v>
      </c>
      <c r="I333" s="431"/>
    </row>
    <row r="334" spans="1:9" s="148" customFormat="1" ht="29">
      <c r="A334" s="472" t="s">
        <v>387</v>
      </c>
      <c r="B334" s="425" t="s">
        <v>2281</v>
      </c>
      <c r="C334" s="434" t="s">
        <v>16</v>
      </c>
      <c r="D334" s="433">
        <v>1</v>
      </c>
      <c r="E334" s="429">
        <v>2021</v>
      </c>
      <c r="F334" s="429">
        <v>450</v>
      </c>
      <c r="G334" s="489">
        <f t="shared" si="20"/>
        <v>2021</v>
      </c>
      <c r="H334" s="489">
        <f t="shared" si="20"/>
        <v>450</v>
      </c>
      <c r="I334" s="431"/>
    </row>
    <row r="335" spans="1:9" s="148" customFormat="1" ht="29">
      <c r="A335" s="472" t="s">
        <v>388</v>
      </c>
      <c r="B335" s="425" t="s">
        <v>2282</v>
      </c>
      <c r="C335" s="434" t="s">
        <v>16</v>
      </c>
      <c r="D335" s="433">
        <v>1</v>
      </c>
      <c r="E335" s="429">
        <v>13425</v>
      </c>
      <c r="F335" s="429">
        <v>750</v>
      </c>
      <c r="G335" s="489">
        <f t="shared" si="20"/>
        <v>13425</v>
      </c>
      <c r="H335" s="489">
        <f t="shared" si="20"/>
        <v>750</v>
      </c>
      <c r="I335" s="431"/>
    </row>
    <row r="336" spans="1:9" s="148" customFormat="1" ht="29">
      <c r="A336" s="472" t="s">
        <v>389</v>
      </c>
      <c r="B336" s="425" t="s">
        <v>2283</v>
      </c>
      <c r="C336" s="434" t="s">
        <v>16</v>
      </c>
      <c r="D336" s="433">
        <v>3</v>
      </c>
      <c r="E336" s="429">
        <v>13870</v>
      </c>
      <c r="F336" s="429">
        <v>750</v>
      </c>
      <c r="G336" s="489">
        <f t="shared" si="20"/>
        <v>41610</v>
      </c>
      <c r="H336" s="489">
        <f t="shared" si="20"/>
        <v>2250</v>
      </c>
      <c r="I336" s="431"/>
    </row>
    <row r="337" spans="1:9" s="148" customFormat="1" ht="29">
      <c r="A337" s="472" t="s">
        <v>390</v>
      </c>
      <c r="B337" s="425" t="s">
        <v>2284</v>
      </c>
      <c r="C337" s="434" t="s">
        <v>16</v>
      </c>
      <c r="D337" s="433">
        <v>1</v>
      </c>
      <c r="E337" s="429">
        <v>19523</v>
      </c>
      <c r="F337" s="429">
        <v>1125</v>
      </c>
      <c r="G337" s="489">
        <f t="shared" si="20"/>
        <v>19523</v>
      </c>
      <c r="H337" s="489">
        <f t="shared" si="20"/>
        <v>1125</v>
      </c>
      <c r="I337" s="431"/>
    </row>
    <row r="338" spans="1:9" s="148" customFormat="1" ht="45" customHeight="1">
      <c r="A338" s="472" t="s">
        <v>647</v>
      </c>
      <c r="B338" s="425" t="s">
        <v>648</v>
      </c>
      <c r="C338" s="434" t="s">
        <v>16</v>
      </c>
      <c r="D338" s="433">
        <v>12</v>
      </c>
      <c r="E338" s="429">
        <v>8963</v>
      </c>
      <c r="F338" s="429">
        <v>750</v>
      </c>
      <c r="G338" s="489">
        <f t="shared" si="20"/>
        <v>107556</v>
      </c>
      <c r="H338" s="489">
        <f t="shared" si="20"/>
        <v>9000</v>
      </c>
      <c r="I338" s="431"/>
    </row>
    <row r="339" spans="1:9" s="148" customFormat="1">
      <c r="A339" s="472"/>
      <c r="B339" s="471" t="s">
        <v>649</v>
      </c>
      <c r="C339" s="434"/>
      <c r="D339" s="433"/>
      <c r="E339" s="429"/>
      <c r="F339" s="429"/>
      <c r="G339" s="489"/>
      <c r="H339" s="489"/>
      <c r="I339" s="431"/>
    </row>
    <row r="340" spans="1:9" s="148" customFormat="1" ht="29">
      <c r="A340" s="472"/>
      <c r="B340" s="426" t="s">
        <v>650</v>
      </c>
      <c r="C340" s="434" t="s">
        <v>16</v>
      </c>
      <c r="D340" s="433">
        <v>2</v>
      </c>
      <c r="E340" s="429">
        <v>585</v>
      </c>
      <c r="F340" s="429">
        <v>188</v>
      </c>
      <c r="G340" s="489">
        <f t="shared" ref="G340:H346" si="21">IF($D340="","",IFERROR($D340*E340,""))</f>
        <v>1170</v>
      </c>
      <c r="H340" s="489">
        <f t="shared" si="21"/>
        <v>376</v>
      </c>
      <c r="I340" s="431"/>
    </row>
    <row r="341" spans="1:9" s="148" customFormat="1" ht="29">
      <c r="A341" s="472"/>
      <c r="B341" s="426" t="s">
        <v>651</v>
      </c>
      <c r="C341" s="434" t="s">
        <v>16</v>
      </c>
      <c r="D341" s="433">
        <v>330</v>
      </c>
      <c r="E341" s="429">
        <v>751</v>
      </c>
      <c r="F341" s="429">
        <v>225</v>
      </c>
      <c r="G341" s="489">
        <f t="shared" si="21"/>
        <v>247830</v>
      </c>
      <c r="H341" s="489">
        <f t="shared" si="21"/>
        <v>74250</v>
      </c>
      <c r="I341" s="431"/>
    </row>
    <row r="342" spans="1:9" s="148" customFormat="1" ht="29">
      <c r="A342" s="472"/>
      <c r="B342" s="426" t="s">
        <v>652</v>
      </c>
      <c r="C342" s="434" t="s">
        <v>16</v>
      </c>
      <c r="D342" s="433">
        <v>0</v>
      </c>
      <c r="E342" s="429">
        <v>861</v>
      </c>
      <c r="F342" s="429">
        <v>263</v>
      </c>
      <c r="G342" s="489">
        <f t="shared" si="21"/>
        <v>0</v>
      </c>
      <c r="H342" s="489">
        <f t="shared" si="21"/>
        <v>0</v>
      </c>
      <c r="I342" s="431"/>
    </row>
    <row r="343" spans="1:9" s="145" customFormat="1" ht="29">
      <c r="A343" s="472"/>
      <c r="B343" s="426" t="s">
        <v>1463</v>
      </c>
      <c r="C343" s="434" t="s">
        <v>16</v>
      </c>
      <c r="D343" s="433">
        <v>50</v>
      </c>
      <c r="E343" s="429">
        <v>425</v>
      </c>
      <c r="F343" s="429">
        <v>135</v>
      </c>
      <c r="G343" s="489">
        <f t="shared" si="21"/>
        <v>21250</v>
      </c>
      <c r="H343" s="489">
        <f t="shared" si="21"/>
        <v>6750</v>
      </c>
      <c r="I343" s="431"/>
    </row>
    <row r="344" spans="1:9" s="147" customFormat="1" ht="29">
      <c r="A344" s="472"/>
      <c r="B344" s="426" t="s">
        <v>653</v>
      </c>
      <c r="C344" s="434" t="s">
        <v>16</v>
      </c>
      <c r="D344" s="433">
        <v>0</v>
      </c>
      <c r="E344" s="429">
        <v>828</v>
      </c>
      <c r="F344" s="429">
        <v>188</v>
      </c>
      <c r="G344" s="489">
        <f t="shared" si="21"/>
        <v>0</v>
      </c>
      <c r="H344" s="489">
        <f t="shared" si="21"/>
        <v>0</v>
      </c>
      <c r="I344" s="431"/>
    </row>
    <row r="345" spans="1:9" s="145" customFormat="1">
      <c r="A345" s="479"/>
      <c r="B345" s="474" t="s">
        <v>654</v>
      </c>
      <c r="C345" s="434" t="s">
        <v>630</v>
      </c>
      <c r="D345" s="433">
        <v>0</v>
      </c>
      <c r="E345" s="429">
        <v>2306</v>
      </c>
      <c r="F345" s="429">
        <v>225</v>
      </c>
      <c r="G345" s="489">
        <f t="shared" si="21"/>
        <v>0</v>
      </c>
      <c r="H345" s="489">
        <f t="shared" si="21"/>
        <v>0</v>
      </c>
      <c r="I345" s="431"/>
    </row>
    <row r="346" spans="1:9" s="143" customFormat="1" ht="40.5">
      <c r="A346" s="479"/>
      <c r="B346" s="474" t="s">
        <v>1464</v>
      </c>
      <c r="C346" s="434" t="s">
        <v>630</v>
      </c>
      <c r="D346" s="433">
        <v>40</v>
      </c>
      <c r="E346" s="429">
        <v>6875</v>
      </c>
      <c r="F346" s="429">
        <v>300</v>
      </c>
      <c r="G346" s="489">
        <f t="shared" si="21"/>
        <v>275000</v>
      </c>
      <c r="H346" s="489">
        <f t="shared" si="21"/>
        <v>12000</v>
      </c>
      <c r="I346" s="431"/>
    </row>
    <row r="347" spans="1:9" s="143" customFormat="1">
      <c r="A347" s="384"/>
      <c r="B347" s="396"/>
      <c r="C347" s="383"/>
      <c r="D347" s="384"/>
      <c r="E347" s="385"/>
      <c r="F347" s="385"/>
      <c r="G347" s="386"/>
      <c r="H347" s="386"/>
      <c r="I347" s="386"/>
    </row>
    <row r="348" spans="1:9" s="143" customFormat="1">
      <c r="A348" s="451"/>
      <c r="B348" s="394" t="s">
        <v>655</v>
      </c>
      <c r="C348" s="394"/>
      <c r="D348" s="395"/>
      <c r="E348" s="395"/>
      <c r="F348" s="395"/>
      <c r="G348" s="395">
        <f>SUM(G304:G347)</f>
        <v>1623704</v>
      </c>
      <c r="H348" s="395">
        <f>SUM(H304:H347)</f>
        <v>207997</v>
      </c>
      <c r="I348" s="395"/>
    </row>
    <row r="349" spans="1:9" s="143" customFormat="1">
      <c r="A349" s="384"/>
      <c r="B349" s="396"/>
      <c r="C349" s="383"/>
      <c r="D349" s="384"/>
      <c r="E349" s="385"/>
      <c r="F349" s="385"/>
      <c r="G349" s="386"/>
      <c r="H349" s="386"/>
      <c r="I349" s="386"/>
    </row>
    <row r="350" spans="1:9" s="143" customFormat="1">
      <c r="A350" s="460">
        <v>5</v>
      </c>
      <c r="B350" s="408" t="s">
        <v>656</v>
      </c>
      <c r="C350" s="390"/>
      <c r="D350" s="385"/>
      <c r="E350" s="385"/>
      <c r="F350" s="385"/>
      <c r="G350" s="389"/>
      <c r="H350" s="389"/>
      <c r="I350" s="421"/>
    </row>
    <row r="351" spans="1:9" s="143" customFormat="1">
      <c r="A351" s="460"/>
      <c r="B351" s="408"/>
      <c r="C351" s="390"/>
      <c r="D351" s="385"/>
      <c r="E351" s="385"/>
      <c r="F351" s="385"/>
      <c r="G351" s="389"/>
      <c r="H351" s="389"/>
      <c r="I351" s="421"/>
    </row>
    <row r="352" spans="1:9" s="143" customFormat="1">
      <c r="A352" s="587"/>
      <c r="B352" s="588" t="s">
        <v>657</v>
      </c>
      <c r="C352" s="434"/>
      <c r="D352" s="429"/>
      <c r="E352" s="429"/>
      <c r="F352" s="429"/>
      <c r="G352" s="431"/>
      <c r="H352" s="431"/>
      <c r="I352" s="589"/>
    </row>
    <row r="353" spans="1:9" s="143" customFormat="1" ht="43.5">
      <c r="A353" s="590"/>
      <c r="B353" s="591" t="s">
        <v>658</v>
      </c>
      <c r="C353" s="434"/>
      <c r="D353" s="429"/>
      <c r="E353" s="429"/>
      <c r="F353" s="429"/>
      <c r="G353" s="431"/>
      <c r="H353" s="431"/>
      <c r="I353" s="431"/>
    </row>
    <row r="354" spans="1:9" s="143" customFormat="1" ht="43.5">
      <c r="A354" s="590"/>
      <c r="B354" s="592" t="s">
        <v>659</v>
      </c>
      <c r="C354" s="434"/>
      <c r="D354" s="429"/>
      <c r="E354" s="429"/>
      <c r="F354" s="429"/>
      <c r="G354" s="431"/>
      <c r="H354" s="431"/>
      <c r="I354" s="431"/>
    </row>
    <row r="355" spans="1:9" s="145" customFormat="1">
      <c r="A355" s="590"/>
      <c r="B355" s="589" t="s">
        <v>660</v>
      </c>
      <c r="C355" s="434"/>
      <c r="D355" s="429"/>
      <c r="E355" s="429"/>
      <c r="F355" s="429"/>
      <c r="G355" s="431"/>
      <c r="H355" s="431"/>
      <c r="I355" s="431"/>
    </row>
    <row r="356" spans="1:9" s="147" customFormat="1">
      <c r="A356" s="590"/>
      <c r="B356" s="589" t="s">
        <v>661</v>
      </c>
      <c r="C356" s="434"/>
      <c r="D356" s="429"/>
      <c r="E356" s="429"/>
      <c r="F356" s="429"/>
      <c r="G356" s="431"/>
      <c r="H356" s="431"/>
      <c r="I356" s="431"/>
    </row>
    <row r="357" spans="1:9" s="143" customFormat="1">
      <c r="A357" s="590"/>
      <c r="B357" s="589" t="s">
        <v>662</v>
      </c>
      <c r="C357" s="434"/>
      <c r="D357" s="429"/>
      <c r="E357" s="429"/>
      <c r="F357" s="429"/>
      <c r="G357" s="431"/>
      <c r="H357" s="431"/>
      <c r="I357" s="431"/>
    </row>
    <row r="358" spans="1:9" s="143" customFormat="1" ht="29">
      <c r="A358" s="593">
        <v>5.0999999999999996</v>
      </c>
      <c r="B358" s="594" t="s">
        <v>663</v>
      </c>
      <c r="C358" s="434" t="s">
        <v>664</v>
      </c>
      <c r="D358" s="433">
        <v>550</v>
      </c>
      <c r="E358" s="429">
        <v>115</v>
      </c>
      <c r="F358" s="429">
        <v>19</v>
      </c>
      <c r="G358" s="489">
        <f t="shared" ref="G358:H364" si="22">IF($D358="","",IFERROR($D358*E358,""))</f>
        <v>63250</v>
      </c>
      <c r="H358" s="489">
        <f t="shared" si="22"/>
        <v>10450</v>
      </c>
      <c r="I358" s="431"/>
    </row>
    <row r="359" spans="1:9" s="143" customFormat="1" ht="29">
      <c r="A359" s="590">
        <v>5.2</v>
      </c>
      <c r="B359" s="591" t="s">
        <v>665</v>
      </c>
      <c r="C359" s="434" t="s">
        <v>664</v>
      </c>
      <c r="D359" s="433">
        <v>0</v>
      </c>
      <c r="E359" s="429">
        <v>169</v>
      </c>
      <c r="F359" s="429">
        <v>13</v>
      </c>
      <c r="G359" s="489">
        <f>IF($D359="","",IFERROR($D359*E359,""))</f>
        <v>0</v>
      </c>
      <c r="H359" s="489">
        <f>IF($D359="","",IFERROR($D359*F359,""))</f>
        <v>0</v>
      </c>
      <c r="I359" s="431"/>
    </row>
    <row r="360" spans="1:9" s="143" customFormat="1" ht="29">
      <c r="A360" s="593">
        <v>5.3</v>
      </c>
      <c r="B360" s="594" t="s">
        <v>666</v>
      </c>
      <c r="C360" s="434" t="s">
        <v>664</v>
      </c>
      <c r="D360" s="433">
        <v>10500</v>
      </c>
      <c r="E360" s="429">
        <v>150</v>
      </c>
      <c r="F360" s="429">
        <v>31</v>
      </c>
      <c r="G360" s="489">
        <f t="shared" si="22"/>
        <v>1575000</v>
      </c>
      <c r="H360" s="489">
        <f t="shared" si="22"/>
        <v>325500</v>
      </c>
      <c r="I360" s="428"/>
    </row>
    <row r="361" spans="1:9" s="143" customFormat="1" ht="29">
      <c r="A361" s="593">
        <v>5.4</v>
      </c>
      <c r="B361" s="591" t="s">
        <v>667</v>
      </c>
      <c r="C361" s="434" t="s">
        <v>664</v>
      </c>
      <c r="D361" s="433">
        <v>12500</v>
      </c>
      <c r="E361" s="429">
        <v>219</v>
      </c>
      <c r="F361" s="429">
        <v>38</v>
      </c>
      <c r="G361" s="489">
        <f t="shared" si="22"/>
        <v>2737500</v>
      </c>
      <c r="H361" s="489">
        <f t="shared" si="22"/>
        <v>475000</v>
      </c>
      <c r="I361" s="431"/>
    </row>
    <row r="362" spans="1:9" s="143" customFormat="1" ht="29">
      <c r="A362" s="593">
        <v>5.5</v>
      </c>
      <c r="B362" s="591" t="s">
        <v>668</v>
      </c>
      <c r="C362" s="434" t="s">
        <v>664</v>
      </c>
      <c r="D362" s="433">
        <v>600</v>
      </c>
      <c r="E362" s="429">
        <v>263</v>
      </c>
      <c r="F362" s="429">
        <v>44</v>
      </c>
      <c r="G362" s="489">
        <f t="shared" si="22"/>
        <v>157800</v>
      </c>
      <c r="H362" s="489">
        <f t="shared" si="22"/>
        <v>26400</v>
      </c>
      <c r="I362" s="431"/>
    </row>
    <row r="363" spans="1:9" s="143" customFormat="1" ht="29">
      <c r="A363" s="590">
        <v>5.6</v>
      </c>
      <c r="B363" s="591" t="s">
        <v>669</v>
      </c>
      <c r="C363" s="434" t="s">
        <v>664</v>
      </c>
      <c r="D363" s="433">
        <v>0</v>
      </c>
      <c r="E363" s="429">
        <v>169</v>
      </c>
      <c r="F363" s="429">
        <v>13</v>
      </c>
      <c r="G363" s="489">
        <f t="shared" si="22"/>
        <v>0</v>
      </c>
      <c r="H363" s="489">
        <f t="shared" si="22"/>
        <v>0</v>
      </c>
      <c r="I363" s="431"/>
    </row>
    <row r="364" spans="1:9" s="143" customFormat="1" ht="29">
      <c r="A364" s="587">
        <v>5.7</v>
      </c>
      <c r="B364" s="591" t="s">
        <v>670</v>
      </c>
      <c r="C364" s="434" t="s">
        <v>664</v>
      </c>
      <c r="D364" s="433">
        <v>0</v>
      </c>
      <c r="E364" s="429">
        <v>225</v>
      </c>
      <c r="F364" s="429">
        <v>13</v>
      </c>
      <c r="G364" s="489">
        <f t="shared" si="22"/>
        <v>0</v>
      </c>
      <c r="H364" s="489">
        <f t="shared" si="22"/>
        <v>0</v>
      </c>
      <c r="I364" s="431"/>
    </row>
    <row r="365" spans="1:9" s="143" customFormat="1">
      <c r="A365" s="461"/>
      <c r="B365" s="409"/>
      <c r="C365" s="393"/>
      <c r="D365" s="384"/>
      <c r="E365" s="385"/>
      <c r="F365" s="385"/>
      <c r="G365" s="386"/>
      <c r="H365" s="386"/>
      <c r="I365" s="386"/>
    </row>
    <row r="366" spans="1:9" s="143" customFormat="1">
      <c r="A366" s="451"/>
      <c r="B366" s="394" t="s">
        <v>671</v>
      </c>
      <c r="C366" s="394"/>
      <c r="D366" s="395"/>
      <c r="E366" s="395"/>
      <c r="F366" s="395"/>
      <c r="G366" s="395">
        <f>SUM(G351:G365)</f>
        <v>4533550</v>
      </c>
      <c r="H366" s="395">
        <f>SUM(H351:H365)</f>
        <v>837350</v>
      </c>
      <c r="I366" s="395"/>
    </row>
    <row r="367" spans="1:9" s="143" customFormat="1">
      <c r="A367" s="384"/>
      <c r="B367" s="396"/>
      <c r="C367" s="383"/>
      <c r="D367" s="384"/>
      <c r="E367" s="385"/>
      <c r="F367" s="385"/>
      <c r="G367" s="386"/>
      <c r="H367" s="386"/>
      <c r="I367" s="386"/>
    </row>
    <row r="368" spans="1:9" s="145" customFormat="1">
      <c r="A368" s="459" t="s">
        <v>672</v>
      </c>
      <c r="B368" s="443" t="s">
        <v>673</v>
      </c>
      <c r="C368" s="390"/>
      <c r="D368" s="385"/>
      <c r="E368" s="385"/>
      <c r="F368" s="385"/>
      <c r="G368" s="389"/>
      <c r="H368" s="389"/>
      <c r="I368" s="389"/>
    </row>
    <row r="369" spans="1:9" s="145" customFormat="1" ht="87">
      <c r="A369" s="453"/>
      <c r="B369" s="425" t="s">
        <v>674</v>
      </c>
      <c r="C369" s="390"/>
      <c r="D369" s="418"/>
      <c r="E369" s="429"/>
      <c r="F369" s="429"/>
      <c r="G369" s="489"/>
      <c r="H369" s="489"/>
      <c r="I369" s="389"/>
    </row>
    <row r="370" spans="1:9" s="143" customFormat="1">
      <c r="A370" s="453" t="s">
        <v>675</v>
      </c>
      <c r="B370" s="480" t="s">
        <v>676</v>
      </c>
      <c r="C370" s="390"/>
      <c r="D370" s="418"/>
      <c r="E370" s="429"/>
      <c r="F370" s="429"/>
      <c r="G370" s="489"/>
      <c r="H370" s="489"/>
      <c r="I370" s="389"/>
    </row>
    <row r="371" spans="1:9" s="143" customFormat="1" ht="58">
      <c r="A371" s="453"/>
      <c r="B371" s="435" t="s">
        <v>677</v>
      </c>
      <c r="C371" s="390" t="s">
        <v>630</v>
      </c>
      <c r="D371" s="433">
        <v>400</v>
      </c>
      <c r="E371" s="429">
        <v>1438</v>
      </c>
      <c r="F371" s="429">
        <v>625</v>
      </c>
      <c r="G371" s="489">
        <f t="shared" ref="G371:H371" si="23">IF($D371="","",IFERROR($D371*E371,""))</f>
        <v>575200</v>
      </c>
      <c r="H371" s="489">
        <f t="shared" si="23"/>
        <v>250000</v>
      </c>
      <c r="I371" s="389"/>
    </row>
    <row r="372" spans="1:9" s="143" customFormat="1">
      <c r="A372" s="453" t="s">
        <v>678</v>
      </c>
      <c r="B372" s="480" t="s">
        <v>679</v>
      </c>
      <c r="C372" s="390"/>
      <c r="D372" s="418"/>
      <c r="E372" s="429"/>
      <c r="F372" s="429"/>
      <c r="G372" s="489"/>
      <c r="H372" s="489"/>
      <c r="I372" s="389"/>
    </row>
    <row r="373" spans="1:9" s="143" customFormat="1" ht="29">
      <c r="A373" s="453"/>
      <c r="B373" s="435" t="s">
        <v>680</v>
      </c>
      <c r="C373" s="390" t="s">
        <v>630</v>
      </c>
      <c r="D373" s="433">
        <v>910</v>
      </c>
      <c r="E373" s="429">
        <v>875</v>
      </c>
      <c r="F373" s="429">
        <v>313</v>
      </c>
      <c r="G373" s="489">
        <f t="shared" ref="G373:H373" si="24">IF($D373="","",IFERROR($D373*E373,""))</f>
        <v>796250</v>
      </c>
      <c r="H373" s="489">
        <f t="shared" si="24"/>
        <v>284830</v>
      </c>
      <c r="I373" s="389"/>
    </row>
    <row r="374" spans="1:9" s="143" customFormat="1">
      <c r="A374" s="453" t="s">
        <v>681</v>
      </c>
      <c r="B374" s="480" t="s">
        <v>682</v>
      </c>
      <c r="C374" s="390"/>
      <c r="D374" s="418"/>
      <c r="E374" s="429"/>
      <c r="F374" s="429"/>
      <c r="G374" s="489"/>
      <c r="H374" s="489"/>
      <c r="I374" s="389"/>
    </row>
    <row r="375" spans="1:9" s="143" customFormat="1" ht="43.5">
      <c r="A375" s="453"/>
      <c r="B375" s="435" t="s">
        <v>683</v>
      </c>
      <c r="C375" s="390" t="s">
        <v>630</v>
      </c>
      <c r="D375" s="433">
        <v>20</v>
      </c>
      <c r="E375" s="429">
        <v>813</v>
      </c>
      <c r="F375" s="429">
        <v>313</v>
      </c>
      <c r="G375" s="489">
        <f t="shared" ref="G375:H376" si="25">IF($D375="","",IFERROR($D375*E375,""))</f>
        <v>16260</v>
      </c>
      <c r="H375" s="489">
        <f t="shared" si="25"/>
        <v>6260</v>
      </c>
      <c r="I375" s="389"/>
    </row>
    <row r="376" spans="1:9" s="143" customFormat="1" ht="29">
      <c r="A376" s="453" t="s">
        <v>684</v>
      </c>
      <c r="B376" s="435" t="s">
        <v>685</v>
      </c>
      <c r="C376" s="390" t="s">
        <v>630</v>
      </c>
      <c r="D376" s="433">
        <v>0</v>
      </c>
      <c r="E376" s="429">
        <v>2063</v>
      </c>
      <c r="F376" s="429">
        <v>250</v>
      </c>
      <c r="G376" s="489">
        <f t="shared" si="25"/>
        <v>0</v>
      </c>
      <c r="H376" s="489">
        <f t="shared" si="25"/>
        <v>0</v>
      </c>
      <c r="I376" s="389"/>
    </row>
    <row r="377" spans="1:9" s="143" customFormat="1">
      <c r="A377" s="462"/>
      <c r="B377" s="407"/>
      <c r="C377" s="393"/>
      <c r="D377" s="384"/>
      <c r="E377" s="385"/>
      <c r="F377" s="385"/>
      <c r="G377" s="386"/>
      <c r="H377" s="386"/>
      <c r="I377" s="386"/>
    </row>
    <row r="378" spans="1:9" s="143" customFormat="1">
      <c r="A378" s="451"/>
      <c r="B378" s="394" t="s">
        <v>686</v>
      </c>
      <c r="C378" s="394"/>
      <c r="D378" s="395"/>
      <c r="E378" s="395"/>
      <c r="F378" s="395"/>
      <c r="G378" s="395">
        <f>SUM(G368:G377)</f>
        <v>1387710</v>
      </c>
      <c r="H378" s="395">
        <f>SUM(H368:H377)</f>
        <v>541090</v>
      </c>
      <c r="I378" s="395"/>
    </row>
    <row r="379" spans="1:9" s="143" customFormat="1">
      <c r="A379" s="405"/>
      <c r="B379" s="410"/>
      <c r="C379" s="410"/>
      <c r="D379" s="411"/>
      <c r="E379" s="411"/>
      <c r="F379" s="411"/>
      <c r="G379" s="411"/>
      <c r="H379" s="411"/>
      <c r="I379" s="411"/>
    </row>
    <row r="380" spans="1:9" s="145" customFormat="1">
      <c r="A380" s="405">
        <v>7</v>
      </c>
      <c r="B380" s="392" t="s">
        <v>687</v>
      </c>
      <c r="C380" s="388"/>
      <c r="D380" s="385"/>
      <c r="E380" s="385"/>
      <c r="F380" s="385"/>
      <c r="G380" s="389"/>
      <c r="H380" s="389"/>
      <c r="I380" s="389"/>
    </row>
    <row r="381" spans="1:9" s="145" customFormat="1">
      <c r="A381" s="453"/>
      <c r="B381" s="398"/>
      <c r="C381" s="390"/>
      <c r="D381" s="385"/>
      <c r="E381" s="385"/>
      <c r="F381" s="385"/>
      <c r="G381" s="389"/>
      <c r="H381" s="389"/>
      <c r="I381" s="389"/>
    </row>
    <row r="382" spans="1:9" s="145" customFormat="1">
      <c r="A382" s="457" t="s">
        <v>688</v>
      </c>
      <c r="B382" s="412" t="s">
        <v>689</v>
      </c>
      <c r="C382" s="390"/>
      <c r="D382" s="385"/>
      <c r="E382" s="385"/>
      <c r="F382" s="385"/>
      <c r="G382" s="389"/>
      <c r="H382" s="389"/>
      <c r="I382" s="389"/>
    </row>
    <row r="383" spans="1:9" s="143" customFormat="1" ht="101.5">
      <c r="A383" s="385"/>
      <c r="B383" s="427" t="s">
        <v>690</v>
      </c>
      <c r="C383" s="388"/>
      <c r="D383" s="385"/>
      <c r="E383" s="385"/>
      <c r="F383" s="385"/>
      <c r="G383" s="389"/>
      <c r="H383" s="389"/>
      <c r="I383" s="389"/>
    </row>
    <row r="384" spans="1:9" s="145" customFormat="1">
      <c r="A384" s="453"/>
      <c r="B384" s="404"/>
      <c r="C384" s="390"/>
      <c r="D384" s="385"/>
      <c r="E384" s="385"/>
      <c r="F384" s="385"/>
      <c r="G384" s="389"/>
      <c r="H384" s="389"/>
      <c r="I384" s="389"/>
    </row>
    <row r="385" spans="1:9" s="145" customFormat="1">
      <c r="A385" s="453" t="s">
        <v>385</v>
      </c>
      <c r="B385" s="404" t="s">
        <v>704</v>
      </c>
      <c r="C385" s="390" t="s">
        <v>664</v>
      </c>
      <c r="D385" s="433">
        <f>65*0</f>
        <v>0</v>
      </c>
      <c r="E385" s="429">
        <v>594</v>
      </c>
      <c r="F385" s="429">
        <v>125</v>
      </c>
      <c r="G385" s="489">
        <f t="shared" ref="G385:H387" si="26">IF($D385="","",IFERROR($D385*E385,""))</f>
        <v>0</v>
      </c>
      <c r="H385" s="489">
        <f t="shared" si="26"/>
        <v>0</v>
      </c>
      <c r="I385" s="397"/>
    </row>
    <row r="386" spans="1:9" s="145" customFormat="1">
      <c r="A386" s="453" t="s">
        <v>387</v>
      </c>
      <c r="B386" s="404" t="s">
        <v>692</v>
      </c>
      <c r="C386" s="390" t="s">
        <v>664</v>
      </c>
      <c r="D386" s="433">
        <v>0</v>
      </c>
      <c r="E386" s="429">
        <v>1144</v>
      </c>
      <c r="F386" s="429">
        <v>188</v>
      </c>
      <c r="G386" s="489">
        <f t="shared" si="26"/>
        <v>0</v>
      </c>
      <c r="H386" s="489">
        <f t="shared" si="26"/>
        <v>0</v>
      </c>
      <c r="I386" s="389"/>
    </row>
    <row r="387" spans="1:9" s="145" customFormat="1">
      <c r="A387" s="453" t="s">
        <v>388</v>
      </c>
      <c r="B387" s="404" t="s">
        <v>693</v>
      </c>
      <c r="C387" s="390" t="s">
        <v>664</v>
      </c>
      <c r="D387" s="433">
        <f>36*0</f>
        <v>0</v>
      </c>
      <c r="E387" s="429">
        <v>1438</v>
      </c>
      <c r="F387" s="429">
        <v>313</v>
      </c>
      <c r="G387" s="489">
        <f t="shared" si="26"/>
        <v>0</v>
      </c>
      <c r="H387" s="489">
        <f t="shared" si="26"/>
        <v>0</v>
      </c>
      <c r="I387" s="389"/>
    </row>
    <row r="388" spans="1:9" s="145" customFormat="1">
      <c r="A388" s="385"/>
      <c r="B388" s="406"/>
      <c r="C388" s="388"/>
      <c r="D388" s="385"/>
      <c r="E388" s="429"/>
      <c r="F388" s="429"/>
      <c r="G388" s="389"/>
      <c r="H388" s="389"/>
      <c r="I388" s="389"/>
    </row>
    <row r="389" spans="1:9" s="145" customFormat="1">
      <c r="A389" s="457" t="s">
        <v>694</v>
      </c>
      <c r="B389" s="412" t="s">
        <v>695</v>
      </c>
      <c r="C389" s="390"/>
      <c r="D389" s="385"/>
      <c r="E389" s="429"/>
      <c r="F389" s="429"/>
      <c r="G389" s="389"/>
      <c r="H389" s="389"/>
      <c r="I389" s="389"/>
    </row>
    <row r="390" spans="1:9" s="145" customFormat="1" ht="116">
      <c r="A390" s="463" t="s">
        <v>696</v>
      </c>
      <c r="B390" s="441" t="s">
        <v>1466</v>
      </c>
      <c r="C390" s="390"/>
      <c r="D390" s="418"/>
      <c r="E390" s="429"/>
      <c r="F390" s="429"/>
      <c r="G390" s="489"/>
      <c r="H390" s="489"/>
      <c r="I390" s="389"/>
    </row>
    <row r="391" spans="1:9" s="145" customFormat="1" ht="72.5">
      <c r="A391" s="463"/>
      <c r="B391" s="442" t="s">
        <v>697</v>
      </c>
      <c r="C391" s="390"/>
      <c r="D391" s="418"/>
      <c r="E391" s="429"/>
      <c r="F391" s="429"/>
      <c r="G391" s="489"/>
      <c r="H391" s="489"/>
      <c r="I391" s="389"/>
    </row>
    <row r="392" spans="1:9" s="143" customFormat="1">
      <c r="A392" s="385"/>
      <c r="B392" s="406"/>
      <c r="C392" s="388"/>
      <c r="D392" s="385"/>
      <c r="E392" s="429"/>
      <c r="F392" s="429"/>
      <c r="G392" s="389"/>
      <c r="H392" s="389"/>
      <c r="I392" s="389"/>
    </row>
    <row r="393" spans="1:9" s="143" customFormat="1">
      <c r="A393" s="453" t="s">
        <v>698</v>
      </c>
      <c r="B393" s="404" t="s">
        <v>699</v>
      </c>
      <c r="C393" s="390" t="s">
        <v>664</v>
      </c>
      <c r="D393" s="433">
        <v>350</v>
      </c>
      <c r="E393" s="429">
        <v>519</v>
      </c>
      <c r="F393" s="429">
        <v>100</v>
      </c>
      <c r="G393" s="489">
        <f t="shared" ref="G393:H398" si="27">IF($D393="","",IFERROR($D393*E393,""))</f>
        <v>181650</v>
      </c>
      <c r="H393" s="489">
        <f t="shared" si="27"/>
        <v>35000</v>
      </c>
      <c r="I393" s="397"/>
    </row>
    <row r="394" spans="1:9" s="145" customFormat="1">
      <c r="A394" s="453" t="s">
        <v>700</v>
      </c>
      <c r="B394" s="404" t="s">
        <v>701</v>
      </c>
      <c r="C394" s="390" t="s">
        <v>664</v>
      </c>
      <c r="D394" s="433">
        <v>50</v>
      </c>
      <c r="E394" s="429">
        <v>546</v>
      </c>
      <c r="F394" s="429">
        <v>125</v>
      </c>
      <c r="G394" s="489">
        <f t="shared" si="27"/>
        <v>27300</v>
      </c>
      <c r="H394" s="489">
        <f t="shared" si="27"/>
        <v>6250</v>
      </c>
      <c r="I394" s="397"/>
    </row>
    <row r="395" spans="1:9" s="145" customFormat="1">
      <c r="A395" s="453" t="s">
        <v>702</v>
      </c>
      <c r="B395" s="404" t="s">
        <v>691</v>
      </c>
      <c r="C395" s="390" t="s">
        <v>664</v>
      </c>
      <c r="D395" s="433">
        <v>50</v>
      </c>
      <c r="E395" s="429">
        <v>606</v>
      </c>
      <c r="F395" s="429">
        <v>138</v>
      </c>
      <c r="G395" s="489">
        <f t="shared" si="27"/>
        <v>30300</v>
      </c>
      <c r="H395" s="489">
        <f t="shared" si="27"/>
        <v>6900</v>
      </c>
      <c r="I395" s="389"/>
    </row>
    <row r="396" spans="1:9" s="145" customFormat="1">
      <c r="A396" s="453" t="s">
        <v>703</v>
      </c>
      <c r="B396" s="404" t="s">
        <v>704</v>
      </c>
      <c r="C396" s="390" t="s">
        <v>664</v>
      </c>
      <c r="D396" s="433">
        <f>60-30</f>
        <v>30</v>
      </c>
      <c r="E396" s="429">
        <v>714</v>
      </c>
      <c r="F396" s="429">
        <v>156</v>
      </c>
      <c r="G396" s="489">
        <f t="shared" si="27"/>
        <v>21420</v>
      </c>
      <c r="H396" s="489">
        <f t="shared" si="27"/>
        <v>4680</v>
      </c>
      <c r="I396" s="389"/>
    </row>
    <row r="397" spans="1:9" s="145" customFormat="1">
      <c r="A397" s="453" t="s">
        <v>705</v>
      </c>
      <c r="B397" s="404" t="s">
        <v>706</v>
      </c>
      <c r="C397" s="390" t="s">
        <v>664</v>
      </c>
      <c r="D397" s="433">
        <f>125-100</f>
        <v>25</v>
      </c>
      <c r="E397" s="429">
        <v>885</v>
      </c>
      <c r="F397" s="429">
        <v>188</v>
      </c>
      <c r="G397" s="489">
        <f t="shared" si="27"/>
        <v>22125</v>
      </c>
      <c r="H397" s="489">
        <f t="shared" si="27"/>
        <v>4700</v>
      </c>
      <c r="I397" s="397"/>
    </row>
    <row r="398" spans="1:9" s="145" customFormat="1">
      <c r="A398" s="453" t="s">
        <v>707</v>
      </c>
      <c r="B398" s="404" t="s">
        <v>708</v>
      </c>
      <c r="C398" s="390" t="s">
        <v>664</v>
      </c>
      <c r="D398" s="433">
        <f>80-50</f>
        <v>30</v>
      </c>
      <c r="E398" s="429">
        <v>1563</v>
      </c>
      <c r="F398" s="429">
        <v>250</v>
      </c>
      <c r="G398" s="489">
        <f t="shared" si="27"/>
        <v>46890</v>
      </c>
      <c r="H398" s="489">
        <f t="shared" si="27"/>
        <v>7500</v>
      </c>
      <c r="I398" s="397"/>
    </row>
    <row r="399" spans="1:9" s="145" customFormat="1">
      <c r="A399" s="453"/>
      <c r="B399" s="404"/>
      <c r="C399" s="390"/>
      <c r="D399" s="385"/>
      <c r="E399" s="429"/>
      <c r="F399" s="429"/>
      <c r="G399" s="489"/>
      <c r="H399" s="489"/>
      <c r="I399" s="397"/>
    </row>
    <row r="400" spans="1:9" s="145" customFormat="1">
      <c r="A400" s="457" t="s">
        <v>709</v>
      </c>
      <c r="B400" s="412" t="s">
        <v>710</v>
      </c>
      <c r="C400" s="385"/>
      <c r="D400" s="385"/>
      <c r="E400" s="429"/>
      <c r="F400" s="431"/>
      <c r="G400" s="389"/>
      <c r="H400" s="389"/>
      <c r="I400" s="389"/>
    </row>
    <row r="401" spans="1:9" s="145" customFormat="1" ht="58">
      <c r="A401" s="385"/>
      <c r="B401" s="406" t="s">
        <v>711</v>
      </c>
      <c r="C401" s="385"/>
      <c r="D401" s="385"/>
      <c r="E401" s="429"/>
      <c r="F401" s="431"/>
      <c r="G401" s="389"/>
      <c r="H401" s="389"/>
      <c r="I401" s="389"/>
    </row>
    <row r="402" spans="1:9" s="145" customFormat="1" ht="29">
      <c r="A402" s="384"/>
      <c r="B402" s="406" t="s">
        <v>712</v>
      </c>
      <c r="C402" s="384"/>
      <c r="D402" s="385"/>
      <c r="E402" s="429"/>
      <c r="F402" s="432"/>
      <c r="G402" s="386"/>
      <c r="H402" s="386"/>
      <c r="I402" s="386"/>
    </row>
    <row r="403" spans="1:9" s="143" customFormat="1" ht="58">
      <c r="A403" s="384"/>
      <c r="B403" s="427" t="s">
        <v>713</v>
      </c>
      <c r="C403" s="384"/>
      <c r="D403" s="385"/>
      <c r="E403" s="429"/>
      <c r="F403" s="432"/>
      <c r="G403" s="386"/>
      <c r="H403" s="386"/>
      <c r="I403" s="386"/>
    </row>
    <row r="404" spans="1:9" s="145" customFormat="1">
      <c r="A404" s="384"/>
      <c r="B404" s="427"/>
      <c r="C404" s="384"/>
      <c r="D404" s="385"/>
      <c r="E404" s="429"/>
      <c r="F404" s="432"/>
      <c r="G404" s="386"/>
      <c r="H404" s="386"/>
      <c r="I404" s="386"/>
    </row>
    <row r="405" spans="1:9" s="145" customFormat="1">
      <c r="A405" s="457" t="s">
        <v>709</v>
      </c>
      <c r="B405" s="412" t="s">
        <v>714</v>
      </c>
      <c r="C405" s="385"/>
      <c r="D405" s="385"/>
      <c r="E405" s="429"/>
      <c r="F405" s="431"/>
      <c r="G405" s="389"/>
      <c r="H405" s="389"/>
      <c r="I405" s="389"/>
    </row>
    <row r="406" spans="1:9" s="145" customFormat="1">
      <c r="A406" s="384"/>
      <c r="B406" s="413"/>
      <c r="C406" s="384"/>
      <c r="D406" s="385"/>
      <c r="E406" s="429"/>
      <c r="F406" s="432"/>
      <c r="G406" s="386"/>
      <c r="H406" s="386"/>
      <c r="I406" s="386"/>
    </row>
    <row r="407" spans="1:9" s="145" customFormat="1">
      <c r="A407" s="448" t="s">
        <v>385</v>
      </c>
      <c r="B407" s="387" t="s">
        <v>715</v>
      </c>
      <c r="C407" s="390" t="s">
        <v>664</v>
      </c>
      <c r="D407" s="433">
        <v>129</v>
      </c>
      <c r="E407" s="429">
        <v>1688</v>
      </c>
      <c r="F407" s="429">
        <v>219</v>
      </c>
      <c r="G407" s="489">
        <f t="shared" ref="G407:H412" si="28">IF($D407="","",IFERROR($D407*E407,""))</f>
        <v>217752</v>
      </c>
      <c r="H407" s="489">
        <f t="shared" si="28"/>
        <v>28251</v>
      </c>
      <c r="I407" s="389"/>
    </row>
    <row r="408" spans="1:9" s="145" customFormat="1">
      <c r="A408" s="448" t="s">
        <v>387</v>
      </c>
      <c r="B408" s="387" t="s">
        <v>716</v>
      </c>
      <c r="C408" s="390" t="s">
        <v>664</v>
      </c>
      <c r="D408" s="433">
        <v>190</v>
      </c>
      <c r="E408" s="429">
        <v>1406</v>
      </c>
      <c r="F408" s="429">
        <v>219</v>
      </c>
      <c r="G408" s="489">
        <f t="shared" si="28"/>
        <v>267140</v>
      </c>
      <c r="H408" s="489">
        <f t="shared" si="28"/>
        <v>41610</v>
      </c>
      <c r="I408" s="389"/>
    </row>
    <row r="409" spans="1:9" s="145" customFormat="1">
      <c r="A409" s="448" t="s">
        <v>388</v>
      </c>
      <c r="B409" s="387" t="s">
        <v>717</v>
      </c>
      <c r="C409" s="390" t="s">
        <v>664</v>
      </c>
      <c r="D409" s="433">
        <v>100</v>
      </c>
      <c r="E409" s="429">
        <v>1125</v>
      </c>
      <c r="F409" s="429">
        <v>188</v>
      </c>
      <c r="G409" s="489">
        <f t="shared" si="28"/>
        <v>112500</v>
      </c>
      <c r="H409" s="489">
        <f t="shared" si="28"/>
        <v>18800</v>
      </c>
      <c r="I409" s="389"/>
    </row>
    <row r="410" spans="1:9" s="145" customFormat="1">
      <c r="A410" s="448" t="s">
        <v>389</v>
      </c>
      <c r="B410" s="387" t="s">
        <v>718</v>
      </c>
      <c r="C410" s="390" t="s">
        <v>664</v>
      </c>
      <c r="D410" s="433">
        <v>30</v>
      </c>
      <c r="E410" s="429">
        <v>888</v>
      </c>
      <c r="F410" s="429">
        <v>188</v>
      </c>
      <c r="G410" s="489">
        <f t="shared" si="28"/>
        <v>26640</v>
      </c>
      <c r="H410" s="489">
        <f t="shared" si="28"/>
        <v>5640</v>
      </c>
      <c r="I410" s="389"/>
    </row>
    <row r="411" spans="1:9" s="145" customFormat="1">
      <c r="A411" s="448" t="s">
        <v>390</v>
      </c>
      <c r="B411" s="387" t="s">
        <v>719</v>
      </c>
      <c r="C411" s="390" t="s">
        <v>664</v>
      </c>
      <c r="D411" s="433">
        <v>150</v>
      </c>
      <c r="E411" s="429">
        <v>731</v>
      </c>
      <c r="F411" s="429">
        <v>156</v>
      </c>
      <c r="G411" s="489">
        <f t="shared" si="28"/>
        <v>109650</v>
      </c>
      <c r="H411" s="489">
        <f t="shared" si="28"/>
        <v>23400</v>
      </c>
      <c r="I411" s="389"/>
    </row>
    <row r="412" spans="1:9" s="143" customFormat="1">
      <c r="A412" s="448" t="s">
        <v>391</v>
      </c>
      <c r="B412" s="387" t="s">
        <v>720</v>
      </c>
      <c r="C412" s="390" t="s">
        <v>664</v>
      </c>
      <c r="D412" s="433">
        <v>0</v>
      </c>
      <c r="E412" s="429">
        <v>563</v>
      </c>
      <c r="F412" s="429">
        <v>156</v>
      </c>
      <c r="G412" s="489">
        <f t="shared" si="28"/>
        <v>0</v>
      </c>
      <c r="H412" s="489">
        <f t="shared" si="28"/>
        <v>0</v>
      </c>
      <c r="I412" s="389"/>
    </row>
    <row r="413" spans="1:9" s="143" customFormat="1">
      <c r="A413" s="384"/>
      <c r="B413" s="419"/>
      <c r="C413" s="386"/>
      <c r="D413" s="384"/>
      <c r="E413" s="429"/>
      <c r="F413" s="429"/>
      <c r="G413" s="386"/>
      <c r="H413" s="386"/>
      <c r="I413" s="386"/>
    </row>
    <row r="414" spans="1:9" s="143" customFormat="1">
      <c r="A414" s="457" t="s">
        <v>721</v>
      </c>
      <c r="B414" s="412" t="s">
        <v>722</v>
      </c>
      <c r="C414" s="389"/>
      <c r="D414" s="385"/>
      <c r="E414" s="429"/>
      <c r="F414" s="429"/>
      <c r="G414" s="389"/>
      <c r="H414" s="389"/>
      <c r="I414" s="389"/>
    </row>
    <row r="415" spans="1:9" s="145" customFormat="1" ht="29">
      <c r="A415" s="385"/>
      <c r="B415" s="406" t="s">
        <v>723</v>
      </c>
      <c r="C415" s="389"/>
      <c r="D415" s="385"/>
      <c r="E415" s="429"/>
      <c r="F415" s="429"/>
      <c r="G415" s="389"/>
      <c r="H415" s="389"/>
      <c r="I415" s="389"/>
    </row>
    <row r="416" spans="1:9" s="145" customFormat="1">
      <c r="A416" s="384"/>
      <c r="B416" s="387"/>
      <c r="C416" s="390"/>
      <c r="D416" s="385"/>
      <c r="E416" s="429"/>
      <c r="F416" s="429"/>
      <c r="G416" s="489"/>
      <c r="H416" s="489"/>
      <c r="I416" s="389"/>
    </row>
    <row r="417" spans="1:9" s="147" customFormat="1">
      <c r="A417" s="448" t="s">
        <v>385</v>
      </c>
      <c r="B417" s="387" t="s">
        <v>724</v>
      </c>
      <c r="C417" s="390" t="s">
        <v>664</v>
      </c>
      <c r="D417" s="433">
        <v>0</v>
      </c>
      <c r="E417" s="429">
        <v>1563</v>
      </c>
      <c r="F417" s="429">
        <v>250</v>
      </c>
      <c r="G417" s="489">
        <f t="shared" ref="G417:H423" si="29">IF($D417="","",IFERROR($D417*E417,""))</f>
        <v>0</v>
      </c>
      <c r="H417" s="489">
        <f t="shared" si="29"/>
        <v>0</v>
      </c>
      <c r="I417" s="389"/>
    </row>
    <row r="418" spans="1:9" s="145" customFormat="1">
      <c r="A418" s="448" t="s">
        <v>387</v>
      </c>
      <c r="B418" s="387" t="s">
        <v>725</v>
      </c>
      <c r="C418" s="390" t="s">
        <v>664</v>
      </c>
      <c r="D418" s="433">
        <v>30</v>
      </c>
      <c r="E418" s="429">
        <v>1250</v>
      </c>
      <c r="F418" s="429">
        <v>250</v>
      </c>
      <c r="G418" s="489">
        <f t="shared" si="29"/>
        <v>37500</v>
      </c>
      <c r="H418" s="489">
        <f t="shared" si="29"/>
        <v>7500</v>
      </c>
      <c r="I418" s="389"/>
    </row>
    <row r="419" spans="1:9" s="145" customFormat="1">
      <c r="A419" s="448" t="s">
        <v>388</v>
      </c>
      <c r="B419" s="387" t="s">
        <v>726</v>
      </c>
      <c r="C419" s="390" t="s">
        <v>664</v>
      </c>
      <c r="D419" s="433">
        <v>50</v>
      </c>
      <c r="E419" s="429">
        <v>1031</v>
      </c>
      <c r="F419" s="429">
        <v>219</v>
      </c>
      <c r="G419" s="489">
        <f t="shared" si="29"/>
        <v>51550</v>
      </c>
      <c r="H419" s="489">
        <f t="shared" si="29"/>
        <v>10950</v>
      </c>
      <c r="I419" s="389"/>
    </row>
    <row r="420" spans="1:9" s="145" customFormat="1">
      <c r="A420" s="448" t="s">
        <v>389</v>
      </c>
      <c r="B420" s="387" t="s">
        <v>727</v>
      </c>
      <c r="C420" s="390" t="s">
        <v>664</v>
      </c>
      <c r="D420" s="433">
        <v>45</v>
      </c>
      <c r="E420" s="429">
        <v>769</v>
      </c>
      <c r="F420" s="429">
        <v>188</v>
      </c>
      <c r="G420" s="489">
        <f t="shared" si="29"/>
        <v>34605</v>
      </c>
      <c r="H420" s="489">
        <f t="shared" si="29"/>
        <v>8460</v>
      </c>
      <c r="I420" s="389"/>
    </row>
    <row r="421" spans="1:9" s="143" customFormat="1">
      <c r="A421" s="448" t="s">
        <v>390</v>
      </c>
      <c r="B421" s="387" t="s">
        <v>728</v>
      </c>
      <c r="C421" s="390" t="s">
        <v>664</v>
      </c>
      <c r="D421" s="433">
        <v>80</v>
      </c>
      <c r="E421" s="429">
        <v>625</v>
      </c>
      <c r="F421" s="429">
        <v>156</v>
      </c>
      <c r="G421" s="489">
        <f t="shared" si="29"/>
        <v>50000</v>
      </c>
      <c r="H421" s="489">
        <f t="shared" si="29"/>
        <v>12480</v>
      </c>
      <c r="I421" s="389"/>
    </row>
    <row r="422" spans="1:9" s="143" customFormat="1">
      <c r="A422" s="448" t="s">
        <v>391</v>
      </c>
      <c r="B422" s="387" t="s">
        <v>729</v>
      </c>
      <c r="C422" s="390" t="s">
        <v>664</v>
      </c>
      <c r="D422" s="433">
        <v>275</v>
      </c>
      <c r="E422" s="429">
        <v>565</v>
      </c>
      <c r="F422" s="429">
        <v>138</v>
      </c>
      <c r="G422" s="489">
        <f t="shared" si="29"/>
        <v>155375</v>
      </c>
      <c r="H422" s="489">
        <f t="shared" si="29"/>
        <v>37950</v>
      </c>
      <c r="I422" s="389"/>
    </row>
    <row r="423" spans="1:9" s="143" customFormat="1">
      <c r="A423" s="448" t="s">
        <v>392</v>
      </c>
      <c r="B423" s="387" t="s">
        <v>730</v>
      </c>
      <c r="C423" s="390" t="s">
        <v>664</v>
      </c>
      <c r="D423" s="433">
        <v>50</v>
      </c>
      <c r="E423" s="429">
        <v>519</v>
      </c>
      <c r="F423" s="429">
        <v>138</v>
      </c>
      <c r="G423" s="489">
        <f t="shared" si="29"/>
        <v>25950</v>
      </c>
      <c r="H423" s="489">
        <f t="shared" si="29"/>
        <v>6900</v>
      </c>
      <c r="I423" s="389"/>
    </row>
    <row r="424" spans="1:9" s="143" customFormat="1">
      <c r="A424" s="384"/>
      <c r="B424" s="419"/>
      <c r="C424" s="386"/>
      <c r="D424" s="384"/>
      <c r="E424" s="429"/>
      <c r="F424" s="429"/>
      <c r="G424" s="386"/>
      <c r="H424" s="386"/>
      <c r="I424" s="386"/>
    </row>
    <row r="425" spans="1:9" s="143" customFormat="1">
      <c r="A425" s="457" t="s">
        <v>731</v>
      </c>
      <c r="B425" s="412" t="s">
        <v>732</v>
      </c>
      <c r="C425" s="389"/>
      <c r="D425" s="385"/>
      <c r="E425" s="429"/>
      <c r="F425" s="429"/>
      <c r="G425" s="389"/>
      <c r="H425" s="389"/>
      <c r="I425" s="389"/>
    </row>
    <row r="426" spans="1:9" s="145" customFormat="1">
      <c r="A426" s="384"/>
      <c r="B426" s="387"/>
      <c r="C426" s="386"/>
      <c r="D426" s="384"/>
      <c r="E426" s="429"/>
      <c r="F426" s="429"/>
      <c r="G426" s="386"/>
      <c r="H426" s="386"/>
      <c r="I426" s="386"/>
    </row>
    <row r="427" spans="1:9" s="145" customFormat="1">
      <c r="A427" s="448" t="s">
        <v>385</v>
      </c>
      <c r="B427" s="406" t="s">
        <v>733</v>
      </c>
      <c r="C427" s="390" t="s">
        <v>630</v>
      </c>
      <c r="D427" s="433">
        <v>0</v>
      </c>
      <c r="E427" s="429">
        <v>1019</v>
      </c>
      <c r="F427" s="429">
        <v>225</v>
      </c>
      <c r="G427" s="489">
        <f t="shared" ref="G427:H433" si="30">IF($D427="","",IFERROR($D427*E427,""))</f>
        <v>0</v>
      </c>
      <c r="H427" s="489">
        <f t="shared" si="30"/>
        <v>0</v>
      </c>
      <c r="I427" s="386"/>
    </row>
    <row r="428" spans="1:9" s="145" customFormat="1">
      <c r="A428" s="448" t="s">
        <v>387</v>
      </c>
      <c r="B428" s="406" t="s">
        <v>734</v>
      </c>
      <c r="C428" s="390" t="s">
        <v>630</v>
      </c>
      <c r="D428" s="433">
        <v>4</v>
      </c>
      <c r="E428" s="429">
        <v>826</v>
      </c>
      <c r="F428" s="429">
        <v>188</v>
      </c>
      <c r="G428" s="489">
        <f t="shared" si="30"/>
        <v>3304</v>
      </c>
      <c r="H428" s="489">
        <f t="shared" si="30"/>
        <v>752</v>
      </c>
      <c r="I428" s="386"/>
    </row>
    <row r="429" spans="1:9" s="145" customFormat="1">
      <c r="A429" s="448" t="s">
        <v>388</v>
      </c>
      <c r="B429" s="406" t="s">
        <v>735</v>
      </c>
      <c r="C429" s="390" t="s">
        <v>630</v>
      </c>
      <c r="D429" s="433">
        <v>7</v>
      </c>
      <c r="E429" s="429">
        <v>650</v>
      </c>
      <c r="F429" s="429">
        <v>153</v>
      </c>
      <c r="G429" s="489">
        <f t="shared" si="30"/>
        <v>4550</v>
      </c>
      <c r="H429" s="489">
        <f t="shared" si="30"/>
        <v>1071</v>
      </c>
      <c r="I429" s="386"/>
    </row>
    <row r="430" spans="1:9" s="145" customFormat="1">
      <c r="A430" s="448" t="s">
        <v>389</v>
      </c>
      <c r="B430" s="406" t="s">
        <v>736</v>
      </c>
      <c r="C430" s="390" t="s">
        <v>630</v>
      </c>
      <c r="D430" s="433">
        <v>9</v>
      </c>
      <c r="E430" s="429">
        <v>588</v>
      </c>
      <c r="F430" s="429">
        <v>123</v>
      </c>
      <c r="G430" s="489">
        <f t="shared" si="30"/>
        <v>5292</v>
      </c>
      <c r="H430" s="489">
        <f t="shared" si="30"/>
        <v>1107</v>
      </c>
      <c r="I430" s="389"/>
    </row>
    <row r="431" spans="1:9" s="145" customFormat="1">
      <c r="A431" s="448" t="s">
        <v>390</v>
      </c>
      <c r="B431" s="406" t="s">
        <v>737</v>
      </c>
      <c r="C431" s="390" t="s">
        <v>630</v>
      </c>
      <c r="D431" s="433">
        <v>20</v>
      </c>
      <c r="E431" s="429">
        <v>425</v>
      </c>
      <c r="F431" s="429">
        <v>110</v>
      </c>
      <c r="G431" s="489">
        <f t="shared" si="30"/>
        <v>8500</v>
      </c>
      <c r="H431" s="489">
        <f t="shared" si="30"/>
        <v>2200</v>
      </c>
      <c r="I431" s="389"/>
    </row>
    <row r="432" spans="1:9" s="143" customFormat="1">
      <c r="A432" s="448" t="s">
        <v>391</v>
      </c>
      <c r="B432" s="406" t="s">
        <v>738</v>
      </c>
      <c r="C432" s="390" t="s">
        <v>630</v>
      </c>
      <c r="D432" s="433">
        <v>160</v>
      </c>
      <c r="E432" s="429">
        <v>301</v>
      </c>
      <c r="F432" s="429">
        <v>108</v>
      </c>
      <c r="G432" s="489">
        <f t="shared" si="30"/>
        <v>48160</v>
      </c>
      <c r="H432" s="489">
        <f t="shared" si="30"/>
        <v>17280</v>
      </c>
      <c r="I432" s="389"/>
    </row>
    <row r="433" spans="1:9" s="143" customFormat="1">
      <c r="A433" s="448" t="s">
        <v>392</v>
      </c>
      <c r="B433" s="406" t="s">
        <v>739</v>
      </c>
      <c r="C433" s="390" t="s">
        <v>630</v>
      </c>
      <c r="D433" s="433">
        <v>0</v>
      </c>
      <c r="E433" s="429">
        <v>298</v>
      </c>
      <c r="F433" s="429">
        <v>98</v>
      </c>
      <c r="G433" s="489">
        <f t="shared" si="30"/>
        <v>0</v>
      </c>
      <c r="H433" s="489">
        <f t="shared" si="30"/>
        <v>0</v>
      </c>
      <c r="I433" s="389"/>
    </row>
    <row r="434" spans="1:9" s="143" customFormat="1">
      <c r="A434" s="453"/>
      <c r="B434" s="398"/>
      <c r="C434" s="390"/>
      <c r="D434" s="385"/>
      <c r="E434" s="429"/>
      <c r="F434" s="429"/>
      <c r="G434" s="389"/>
      <c r="H434" s="389"/>
      <c r="I434" s="389"/>
    </row>
    <row r="435" spans="1:9" s="143" customFormat="1">
      <c r="A435" s="452">
        <v>7.6</v>
      </c>
      <c r="B435" s="413" t="s">
        <v>740</v>
      </c>
      <c r="C435" s="385"/>
      <c r="D435" s="385"/>
      <c r="E435" s="429"/>
      <c r="F435" s="429"/>
      <c r="G435" s="389"/>
      <c r="H435" s="389"/>
      <c r="I435" s="389"/>
    </row>
    <row r="436" spans="1:9" s="145" customFormat="1" ht="58">
      <c r="A436" s="448" t="s">
        <v>385</v>
      </c>
      <c r="B436" s="406" t="s">
        <v>741</v>
      </c>
      <c r="C436" s="390" t="s">
        <v>664</v>
      </c>
      <c r="D436" s="433">
        <v>75</v>
      </c>
      <c r="E436" s="429">
        <v>1188</v>
      </c>
      <c r="F436" s="429">
        <v>206</v>
      </c>
      <c r="G436" s="489">
        <f>IF($D436="","",IFERROR($D436*E436,""))</f>
        <v>89100</v>
      </c>
      <c r="H436" s="489">
        <f>IF($D436="","",IFERROR($D436*F436,""))</f>
        <v>15450</v>
      </c>
      <c r="I436" s="389"/>
    </row>
    <row r="437" spans="1:9" s="145" customFormat="1">
      <c r="A437" s="464"/>
      <c r="B437" s="420"/>
      <c r="C437" s="383"/>
      <c r="D437" s="384"/>
      <c r="E437" s="385"/>
      <c r="F437" s="385"/>
      <c r="G437" s="386"/>
      <c r="H437" s="386"/>
      <c r="I437" s="386"/>
    </row>
    <row r="438" spans="1:9" s="145" customFormat="1">
      <c r="A438" s="453"/>
      <c r="B438" s="400"/>
      <c r="C438" s="414"/>
      <c r="D438" s="384"/>
      <c r="E438" s="429"/>
      <c r="F438" s="429"/>
      <c r="G438" s="386"/>
      <c r="H438" s="386"/>
      <c r="I438" s="386"/>
    </row>
    <row r="439" spans="1:9" s="145" customFormat="1">
      <c r="A439" s="451"/>
      <c r="B439" s="394" t="s">
        <v>742</v>
      </c>
      <c r="C439" s="394"/>
      <c r="D439" s="395"/>
      <c r="E439" s="395"/>
      <c r="F439" s="395"/>
      <c r="G439" s="395">
        <f>SUM(G383:G438)</f>
        <v>1577253</v>
      </c>
      <c r="H439" s="395">
        <f>SUM(H383:H438)</f>
        <v>304831</v>
      </c>
      <c r="I439" s="395"/>
    </row>
    <row r="440" spans="1:9" s="145" customFormat="1">
      <c r="A440" s="453"/>
      <c r="B440" s="400"/>
      <c r="C440" s="414"/>
      <c r="D440" s="384"/>
      <c r="E440" s="429"/>
      <c r="F440" s="429"/>
      <c r="G440" s="386"/>
      <c r="H440" s="386"/>
      <c r="I440" s="386"/>
    </row>
    <row r="441" spans="1:9" s="145" customFormat="1">
      <c r="A441" s="465" t="s">
        <v>743</v>
      </c>
      <c r="B441" s="382" t="s">
        <v>744</v>
      </c>
      <c r="C441" s="393"/>
      <c r="D441" s="384"/>
      <c r="E441" s="429"/>
      <c r="F441" s="429"/>
      <c r="G441" s="386"/>
      <c r="H441" s="386"/>
      <c r="I441" s="386"/>
    </row>
    <row r="442" spans="1:9" s="143" customFormat="1">
      <c r="A442" s="462"/>
      <c r="B442" s="409"/>
      <c r="C442" s="393"/>
      <c r="D442" s="384"/>
      <c r="E442" s="429"/>
      <c r="F442" s="429"/>
      <c r="G442" s="386"/>
      <c r="H442" s="386"/>
      <c r="I442" s="386"/>
    </row>
    <row r="443" spans="1:9" s="143" customFormat="1" ht="116">
      <c r="A443" s="453" t="s">
        <v>745</v>
      </c>
      <c r="B443" s="391" t="s">
        <v>746</v>
      </c>
      <c r="C443" s="390" t="s">
        <v>630</v>
      </c>
      <c r="D443" s="433">
        <v>0</v>
      </c>
      <c r="E443" s="429">
        <v>38125</v>
      </c>
      <c r="F443" s="429">
        <v>5000</v>
      </c>
      <c r="G443" s="489">
        <f t="shared" ref="G443:H468" si="31">IF($D443="","",IFERROR($D443*E443,""))</f>
        <v>0</v>
      </c>
      <c r="H443" s="489">
        <f t="shared" si="31"/>
        <v>0</v>
      </c>
      <c r="I443" s="389"/>
    </row>
    <row r="444" spans="1:9" s="143" customFormat="1" ht="116">
      <c r="A444" s="453" t="s">
        <v>747</v>
      </c>
      <c r="B444" s="391" t="s">
        <v>748</v>
      </c>
      <c r="C444" s="390" t="s">
        <v>630</v>
      </c>
      <c r="D444" s="433">
        <v>0</v>
      </c>
      <c r="E444" s="429">
        <v>26606</v>
      </c>
      <c r="F444" s="429">
        <v>5250</v>
      </c>
      <c r="G444" s="489">
        <f t="shared" si="31"/>
        <v>0</v>
      </c>
      <c r="H444" s="489">
        <f t="shared" si="31"/>
        <v>0</v>
      </c>
      <c r="I444" s="389"/>
    </row>
    <row r="445" spans="1:9" s="143" customFormat="1" ht="101.5">
      <c r="A445" s="453" t="s">
        <v>749</v>
      </c>
      <c r="B445" s="391" t="s">
        <v>1468</v>
      </c>
      <c r="C445" s="390" t="s">
        <v>630</v>
      </c>
      <c r="D445" s="433">
        <f>6*0</f>
        <v>0</v>
      </c>
      <c r="E445" s="429">
        <v>14375</v>
      </c>
      <c r="F445" s="429">
        <v>5313</v>
      </c>
      <c r="G445" s="489">
        <f t="shared" si="31"/>
        <v>0</v>
      </c>
      <c r="H445" s="489">
        <f t="shared" si="31"/>
        <v>0</v>
      </c>
      <c r="I445" s="389"/>
    </row>
    <row r="446" spans="1:9" s="143" customFormat="1" ht="101.5">
      <c r="A446" s="453" t="s">
        <v>750</v>
      </c>
      <c r="B446" s="391" t="s">
        <v>751</v>
      </c>
      <c r="C446" s="390" t="s">
        <v>630</v>
      </c>
      <c r="D446" s="433">
        <v>0</v>
      </c>
      <c r="E446" s="429">
        <v>29831</v>
      </c>
      <c r="F446" s="429">
        <v>5625</v>
      </c>
      <c r="G446" s="489">
        <f t="shared" si="31"/>
        <v>0</v>
      </c>
      <c r="H446" s="489">
        <f t="shared" si="31"/>
        <v>0</v>
      </c>
      <c r="I446" s="389"/>
    </row>
    <row r="447" spans="1:9" s="147" customFormat="1" ht="87">
      <c r="A447" s="458" t="s">
        <v>752</v>
      </c>
      <c r="B447" s="391" t="s">
        <v>753</v>
      </c>
      <c r="C447" s="390"/>
      <c r="D447" s="385"/>
      <c r="E447" s="429"/>
      <c r="F447" s="429"/>
      <c r="G447" s="489" t="str">
        <f t="shared" si="31"/>
        <v/>
      </c>
      <c r="H447" s="489" t="str">
        <f t="shared" si="31"/>
        <v/>
      </c>
      <c r="I447" s="389"/>
    </row>
    <row r="448" spans="1:9" s="143" customFormat="1">
      <c r="A448" s="462" t="s">
        <v>385</v>
      </c>
      <c r="B448" s="409" t="s">
        <v>754</v>
      </c>
      <c r="C448" s="390" t="s">
        <v>664</v>
      </c>
      <c r="D448" s="433">
        <v>50</v>
      </c>
      <c r="E448" s="429">
        <v>193</v>
      </c>
      <c r="F448" s="429">
        <v>45</v>
      </c>
      <c r="G448" s="489">
        <f t="shared" si="31"/>
        <v>9650</v>
      </c>
      <c r="H448" s="489">
        <f t="shared" si="31"/>
        <v>2250</v>
      </c>
      <c r="I448" s="389"/>
    </row>
    <row r="449" spans="1:9" s="145" customFormat="1">
      <c r="A449" s="462" t="s">
        <v>387</v>
      </c>
      <c r="B449" s="409" t="s">
        <v>755</v>
      </c>
      <c r="C449" s="390" t="s">
        <v>664</v>
      </c>
      <c r="D449" s="433">
        <f>150*0+75</f>
        <v>75</v>
      </c>
      <c r="E449" s="429">
        <v>21</v>
      </c>
      <c r="F449" s="429">
        <v>15</v>
      </c>
      <c r="G449" s="489">
        <f t="shared" si="31"/>
        <v>1575</v>
      </c>
      <c r="H449" s="489">
        <f t="shared" si="31"/>
        <v>1125</v>
      </c>
      <c r="I449" s="389"/>
    </row>
    <row r="450" spans="1:9" s="143" customFormat="1">
      <c r="A450" s="462" t="s">
        <v>388</v>
      </c>
      <c r="B450" s="409" t="s">
        <v>756</v>
      </c>
      <c r="C450" s="390" t="s">
        <v>664</v>
      </c>
      <c r="D450" s="433">
        <f>(240*2)*0+200</f>
        <v>200</v>
      </c>
      <c r="E450" s="429">
        <v>88</v>
      </c>
      <c r="F450" s="429">
        <v>53</v>
      </c>
      <c r="G450" s="489">
        <f t="shared" si="31"/>
        <v>17600</v>
      </c>
      <c r="H450" s="489">
        <f t="shared" si="31"/>
        <v>10600</v>
      </c>
      <c r="I450" s="389"/>
    </row>
    <row r="451" spans="1:9" s="145" customFormat="1">
      <c r="A451" s="462" t="s">
        <v>389</v>
      </c>
      <c r="B451" s="409" t="s">
        <v>757</v>
      </c>
      <c r="C451" s="390" t="s">
        <v>664</v>
      </c>
      <c r="D451" s="433">
        <f>30*0+75</f>
        <v>75</v>
      </c>
      <c r="E451" s="429">
        <v>175</v>
      </c>
      <c r="F451" s="429">
        <v>75</v>
      </c>
      <c r="G451" s="489">
        <f t="shared" si="31"/>
        <v>13125</v>
      </c>
      <c r="H451" s="489">
        <f t="shared" si="31"/>
        <v>5625</v>
      </c>
      <c r="I451" s="389"/>
    </row>
    <row r="452" spans="1:9" s="145" customFormat="1">
      <c r="A452" s="462" t="s">
        <v>390</v>
      </c>
      <c r="B452" s="409" t="s">
        <v>758</v>
      </c>
      <c r="C452" s="390" t="s">
        <v>664</v>
      </c>
      <c r="D452" s="433">
        <v>30</v>
      </c>
      <c r="E452" s="429">
        <v>1166</v>
      </c>
      <c r="F452" s="429">
        <v>150</v>
      </c>
      <c r="G452" s="489">
        <f t="shared" si="31"/>
        <v>34980</v>
      </c>
      <c r="H452" s="489">
        <f t="shared" si="31"/>
        <v>4500</v>
      </c>
      <c r="I452" s="389"/>
    </row>
    <row r="453" spans="1:9" s="145" customFormat="1">
      <c r="A453" s="456" t="s">
        <v>391</v>
      </c>
      <c r="B453" s="409" t="s">
        <v>759</v>
      </c>
      <c r="C453" s="390" t="s">
        <v>664</v>
      </c>
      <c r="D453" s="433">
        <v>10</v>
      </c>
      <c r="E453" s="429">
        <v>2333</v>
      </c>
      <c r="F453" s="429">
        <v>188</v>
      </c>
      <c r="G453" s="489">
        <f t="shared" si="31"/>
        <v>23330</v>
      </c>
      <c r="H453" s="489">
        <f t="shared" si="31"/>
        <v>1880</v>
      </c>
      <c r="I453" s="389"/>
    </row>
    <row r="454" spans="1:9" s="145" customFormat="1">
      <c r="A454" s="453" t="s">
        <v>392</v>
      </c>
      <c r="B454" s="403" t="s">
        <v>586</v>
      </c>
      <c r="C454" s="390" t="s">
        <v>31</v>
      </c>
      <c r="D454" s="433">
        <f>150*0</f>
        <v>0</v>
      </c>
      <c r="E454" s="429">
        <v>1435</v>
      </c>
      <c r="F454" s="429">
        <v>128</v>
      </c>
      <c r="G454" s="489">
        <f t="shared" si="31"/>
        <v>0</v>
      </c>
      <c r="H454" s="489">
        <f t="shared" si="31"/>
        <v>0</v>
      </c>
      <c r="I454" s="389"/>
    </row>
    <row r="455" spans="1:9" s="145" customFormat="1">
      <c r="A455" s="453" t="s">
        <v>393</v>
      </c>
      <c r="B455" s="403" t="s">
        <v>587</v>
      </c>
      <c r="C455" s="390" t="s">
        <v>31</v>
      </c>
      <c r="D455" s="433">
        <v>0</v>
      </c>
      <c r="E455" s="429">
        <v>1088</v>
      </c>
      <c r="F455" s="429">
        <v>98</v>
      </c>
      <c r="G455" s="489">
        <f t="shared" si="31"/>
        <v>0</v>
      </c>
      <c r="H455" s="489">
        <f t="shared" si="31"/>
        <v>0</v>
      </c>
      <c r="I455" s="389"/>
    </row>
    <row r="456" spans="1:9" s="145" customFormat="1">
      <c r="A456" s="453" t="s">
        <v>394</v>
      </c>
      <c r="B456" s="403" t="s">
        <v>588</v>
      </c>
      <c r="C456" s="390" t="s">
        <v>31</v>
      </c>
      <c r="D456" s="433">
        <v>0</v>
      </c>
      <c r="E456" s="429">
        <v>770</v>
      </c>
      <c r="F456" s="429">
        <v>68</v>
      </c>
      <c r="G456" s="489">
        <f t="shared" si="31"/>
        <v>0</v>
      </c>
      <c r="H456" s="489">
        <f t="shared" si="31"/>
        <v>0</v>
      </c>
      <c r="I456" s="389"/>
    </row>
    <row r="457" spans="1:9" s="143" customFormat="1">
      <c r="A457" s="453" t="s">
        <v>397</v>
      </c>
      <c r="B457" s="403" t="s">
        <v>589</v>
      </c>
      <c r="C457" s="390" t="s">
        <v>31</v>
      </c>
      <c r="D457" s="433">
        <f>150*0</f>
        <v>0</v>
      </c>
      <c r="E457" s="429">
        <v>540</v>
      </c>
      <c r="F457" s="429">
        <v>60</v>
      </c>
      <c r="G457" s="489">
        <f t="shared" si="31"/>
        <v>0</v>
      </c>
      <c r="H457" s="489">
        <f t="shared" si="31"/>
        <v>0</v>
      </c>
      <c r="I457" s="389"/>
    </row>
    <row r="458" spans="1:9" s="145" customFormat="1">
      <c r="A458" s="456" t="s">
        <v>398</v>
      </c>
      <c r="B458" s="409" t="s">
        <v>760</v>
      </c>
      <c r="C458" s="390" t="s">
        <v>664</v>
      </c>
      <c r="D458" s="433">
        <f>(150+150)*0</f>
        <v>0</v>
      </c>
      <c r="E458" s="429">
        <v>386</v>
      </c>
      <c r="F458" s="429">
        <v>53</v>
      </c>
      <c r="G458" s="489">
        <f t="shared" si="31"/>
        <v>0</v>
      </c>
      <c r="H458" s="489">
        <f t="shared" si="31"/>
        <v>0</v>
      </c>
      <c r="I458" s="389"/>
    </row>
    <row r="459" spans="1:9" s="145" customFormat="1">
      <c r="A459" s="456" t="s">
        <v>399</v>
      </c>
      <c r="B459" s="409" t="s">
        <v>761</v>
      </c>
      <c r="C459" s="390" t="s">
        <v>664</v>
      </c>
      <c r="D459" s="433">
        <v>200</v>
      </c>
      <c r="E459" s="429">
        <v>245</v>
      </c>
      <c r="F459" s="429">
        <v>45</v>
      </c>
      <c r="G459" s="489">
        <f t="shared" si="31"/>
        <v>49000</v>
      </c>
      <c r="H459" s="489">
        <f t="shared" si="31"/>
        <v>9000</v>
      </c>
      <c r="I459" s="397"/>
    </row>
    <row r="460" spans="1:9" s="145" customFormat="1">
      <c r="A460" s="456" t="s">
        <v>401</v>
      </c>
      <c r="B460" s="409" t="s">
        <v>762</v>
      </c>
      <c r="C460" s="390" t="s">
        <v>664</v>
      </c>
      <c r="D460" s="433">
        <v>150</v>
      </c>
      <c r="E460" s="429">
        <v>158</v>
      </c>
      <c r="F460" s="429">
        <v>38</v>
      </c>
      <c r="G460" s="489">
        <f t="shared" si="31"/>
        <v>23700</v>
      </c>
      <c r="H460" s="489">
        <f t="shared" si="31"/>
        <v>5700</v>
      </c>
      <c r="I460" s="389"/>
    </row>
    <row r="461" spans="1:9" s="145" customFormat="1">
      <c r="A461" s="456" t="s">
        <v>402</v>
      </c>
      <c r="B461" s="409" t="s">
        <v>763</v>
      </c>
      <c r="C461" s="390" t="s">
        <v>664</v>
      </c>
      <c r="D461" s="433">
        <v>300</v>
      </c>
      <c r="E461" s="429">
        <v>96</v>
      </c>
      <c r="F461" s="429">
        <v>30</v>
      </c>
      <c r="G461" s="489">
        <f t="shared" si="31"/>
        <v>28800</v>
      </c>
      <c r="H461" s="489">
        <f t="shared" si="31"/>
        <v>9000</v>
      </c>
      <c r="I461" s="389"/>
    </row>
    <row r="462" spans="1:9" s="145" customFormat="1">
      <c r="A462" s="456" t="s">
        <v>403</v>
      </c>
      <c r="B462" s="409" t="s">
        <v>764</v>
      </c>
      <c r="C462" s="390" t="s">
        <v>664</v>
      </c>
      <c r="D462" s="433">
        <v>0</v>
      </c>
      <c r="E462" s="429">
        <v>65</v>
      </c>
      <c r="F462" s="429">
        <v>28</v>
      </c>
      <c r="G462" s="489">
        <f t="shared" si="31"/>
        <v>0</v>
      </c>
      <c r="H462" s="489">
        <f t="shared" si="31"/>
        <v>0</v>
      </c>
      <c r="I462" s="389"/>
    </row>
    <row r="463" spans="1:9" s="145" customFormat="1">
      <c r="A463" s="462"/>
      <c r="B463" s="407"/>
      <c r="C463" s="390"/>
      <c r="D463" s="385"/>
      <c r="E463" s="429"/>
      <c r="F463" s="429"/>
      <c r="G463" s="489" t="str">
        <f t="shared" si="31"/>
        <v/>
      </c>
      <c r="H463" s="489" t="str">
        <f t="shared" si="31"/>
        <v/>
      </c>
      <c r="I463" s="389"/>
    </row>
    <row r="464" spans="1:9" s="143" customFormat="1" ht="29">
      <c r="A464" s="453" t="s">
        <v>765</v>
      </c>
      <c r="B464" s="401" t="s">
        <v>766</v>
      </c>
      <c r="C464" s="390"/>
      <c r="D464" s="385"/>
      <c r="E464" s="429"/>
      <c r="F464" s="429"/>
      <c r="G464" s="489" t="str">
        <f t="shared" si="31"/>
        <v/>
      </c>
      <c r="H464" s="489" t="str">
        <f t="shared" si="31"/>
        <v/>
      </c>
      <c r="I464" s="389"/>
    </row>
    <row r="465" spans="1:9" s="145" customFormat="1" ht="29">
      <c r="A465" s="453" t="s">
        <v>385</v>
      </c>
      <c r="B465" s="401" t="s">
        <v>767</v>
      </c>
      <c r="C465" s="390" t="s">
        <v>16</v>
      </c>
      <c r="D465" s="433">
        <f>4*0+6</f>
        <v>6</v>
      </c>
      <c r="E465" s="429">
        <v>2438</v>
      </c>
      <c r="F465" s="429">
        <v>314</v>
      </c>
      <c r="G465" s="489">
        <f t="shared" si="31"/>
        <v>14628</v>
      </c>
      <c r="H465" s="489">
        <f t="shared" si="31"/>
        <v>1884</v>
      </c>
      <c r="I465" s="389"/>
    </row>
    <row r="466" spans="1:9" s="145" customFormat="1" ht="29">
      <c r="A466" s="453" t="s">
        <v>387</v>
      </c>
      <c r="B466" s="401" t="s">
        <v>768</v>
      </c>
      <c r="C466" s="390" t="s">
        <v>16</v>
      </c>
      <c r="D466" s="433">
        <f>2*0+1</f>
        <v>1</v>
      </c>
      <c r="E466" s="429">
        <v>3688</v>
      </c>
      <c r="F466" s="429">
        <v>438</v>
      </c>
      <c r="G466" s="489">
        <f t="shared" si="31"/>
        <v>3688</v>
      </c>
      <c r="H466" s="489">
        <f t="shared" si="31"/>
        <v>438</v>
      </c>
      <c r="I466" s="389"/>
    </row>
    <row r="467" spans="1:9" s="145" customFormat="1">
      <c r="A467" s="453" t="s">
        <v>388</v>
      </c>
      <c r="B467" s="401" t="s">
        <v>769</v>
      </c>
      <c r="C467" s="390" t="s">
        <v>16</v>
      </c>
      <c r="D467" s="433">
        <f>8*0+3</f>
        <v>3</v>
      </c>
      <c r="E467" s="429">
        <v>1975</v>
      </c>
      <c r="F467" s="429">
        <v>275</v>
      </c>
      <c r="G467" s="489">
        <f t="shared" si="31"/>
        <v>5925</v>
      </c>
      <c r="H467" s="489">
        <f t="shared" si="31"/>
        <v>825</v>
      </c>
      <c r="I467" s="389"/>
    </row>
    <row r="468" spans="1:9" s="145" customFormat="1">
      <c r="A468" s="385"/>
      <c r="B468" s="406"/>
      <c r="C468" s="388"/>
      <c r="D468" s="385"/>
      <c r="E468" s="385"/>
      <c r="F468" s="385"/>
      <c r="G468" s="489" t="str">
        <f t="shared" si="31"/>
        <v/>
      </c>
      <c r="H468" s="489" t="str">
        <f t="shared" si="31"/>
        <v/>
      </c>
      <c r="I468" s="389"/>
    </row>
    <row r="469" spans="1:9" s="145" customFormat="1">
      <c r="A469" s="451"/>
      <c r="B469" s="394" t="s">
        <v>770</v>
      </c>
      <c r="C469" s="394"/>
      <c r="D469" s="395"/>
      <c r="E469" s="395"/>
      <c r="F469" s="395"/>
      <c r="G469" s="395">
        <f>SUM(G441:G468)</f>
        <v>226001</v>
      </c>
      <c r="H469" s="395">
        <f>SUM(H441:H468)</f>
        <v>52827</v>
      </c>
      <c r="I469" s="395"/>
    </row>
    <row r="470" spans="1:9" s="147" customFormat="1">
      <c r="A470" s="405"/>
      <c r="B470" s="410"/>
      <c r="C470" s="410"/>
      <c r="D470" s="411"/>
      <c r="E470" s="411"/>
      <c r="F470" s="411"/>
      <c r="G470" s="489" t="str">
        <f t="shared" ref="G470:H490" si="32">IF($D470="","",IFERROR($D470*E470,""))</f>
        <v/>
      </c>
      <c r="H470" s="489" t="str">
        <f t="shared" si="32"/>
        <v/>
      </c>
      <c r="I470" s="389"/>
    </row>
    <row r="471" spans="1:9" s="143" customFormat="1">
      <c r="A471" s="466" t="s">
        <v>771</v>
      </c>
      <c r="B471" s="402" t="s">
        <v>772</v>
      </c>
      <c r="C471" s="415"/>
      <c r="D471" s="384"/>
      <c r="E471" s="385"/>
      <c r="F471" s="385"/>
      <c r="G471" s="489" t="str">
        <f t="shared" si="32"/>
        <v/>
      </c>
      <c r="H471" s="489" t="str">
        <f t="shared" si="32"/>
        <v/>
      </c>
      <c r="I471" s="386"/>
    </row>
    <row r="472" spans="1:9" s="145" customFormat="1" ht="29">
      <c r="A472" s="453" t="s">
        <v>773</v>
      </c>
      <c r="B472" s="406" t="s">
        <v>774</v>
      </c>
      <c r="C472" s="414"/>
      <c r="D472" s="385"/>
      <c r="E472" s="385"/>
      <c r="F472" s="385"/>
      <c r="G472" s="489" t="str">
        <f t="shared" si="32"/>
        <v/>
      </c>
      <c r="H472" s="489" t="str">
        <f t="shared" si="32"/>
        <v/>
      </c>
      <c r="I472" s="389"/>
    </row>
    <row r="473" spans="1:9" s="145" customFormat="1">
      <c r="A473" s="462"/>
      <c r="B473" s="407"/>
      <c r="C473" s="415"/>
      <c r="D473" s="384"/>
      <c r="E473" s="385"/>
      <c r="F473" s="385"/>
      <c r="G473" s="489" t="str">
        <f t="shared" si="32"/>
        <v/>
      </c>
      <c r="H473" s="489" t="str">
        <f t="shared" si="32"/>
        <v/>
      </c>
      <c r="I473" s="386"/>
    </row>
    <row r="474" spans="1:9" s="143" customFormat="1">
      <c r="A474" s="467" t="s">
        <v>385</v>
      </c>
      <c r="B474" s="416" t="s">
        <v>775</v>
      </c>
      <c r="C474" s="390" t="s">
        <v>664</v>
      </c>
      <c r="D474" s="433">
        <v>300</v>
      </c>
      <c r="E474" s="429">
        <v>69</v>
      </c>
      <c r="F474" s="429">
        <v>33</v>
      </c>
      <c r="G474" s="489">
        <f t="shared" si="32"/>
        <v>20700</v>
      </c>
      <c r="H474" s="489">
        <f t="shared" si="32"/>
        <v>9900</v>
      </c>
      <c r="I474" s="389"/>
    </row>
    <row r="475" spans="1:9" s="143" customFormat="1">
      <c r="A475" s="456" t="s">
        <v>387</v>
      </c>
      <c r="B475" s="416" t="s">
        <v>776</v>
      </c>
      <c r="C475" s="390" t="s">
        <v>664</v>
      </c>
      <c r="D475" s="433">
        <v>3000</v>
      </c>
      <c r="E475" s="429">
        <v>43</v>
      </c>
      <c r="F475" s="429">
        <v>28</v>
      </c>
      <c r="G475" s="489">
        <f t="shared" si="32"/>
        <v>129000</v>
      </c>
      <c r="H475" s="489">
        <f t="shared" si="32"/>
        <v>84000</v>
      </c>
      <c r="I475" s="389"/>
    </row>
    <row r="476" spans="1:9" s="145" customFormat="1">
      <c r="A476" s="456" t="s">
        <v>388</v>
      </c>
      <c r="B476" s="407" t="s">
        <v>777</v>
      </c>
      <c r="C476" s="390" t="s">
        <v>664</v>
      </c>
      <c r="D476" s="433"/>
      <c r="E476" s="429">
        <v>33</v>
      </c>
      <c r="F476" s="429">
        <v>25</v>
      </c>
      <c r="G476" s="489" t="str">
        <f t="shared" si="32"/>
        <v/>
      </c>
      <c r="H476" s="489" t="str">
        <f t="shared" si="32"/>
        <v/>
      </c>
      <c r="I476" s="389"/>
    </row>
    <row r="477" spans="1:9" s="147" customFormat="1">
      <c r="A477" s="456"/>
      <c r="B477" s="407"/>
      <c r="C477" s="390"/>
      <c r="D477" s="385"/>
      <c r="E477" s="429"/>
      <c r="F477" s="429"/>
      <c r="G477" s="489" t="str">
        <f t="shared" si="32"/>
        <v/>
      </c>
      <c r="H477" s="489" t="str">
        <f t="shared" si="32"/>
        <v/>
      </c>
      <c r="I477" s="389"/>
    </row>
    <row r="478" spans="1:9" s="145" customFormat="1">
      <c r="A478" s="466"/>
      <c r="B478" s="402" t="s">
        <v>778</v>
      </c>
      <c r="C478" s="415"/>
      <c r="D478" s="384"/>
      <c r="E478" s="429"/>
      <c r="F478" s="429"/>
      <c r="G478" s="489" t="str">
        <f t="shared" si="32"/>
        <v/>
      </c>
      <c r="H478" s="489" t="str">
        <f t="shared" si="32"/>
        <v/>
      </c>
      <c r="I478" s="386"/>
    </row>
    <row r="479" spans="1:9" s="145" customFormat="1" ht="29">
      <c r="A479" s="453" t="s">
        <v>779</v>
      </c>
      <c r="B479" s="406" t="s">
        <v>780</v>
      </c>
      <c r="C479" s="414"/>
      <c r="D479" s="385"/>
      <c r="E479" s="429"/>
      <c r="F479" s="429"/>
      <c r="G479" s="489" t="str">
        <f t="shared" si="32"/>
        <v/>
      </c>
      <c r="H479" s="489" t="str">
        <f t="shared" si="32"/>
        <v/>
      </c>
      <c r="I479" s="389"/>
    </row>
    <row r="480" spans="1:9" s="145" customFormat="1">
      <c r="A480" s="462"/>
      <c r="B480" s="407"/>
      <c r="C480" s="415"/>
      <c r="D480" s="384"/>
      <c r="E480" s="429"/>
      <c r="F480" s="429"/>
      <c r="G480" s="489" t="str">
        <f t="shared" si="32"/>
        <v/>
      </c>
      <c r="H480" s="489" t="str">
        <f t="shared" si="32"/>
        <v/>
      </c>
      <c r="I480" s="386"/>
    </row>
    <row r="481" spans="1:9" s="145" customFormat="1">
      <c r="A481" s="467" t="s">
        <v>385</v>
      </c>
      <c r="B481" s="416" t="s">
        <v>775</v>
      </c>
      <c r="C481" s="390" t="s">
        <v>664</v>
      </c>
      <c r="D481" s="433">
        <v>0</v>
      </c>
      <c r="E481" s="429">
        <v>189</v>
      </c>
      <c r="F481" s="429">
        <v>113</v>
      </c>
      <c r="G481" s="489">
        <f t="shared" si="32"/>
        <v>0</v>
      </c>
      <c r="H481" s="489">
        <f t="shared" si="32"/>
        <v>0</v>
      </c>
      <c r="I481" s="389"/>
    </row>
    <row r="482" spans="1:9" s="143" customFormat="1">
      <c r="A482" s="456" t="s">
        <v>387</v>
      </c>
      <c r="B482" s="416" t="s">
        <v>776</v>
      </c>
      <c r="C482" s="390" t="s">
        <v>664</v>
      </c>
      <c r="D482" s="433">
        <v>0</v>
      </c>
      <c r="E482" s="429">
        <v>135</v>
      </c>
      <c r="F482" s="429">
        <v>75</v>
      </c>
      <c r="G482" s="489">
        <f t="shared" si="32"/>
        <v>0</v>
      </c>
      <c r="H482" s="489">
        <f t="shared" si="32"/>
        <v>0</v>
      </c>
      <c r="I482" s="389"/>
    </row>
    <row r="483" spans="1:9" s="143" customFormat="1">
      <c r="A483" s="456" t="s">
        <v>388</v>
      </c>
      <c r="B483" s="407" t="s">
        <v>777</v>
      </c>
      <c r="C483" s="390" t="s">
        <v>664</v>
      </c>
      <c r="D483" s="433">
        <v>0</v>
      </c>
      <c r="E483" s="429">
        <v>106</v>
      </c>
      <c r="F483" s="429">
        <v>45</v>
      </c>
      <c r="G483" s="489">
        <f t="shared" si="32"/>
        <v>0</v>
      </c>
      <c r="H483" s="489">
        <f t="shared" si="32"/>
        <v>0</v>
      </c>
      <c r="I483" s="389"/>
    </row>
    <row r="484" spans="1:9" s="143" customFormat="1">
      <c r="A484" s="456"/>
      <c r="B484" s="407"/>
      <c r="C484" s="390"/>
      <c r="D484" s="418"/>
      <c r="E484" s="429"/>
      <c r="F484" s="429"/>
      <c r="G484" s="489" t="str">
        <f t="shared" si="32"/>
        <v/>
      </c>
      <c r="H484" s="489" t="str">
        <f t="shared" si="32"/>
        <v/>
      </c>
      <c r="I484" s="389"/>
    </row>
    <row r="485" spans="1:9" s="143" customFormat="1">
      <c r="A485" s="466"/>
      <c r="B485" s="402" t="s">
        <v>781</v>
      </c>
      <c r="C485" s="415"/>
      <c r="D485" s="384"/>
      <c r="E485" s="429"/>
      <c r="F485" s="429"/>
      <c r="G485" s="489" t="str">
        <f t="shared" si="32"/>
        <v/>
      </c>
      <c r="H485" s="489" t="str">
        <f t="shared" si="32"/>
        <v/>
      </c>
      <c r="I485" s="386"/>
    </row>
    <row r="486" spans="1:9" s="143" customFormat="1" ht="29">
      <c r="A486" s="453" t="s">
        <v>782</v>
      </c>
      <c r="B486" s="406" t="s">
        <v>783</v>
      </c>
      <c r="C486" s="414"/>
      <c r="D486" s="385"/>
      <c r="E486" s="429"/>
      <c r="F486" s="429"/>
      <c r="G486" s="489" t="str">
        <f t="shared" si="32"/>
        <v/>
      </c>
      <c r="H486" s="489" t="str">
        <f t="shared" si="32"/>
        <v/>
      </c>
      <c r="I486" s="389"/>
    </row>
    <row r="487" spans="1:9" s="143" customFormat="1">
      <c r="A487" s="462"/>
      <c r="B487" s="407"/>
      <c r="C487" s="415"/>
      <c r="D487" s="384"/>
      <c r="E487" s="429"/>
      <c r="F487" s="429"/>
      <c r="G487" s="489" t="str">
        <f t="shared" si="32"/>
        <v/>
      </c>
      <c r="H487" s="489" t="str">
        <f t="shared" si="32"/>
        <v/>
      </c>
      <c r="I487" s="386"/>
    </row>
    <row r="488" spans="1:9" s="143" customFormat="1">
      <c r="A488" s="467" t="s">
        <v>385</v>
      </c>
      <c r="B488" s="416" t="s">
        <v>775</v>
      </c>
      <c r="C488" s="390" t="s">
        <v>664</v>
      </c>
      <c r="D488" s="433">
        <v>0</v>
      </c>
      <c r="E488" s="429">
        <v>305</v>
      </c>
      <c r="F488" s="429">
        <v>188</v>
      </c>
      <c r="G488" s="489">
        <f t="shared" si="32"/>
        <v>0</v>
      </c>
      <c r="H488" s="489">
        <f t="shared" si="32"/>
        <v>0</v>
      </c>
      <c r="I488" s="389"/>
    </row>
    <row r="489" spans="1:9" s="143" customFormat="1">
      <c r="A489" s="456" t="s">
        <v>387</v>
      </c>
      <c r="B489" s="416" t="s">
        <v>776</v>
      </c>
      <c r="C489" s="390" t="s">
        <v>664</v>
      </c>
      <c r="D489" s="433">
        <v>0</v>
      </c>
      <c r="E489" s="429">
        <v>204</v>
      </c>
      <c r="F489" s="429">
        <v>150</v>
      </c>
      <c r="G489" s="489">
        <f t="shared" si="32"/>
        <v>0</v>
      </c>
      <c r="H489" s="489">
        <f t="shared" si="32"/>
        <v>0</v>
      </c>
      <c r="I489" s="389"/>
    </row>
    <row r="490" spans="1:9" s="143" customFormat="1">
      <c r="A490" s="456" t="s">
        <v>388</v>
      </c>
      <c r="B490" s="407" t="s">
        <v>777</v>
      </c>
      <c r="C490" s="390" t="s">
        <v>664</v>
      </c>
      <c r="D490" s="433">
        <v>0</v>
      </c>
      <c r="E490" s="429">
        <v>168</v>
      </c>
      <c r="F490" s="429">
        <v>113</v>
      </c>
      <c r="G490" s="489">
        <f t="shared" si="32"/>
        <v>0</v>
      </c>
      <c r="H490" s="489">
        <f t="shared" si="32"/>
        <v>0</v>
      </c>
      <c r="I490" s="389"/>
    </row>
    <row r="491" spans="1:9" s="143" customFormat="1">
      <c r="A491" s="456"/>
      <c r="B491" s="407"/>
      <c r="C491" s="415"/>
      <c r="D491" s="384"/>
      <c r="E491" s="385"/>
      <c r="F491" s="385"/>
      <c r="G491" s="386"/>
      <c r="H491" s="386"/>
      <c r="I491" s="386"/>
    </row>
    <row r="492" spans="1:9" s="143" customFormat="1">
      <c r="A492" s="451"/>
      <c r="B492" s="394" t="s">
        <v>784</v>
      </c>
      <c r="C492" s="394"/>
      <c r="D492" s="395"/>
      <c r="E492" s="395"/>
      <c r="F492" s="395"/>
      <c r="G492" s="395">
        <f>SUM(G471:G491)</f>
        <v>149700</v>
      </c>
      <c r="H492" s="395">
        <f>SUM(H471:H491)</f>
        <v>93900</v>
      </c>
      <c r="I492" s="395"/>
    </row>
    <row r="493" spans="1:9" s="147" customFormat="1">
      <c r="A493" s="405"/>
      <c r="B493" s="410"/>
      <c r="C493" s="410"/>
      <c r="D493" s="411"/>
      <c r="E493" s="411"/>
      <c r="F493" s="411"/>
      <c r="G493" s="411"/>
      <c r="H493" s="411"/>
      <c r="I493" s="389"/>
    </row>
    <row r="494" spans="1:9">
      <c r="A494" s="468" t="s">
        <v>785</v>
      </c>
      <c r="B494" s="417" t="s">
        <v>786</v>
      </c>
      <c r="C494" s="393"/>
      <c r="D494" s="384"/>
      <c r="E494" s="385"/>
      <c r="F494" s="385"/>
      <c r="G494" s="386"/>
      <c r="H494" s="386"/>
      <c r="I494" s="386"/>
    </row>
    <row r="495" spans="1:9">
      <c r="A495" s="468"/>
      <c r="B495" s="417"/>
      <c r="C495" s="393"/>
      <c r="D495" s="384"/>
      <c r="E495" s="385"/>
      <c r="F495" s="385"/>
      <c r="G495" s="386"/>
      <c r="H495" s="386"/>
      <c r="I495" s="386"/>
    </row>
    <row r="496" spans="1:9" ht="29">
      <c r="A496" s="458" t="s">
        <v>787</v>
      </c>
      <c r="B496" s="440" t="s">
        <v>788</v>
      </c>
      <c r="C496" s="390" t="s">
        <v>789</v>
      </c>
      <c r="D496" s="433">
        <f>100-50</f>
        <v>50</v>
      </c>
      <c r="E496" s="429">
        <v>138</v>
      </c>
      <c r="F496" s="429">
        <v>53</v>
      </c>
      <c r="G496" s="489">
        <f>IF($D496="","",IFERROR($D496*E496,""))</f>
        <v>6900</v>
      </c>
      <c r="H496" s="489">
        <f>IF($D496="","",IFERROR($D496*F496,""))</f>
        <v>2650</v>
      </c>
      <c r="I496" s="428"/>
    </row>
    <row r="497" spans="1:9">
      <c r="A497" s="458" t="s">
        <v>790</v>
      </c>
      <c r="B497" s="440" t="s">
        <v>791</v>
      </c>
      <c r="C497" s="390" t="s">
        <v>789</v>
      </c>
      <c r="D497" s="433">
        <v>25</v>
      </c>
      <c r="E497" s="429">
        <v>138</v>
      </c>
      <c r="F497" s="429">
        <v>98</v>
      </c>
      <c r="G497" s="489">
        <f>IF($D497="","",IFERROR($D497*E497,""))</f>
        <v>3450</v>
      </c>
      <c r="H497" s="489">
        <f>IF($D497="","",IFERROR($D497*F497,""))</f>
        <v>2450</v>
      </c>
      <c r="I497" s="428"/>
    </row>
    <row r="498" spans="1:9">
      <c r="A498" s="462"/>
      <c r="B498" s="409"/>
      <c r="C498" s="390"/>
      <c r="D498" s="385"/>
      <c r="E498" s="385"/>
      <c r="F498" s="385"/>
      <c r="G498" s="389"/>
      <c r="H498" s="389"/>
      <c r="I498" s="389"/>
    </row>
    <row r="499" spans="1:9">
      <c r="A499" s="451"/>
      <c r="B499" s="394" t="s">
        <v>792</v>
      </c>
      <c r="C499" s="394"/>
      <c r="D499" s="395"/>
      <c r="E499" s="395"/>
      <c r="F499" s="395"/>
      <c r="G499" s="395">
        <f>SUM(G494:G498)</f>
        <v>10350</v>
      </c>
      <c r="H499" s="395">
        <f>SUM(H494:H498)</f>
        <v>5100</v>
      </c>
      <c r="I499" s="395"/>
    </row>
    <row r="500" spans="1:9">
      <c r="A500" s="462"/>
      <c r="B500" s="409"/>
      <c r="C500" s="390"/>
      <c r="D500" s="385"/>
      <c r="E500" s="385"/>
      <c r="F500" s="385"/>
      <c r="G500" s="389"/>
      <c r="H500" s="389"/>
      <c r="I500" s="389"/>
    </row>
    <row r="501" spans="1:9">
      <c r="A501" s="468" t="s">
        <v>793</v>
      </c>
      <c r="B501" s="417" t="s">
        <v>794</v>
      </c>
      <c r="C501" s="393"/>
      <c r="D501" s="384"/>
      <c r="E501" s="385"/>
      <c r="F501" s="385"/>
      <c r="G501" s="386"/>
      <c r="H501" s="386"/>
      <c r="I501" s="386"/>
    </row>
    <row r="502" spans="1:9">
      <c r="A502" s="468"/>
      <c r="B502" s="417"/>
      <c r="C502" s="393"/>
      <c r="D502" s="384"/>
      <c r="E502" s="385"/>
      <c r="F502" s="385"/>
      <c r="G502" s="386"/>
      <c r="H502" s="386"/>
      <c r="I502" s="386"/>
    </row>
    <row r="503" spans="1:9" ht="29">
      <c r="A503" s="458" t="s">
        <v>795</v>
      </c>
      <c r="B503" s="436" t="s">
        <v>796</v>
      </c>
      <c r="C503" s="390" t="s">
        <v>16</v>
      </c>
      <c r="D503" s="433">
        <f>5*0</f>
        <v>0</v>
      </c>
      <c r="E503" s="429">
        <v>610</v>
      </c>
      <c r="F503" s="429">
        <v>75</v>
      </c>
      <c r="G503" s="489">
        <f t="shared" ref="G503:H509" si="33">IF($D503="","",IFERROR($D503*E503,""))</f>
        <v>0</v>
      </c>
      <c r="H503" s="489">
        <f t="shared" si="33"/>
        <v>0</v>
      </c>
      <c r="I503" s="431"/>
    </row>
    <row r="504" spans="1:9">
      <c r="A504" s="458" t="s">
        <v>797</v>
      </c>
      <c r="B504" s="436" t="s">
        <v>798</v>
      </c>
      <c r="C504" s="390" t="s">
        <v>16</v>
      </c>
      <c r="D504" s="433">
        <f>3*0</f>
        <v>0</v>
      </c>
      <c r="E504" s="429">
        <v>458</v>
      </c>
      <c r="F504" s="429">
        <v>75</v>
      </c>
      <c r="G504" s="489">
        <f t="shared" si="33"/>
        <v>0</v>
      </c>
      <c r="H504" s="489">
        <f t="shared" si="33"/>
        <v>0</v>
      </c>
      <c r="I504" s="431"/>
    </row>
    <row r="505" spans="1:9">
      <c r="A505" s="458" t="s">
        <v>799</v>
      </c>
      <c r="B505" s="436" t="s">
        <v>800</v>
      </c>
      <c r="C505" s="390" t="s">
        <v>16</v>
      </c>
      <c r="D505" s="433">
        <f>10*0</f>
        <v>0</v>
      </c>
      <c r="E505" s="429">
        <v>1448</v>
      </c>
      <c r="F505" s="429">
        <v>75</v>
      </c>
      <c r="G505" s="489">
        <f t="shared" si="33"/>
        <v>0</v>
      </c>
      <c r="H505" s="489">
        <f t="shared" si="33"/>
        <v>0</v>
      </c>
      <c r="I505" s="389"/>
    </row>
    <row r="506" spans="1:9">
      <c r="A506" s="458" t="s">
        <v>801</v>
      </c>
      <c r="B506" s="436" t="s">
        <v>802</v>
      </c>
      <c r="C506" s="390" t="s">
        <v>16</v>
      </c>
      <c r="D506" s="433">
        <f>4*0</f>
        <v>0</v>
      </c>
      <c r="E506" s="429">
        <v>2284</v>
      </c>
      <c r="F506" s="429">
        <v>150</v>
      </c>
      <c r="G506" s="489">
        <f t="shared" si="33"/>
        <v>0</v>
      </c>
      <c r="H506" s="489">
        <f t="shared" si="33"/>
        <v>0</v>
      </c>
      <c r="I506" s="389"/>
    </row>
    <row r="507" spans="1:9">
      <c r="A507" s="458" t="s">
        <v>803</v>
      </c>
      <c r="B507" s="436" t="s">
        <v>804</v>
      </c>
      <c r="C507" s="390" t="s">
        <v>16</v>
      </c>
      <c r="D507" s="433">
        <f>4*0</f>
        <v>0</v>
      </c>
      <c r="E507" s="429">
        <v>724</v>
      </c>
      <c r="F507" s="429">
        <v>75</v>
      </c>
      <c r="G507" s="489">
        <f t="shared" si="33"/>
        <v>0</v>
      </c>
      <c r="H507" s="489">
        <f t="shared" si="33"/>
        <v>0</v>
      </c>
      <c r="I507" s="389"/>
    </row>
    <row r="508" spans="1:9">
      <c r="A508" s="458" t="s">
        <v>805</v>
      </c>
      <c r="B508" s="403" t="s">
        <v>806</v>
      </c>
      <c r="C508" s="390" t="s">
        <v>16</v>
      </c>
      <c r="D508" s="433">
        <v>0</v>
      </c>
      <c r="E508" s="429">
        <v>9516</v>
      </c>
      <c r="F508" s="429">
        <v>150</v>
      </c>
      <c r="G508" s="489">
        <f t="shared" si="33"/>
        <v>0</v>
      </c>
      <c r="H508" s="489">
        <f t="shared" si="33"/>
        <v>0</v>
      </c>
      <c r="I508" s="389"/>
    </row>
    <row r="509" spans="1:9">
      <c r="A509" s="458" t="s">
        <v>807</v>
      </c>
      <c r="B509" s="436" t="s">
        <v>808</v>
      </c>
      <c r="C509" s="390" t="s">
        <v>16</v>
      </c>
      <c r="D509" s="433">
        <v>0</v>
      </c>
      <c r="E509" s="429">
        <v>6851</v>
      </c>
      <c r="F509" s="429">
        <v>150</v>
      </c>
      <c r="G509" s="489">
        <f t="shared" si="33"/>
        <v>0</v>
      </c>
      <c r="H509" s="489">
        <f t="shared" si="33"/>
        <v>0</v>
      </c>
      <c r="I509" s="431"/>
    </row>
    <row r="510" spans="1:9">
      <c r="A510" s="458"/>
      <c r="B510" s="436"/>
      <c r="C510" s="390"/>
      <c r="D510" s="418"/>
      <c r="E510" s="429"/>
      <c r="F510" s="429"/>
      <c r="G510" s="489"/>
      <c r="H510" s="489"/>
      <c r="I510" s="431"/>
    </row>
    <row r="511" spans="1:9" ht="43.5">
      <c r="A511" s="458" t="s">
        <v>809</v>
      </c>
      <c r="B511" s="426" t="s">
        <v>810</v>
      </c>
      <c r="C511" s="470" t="s">
        <v>78</v>
      </c>
      <c r="D511" s="433">
        <v>1</v>
      </c>
      <c r="E511" s="429">
        <v>53125</v>
      </c>
      <c r="F511" s="429">
        <v>28125</v>
      </c>
      <c r="G511" s="489">
        <f t="shared" ref="G511:H514" si="34">IF($D511="","",IFERROR($D511*E511,""))</f>
        <v>53125</v>
      </c>
      <c r="H511" s="489">
        <f t="shared" si="34"/>
        <v>28125</v>
      </c>
      <c r="I511" s="431"/>
    </row>
    <row r="512" spans="1:9">
      <c r="A512" s="458" t="s">
        <v>811</v>
      </c>
      <c r="B512" s="426" t="s">
        <v>812</v>
      </c>
      <c r="C512" s="434" t="s">
        <v>16</v>
      </c>
      <c r="D512" s="433">
        <v>1</v>
      </c>
      <c r="E512" s="429">
        <v>0</v>
      </c>
      <c r="F512" s="429">
        <v>15000</v>
      </c>
      <c r="G512" s="489">
        <f t="shared" si="34"/>
        <v>0</v>
      </c>
      <c r="H512" s="489">
        <f t="shared" si="34"/>
        <v>15000</v>
      </c>
      <c r="I512" s="431"/>
    </row>
    <row r="513" spans="1:9" ht="43.5">
      <c r="A513" s="422">
        <v>11.1</v>
      </c>
      <c r="B513" s="425" t="s">
        <v>813</v>
      </c>
      <c r="C513" s="470" t="s">
        <v>78</v>
      </c>
      <c r="D513" s="433">
        <v>1</v>
      </c>
      <c r="E513" s="429">
        <v>0</v>
      </c>
      <c r="F513" s="429">
        <v>187500</v>
      </c>
      <c r="G513" s="489">
        <f t="shared" si="34"/>
        <v>0</v>
      </c>
      <c r="H513" s="489">
        <f t="shared" si="34"/>
        <v>187500</v>
      </c>
      <c r="I513" s="431"/>
    </row>
    <row r="514" spans="1:9">
      <c r="A514" s="458"/>
      <c r="B514" s="404"/>
      <c r="C514" s="390"/>
      <c r="D514" s="385"/>
      <c r="E514" s="385"/>
      <c r="F514" s="385"/>
      <c r="G514" s="489" t="str">
        <f t="shared" si="34"/>
        <v/>
      </c>
      <c r="H514" s="489"/>
      <c r="I514" s="389"/>
    </row>
    <row r="515" spans="1:9">
      <c r="A515" s="451"/>
      <c r="B515" s="394" t="s">
        <v>814</v>
      </c>
      <c r="C515" s="394"/>
      <c r="D515" s="395"/>
      <c r="E515" s="395"/>
      <c r="F515" s="395"/>
      <c r="G515" s="395">
        <f>SUM(G501:G514)</f>
        <v>53125</v>
      </c>
      <c r="H515" s="395">
        <f>SUM(H501:H514)</f>
        <v>230625</v>
      </c>
      <c r="I515" s="395"/>
    </row>
  </sheetData>
  <mergeCells count="10">
    <mergeCell ref="D4:D5"/>
    <mergeCell ref="A1:C1"/>
    <mergeCell ref="A2:C2"/>
    <mergeCell ref="A4:A5"/>
    <mergeCell ref="B4:B5"/>
    <mergeCell ref="C4:C5"/>
    <mergeCell ref="E4:F4"/>
    <mergeCell ref="G4:G5"/>
    <mergeCell ref="H4:H5"/>
    <mergeCell ref="I4:I5"/>
  </mergeCells>
  <pageMargins left="0.98425196850393704" right="0.98425196850393704" top="0.98425196850393704" bottom="0.98425196850393704" header="0.51181102362204722" footer="0.51181102362204722"/>
  <pageSetup scale="31" orientation="portrait" horizontalDpi="96" verticalDpi="96" r:id="rId1"/>
  <rowBreaks count="8" manualBreakCount="8">
    <brk id="59" max="8" man="1"/>
    <brk id="156" max="8" man="1"/>
    <brk id="243" max="8" man="1"/>
    <brk id="265" max="8" man="1"/>
    <brk id="326" max="8" man="1"/>
    <brk id="344" max="8" man="1"/>
    <brk id="417" max="8" man="1"/>
    <brk id="477" max="8"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E7663-32B9-4F70-A55F-07F99D0652E2}">
  <dimension ref="A1:I260"/>
  <sheetViews>
    <sheetView topLeftCell="A55" zoomScale="60" zoomScaleNormal="60" workbookViewId="0">
      <selection activeCell="A9" sqref="A9"/>
    </sheetView>
  </sheetViews>
  <sheetFormatPr defaultColWidth="9.08984375" defaultRowHeight="14.5"/>
  <cols>
    <col min="1" max="1" width="6.08984375" style="149" customWidth="1"/>
    <col min="2" max="2" width="106.1796875" style="150" customWidth="1"/>
    <col min="3" max="3" width="5.90625" style="144" bestFit="1" customWidth="1"/>
    <col min="4" max="4" width="8.36328125" style="149" customWidth="1"/>
    <col min="5" max="5" width="9.54296875" style="151" customWidth="1"/>
    <col min="6" max="6" width="12.54296875" style="151" customWidth="1"/>
    <col min="7" max="7" width="16.36328125" style="152" customWidth="1"/>
    <col min="8" max="8" width="15.6328125" style="152" customWidth="1"/>
    <col min="9" max="9" width="28.08984375" style="152" bestFit="1" customWidth="1"/>
    <col min="10" max="16384" width="9.08984375" style="152"/>
  </cols>
  <sheetData>
    <row r="1" spans="1:9" s="143" customFormat="1" ht="15.5">
      <c r="A1" s="1475" t="s">
        <v>1430</v>
      </c>
      <c r="B1" s="1475"/>
      <c r="C1" s="1475"/>
      <c r="D1" s="438"/>
      <c r="E1" s="438"/>
      <c r="F1" s="439"/>
      <c r="G1" s="439"/>
      <c r="H1" s="439"/>
      <c r="I1" s="469" t="s">
        <v>2231</v>
      </c>
    </row>
    <row r="2" spans="1:9" s="143" customFormat="1" ht="15.5">
      <c r="A2" s="1475" t="s">
        <v>464</v>
      </c>
      <c r="B2" s="1475"/>
      <c r="C2" s="1475"/>
      <c r="D2" s="438"/>
      <c r="E2" s="438"/>
      <c r="F2" s="439"/>
      <c r="G2" s="439"/>
      <c r="H2" s="439"/>
      <c r="I2" s="469" t="s">
        <v>2232</v>
      </c>
    </row>
    <row r="3" spans="1:9" s="143" customFormat="1" ht="15.5">
      <c r="A3" s="473"/>
      <c r="B3" s="444"/>
      <c r="C3" s="444"/>
      <c r="D3" s="439"/>
      <c r="E3" s="439"/>
      <c r="F3" s="439"/>
      <c r="G3" s="439"/>
      <c r="H3" s="439"/>
      <c r="I3" s="445"/>
    </row>
    <row r="4" spans="1:9" s="144" customFormat="1" ht="15.5" customHeight="1">
      <c r="A4" s="1476" t="s">
        <v>374</v>
      </c>
      <c r="B4" s="1476" t="s">
        <v>465</v>
      </c>
      <c r="C4" s="1476" t="s">
        <v>466</v>
      </c>
      <c r="D4" s="1474" t="s">
        <v>20</v>
      </c>
      <c r="E4" s="1477" t="s">
        <v>8</v>
      </c>
      <c r="F4" s="1477"/>
      <c r="G4" s="1473" t="s">
        <v>467</v>
      </c>
      <c r="H4" s="1473" t="s">
        <v>468</v>
      </c>
      <c r="I4" s="1478" t="s">
        <v>428</v>
      </c>
    </row>
    <row r="5" spans="1:9" s="144" customFormat="1" ht="15.5">
      <c r="A5" s="1476"/>
      <c r="B5" s="1476"/>
      <c r="C5" s="1476"/>
      <c r="D5" s="1474" t="s">
        <v>469</v>
      </c>
      <c r="E5" s="437" t="s">
        <v>470</v>
      </c>
      <c r="F5" s="1430" t="s">
        <v>471</v>
      </c>
      <c r="G5" s="1473"/>
      <c r="H5" s="1473"/>
      <c r="I5" s="1479"/>
    </row>
    <row r="6" spans="1:9" s="145" customFormat="1">
      <c r="A6" s="384"/>
      <c r="B6" s="396"/>
      <c r="C6" s="383"/>
      <c r="D6" s="384"/>
      <c r="E6" s="385"/>
      <c r="F6" s="385"/>
      <c r="G6" s="386"/>
      <c r="H6" s="386"/>
      <c r="I6" s="386"/>
    </row>
    <row r="7" spans="1:9" s="145" customFormat="1">
      <c r="A7" s="446">
        <v>1</v>
      </c>
      <c r="B7" s="382" t="s">
        <v>472</v>
      </c>
      <c r="C7" s="383"/>
      <c r="D7" s="384"/>
      <c r="E7" s="385"/>
      <c r="F7" s="385"/>
      <c r="G7" s="386"/>
      <c r="H7" s="386"/>
      <c r="I7" s="386"/>
    </row>
    <row r="8" spans="1:9" s="145" customFormat="1">
      <c r="A8" s="446"/>
      <c r="B8" s="382"/>
      <c r="C8" s="383"/>
      <c r="D8" s="384"/>
      <c r="E8" s="385"/>
      <c r="F8" s="385"/>
      <c r="G8" s="386"/>
      <c r="H8" s="386"/>
      <c r="I8" s="386"/>
    </row>
    <row r="9" spans="1:9" s="145" customFormat="1" ht="145">
      <c r="A9" s="475"/>
      <c r="B9" s="387" t="s">
        <v>1431</v>
      </c>
      <c r="C9" s="383"/>
      <c r="D9" s="384"/>
      <c r="E9" s="385"/>
      <c r="F9" s="385"/>
      <c r="G9" s="386"/>
      <c r="H9" s="386"/>
      <c r="I9" s="553" t="s">
        <v>1432</v>
      </c>
    </row>
    <row r="10" spans="1:9" s="145" customFormat="1">
      <c r="A10" s="475"/>
      <c r="B10" s="387"/>
      <c r="C10" s="383"/>
      <c r="D10" s="384"/>
      <c r="E10" s="385"/>
      <c r="F10" s="385"/>
      <c r="G10" s="386"/>
      <c r="H10" s="386"/>
      <c r="I10" s="447"/>
    </row>
    <row r="11" spans="1:9" s="146" customFormat="1">
      <c r="A11" s="476">
        <v>1.1000000000000001</v>
      </c>
      <c r="B11" s="481" t="s">
        <v>2233</v>
      </c>
      <c r="C11" s="434" t="s">
        <v>16</v>
      </c>
      <c r="D11" s="433">
        <f>1</f>
        <v>1</v>
      </c>
      <c r="E11" s="429"/>
      <c r="F11" s="429"/>
      <c r="G11" s="489">
        <f>IF($D11="","",IFERROR($D11*E11,""))</f>
        <v>0</v>
      </c>
      <c r="H11" s="489">
        <f>IF($D11="","",IFERROR($D11*F11,""))</f>
        <v>0</v>
      </c>
      <c r="I11" s="431"/>
    </row>
    <row r="12" spans="1:9" s="146" customFormat="1">
      <c r="A12" s="476"/>
      <c r="B12" s="477" t="s">
        <v>2234</v>
      </c>
      <c r="C12" s="432"/>
      <c r="D12" s="432"/>
      <c r="E12" s="432"/>
      <c r="F12" s="432"/>
      <c r="G12" s="432"/>
      <c r="H12" s="432"/>
      <c r="I12" s="432"/>
    </row>
    <row r="13" spans="1:9" s="146" customFormat="1">
      <c r="A13" s="476"/>
      <c r="B13" s="477"/>
      <c r="C13" s="432"/>
      <c r="D13" s="432"/>
      <c r="E13" s="432"/>
      <c r="F13" s="432"/>
      <c r="G13" s="432"/>
      <c r="H13" s="432"/>
      <c r="I13" s="432"/>
    </row>
    <row r="14" spans="1:9" s="146" customFormat="1">
      <c r="A14" s="476">
        <v>1.3</v>
      </c>
      <c r="B14" s="481" t="s">
        <v>2237</v>
      </c>
      <c r="C14" s="434" t="s">
        <v>16</v>
      </c>
      <c r="D14" s="433">
        <f>1</f>
        <v>1</v>
      </c>
      <c r="E14" s="429"/>
      <c r="F14" s="429"/>
      <c r="G14" s="489">
        <f>IF($D14="","",IFERROR($D14*E14,""))</f>
        <v>0</v>
      </c>
      <c r="H14" s="489">
        <f>IF($D14="","",IFERROR($D14*F14,""))</f>
        <v>0</v>
      </c>
      <c r="I14" s="431"/>
    </row>
    <row r="15" spans="1:9" s="146" customFormat="1">
      <c r="A15" s="476"/>
      <c r="B15" s="477" t="s">
        <v>2238</v>
      </c>
      <c r="C15" s="432"/>
      <c r="D15" s="432"/>
      <c r="E15" s="432"/>
      <c r="F15" s="432"/>
      <c r="G15" s="432"/>
      <c r="H15" s="432"/>
      <c r="I15" s="432"/>
    </row>
    <row r="16" spans="1:9" s="146" customFormat="1">
      <c r="A16" s="476"/>
      <c r="B16" s="481"/>
      <c r="C16" s="432"/>
      <c r="D16" s="432"/>
      <c r="E16" s="432"/>
      <c r="F16" s="432"/>
      <c r="G16" s="432"/>
      <c r="H16" s="432"/>
      <c r="I16" s="432"/>
    </row>
    <row r="17" spans="1:9" s="146" customFormat="1">
      <c r="A17" s="476">
        <v>1.4</v>
      </c>
      <c r="B17" s="481" t="s">
        <v>2239</v>
      </c>
      <c r="C17" s="434" t="s">
        <v>16</v>
      </c>
      <c r="D17" s="433">
        <f>1</f>
        <v>1</v>
      </c>
      <c r="E17" s="429"/>
      <c r="F17" s="429"/>
      <c r="G17" s="489">
        <f>IF($D17="","",IFERROR($D17*E17,""))</f>
        <v>0</v>
      </c>
      <c r="H17" s="489">
        <f>IF($D17="","",IFERROR($D17*F17,""))</f>
        <v>0</v>
      </c>
      <c r="I17" s="431"/>
    </row>
    <row r="18" spans="1:9" s="146" customFormat="1">
      <c r="A18" s="476"/>
      <c r="B18" s="477" t="s">
        <v>2240</v>
      </c>
      <c r="C18" s="432"/>
      <c r="D18" s="432"/>
      <c r="E18" s="432"/>
      <c r="F18" s="432"/>
      <c r="G18" s="432"/>
      <c r="H18" s="432"/>
      <c r="I18" s="432"/>
    </row>
    <row r="19" spans="1:9" s="146" customFormat="1">
      <c r="A19" s="476"/>
      <c r="B19" s="481"/>
      <c r="C19" s="432"/>
      <c r="D19" s="432"/>
      <c r="E19" s="432"/>
      <c r="F19" s="432"/>
      <c r="G19" s="432"/>
      <c r="H19" s="432"/>
      <c r="I19" s="432"/>
    </row>
    <row r="20" spans="1:9" s="146" customFormat="1">
      <c r="A20" s="476">
        <v>1.5</v>
      </c>
      <c r="B20" s="481" t="s">
        <v>2241</v>
      </c>
      <c r="C20" s="434" t="s">
        <v>16</v>
      </c>
      <c r="D20" s="433">
        <f>1</f>
        <v>1</v>
      </c>
      <c r="E20" s="429"/>
      <c r="F20" s="429"/>
      <c r="G20" s="489">
        <f>IF($D20="","",IFERROR($D20*E20,""))</f>
        <v>0</v>
      </c>
      <c r="H20" s="489">
        <f>IF($D20="","",IFERROR($D20*F20,""))</f>
        <v>0</v>
      </c>
      <c r="I20" s="431"/>
    </row>
    <row r="21" spans="1:9" s="146" customFormat="1">
      <c r="A21" s="476"/>
      <c r="B21" s="477" t="s">
        <v>2242</v>
      </c>
      <c r="C21" s="432"/>
      <c r="D21" s="432"/>
      <c r="E21" s="432"/>
      <c r="F21" s="432"/>
      <c r="G21" s="432"/>
      <c r="H21" s="432"/>
      <c r="I21" s="432"/>
    </row>
    <row r="22" spans="1:9" s="146" customFormat="1">
      <c r="A22" s="476"/>
      <c r="B22" s="477"/>
      <c r="C22" s="432"/>
      <c r="D22" s="432"/>
      <c r="E22" s="432"/>
      <c r="F22" s="432"/>
      <c r="G22" s="432"/>
      <c r="H22" s="432"/>
      <c r="I22" s="432"/>
    </row>
    <row r="23" spans="1:9" s="148" customFormat="1">
      <c r="A23" s="476">
        <v>1.6</v>
      </c>
      <c r="B23" s="481" t="s">
        <v>2243</v>
      </c>
      <c r="C23" s="434" t="s">
        <v>16</v>
      </c>
      <c r="D23" s="433">
        <f>1</f>
        <v>1</v>
      </c>
      <c r="E23" s="429"/>
      <c r="F23" s="429"/>
      <c r="G23" s="489">
        <f>IF($D23="","",IFERROR($D23*E23,""))</f>
        <v>0</v>
      </c>
      <c r="H23" s="489">
        <f>IF($D23="","",IFERROR($D23*F23,""))</f>
        <v>0</v>
      </c>
      <c r="I23" s="431"/>
    </row>
    <row r="24" spans="1:9" s="148" customFormat="1">
      <c r="A24" s="476"/>
      <c r="B24" s="477" t="s">
        <v>2244</v>
      </c>
      <c r="C24" s="432"/>
      <c r="D24" s="432"/>
      <c r="E24" s="432"/>
      <c r="F24" s="432"/>
      <c r="G24" s="432"/>
      <c r="H24" s="432"/>
      <c r="I24" s="432"/>
    </row>
    <row r="25" spans="1:9" s="148" customFormat="1">
      <c r="A25" s="476"/>
      <c r="B25" s="477"/>
      <c r="C25" s="432"/>
      <c r="D25" s="432"/>
      <c r="E25" s="432"/>
      <c r="F25" s="432"/>
      <c r="G25" s="432"/>
      <c r="H25" s="432"/>
      <c r="I25" s="432"/>
    </row>
    <row r="26" spans="1:9" s="148" customFormat="1">
      <c r="A26" s="476">
        <v>1.7</v>
      </c>
      <c r="B26" s="481" t="s">
        <v>2245</v>
      </c>
      <c r="C26" s="434" t="s">
        <v>16</v>
      </c>
      <c r="D26" s="433">
        <f>1</f>
        <v>1</v>
      </c>
      <c r="E26" s="429"/>
      <c r="F26" s="429"/>
      <c r="G26" s="489">
        <f>IF($D26="","",IFERROR($D26*E26,""))</f>
        <v>0</v>
      </c>
      <c r="H26" s="489">
        <f>IF($D26="","",IFERROR($D26*F26,""))</f>
        <v>0</v>
      </c>
      <c r="I26" s="431"/>
    </row>
    <row r="27" spans="1:9" s="148" customFormat="1">
      <c r="A27" s="476"/>
      <c r="B27" s="477" t="s">
        <v>2246</v>
      </c>
      <c r="C27" s="432"/>
      <c r="D27" s="432"/>
      <c r="E27" s="432"/>
      <c r="F27" s="432"/>
      <c r="G27" s="432"/>
      <c r="H27" s="432"/>
      <c r="I27" s="432"/>
    </row>
    <row r="28" spans="1:9" s="148" customFormat="1">
      <c r="A28" s="476"/>
      <c r="B28" s="477"/>
      <c r="C28" s="432"/>
      <c r="D28" s="432"/>
      <c r="E28" s="432"/>
      <c r="F28" s="432"/>
      <c r="G28" s="432"/>
      <c r="H28" s="432"/>
      <c r="I28" s="432"/>
    </row>
    <row r="29" spans="1:9" s="148" customFormat="1">
      <c r="A29" s="476">
        <v>1.7</v>
      </c>
      <c r="B29" s="481" t="s">
        <v>2550</v>
      </c>
      <c r="C29" s="434" t="s">
        <v>16</v>
      </c>
      <c r="D29" s="433">
        <f>1</f>
        <v>1</v>
      </c>
      <c r="E29" s="429"/>
      <c r="F29" s="429"/>
      <c r="G29" s="489">
        <f>IF($D29="","",IFERROR($D29*E29,""))</f>
        <v>0</v>
      </c>
      <c r="H29" s="489">
        <f>IF($D29="","",IFERROR($D29*F29,""))</f>
        <v>0</v>
      </c>
      <c r="I29" s="431"/>
    </row>
    <row r="30" spans="1:9" s="148" customFormat="1">
      <c r="A30" s="476"/>
      <c r="B30" s="477" t="s">
        <v>2246</v>
      </c>
      <c r="C30" s="432"/>
      <c r="D30" s="432"/>
      <c r="E30" s="432"/>
      <c r="F30" s="432"/>
      <c r="G30" s="432"/>
      <c r="H30" s="432"/>
      <c r="I30" s="432"/>
    </row>
    <row r="31" spans="1:9" s="148" customFormat="1">
      <c r="A31" s="476"/>
      <c r="B31" s="477"/>
      <c r="C31" s="432"/>
      <c r="D31" s="432"/>
      <c r="E31" s="432"/>
      <c r="F31" s="432"/>
      <c r="G31" s="432"/>
      <c r="H31" s="432"/>
      <c r="I31" s="432"/>
    </row>
    <row r="32" spans="1:9" s="148" customFormat="1">
      <c r="A32" s="476">
        <v>1.8</v>
      </c>
      <c r="B32" s="481" t="s">
        <v>2247</v>
      </c>
      <c r="C32" s="434" t="s">
        <v>16</v>
      </c>
      <c r="D32" s="433">
        <f>1</f>
        <v>1</v>
      </c>
      <c r="E32" s="429"/>
      <c r="F32" s="429"/>
      <c r="G32" s="489">
        <f>IF($D32="","",IFERROR($D32*E32,""))</f>
        <v>0</v>
      </c>
      <c r="H32" s="489">
        <f>IF($D32="","",IFERROR($D32*F32,""))</f>
        <v>0</v>
      </c>
      <c r="I32" s="431"/>
    </row>
    <row r="33" spans="1:9" s="148" customFormat="1">
      <c r="A33" s="476"/>
      <c r="B33" s="477" t="s">
        <v>2248</v>
      </c>
      <c r="C33" s="432"/>
      <c r="D33" s="432"/>
      <c r="E33" s="432"/>
      <c r="F33" s="432"/>
      <c r="G33" s="432"/>
      <c r="H33" s="432"/>
      <c r="I33" s="432"/>
    </row>
    <row r="34" spans="1:9" s="148" customFormat="1">
      <c r="A34" s="476"/>
      <c r="B34" s="477"/>
      <c r="C34" s="432"/>
      <c r="D34" s="432"/>
      <c r="E34" s="432"/>
      <c r="F34" s="432"/>
      <c r="G34" s="432"/>
      <c r="H34" s="432"/>
      <c r="I34" s="432"/>
    </row>
    <row r="35" spans="1:9" s="148" customFormat="1">
      <c r="A35" s="476">
        <v>1.9</v>
      </c>
      <c r="B35" s="481" t="s">
        <v>2249</v>
      </c>
      <c r="C35" s="434" t="s">
        <v>16</v>
      </c>
      <c r="D35" s="433">
        <f>1</f>
        <v>1</v>
      </c>
      <c r="E35" s="429"/>
      <c r="F35" s="429"/>
      <c r="G35" s="489">
        <f>IF($D35="","",IFERROR($D35*E35,""))</f>
        <v>0</v>
      </c>
      <c r="H35" s="489">
        <f>IF($D35="","",IFERROR($D35*F35,""))</f>
        <v>0</v>
      </c>
      <c r="I35" s="431"/>
    </row>
    <row r="36" spans="1:9" s="148" customFormat="1">
      <c r="A36" s="476"/>
      <c r="B36" s="477" t="s">
        <v>2250</v>
      </c>
      <c r="C36" s="432"/>
      <c r="D36" s="432"/>
      <c r="E36" s="432"/>
      <c r="F36" s="432"/>
      <c r="G36" s="432"/>
      <c r="H36" s="432"/>
      <c r="I36" s="432"/>
    </row>
    <row r="37" spans="1:9" s="148" customFormat="1">
      <c r="A37" s="476"/>
      <c r="B37" s="477"/>
      <c r="C37" s="432"/>
      <c r="D37" s="432"/>
      <c r="E37" s="432"/>
      <c r="F37" s="432"/>
      <c r="G37" s="432"/>
      <c r="H37" s="432"/>
      <c r="I37" s="432"/>
    </row>
    <row r="38" spans="1:9" s="148" customFormat="1">
      <c r="A38" s="554">
        <v>1.1000000000000001</v>
      </c>
      <c r="B38" s="423" t="s">
        <v>1433</v>
      </c>
      <c r="C38" s="555"/>
      <c r="D38" s="429"/>
      <c r="E38" s="429"/>
      <c r="F38" s="429"/>
      <c r="G38" s="431"/>
      <c r="H38" s="431"/>
      <c r="I38" s="431"/>
    </row>
    <row r="39" spans="1:9" s="148" customFormat="1">
      <c r="A39" s="554" t="s">
        <v>385</v>
      </c>
      <c r="B39" s="556" t="s">
        <v>473</v>
      </c>
      <c r="C39" s="434" t="s">
        <v>16</v>
      </c>
      <c r="D39" s="433">
        <v>4</v>
      </c>
      <c r="E39" s="429"/>
      <c r="F39" s="429"/>
      <c r="G39" s="489">
        <f t="shared" ref="G39:H59" si="0">IF($D39="","",IFERROR($D39*E39,""))</f>
        <v>0</v>
      </c>
      <c r="H39" s="489">
        <f t="shared" si="0"/>
        <v>0</v>
      </c>
      <c r="I39" s="431" t="s">
        <v>1434</v>
      </c>
    </row>
    <row r="40" spans="1:9" s="148" customFormat="1">
      <c r="A40" s="554" t="s">
        <v>387</v>
      </c>
      <c r="B40" s="556" t="s">
        <v>2251</v>
      </c>
      <c r="C40" s="434" t="s">
        <v>16</v>
      </c>
      <c r="D40" s="433">
        <v>4</v>
      </c>
      <c r="E40" s="429"/>
      <c r="F40" s="429"/>
      <c r="G40" s="489">
        <f t="shared" si="0"/>
        <v>0</v>
      </c>
      <c r="H40" s="489">
        <f t="shared" si="0"/>
        <v>0</v>
      </c>
      <c r="I40" s="431" t="s">
        <v>2252</v>
      </c>
    </row>
    <row r="41" spans="1:9" s="148" customFormat="1">
      <c r="A41" s="554" t="s">
        <v>388</v>
      </c>
      <c r="B41" s="556" t="s">
        <v>474</v>
      </c>
      <c r="C41" s="434" t="s">
        <v>16</v>
      </c>
      <c r="D41" s="433">
        <v>0</v>
      </c>
      <c r="E41" s="429"/>
      <c r="F41" s="429"/>
      <c r="G41" s="489">
        <f t="shared" si="0"/>
        <v>0</v>
      </c>
      <c r="H41" s="489">
        <f t="shared" si="0"/>
        <v>0</v>
      </c>
      <c r="I41" s="431"/>
    </row>
    <row r="42" spans="1:9" s="148" customFormat="1">
      <c r="A42" s="554" t="s">
        <v>389</v>
      </c>
      <c r="B42" s="556" t="s">
        <v>475</v>
      </c>
      <c r="C42" s="434" t="s">
        <v>16</v>
      </c>
      <c r="D42" s="433">
        <v>0</v>
      </c>
      <c r="E42" s="429"/>
      <c r="F42" s="429"/>
      <c r="G42" s="489">
        <f t="shared" si="0"/>
        <v>0</v>
      </c>
      <c r="H42" s="489">
        <f t="shared" si="0"/>
        <v>0</v>
      </c>
      <c r="I42" s="431"/>
    </row>
    <row r="43" spans="1:9" s="148" customFormat="1">
      <c r="A43" s="554" t="s">
        <v>390</v>
      </c>
      <c r="B43" s="556" t="s">
        <v>476</v>
      </c>
      <c r="C43" s="434" t="s">
        <v>16</v>
      </c>
      <c r="D43" s="433">
        <v>0</v>
      </c>
      <c r="E43" s="429"/>
      <c r="F43" s="429"/>
      <c r="G43" s="489">
        <f t="shared" si="0"/>
        <v>0</v>
      </c>
      <c r="H43" s="489">
        <f t="shared" si="0"/>
        <v>0</v>
      </c>
      <c r="I43" s="431"/>
    </row>
    <row r="44" spans="1:9" s="148" customFormat="1">
      <c r="A44" s="554" t="s">
        <v>391</v>
      </c>
      <c r="B44" s="556" t="s">
        <v>477</v>
      </c>
      <c r="C44" s="434" t="s">
        <v>16</v>
      </c>
      <c r="D44" s="433">
        <f>4*0</f>
        <v>0</v>
      </c>
      <c r="E44" s="429"/>
      <c r="F44" s="429"/>
      <c r="G44" s="489">
        <f t="shared" si="0"/>
        <v>0</v>
      </c>
      <c r="H44" s="489">
        <f t="shared" si="0"/>
        <v>0</v>
      </c>
      <c r="I44" s="431"/>
    </row>
    <row r="45" spans="1:9" s="148" customFormat="1">
      <c r="A45" s="554" t="s">
        <v>392</v>
      </c>
      <c r="B45" s="556" t="s">
        <v>478</v>
      </c>
      <c r="C45" s="434" t="s">
        <v>16</v>
      </c>
      <c r="D45" s="433">
        <v>0</v>
      </c>
      <c r="E45" s="429"/>
      <c r="F45" s="429"/>
      <c r="G45" s="489">
        <f t="shared" si="0"/>
        <v>0</v>
      </c>
      <c r="H45" s="489">
        <f t="shared" si="0"/>
        <v>0</v>
      </c>
      <c r="I45" s="431"/>
    </row>
    <row r="46" spans="1:9" s="148" customFormat="1">
      <c r="A46" s="554" t="s">
        <v>393</v>
      </c>
      <c r="B46" s="556" t="s">
        <v>2253</v>
      </c>
      <c r="C46" s="434" t="s">
        <v>16</v>
      </c>
      <c r="D46" s="433">
        <f>10*0</f>
        <v>0</v>
      </c>
      <c r="E46" s="429"/>
      <c r="F46" s="429"/>
      <c r="G46" s="489">
        <f t="shared" si="0"/>
        <v>0</v>
      </c>
      <c r="H46" s="489">
        <f t="shared" si="0"/>
        <v>0</v>
      </c>
      <c r="I46" s="431" t="s">
        <v>1435</v>
      </c>
    </row>
    <row r="47" spans="1:9" s="148" customFormat="1">
      <c r="A47" s="554" t="s">
        <v>394</v>
      </c>
      <c r="B47" s="556" t="s">
        <v>479</v>
      </c>
      <c r="C47" s="434" t="s">
        <v>16</v>
      </c>
      <c r="D47" s="433">
        <v>0</v>
      </c>
      <c r="E47" s="429"/>
      <c r="F47" s="429"/>
      <c r="G47" s="489">
        <f t="shared" si="0"/>
        <v>0</v>
      </c>
      <c r="H47" s="489">
        <f t="shared" si="0"/>
        <v>0</v>
      </c>
      <c r="I47" s="431"/>
    </row>
    <row r="48" spans="1:9" s="148" customFormat="1">
      <c r="A48" s="554" t="s">
        <v>397</v>
      </c>
      <c r="B48" s="556" t="s">
        <v>480</v>
      </c>
      <c r="C48" s="434" t="s">
        <v>16</v>
      </c>
      <c r="D48" s="433">
        <v>0</v>
      </c>
      <c r="E48" s="429"/>
      <c r="F48" s="429"/>
      <c r="G48" s="489">
        <f t="shared" si="0"/>
        <v>0</v>
      </c>
      <c r="H48" s="489">
        <f t="shared" si="0"/>
        <v>0</v>
      </c>
      <c r="I48" s="431"/>
    </row>
    <row r="49" spans="1:9" s="148" customFormat="1">
      <c r="A49" s="554" t="s">
        <v>1436</v>
      </c>
      <c r="B49" s="556" t="s">
        <v>1437</v>
      </c>
      <c r="C49" s="434" t="s">
        <v>16</v>
      </c>
      <c r="D49" s="433">
        <v>0</v>
      </c>
      <c r="E49" s="429"/>
      <c r="F49" s="429"/>
      <c r="G49" s="489">
        <f t="shared" si="0"/>
        <v>0</v>
      </c>
      <c r="H49" s="489">
        <f t="shared" si="0"/>
        <v>0</v>
      </c>
      <c r="I49" s="431"/>
    </row>
    <row r="50" spans="1:9" s="148" customFormat="1">
      <c r="A50" s="554" t="s">
        <v>1438</v>
      </c>
      <c r="B50" s="556" t="s">
        <v>1439</v>
      </c>
      <c r="C50" s="434" t="s">
        <v>16</v>
      </c>
      <c r="D50" s="433">
        <v>0</v>
      </c>
      <c r="E50" s="429"/>
      <c r="F50" s="429"/>
      <c r="G50" s="489">
        <f t="shared" si="0"/>
        <v>0</v>
      </c>
      <c r="H50" s="489">
        <f t="shared" si="0"/>
        <v>0</v>
      </c>
      <c r="I50" s="431"/>
    </row>
    <row r="51" spans="1:9" s="148" customFormat="1">
      <c r="A51" s="554" t="s">
        <v>398</v>
      </c>
      <c r="B51" s="556" t="s">
        <v>481</v>
      </c>
      <c r="C51" s="434" t="s">
        <v>16</v>
      </c>
      <c r="D51" s="433">
        <v>2</v>
      </c>
      <c r="E51" s="429"/>
      <c r="F51" s="429"/>
      <c r="G51" s="489">
        <f t="shared" si="0"/>
        <v>0</v>
      </c>
      <c r="H51" s="489">
        <f t="shared" si="0"/>
        <v>0</v>
      </c>
      <c r="I51" s="431" t="s">
        <v>482</v>
      </c>
    </row>
    <row r="52" spans="1:9" s="148" customFormat="1">
      <c r="A52" s="554" t="s">
        <v>399</v>
      </c>
      <c r="B52" s="556" t="s">
        <v>483</v>
      </c>
      <c r="C52" s="434" t="s">
        <v>16</v>
      </c>
      <c r="D52" s="433">
        <v>0</v>
      </c>
      <c r="E52" s="429"/>
      <c r="F52" s="429"/>
      <c r="G52" s="489">
        <f t="shared" si="0"/>
        <v>0</v>
      </c>
      <c r="H52" s="489">
        <f t="shared" si="0"/>
        <v>0</v>
      </c>
      <c r="I52" s="431"/>
    </row>
    <row r="53" spans="1:9" s="148" customFormat="1">
      <c r="A53" s="554" t="s">
        <v>401</v>
      </c>
      <c r="B53" s="556" t="s">
        <v>484</v>
      </c>
      <c r="C53" s="434" t="s">
        <v>16</v>
      </c>
      <c r="D53" s="433">
        <v>0</v>
      </c>
      <c r="E53" s="429"/>
      <c r="F53" s="429"/>
      <c r="G53" s="489">
        <f t="shared" si="0"/>
        <v>0</v>
      </c>
      <c r="H53" s="489">
        <f t="shared" si="0"/>
        <v>0</v>
      </c>
      <c r="I53" s="431"/>
    </row>
    <row r="54" spans="1:9" s="148" customFormat="1">
      <c r="A54" s="554" t="s">
        <v>402</v>
      </c>
      <c r="B54" s="556" t="s">
        <v>485</v>
      </c>
      <c r="C54" s="434" t="s">
        <v>16</v>
      </c>
      <c r="D54" s="433">
        <v>0</v>
      </c>
      <c r="E54" s="429"/>
      <c r="F54" s="429"/>
      <c r="G54" s="489">
        <f t="shared" si="0"/>
        <v>0</v>
      </c>
      <c r="H54" s="489">
        <f t="shared" si="0"/>
        <v>0</v>
      </c>
      <c r="I54" s="431"/>
    </row>
    <row r="55" spans="1:9" s="145" customFormat="1">
      <c r="A55" s="554" t="s">
        <v>403</v>
      </c>
      <c r="B55" s="556" t="s">
        <v>486</v>
      </c>
      <c r="C55" s="434" t="s">
        <v>16</v>
      </c>
      <c r="D55" s="433">
        <v>0</v>
      </c>
      <c r="E55" s="429"/>
      <c r="F55" s="429"/>
      <c r="G55" s="489">
        <f t="shared" si="0"/>
        <v>0</v>
      </c>
      <c r="H55" s="489">
        <f t="shared" si="0"/>
        <v>0</v>
      </c>
      <c r="I55" s="431"/>
    </row>
    <row r="56" spans="1:9" s="147" customFormat="1">
      <c r="A56" s="554" t="s">
        <v>404</v>
      </c>
      <c r="B56" s="556" t="s">
        <v>487</v>
      </c>
      <c r="C56" s="434" t="s">
        <v>16</v>
      </c>
      <c r="D56" s="433">
        <v>0</v>
      </c>
      <c r="E56" s="429"/>
      <c r="F56" s="429"/>
      <c r="G56" s="489">
        <f t="shared" si="0"/>
        <v>0</v>
      </c>
      <c r="H56" s="489">
        <f t="shared" si="0"/>
        <v>0</v>
      </c>
      <c r="I56" s="431"/>
    </row>
    <row r="57" spans="1:9" s="145" customFormat="1">
      <c r="A57" s="554" t="s">
        <v>405</v>
      </c>
      <c r="B57" s="556" t="s">
        <v>488</v>
      </c>
      <c r="C57" s="434" t="s">
        <v>16</v>
      </c>
      <c r="D57" s="433">
        <f>2*0</f>
        <v>0</v>
      </c>
      <c r="E57" s="429"/>
      <c r="F57" s="429"/>
      <c r="G57" s="489">
        <f t="shared" si="0"/>
        <v>0</v>
      </c>
      <c r="H57" s="489">
        <f t="shared" si="0"/>
        <v>0</v>
      </c>
      <c r="I57" s="431" t="s">
        <v>1440</v>
      </c>
    </row>
    <row r="58" spans="1:9" s="148" customFormat="1">
      <c r="A58" s="554" t="s">
        <v>491</v>
      </c>
      <c r="B58" s="556" t="s">
        <v>489</v>
      </c>
      <c r="C58" s="434" t="s">
        <v>16</v>
      </c>
      <c r="D58" s="433">
        <f>6*0</f>
        <v>0</v>
      </c>
      <c r="E58" s="429"/>
      <c r="F58" s="429"/>
      <c r="G58" s="489">
        <f t="shared" si="0"/>
        <v>0</v>
      </c>
      <c r="H58" s="489">
        <f t="shared" si="0"/>
        <v>0</v>
      </c>
      <c r="I58" s="431" t="s">
        <v>1441</v>
      </c>
    </row>
    <row r="59" spans="1:9" s="148" customFormat="1">
      <c r="A59" s="554" t="s">
        <v>1442</v>
      </c>
      <c r="B59" s="556" t="s">
        <v>490</v>
      </c>
      <c r="C59" s="434" t="s">
        <v>16</v>
      </c>
      <c r="D59" s="433">
        <v>0</v>
      </c>
      <c r="E59" s="429"/>
      <c r="F59" s="429"/>
      <c r="G59" s="489">
        <f t="shared" si="0"/>
        <v>0</v>
      </c>
      <c r="H59" s="489">
        <f t="shared" si="0"/>
        <v>0</v>
      </c>
      <c r="I59" s="449"/>
    </row>
    <row r="60" spans="1:9" s="148" customFormat="1">
      <c r="A60" s="554" t="s">
        <v>1443</v>
      </c>
      <c r="B60" s="556" t="s">
        <v>492</v>
      </c>
      <c r="C60" s="434" t="s">
        <v>16</v>
      </c>
      <c r="D60" s="433">
        <v>0</v>
      </c>
      <c r="E60" s="429"/>
      <c r="F60" s="429"/>
      <c r="G60" s="489">
        <f t="shared" ref="G60:H60" si="1">IF($D60="","",IFERROR($D60*E60,""))</f>
        <v>0</v>
      </c>
      <c r="H60" s="489">
        <f t="shared" si="1"/>
        <v>0</v>
      </c>
      <c r="I60" s="431"/>
    </row>
    <row r="61" spans="1:9" s="148" customFormat="1">
      <c r="A61" s="554"/>
      <c r="B61" s="556"/>
      <c r="C61" s="434"/>
      <c r="D61" s="433"/>
      <c r="E61" s="429"/>
      <c r="F61" s="429"/>
      <c r="G61" s="489"/>
      <c r="H61" s="489"/>
      <c r="I61" s="431"/>
    </row>
    <row r="62" spans="1:9" s="148" customFormat="1" ht="43.5">
      <c r="A62" s="554" t="s">
        <v>1444</v>
      </c>
      <c r="B62" s="556" t="s">
        <v>1445</v>
      </c>
      <c r="C62" s="434" t="s">
        <v>16</v>
      </c>
      <c r="D62" s="433">
        <v>2</v>
      </c>
      <c r="E62" s="429"/>
      <c r="F62" s="429"/>
      <c r="G62" s="489">
        <f t="shared" ref="G62:H65" si="2">IF($D62="","",IFERROR($D62*E62,""))</f>
        <v>0</v>
      </c>
      <c r="H62" s="489">
        <f t="shared" si="2"/>
        <v>0</v>
      </c>
      <c r="I62" s="449" t="s">
        <v>1446</v>
      </c>
    </row>
    <row r="63" spans="1:9" s="148" customFormat="1" ht="43.5">
      <c r="A63" s="554" t="s">
        <v>2254</v>
      </c>
      <c r="B63" s="556" t="s">
        <v>2255</v>
      </c>
      <c r="C63" s="434" t="s">
        <v>16</v>
      </c>
      <c r="D63" s="433">
        <v>2</v>
      </c>
      <c r="E63" s="429"/>
      <c r="F63" s="429"/>
      <c r="G63" s="489">
        <f t="shared" si="2"/>
        <v>0</v>
      </c>
      <c r="H63" s="489">
        <f t="shared" si="2"/>
        <v>0</v>
      </c>
      <c r="I63" s="449" t="s">
        <v>1446</v>
      </c>
    </row>
    <row r="64" spans="1:9" s="148" customFormat="1" ht="43.5">
      <c r="A64" s="554" t="s">
        <v>2256</v>
      </c>
      <c r="B64" s="556" t="s">
        <v>2257</v>
      </c>
      <c r="C64" s="434" t="s">
        <v>16</v>
      </c>
      <c r="D64" s="433">
        <v>2</v>
      </c>
      <c r="E64" s="429"/>
      <c r="F64" s="429"/>
      <c r="G64" s="489">
        <f t="shared" si="2"/>
        <v>0</v>
      </c>
      <c r="H64" s="489">
        <f t="shared" si="2"/>
        <v>0</v>
      </c>
      <c r="I64" s="449" t="s">
        <v>1446</v>
      </c>
    </row>
    <row r="65" spans="1:9" s="148" customFormat="1" ht="29">
      <c r="A65" s="554" t="s">
        <v>2258</v>
      </c>
      <c r="B65" s="556" t="s">
        <v>2259</v>
      </c>
      <c r="C65" s="434" t="s">
        <v>16</v>
      </c>
      <c r="D65" s="433">
        <v>1</v>
      </c>
      <c r="E65" s="429"/>
      <c r="F65" s="429"/>
      <c r="G65" s="489">
        <f t="shared" si="2"/>
        <v>0</v>
      </c>
      <c r="H65" s="489">
        <f t="shared" si="2"/>
        <v>0</v>
      </c>
      <c r="I65" s="449" t="s">
        <v>1446</v>
      </c>
    </row>
    <row r="66" spans="1:9" s="148" customFormat="1">
      <c r="A66" s="557"/>
      <c r="B66" s="556"/>
      <c r="C66" s="434"/>
      <c r="D66" s="433"/>
      <c r="E66" s="429"/>
      <c r="F66" s="431"/>
      <c r="G66" s="489"/>
      <c r="H66" s="489"/>
      <c r="I66" s="431"/>
    </row>
    <row r="67" spans="1:9" s="148" customFormat="1">
      <c r="A67" s="430">
        <v>1.9</v>
      </c>
      <c r="B67" s="423" t="s">
        <v>493</v>
      </c>
      <c r="C67" s="429"/>
      <c r="D67" s="429"/>
      <c r="E67" s="429"/>
      <c r="F67" s="429"/>
      <c r="G67" s="431"/>
      <c r="H67" s="431"/>
      <c r="I67" s="431"/>
    </row>
    <row r="68" spans="1:9" s="148" customFormat="1" ht="58">
      <c r="A68" s="554" t="s">
        <v>385</v>
      </c>
      <c r="B68" s="558" t="s">
        <v>1447</v>
      </c>
      <c r="C68" s="434" t="s">
        <v>16</v>
      </c>
      <c r="D68" s="433" t="s">
        <v>828</v>
      </c>
      <c r="E68" s="429"/>
      <c r="F68" s="429"/>
      <c r="G68" s="489" t="str">
        <f t="shared" ref="G68:H69" si="3">IF($D68="","",IFERROR($D68*E68,""))</f>
        <v/>
      </c>
      <c r="H68" s="489" t="str">
        <f t="shared" si="3"/>
        <v/>
      </c>
      <c r="I68" s="449"/>
    </row>
    <row r="69" spans="1:9" s="148" customFormat="1" ht="58">
      <c r="A69" s="554" t="s">
        <v>387</v>
      </c>
      <c r="B69" s="559" t="s">
        <v>1449</v>
      </c>
      <c r="C69" s="434" t="s">
        <v>16</v>
      </c>
      <c r="D69" s="433">
        <f>2*0</f>
        <v>0</v>
      </c>
      <c r="E69" s="429"/>
      <c r="F69" s="429"/>
      <c r="G69" s="489">
        <f t="shared" si="3"/>
        <v>0</v>
      </c>
      <c r="H69" s="489">
        <f t="shared" si="3"/>
        <v>0</v>
      </c>
      <c r="I69" s="449" t="s">
        <v>1448</v>
      </c>
    </row>
    <row r="70" spans="1:9" s="148" customFormat="1">
      <c r="A70" s="450"/>
      <c r="B70" s="391"/>
      <c r="C70" s="393"/>
      <c r="D70" s="384"/>
      <c r="E70" s="385"/>
      <c r="F70" s="385"/>
      <c r="G70" s="386"/>
      <c r="H70" s="386"/>
      <c r="I70" s="386"/>
    </row>
    <row r="71" spans="1:9" s="148" customFormat="1">
      <c r="A71" s="451"/>
      <c r="B71" s="394" t="s">
        <v>494</v>
      </c>
      <c r="C71" s="394"/>
      <c r="D71" s="395"/>
      <c r="E71" s="395"/>
      <c r="F71" s="395"/>
      <c r="G71" s="395">
        <f>SUM(G7:G70)</f>
        <v>0</v>
      </c>
      <c r="H71" s="395">
        <f>SUM(H7:H70)</f>
        <v>0</v>
      </c>
      <c r="I71" s="395"/>
    </row>
    <row r="72" spans="1:9" s="148" customFormat="1">
      <c r="A72" s="384"/>
      <c r="B72" s="396"/>
      <c r="C72" s="383"/>
      <c r="D72" s="384"/>
      <c r="E72" s="385"/>
      <c r="F72" s="385"/>
      <c r="G72" s="386"/>
      <c r="H72" s="386"/>
      <c r="I72" s="386"/>
    </row>
    <row r="73" spans="1:9" s="148" customFormat="1">
      <c r="A73" s="573">
        <v>3</v>
      </c>
      <c r="B73" s="574" t="s">
        <v>558</v>
      </c>
      <c r="C73" s="563"/>
      <c r="D73" s="476"/>
      <c r="E73" s="429"/>
      <c r="F73" s="429"/>
      <c r="G73" s="432"/>
      <c r="H73" s="432"/>
      <c r="I73" s="432"/>
    </row>
    <row r="74" spans="1:9" s="148" customFormat="1">
      <c r="A74" s="476"/>
      <c r="B74" s="427"/>
      <c r="C74" s="563"/>
      <c r="D74" s="476"/>
      <c r="E74" s="429"/>
      <c r="F74" s="429"/>
      <c r="G74" s="432"/>
      <c r="H74" s="432"/>
      <c r="I74" s="432"/>
    </row>
    <row r="75" spans="1:9" s="146" customFormat="1">
      <c r="A75" s="575" t="s">
        <v>559</v>
      </c>
      <c r="B75" s="574" t="s">
        <v>560</v>
      </c>
      <c r="C75" s="576"/>
      <c r="D75" s="476"/>
      <c r="E75" s="429"/>
      <c r="F75" s="429"/>
      <c r="G75" s="432"/>
      <c r="H75" s="432"/>
      <c r="I75" s="432"/>
    </row>
    <row r="76" spans="1:9" s="148" customFormat="1" ht="87">
      <c r="A76" s="575"/>
      <c r="B76" s="425" t="s">
        <v>561</v>
      </c>
      <c r="C76" s="576"/>
      <c r="D76" s="476"/>
      <c r="E76" s="429"/>
      <c r="F76" s="429"/>
      <c r="G76" s="432"/>
      <c r="H76" s="432"/>
      <c r="I76" s="431" t="s">
        <v>562</v>
      </c>
    </row>
    <row r="77" spans="1:9" s="148" customFormat="1" ht="29">
      <c r="A77" s="472"/>
      <c r="B77" s="577" t="s">
        <v>563</v>
      </c>
      <c r="C77" s="434"/>
      <c r="D77" s="429"/>
      <c r="E77" s="429"/>
      <c r="F77" s="429"/>
      <c r="G77" s="431"/>
      <c r="H77" s="431"/>
      <c r="I77" s="431"/>
    </row>
    <row r="78" spans="1:9" s="148" customFormat="1">
      <c r="A78" s="575"/>
      <c r="B78" s="578"/>
      <c r="C78" s="576"/>
      <c r="D78" s="476"/>
      <c r="E78" s="429"/>
      <c r="F78" s="429"/>
      <c r="G78" s="432"/>
      <c r="H78" s="432"/>
      <c r="I78" s="432"/>
    </row>
    <row r="79" spans="1:9" s="148" customFormat="1">
      <c r="A79" s="472" t="s">
        <v>385</v>
      </c>
      <c r="B79" s="556" t="s">
        <v>1460</v>
      </c>
      <c r="C79" s="434" t="s">
        <v>31</v>
      </c>
      <c r="D79" s="433">
        <v>50</v>
      </c>
      <c r="E79" s="429"/>
      <c r="F79" s="429"/>
      <c r="G79" s="489">
        <f t="shared" ref="G79:H89" si="4">IF($D79="","",IFERROR($D79*E79,""))</f>
        <v>0</v>
      </c>
      <c r="H79" s="489">
        <f t="shared" si="4"/>
        <v>0</v>
      </c>
      <c r="I79" s="428"/>
    </row>
    <row r="80" spans="1:9" s="148" customFormat="1">
      <c r="A80" s="472" t="s">
        <v>387</v>
      </c>
      <c r="B80" s="556" t="s">
        <v>564</v>
      </c>
      <c r="C80" s="434" t="s">
        <v>31</v>
      </c>
      <c r="D80" s="433">
        <v>450</v>
      </c>
      <c r="E80" s="429"/>
      <c r="F80" s="429"/>
      <c r="G80" s="489">
        <f t="shared" si="4"/>
        <v>0</v>
      </c>
      <c r="H80" s="489">
        <f t="shared" si="4"/>
        <v>0</v>
      </c>
      <c r="I80" s="428" t="s">
        <v>2267</v>
      </c>
    </row>
    <row r="81" spans="1:9" s="148" customFormat="1">
      <c r="A81" s="472" t="s">
        <v>388</v>
      </c>
      <c r="B81" s="556" t="s">
        <v>565</v>
      </c>
      <c r="C81" s="434" t="s">
        <v>31</v>
      </c>
      <c r="D81" s="433">
        <v>150</v>
      </c>
      <c r="E81" s="429"/>
      <c r="F81" s="429"/>
      <c r="G81" s="489">
        <f t="shared" si="4"/>
        <v>0</v>
      </c>
      <c r="H81" s="489">
        <f t="shared" si="4"/>
        <v>0</v>
      </c>
      <c r="I81" s="428"/>
    </row>
    <row r="82" spans="1:9" s="148" customFormat="1">
      <c r="A82" s="472" t="s">
        <v>389</v>
      </c>
      <c r="B82" s="556" t="s">
        <v>566</v>
      </c>
      <c r="C82" s="434" t="s">
        <v>31</v>
      </c>
      <c r="D82" s="433">
        <v>0</v>
      </c>
      <c r="E82" s="429"/>
      <c r="F82" s="429"/>
      <c r="G82" s="489">
        <f t="shared" si="4"/>
        <v>0</v>
      </c>
      <c r="H82" s="489">
        <f t="shared" si="4"/>
        <v>0</v>
      </c>
      <c r="I82" s="428"/>
    </row>
    <row r="83" spans="1:9" s="148" customFormat="1">
      <c r="A83" s="472" t="s">
        <v>390</v>
      </c>
      <c r="B83" s="556" t="s">
        <v>567</v>
      </c>
      <c r="C83" s="434" t="s">
        <v>31</v>
      </c>
      <c r="D83" s="433">
        <v>450</v>
      </c>
      <c r="E83" s="429"/>
      <c r="F83" s="429"/>
      <c r="G83" s="489">
        <f t="shared" si="4"/>
        <v>0</v>
      </c>
      <c r="H83" s="489">
        <f t="shared" si="4"/>
        <v>0</v>
      </c>
      <c r="I83" s="428" t="s">
        <v>2268</v>
      </c>
    </row>
    <row r="84" spans="1:9" s="148" customFormat="1">
      <c r="A84" s="472" t="s">
        <v>391</v>
      </c>
      <c r="B84" s="556" t="s">
        <v>568</v>
      </c>
      <c r="C84" s="434" t="s">
        <v>31</v>
      </c>
      <c r="D84" s="433">
        <v>100</v>
      </c>
      <c r="E84" s="429"/>
      <c r="F84" s="429"/>
      <c r="G84" s="489">
        <f t="shared" si="4"/>
        <v>0</v>
      </c>
      <c r="H84" s="489">
        <f t="shared" si="4"/>
        <v>0</v>
      </c>
      <c r="I84" s="431" t="s">
        <v>2269</v>
      </c>
    </row>
    <row r="85" spans="1:9" s="148" customFormat="1">
      <c r="A85" s="472" t="s">
        <v>392</v>
      </c>
      <c r="B85" s="556" t="s">
        <v>569</v>
      </c>
      <c r="C85" s="434" t="s">
        <v>31</v>
      </c>
      <c r="D85" s="433">
        <v>0</v>
      </c>
      <c r="E85" s="429"/>
      <c r="F85" s="429"/>
      <c r="G85" s="489">
        <f t="shared" si="4"/>
        <v>0</v>
      </c>
      <c r="H85" s="489">
        <f t="shared" si="4"/>
        <v>0</v>
      </c>
      <c r="I85" s="431"/>
    </row>
    <row r="86" spans="1:9" s="581" customFormat="1">
      <c r="A86" s="472" t="s">
        <v>393</v>
      </c>
      <c r="B86" s="556" t="s">
        <v>570</v>
      </c>
      <c r="C86" s="434" t="s">
        <v>31</v>
      </c>
      <c r="D86" s="433">
        <f>240+130+130+130+130+70+70+70+46+200</f>
        <v>1216</v>
      </c>
      <c r="E86" s="429"/>
      <c r="F86" s="429"/>
      <c r="G86" s="489">
        <f t="shared" si="4"/>
        <v>0</v>
      </c>
      <c r="H86" s="489">
        <f t="shared" si="4"/>
        <v>0</v>
      </c>
      <c r="I86" s="431" t="s">
        <v>1461</v>
      </c>
    </row>
    <row r="87" spans="1:9" s="581" customFormat="1">
      <c r="A87" s="472" t="s">
        <v>394</v>
      </c>
      <c r="B87" s="556" t="s">
        <v>571</v>
      </c>
      <c r="C87" s="434" t="s">
        <v>31</v>
      </c>
      <c r="D87" s="433">
        <v>0</v>
      </c>
      <c r="E87" s="429"/>
      <c r="F87" s="429"/>
      <c r="G87" s="489">
        <f t="shared" si="4"/>
        <v>0</v>
      </c>
      <c r="H87" s="489">
        <f t="shared" si="4"/>
        <v>0</v>
      </c>
      <c r="I87" s="431"/>
    </row>
    <row r="88" spans="1:9" s="148" customFormat="1">
      <c r="A88" s="472" t="s">
        <v>397</v>
      </c>
      <c r="B88" s="556" t="s">
        <v>2270</v>
      </c>
      <c r="C88" s="434" t="s">
        <v>31</v>
      </c>
      <c r="D88" s="433">
        <v>350</v>
      </c>
      <c r="E88" s="429"/>
      <c r="F88" s="429"/>
      <c r="G88" s="489">
        <f t="shared" si="4"/>
        <v>0</v>
      </c>
      <c r="H88" s="489">
        <f t="shared" si="4"/>
        <v>0</v>
      </c>
      <c r="I88" s="428" t="s">
        <v>2271</v>
      </c>
    </row>
    <row r="89" spans="1:9" s="148" customFormat="1">
      <c r="A89" s="472" t="s">
        <v>397</v>
      </c>
      <c r="B89" s="556" t="s">
        <v>2272</v>
      </c>
      <c r="C89" s="434" t="s">
        <v>31</v>
      </c>
      <c r="D89" s="433">
        <v>0</v>
      </c>
      <c r="E89" s="429"/>
      <c r="F89" s="429"/>
      <c r="G89" s="489">
        <f t="shared" si="4"/>
        <v>0</v>
      </c>
      <c r="H89" s="489">
        <f t="shared" si="4"/>
        <v>0</v>
      </c>
      <c r="I89" s="428"/>
    </row>
    <row r="90" spans="1:9" s="148" customFormat="1">
      <c r="A90" s="472"/>
      <c r="B90" s="474"/>
      <c r="C90" s="434"/>
      <c r="D90" s="429"/>
      <c r="E90" s="429"/>
      <c r="F90" s="429"/>
      <c r="G90" s="431"/>
      <c r="H90" s="431"/>
      <c r="I90" s="431"/>
    </row>
    <row r="91" spans="1:9" s="148" customFormat="1">
      <c r="A91" s="579" t="s">
        <v>572</v>
      </c>
      <c r="B91" s="423" t="s">
        <v>573</v>
      </c>
      <c r="C91" s="434"/>
      <c r="D91" s="429"/>
      <c r="E91" s="429"/>
      <c r="F91" s="429"/>
      <c r="G91" s="431"/>
      <c r="H91" s="431"/>
      <c r="I91" s="431"/>
    </row>
    <row r="92" spans="1:9" s="148" customFormat="1" ht="58">
      <c r="A92" s="575" t="s">
        <v>574</v>
      </c>
      <c r="B92" s="426" t="s">
        <v>575</v>
      </c>
      <c r="C92" s="434"/>
      <c r="D92" s="476"/>
      <c r="E92" s="429"/>
      <c r="F92" s="429"/>
      <c r="G92" s="432"/>
      <c r="H92" s="432"/>
      <c r="I92" s="431"/>
    </row>
    <row r="93" spans="1:9" s="148" customFormat="1">
      <c r="A93" s="579"/>
      <c r="B93" s="423" t="s">
        <v>576</v>
      </c>
      <c r="C93" s="434"/>
      <c r="D93" s="429"/>
      <c r="E93" s="429"/>
      <c r="F93" s="429"/>
      <c r="G93" s="431"/>
      <c r="H93" s="431"/>
      <c r="I93" s="431"/>
    </row>
    <row r="94" spans="1:9" s="148" customFormat="1">
      <c r="A94" s="579"/>
      <c r="B94" s="423"/>
      <c r="C94" s="434"/>
      <c r="D94" s="429"/>
      <c r="E94" s="429"/>
      <c r="F94" s="429"/>
      <c r="G94" s="431"/>
      <c r="H94" s="431"/>
      <c r="I94" s="431"/>
    </row>
    <row r="95" spans="1:9" s="148" customFormat="1">
      <c r="A95" s="472" t="s">
        <v>385</v>
      </c>
      <c r="B95" s="474" t="s">
        <v>577</v>
      </c>
      <c r="C95" s="434" t="s">
        <v>31</v>
      </c>
      <c r="D95" s="433">
        <v>0</v>
      </c>
      <c r="E95" s="429"/>
      <c r="F95" s="429"/>
      <c r="G95" s="489">
        <f t="shared" ref="G95:H102" si="5">IF($D95="","",IFERROR($D95*E95,""))</f>
        <v>0</v>
      </c>
      <c r="H95" s="489">
        <f t="shared" si="5"/>
        <v>0</v>
      </c>
      <c r="I95" s="431"/>
    </row>
    <row r="96" spans="1:9" s="148" customFormat="1">
      <c r="A96" s="472" t="s">
        <v>387</v>
      </c>
      <c r="B96" s="474" t="s">
        <v>578</v>
      </c>
      <c r="C96" s="434" t="s">
        <v>31</v>
      </c>
      <c r="D96" s="433">
        <f>46+110+25+25+120+120</f>
        <v>446</v>
      </c>
      <c r="E96" s="429"/>
      <c r="F96" s="429"/>
      <c r="G96" s="489">
        <f t="shared" si="5"/>
        <v>0</v>
      </c>
      <c r="H96" s="489">
        <f t="shared" si="5"/>
        <v>0</v>
      </c>
      <c r="I96" s="431"/>
    </row>
    <row r="97" spans="1:9" s="148" customFormat="1">
      <c r="A97" s="472" t="s">
        <v>388</v>
      </c>
      <c r="B97" s="474" t="s">
        <v>579</v>
      </c>
      <c r="C97" s="434" t="s">
        <v>31</v>
      </c>
      <c r="D97" s="433">
        <f>20+20+30+(5*7)</f>
        <v>105</v>
      </c>
      <c r="E97" s="429"/>
      <c r="F97" s="429"/>
      <c r="G97" s="489">
        <f t="shared" si="5"/>
        <v>0</v>
      </c>
      <c r="H97" s="489">
        <f t="shared" si="5"/>
        <v>0</v>
      </c>
      <c r="I97" s="431"/>
    </row>
    <row r="98" spans="1:9" s="148" customFormat="1">
      <c r="A98" s="472" t="s">
        <v>389</v>
      </c>
      <c r="B98" s="474" t="s">
        <v>580</v>
      </c>
      <c r="C98" s="434" t="s">
        <v>31</v>
      </c>
      <c r="D98" s="433">
        <f>150*0</f>
        <v>0</v>
      </c>
      <c r="E98" s="429"/>
      <c r="F98" s="429"/>
      <c r="G98" s="489">
        <f t="shared" si="5"/>
        <v>0</v>
      </c>
      <c r="H98" s="489">
        <f t="shared" si="5"/>
        <v>0</v>
      </c>
      <c r="I98" s="431"/>
    </row>
    <row r="99" spans="1:9" s="148" customFormat="1">
      <c r="A99" s="472" t="s">
        <v>390</v>
      </c>
      <c r="B99" s="474" t="s">
        <v>581</v>
      </c>
      <c r="C99" s="434" t="s">
        <v>31</v>
      </c>
      <c r="D99" s="433">
        <f>30+(2*7)</f>
        <v>44</v>
      </c>
      <c r="E99" s="429"/>
      <c r="F99" s="429"/>
      <c r="G99" s="489">
        <f t="shared" si="5"/>
        <v>0</v>
      </c>
      <c r="H99" s="489">
        <f t="shared" si="5"/>
        <v>0</v>
      </c>
      <c r="I99" s="431"/>
    </row>
    <row r="100" spans="1:9" s="148" customFormat="1">
      <c r="A100" s="472" t="s">
        <v>391</v>
      </c>
      <c r="B100" s="474" t="s">
        <v>582</v>
      </c>
      <c r="C100" s="434" t="s">
        <v>31</v>
      </c>
      <c r="D100" s="433">
        <f>120+25</f>
        <v>145</v>
      </c>
      <c r="E100" s="429"/>
      <c r="F100" s="429"/>
      <c r="G100" s="489">
        <f t="shared" si="5"/>
        <v>0</v>
      </c>
      <c r="H100" s="489">
        <f t="shared" si="5"/>
        <v>0</v>
      </c>
      <c r="I100" s="431"/>
    </row>
    <row r="101" spans="1:9" s="146" customFormat="1">
      <c r="A101" s="472" t="s">
        <v>392</v>
      </c>
      <c r="B101" s="474" t="s">
        <v>583</v>
      </c>
      <c r="C101" s="434" t="s">
        <v>31</v>
      </c>
      <c r="D101" s="433">
        <f>(70+70+70)*0</f>
        <v>0</v>
      </c>
      <c r="E101" s="429"/>
      <c r="F101" s="429"/>
      <c r="G101" s="489">
        <f t="shared" si="5"/>
        <v>0</v>
      </c>
      <c r="H101" s="489">
        <f t="shared" si="5"/>
        <v>0</v>
      </c>
      <c r="I101" s="431"/>
    </row>
    <row r="102" spans="1:9" s="148" customFormat="1">
      <c r="A102" s="472"/>
      <c r="B102" s="474"/>
      <c r="C102" s="434"/>
      <c r="D102" s="429"/>
      <c r="E102" s="429"/>
      <c r="F102" s="429"/>
      <c r="G102" s="489" t="str">
        <f t="shared" si="5"/>
        <v/>
      </c>
      <c r="H102" s="489" t="str">
        <f t="shared" si="5"/>
        <v/>
      </c>
      <c r="I102" s="431"/>
    </row>
    <row r="103" spans="1:9" s="148" customFormat="1">
      <c r="A103" s="579" t="s">
        <v>584</v>
      </c>
      <c r="B103" s="423" t="s">
        <v>585</v>
      </c>
      <c r="C103" s="580"/>
      <c r="D103" s="430"/>
      <c r="E103" s="430"/>
      <c r="F103" s="430"/>
      <c r="G103" s="449"/>
      <c r="H103" s="449"/>
      <c r="I103" s="449"/>
    </row>
    <row r="104" spans="1:9" s="148" customFormat="1">
      <c r="A104" s="579"/>
      <c r="B104" s="423"/>
      <c r="C104" s="580"/>
      <c r="D104" s="430"/>
      <c r="E104" s="430"/>
      <c r="F104" s="430"/>
      <c r="G104" s="449"/>
      <c r="H104" s="449"/>
      <c r="I104" s="449"/>
    </row>
    <row r="105" spans="1:9" s="148" customFormat="1">
      <c r="A105" s="472" t="s">
        <v>385</v>
      </c>
      <c r="B105" s="474" t="s">
        <v>586</v>
      </c>
      <c r="C105" s="434" t="s">
        <v>31</v>
      </c>
      <c r="D105" s="433">
        <v>300</v>
      </c>
      <c r="E105" s="429"/>
      <c r="F105" s="429"/>
      <c r="G105" s="489">
        <f t="shared" ref="G105:H114" si="6">IF($D105="","",IFERROR($D105*E105,""))</f>
        <v>0</v>
      </c>
      <c r="H105" s="489">
        <f t="shared" si="6"/>
        <v>0</v>
      </c>
      <c r="I105" s="431" t="s">
        <v>1462</v>
      </c>
    </row>
    <row r="106" spans="1:9" s="148" customFormat="1">
      <c r="A106" s="472" t="s">
        <v>387</v>
      </c>
      <c r="B106" s="474" t="s">
        <v>587</v>
      </c>
      <c r="C106" s="434" t="s">
        <v>31</v>
      </c>
      <c r="D106" s="433">
        <v>0</v>
      </c>
      <c r="E106" s="429"/>
      <c r="F106" s="429"/>
      <c r="G106" s="489">
        <f t="shared" si="6"/>
        <v>0</v>
      </c>
      <c r="H106" s="489">
        <f t="shared" si="6"/>
        <v>0</v>
      </c>
      <c r="I106" s="431"/>
    </row>
    <row r="107" spans="1:9" s="148" customFormat="1">
      <c r="A107" s="472" t="s">
        <v>388</v>
      </c>
      <c r="B107" s="474" t="s">
        <v>588</v>
      </c>
      <c r="C107" s="434" t="s">
        <v>31</v>
      </c>
      <c r="D107" s="433">
        <v>0</v>
      </c>
      <c r="E107" s="429"/>
      <c r="F107" s="429"/>
      <c r="G107" s="489">
        <f t="shared" si="6"/>
        <v>0</v>
      </c>
      <c r="H107" s="489">
        <f t="shared" si="6"/>
        <v>0</v>
      </c>
      <c r="I107" s="431"/>
    </row>
    <row r="108" spans="1:9" s="148" customFormat="1">
      <c r="A108" s="472" t="s">
        <v>389</v>
      </c>
      <c r="B108" s="474" t="s">
        <v>589</v>
      </c>
      <c r="C108" s="434" t="s">
        <v>31</v>
      </c>
      <c r="D108" s="433">
        <v>180</v>
      </c>
      <c r="E108" s="429"/>
      <c r="F108" s="429"/>
      <c r="G108" s="489">
        <f t="shared" si="6"/>
        <v>0</v>
      </c>
      <c r="H108" s="489">
        <f t="shared" si="6"/>
        <v>0</v>
      </c>
      <c r="I108" s="431"/>
    </row>
    <row r="109" spans="1:9" s="148" customFormat="1">
      <c r="A109" s="472" t="s">
        <v>390</v>
      </c>
      <c r="B109" s="474" t="s">
        <v>590</v>
      </c>
      <c r="C109" s="434" t="s">
        <v>31</v>
      </c>
      <c r="D109" s="433">
        <v>0</v>
      </c>
      <c r="E109" s="429"/>
      <c r="F109" s="429"/>
      <c r="G109" s="489">
        <f t="shared" si="6"/>
        <v>0</v>
      </c>
      <c r="H109" s="489">
        <f t="shared" si="6"/>
        <v>0</v>
      </c>
      <c r="I109" s="431"/>
    </row>
    <row r="110" spans="1:9" s="148" customFormat="1">
      <c r="A110" s="472" t="s">
        <v>391</v>
      </c>
      <c r="B110" s="474" t="s">
        <v>591</v>
      </c>
      <c r="C110" s="434" t="s">
        <v>31</v>
      </c>
      <c r="D110" s="433">
        <v>0</v>
      </c>
      <c r="E110" s="429"/>
      <c r="F110" s="429"/>
      <c r="G110" s="489">
        <f t="shared" si="6"/>
        <v>0</v>
      </c>
      <c r="H110" s="489">
        <f t="shared" si="6"/>
        <v>0</v>
      </c>
      <c r="I110" s="431" t="s">
        <v>1462</v>
      </c>
    </row>
    <row r="111" spans="1:9" s="148" customFormat="1">
      <c r="A111" s="472" t="s">
        <v>392</v>
      </c>
      <c r="B111" s="474" t="s">
        <v>592</v>
      </c>
      <c r="C111" s="434" t="s">
        <v>31</v>
      </c>
      <c r="D111" s="433">
        <v>75</v>
      </c>
      <c r="E111" s="429"/>
      <c r="F111" s="429"/>
      <c r="G111" s="489">
        <f t="shared" si="6"/>
        <v>0</v>
      </c>
      <c r="H111" s="489">
        <f t="shared" si="6"/>
        <v>0</v>
      </c>
      <c r="I111" s="431"/>
    </row>
    <row r="112" spans="1:9" s="148" customFormat="1">
      <c r="A112" s="472" t="s">
        <v>393</v>
      </c>
      <c r="B112" s="474" t="s">
        <v>593</v>
      </c>
      <c r="C112" s="434" t="s">
        <v>31</v>
      </c>
      <c r="D112" s="433">
        <v>0</v>
      </c>
      <c r="E112" s="429"/>
      <c r="F112" s="429"/>
      <c r="G112" s="489">
        <f t="shared" si="6"/>
        <v>0</v>
      </c>
      <c r="H112" s="489">
        <f t="shared" si="6"/>
        <v>0</v>
      </c>
      <c r="I112" s="431"/>
    </row>
    <row r="113" spans="1:9" s="148" customFormat="1">
      <c r="A113" s="472" t="s">
        <v>394</v>
      </c>
      <c r="B113" s="474" t="s">
        <v>594</v>
      </c>
      <c r="C113" s="434" t="s">
        <v>31</v>
      </c>
      <c r="D113" s="433">
        <v>0</v>
      </c>
      <c r="E113" s="429"/>
      <c r="F113" s="429"/>
      <c r="G113" s="489">
        <f t="shared" si="6"/>
        <v>0</v>
      </c>
      <c r="H113" s="489">
        <f t="shared" si="6"/>
        <v>0</v>
      </c>
      <c r="I113" s="431"/>
    </row>
    <row r="114" spans="1:9" s="148" customFormat="1">
      <c r="A114" s="472" t="s">
        <v>397</v>
      </c>
      <c r="B114" s="474" t="s">
        <v>595</v>
      </c>
      <c r="C114" s="434" t="s">
        <v>31</v>
      </c>
      <c r="D114" s="433">
        <v>0</v>
      </c>
      <c r="E114" s="429"/>
      <c r="F114" s="429"/>
      <c r="G114" s="489">
        <f t="shared" si="6"/>
        <v>0</v>
      </c>
      <c r="H114" s="489">
        <f t="shared" si="6"/>
        <v>0</v>
      </c>
      <c r="I114" s="431"/>
    </row>
    <row r="115" spans="1:9" s="148" customFormat="1">
      <c r="A115" s="472" t="s">
        <v>398</v>
      </c>
      <c r="B115" s="474" t="s">
        <v>596</v>
      </c>
      <c r="C115" s="434" t="s">
        <v>31</v>
      </c>
      <c r="D115" s="433">
        <v>0</v>
      </c>
      <c r="E115" s="429"/>
      <c r="F115" s="429"/>
      <c r="G115" s="489">
        <f>IF($D115="","",IFERROR($D115*E115,""))</f>
        <v>0</v>
      </c>
      <c r="H115" s="489">
        <f>IF($D115="","",IFERROR($D115*F115,""))</f>
        <v>0</v>
      </c>
      <c r="I115" s="478"/>
    </row>
    <row r="116" spans="1:9" s="148" customFormat="1">
      <c r="A116" s="472"/>
      <c r="B116" s="474"/>
      <c r="C116" s="434"/>
      <c r="D116" s="429"/>
      <c r="E116" s="429"/>
      <c r="F116" s="429"/>
      <c r="G116" s="431"/>
      <c r="H116" s="431"/>
      <c r="I116" s="431"/>
    </row>
    <row r="117" spans="1:9" s="148" customFormat="1">
      <c r="A117" s="579" t="s">
        <v>597</v>
      </c>
      <c r="B117" s="423" t="s">
        <v>598</v>
      </c>
      <c r="C117" s="434"/>
      <c r="D117" s="429"/>
      <c r="E117" s="429"/>
      <c r="F117" s="429"/>
      <c r="G117" s="431"/>
      <c r="H117" s="431"/>
      <c r="I117" s="431"/>
    </row>
    <row r="118" spans="1:9" s="148" customFormat="1" ht="87">
      <c r="A118" s="575"/>
      <c r="B118" s="427" t="s">
        <v>599</v>
      </c>
      <c r="C118" s="576"/>
      <c r="D118" s="476"/>
      <c r="E118" s="429"/>
      <c r="F118" s="429"/>
      <c r="G118" s="432"/>
      <c r="H118" s="432"/>
      <c r="I118" s="432"/>
    </row>
    <row r="119" spans="1:9" s="148" customFormat="1">
      <c r="A119" s="472" t="s">
        <v>385</v>
      </c>
      <c r="B119" s="556" t="s">
        <v>1460</v>
      </c>
      <c r="C119" s="434" t="s">
        <v>16</v>
      </c>
      <c r="D119" s="433">
        <v>2</v>
      </c>
      <c r="E119" s="429"/>
      <c r="F119" s="429"/>
      <c r="G119" s="489">
        <f t="shared" ref="G119:H129" si="7">IF($D119="","",IFERROR($D119*E119,""))</f>
        <v>0</v>
      </c>
      <c r="H119" s="489">
        <f t="shared" si="7"/>
        <v>0</v>
      </c>
      <c r="I119" s="431"/>
    </row>
    <row r="120" spans="1:9" s="148" customFormat="1">
      <c r="A120" s="472" t="s">
        <v>385</v>
      </c>
      <c r="B120" s="556" t="s">
        <v>564</v>
      </c>
      <c r="C120" s="434" t="s">
        <v>16</v>
      </c>
      <c r="D120" s="433">
        <v>16</v>
      </c>
      <c r="E120" s="429"/>
      <c r="F120" s="429"/>
      <c r="G120" s="489">
        <f t="shared" si="7"/>
        <v>0</v>
      </c>
      <c r="H120" s="489">
        <f t="shared" si="7"/>
        <v>0</v>
      </c>
      <c r="I120" s="431"/>
    </row>
    <row r="121" spans="1:9" s="148" customFormat="1">
      <c r="A121" s="472" t="s">
        <v>387</v>
      </c>
      <c r="B121" s="556" t="s">
        <v>565</v>
      </c>
      <c r="C121" s="434" t="s">
        <v>16</v>
      </c>
      <c r="D121" s="433">
        <v>4</v>
      </c>
      <c r="E121" s="429"/>
      <c r="F121" s="429"/>
      <c r="G121" s="489">
        <f t="shared" si="7"/>
        <v>0</v>
      </c>
      <c r="H121" s="489">
        <f t="shared" si="7"/>
        <v>0</v>
      </c>
      <c r="I121" s="431"/>
    </row>
    <row r="122" spans="1:9" s="148" customFormat="1">
      <c r="A122" s="472" t="s">
        <v>388</v>
      </c>
      <c r="B122" s="556" t="s">
        <v>566</v>
      </c>
      <c r="C122" s="434" t="s">
        <v>16</v>
      </c>
      <c r="D122" s="433">
        <v>0</v>
      </c>
      <c r="E122" s="429"/>
      <c r="F122" s="429"/>
      <c r="G122" s="489">
        <f t="shared" si="7"/>
        <v>0</v>
      </c>
      <c r="H122" s="489">
        <f t="shared" si="7"/>
        <v>0</v>
      </c>
      <c r="I122" s="431"/>
    </row>
    <row r="123" spans="1:9" s="148" customFormat="1">
      <c r="A123" s="472" t="s">
        <v>389</v>
      </c>
      <c r="B123" s="556" t="s">
        <v>567</v>
      </c>
      <c r="C123" s="434" t="s">
        <v>16</v>
      </c>
      <c r="D123" s="433">
        <v>4</v>
      </c>
      <c r="E123" s="429"/>
      <c r="F123" s="429"/>
      <c r="G123" s="489">
        <f t="shared" si="7"/>
        <v>0</v>
      </c>
      <c r="H123" s="489">
        <f t="shared" si="7"/>
        <v>0</v>
      </c>
      <c r="I123" s="431"/>
    </row>
    <row r="124" spans="1:9" s="148" customFormat="1">
      <c r="A124" s="472" t="s">
        <v>390</v>
      </c>
      <c r="B124" s="556" t="s">
        <v>568</v>
      </c>
      <c r="C124" s="434" t="s">
        <v>16</v>
      </c>
      <c r="D124" s="433">
        <v>2</v>
      </c>
      <c r="E124" s="429"/>
      <c r="F124" s="429"/>
      <c r="G124" s="489">
        <f t="shared" si="7"/>
        <v>0</v>
      </c>
      <c r="H124" s="489">
        <f t="shared" si="7"/>
        <v>0</v>
      </c>
      <c r="I124" s="431"/>
    </row>
    <row r="125" spans="1:9" s="148" customFormat="1">
      <c r="A125" s="472" t="s">
        <v>391</v>
      </c>
      <c r="B125" s="556" t="s">
        <v>600</v>
      </c>
      <c r="C125" s="434" t="s">
        <v>16</v>
      </c>
      <c r="D125" s="433">
        <v>2</v>
      </c>
      <c r="E125" s="429"/>
      <c r="F125" s="429"/>
      <c r="G125" s="489">
        <f t="shared" si="7"/>
        <v>0</v>
      </c>
      <c r="H125" s="489">
        <f t="shared" si="7"/>
        <v>0</v>
      </c>
      <c r="I125" s="431"/>
    </row>
    <row r="126" spans="1:9" s="148" customFormat="1">
      <c r="A126" s="472" t="s">
        <v>392</v>
      </c>
      <c r="B126" s="556" t="s">
        <v>570</v>
      </c>
      <c r="C126" s="434" t="s">
        <v>16</v>
      </c>
      <c r="D126" s="433">
        <v>30</v>
      </c>
      <c r="E126" s="429"/>
      <c r="F126" s="429"/>
      <c r="G126" s="489">
        <f t="shared" si="7"/>
        <v>0</v>
      </c>
      <c r="H126" s="489">
        <f t="shared" si="7"/>
        <v>0</v>
      </c>
      <c r="I126" s="431"/>
    </row>
    <row r="127" spans="1:9" s="148" customFormat="1">
      <c r="A127" s="472" t="s">
        <v>393</v>
      </c>
      <c r="B127" s="556" t="s">
        <v>571</v>
      </c>
      <c r="C127" s="434" t="s">
        <v>16</v>
      </c>
      <c r="D127" s="433">
        <v>0</v>
      </c>
      <c r="E127" s="429"/>
      <c r="F127" s="429"/>
      <c r="G127" s="489">
        <f t="shared" si="7"/>
        <v>0</v>
      </c>
      <c r="H127" s="489">
        <f t="shared" si="7"/>
        <v>0</v>
      </c>
      <c r="I127" s="431"/>
    </row>
    <row r="128" spans="1:9" s="148" customFormat="1">
      <c r="A128" s="472" t="s">
        <v>1711</v>
      </c>
      <c r="B128" s="556" t="s">
        <v>2270</v>
      </c>
      <c r="C128" s="434" t="s">
        <v>16</v>
      </c>
      <c r="D128" s="433">
        <v>8</v>
      </c>
      <c r="E128" s="429"/>
      <c r="F128" s="429"/>
      <c r="G128" s="489">
        <f t="shared" si="7"/>
        <v>0</v>
      </c>
      <c r="H128" s="489">
        <f t="shared" si="7"/>
        <v>0</v>
      </c>
      <c r="I128" s="431"/>
    </row>
    <row r="129" spans="1:9" s="148" customFormat="1">
      <c r="A129" s="472" t="s">
        <v>2273</v>
      </c>
      <c r="B129" s="556" t="s">
        <v>2272</v>
      </c>
      <c r="C129" s="434" t="s">
        <v>16</v>
      </c>
      <c r="D129" s="433">
        <v>0</v>
      </c>
      <c r="E129" s="429"/>
      <c r="F129" s="429"/>
      <c r="G129" s="489">
        <f t="shared" si="7"/>
        <v>0</v>
      </c>
      <c r="H129" s="489">
        <f t="shared" si="7"/>
        <v>0</v>
      </c>
      <c r="I129" s="431"/>
    </row>
    <row r="130" spans="1:9" s="148" customFormat="1">
      <c r="A130" s="472"/>
      <c r="B130" s="474"/>
      <c r="C130" s="434"/>
      <c r="D130" s="429"/>
      <c r="E130" s="429"/>
      <c r="F130" s="429"/>
      <c r="G130" s="431"/>
      <c r="H130" s="431"/>
      <c r="I130" s="431"/>
    </row>
    <row r="131" spans="1:9" s="148" customFormat="1">
      <c r="A131" s="579" t="s">
        <v>601</v>
      </c>
      <c r="B131" s="423" t="s">
        <v>576</v>
      </c>
      <c r="C131" s="434"/>
      <c r="D131" s="429"/>
      <c r="E131" s="429"/>
      <c r="F131" s="429"/>
      <c r="G131" s="431"/>
      <c r="H131" s="431"/>
      <c r="I131" s="431"/>
    </row>
    <row r="132" spans="1:9" s="148" customFormat="1">
      <c r="A132" s="472"/>
      <c r="B132" s="423"/>
      <c r="C132" s="434"/>
      <c r="D132" s="429"/>
      <c r="E132" s="429"/>
      <c r="F132" s="429"/>
      <c r="G132" s="431"/>
      <c r="H132" s="431"/>
      <c r="I132" s="431"/>
    </row>
    <row r="133" spans="1:9" s="148" customFormat="1">
      <c r="A133" s="472" t="s">
        <v>385</v>
      </c>
      <c r="B133" s="474" t="s">
        <v>577</v>
      </c>
      <c r="C133" s="434" t="s">
        <v>16</v>
      </c>
      <c r="D133" s="433">
        <v>0</v>
      </c>
      <c r="E133" s="429"/>
      <c r="F133" s="429"/>
      <c r="G133" s="489">
        <f t="shared" ref="G133:H139" si="8">IF($D133="","",IFERROR($D133*E133,""))</f>
        <v>0</v>
      </c>
      <c r="H133" s="489">
        <f t="shared" si="8"/>
        <v>0</v>
      </c>
      <c r="I133" s="431"/>
    </row>
    <row r="134" spans="1:9" s="148" customFormat="1">
      <c r="A134" s="472" t="s">
        <v>387</v>
      </c>
      <c r="B134" s="474" t="s">
        <v>578</v>
      </c>
      <c r="C134" s="434" t="s">
        <v>16</v>
      </c>
      <c r="D134" s="433">
        <v>14</v>
      </c>
      <c r="E134" s="429"/>
      <c r="F134" s="429"/>
      <c r="G134" s="489">
        <f t="shared" si="8"/>
        <v>0</v>
      </c>
      <c r="H134" s="489">
        <f t="shared" si="8"/>
        <v>0</v>
      </c>
      <c r="I134" s="431"/>
    </row>
    <row r="135" spans="1:9" s="148" customFormat="1">
      <c r="A135" s="472" t="s">
        <v>388</v>
      </c>
      <c r="B135" s="474" t="s">
        <v>579</v>
      </c>
      <c r="C135" s="434" t="s">
        <v>16</v>
      </c>
      <c r="D135" s="433">
        <v>18</v>
      </c>
      <c r="E135" s="429"/>
      <c r="F135" s="429"/>
      <c r="G135" s="489">
        <f t="shared" si="8"/>
        <v>0</v>
      </c>
      <c r="H135" s="489">
        <f t="shared" si="8"/>
        <v>0</v>
      </c>
      <c r="I135" s="431"/>
    </row>
    <row r="136" spans="1:9" s="147" customFormat="1">
      <c r="A136" s="472" t="s">
        <v>389</v>
      </c>
      <c r="B136" s="474" t="s">
        <v>580</v>
      </c>
      <c r="C136" s="434" t="s">
        <v>16</v>
      </c>
      <c r="D136" s="433">
        <v>6</v>
      </c>
      <c r="E136" s="429"/>
      <c r="F136" s="429"/>
      <c r="G136" s="489">
        <f t="shared" si="8"/>
        <v>0</v>
      </c>
      <c r="H136" s="489">
        <f t="shared" si="8"/>
        <v>0</v>
      </c>
      <c r="I136" s="431"/>
    </row>
    <row r="137" spans="1:9" s="146" customFormat="1">
      <c r="A137" s="472" t="s">
        <v>390</v>
      </c>
      <c r="B137" s="474" t="s">
        <v>581</v>
      </c>
      <c r="C137" s="434" t="s">
        <v>16</v>
      </c>
      <c r="D137" s="433">
        <v>8</v>
      </c>
      <c r="E137" s="429"/>
      <c r="F137" s="429"/>
      <c r="G137" s="489">
        <f t="shared" si="8"/>
        <v>0</v>
      </c>
      <c r="H137" s="489">
        <f t="shared" si="8"/>
        <v>0</v>
      </c>
      <c r="I137" s="431"/>
    </row>
    <row r="138" spans="1:9" s="148" customFormat="1">
      <c r="A138" s="472" t="s">
        <v>391</v>
      </c>
      <c r="B138" s="474" t="s">
        <v>582</v>
      </c>
      <c r="C138" s="434" t="s">
        <v>16</v>
      </c>
      <c r="D138" s="433">
        <v>4</v>
      </c>
      <c r="E138" s="429"/>
      <c r="F138" s="429"/>
      <c r="G138" s="489">
        <f t="shared" si="8"/>
        <v>0</v>
      </c>
      <c r="H138" s="489">
        <f t="shared" si="8"/>
        <v>0</v>
      </c>
      <c r="I138" s="431"/>
    </row>
    <row r="139" spans="1:9" s="146" customFormat="1">
      <c r="A139" s="472" t="s">
        <v>392</v>
      </c>
      <c r="B139" s="474" t="s">
        <v>583</v>
      </c>
      <c r="C139" s="434" t="s">
        <v>16</v>
      </c>
      <c r="D139" s="433">
        <v>12</v>
      </c>
      <c r="E139" s="429"/>
      <c r="F139" s="429"/>
      <c r="G139" s="489">
        <f t="shared" si="8"/>
        <v>0</v>
      </c>
      <c r="H139" s="489">
        <f t="shared" si="8"/>
        <v>0</v>
      </c>
      <c r="I139" s="431"/>
    </row>
    <row r="140" spans="1:9" s="148" customFormat="1">
      <c r="A140" s="472"/>
      <c r="B140" s="474"/>
      <c r="C140" s="434"/>
      <c r="D140" s="429"/>
      <c r="E140" s="429"/>
      <c r="F140" s="429"/>
      <c r="G140" s="431"/>
      <c r="H140" s="431"/>
      <c r="I140" s="431"/>
    </row>
    <row r="141" spans="1:9" s="148" customFormat="1">
      <c r="A141" s="579" t="s">
        <v>602</v>
      </c>
      <c r="B141" s="423" t="s">
        <v>585</v>
      </c>
      <c r="C141" s="434"/>
      <c r="D141" s="429"/>
      <c r="E141" s="429"/>
      <c r="F141" s="429"/>
      <c r="G141" s="431"/>
      <c r="H141" s="431"/>
      <c r="I141" s="431"/>
    </row>
    <row r="142" spans="1:9" s="148" customFormat="1">
      <c r="A142" s="472"/>
      <c r="B142" s="423"/>
      <c r="C142" s="434"/>
      <c r="D142" s="429"/>
      <c r="E142" s="429"/>
      <c r="F142" s="429"/>
      <c r="G142" s="431"/>
      <c r="H142" s="431"/>
      <c r="I142" s="431"/>
    </row>
    <row r="143" spans="1:9" s="148" customFormat="1">
      <c r="A143" s="472" t="s">
        <v>385</v>
      </c>
      <c r="B143" s="474" t="s">
        <v>603</v>
      </c>
      <c r="C143" s="434" t="s">
        <v>16</v>
      </c>
      <c r="D143" s="433">
        <v>36</v>
      </c>
      <c r="E143" s="429"/>
      <c r="F143" s="429"/>
      <c r="G143" s="489">
        <f t="shared" ref="G143:H152" si="9">IF($D143="","",IFERROR($D143*E143,""))</f>
        <v>0</v>
      </c>
      <c r="H143" s="489">
        <f t="shared" si="9"/>
        <v>0</v>
      </c>
      <c r="I143" s="431"/>
    </row>
    <row r="144" spans="1:9" s="148" customFormat="1">
      <c r="A144" s="472" t="s">
        <v>387</v>
      </c>
      <c r="B144" s="474" t="s">
        <v>604</v>
      </c>
      <c r="C144" s="434" t="s">
        <v>16</v>
      </c>
      <c r="D144" s="433">
        <v>0</v>
      </c>
      <c r="E144" s="429"/>
      <c r="F144" s="429"/>
      <c r="G144" s="489">
        <f t="shared" si="9"/>
        <v>0</v>
      </c>
      <c r="H144" s="489">
        <f t="shared" si="9"/>
        <v>0</v>
      </c>
      <c r="I144" s="431"/>
    </row>
    <row r="145" spans="1:9" s="148" customFormat="1">
      <c r="A145" s="472" t="s">
        <v>388</v>
      </c>
      <c r="B145" s="474" t="s">
        <v>605</v>
      </c>
      <c r="C145" s="434" t="s">
        <v>16</v>
      </c>
      <c r="D145" s="433">
        <v>0</v>
      </c>
      <c r="E145" s="429"/>
      <c r="F145" s="429"/>
      <c r="G145" s="489">
        <f t="shared" si="9"/>
        <v>0</v>
      </c>
      <c r="H145" s="489">
        <f t="shared" si="9"/>
        <v>0</v>
      </c>
      <c r="I145" s="431"/>
    </row>
    <row r="146" spans="1:9" s="148" customFormat="1">
      <c r="A146" s="472" t="s">
        <v>389</v>
      </c>
      <c r="B146" s="474" t="s">
        <v>606</v>
      </c>
      <c r="C146" s="434" t="s">
        <v>16</v>
      </c>
      <c r="D146" s="433">
        <v>36</v>
      </c>
      <c r="E146" s="429"/>
      <c r="F146" s="429"/>
      <c r="G146" s="489">
        <f t="shared" si="9"/>
        <v>0</v>
      </c>
      <c r="H146" s="489">
        <f t="shared" si="9"/>
        <v>0</v>
      </c>
      <c r="I146" s="431"/>
    </row>
    <row r="147" spans="1:9" s="148" customFormat="1">
      <c r="A147" s="472" t="s">
        <v>390</v>
      </c>
      <c r="B147" s="474" t="s">
        <v>607</v>
      </c>
      <c r="C147" s="434" t="s">
        <v>16</v>
      </c>
      <c r="D147" s="433">
        <v>0</v>
      </c>
      <c r="E147" s="429"/>
      <c r="F147" s="429"/>
      <c r="G147" s="489">
        <f t="shared" si="9"/>
        <v>0</v>
      </c>
      <c r="H147" s="489">
        <f t="shared" si="9"/>
        <v>0</v>
      </c>
      <c r="I147" s="431"/>
    </row>
    <row r="148" spans="1:9" s="148" customFormat="1">
      <c r="A148" s="472" t="s">
        <v>391</v>
      </c>
      <c r="B148" s="474" t="s">
        <v>608</v>
      </c>
      <c r="C148" s="434" t="s">
        <v>16</v>
      </c>
      <c r="D148" s="433">
        <v>0</v>
      </c>
      <c r="E148" s="429"/>
      <c r="F148" s="429"/>
      <c r="G148" s="489">
        <f t="shared" si="9"/>
        <v>0</v>
      </c>
      <c r="H148" s="489">
        <f t="shared" si="9"/>
        <v>0</v>
      </c>
      <c r="I148" s="431"/>
    </row>
    <row r="149" spans="1:9" s="148" customFormat="1">
      <c r="A149" s="472" t="s">
        <v>392</v>
      </c>
      <c r="B149" s="474" t="s">
        <v>609</v>
      </c>
      <c r="C149" s="434" t="s">
        <v>16</v>
      </c>
      <c r="D149" s="433">
        <v>14</v>
      </c>
      <c r="E149" s="429"/>
      <c r="F149" s="429"/>
      <c r="G149" s="489">
        <f t="shared" si="9"/>
        <v>0</v>
      </c>
      <c r="H149" s="489">
        <f t="shared" si="9"/>
        <v>0</v>
      </c>
      <c r="I149" s="431"/>
    </row>
    <row r="150" spans="1:9" s="148" customFormat="1">
      <c r="A150" s="472" t="s">
        <v>393</v>
      </c>
      <c r="B150" s="474" t="s">
        <v>610</v>
      </c>
      <c r="C150" s="434" t="s">
        <v>16</v>
      </c>
      <c r="D150" s="433">
        <v>0</v>
      </c>
      <c r="E150" s="429"/>
      <c r="F150" s="429"/>
      <c r="G150" s="489">
        <f t="shared" si="9"/>
        <v>0</v>
      </c>
      <c r="H150" s="489">
        <f t="shared" si="9"/>
        <v>0</v>
      </c>
      <c r="I150" s="431"/>
    </row>
    <row r="151" spans="1:9" s="148" customFormat="1">
      <c r="A151" s="472" t="s">
        <v>394</v>
      </c>
      <c r="B151" s="474" t="s">
        <v>594</v>
      </c>
      <c r="C151" s="434" t="s">
        <v>31</v>
      </c>
      <c r="D151" s="433">
        <v>0</v>
      </c>
      <c r="E151" s="429"/>
      <c r="F151" s="429"/>
      <c r="G151" s="489">
        <f t="shared" si="9"/>
        <v>0</v>
      </c>
      <c r="H151" s="489">
        <f t="shared" si="9"/>
        <v>0</v>
      </c>
      <c r="I151" s="431"/>
    </row>
    <row r="152" spans="1:9" s="148" customFormat="1">
      <c r="A152" s="472" t="s">
        <v>397</v>
      </c>
      <c r="B152" s="474" t="s">
        <v>595</v>
      </c>
      <c r="C152" s="434" t="s">
        <v>31</v>
      </c>
      <c r="D152" s="433">
        <v>0</v>
      </c>
      <c r="E152" s="429"/>
      <c r="F152" s="429"/>
      <c r="G152" s="489">
        <f t="shared" si="9"/>
        <v>0</v>
      </c>
      <c r="H152" s="489">
        <f t="shared" si="9"/>
        <v>0</v>
      </c>
      <c r="I152" s="431"/>
    </row>
    <row r="153" spans="1:9" s="146" customFormat="1">
      <c r="A153" s="472" t="s">
        <v>398</v>
      </c>
      <c r="B153" s="474" t="s">
        <v>611</v>
      </c>
      <c r="C153" s="434" t="s">
        <v>16</v>
      </c>
      <c r="D153" s="433">
        <v>0</v>
      </c>
      <c r="E153" s="429"/>
      <c r="F153" s="429"/>
      <c r="G153" s="489">
        <f>IF($D153="","",IFERROR($D153*E153,""))</f>
        <v>0</v>
      </c>
      <c r="H153" s="489">
        <f>IF($D153="","",IFERROR($D153*F153,""))</f>
        <v>0</v>
      </c>
      <c r="I153" s="431"/>
    </row>
    <row r="154" spans="1:9" s="146" customFormat="1">
      <c r="A154" s="429"/>
      <c r="B154" s="427"/>
      <c r="C154" s="555"/>
      <c r="D154" s="429"/>
      <c r="E154" s="429"/>
      <c r="F154" s="429"/>
      <c r="G154" s="431"/>
      <c r="H154" s="431"/>
      <c r="I154" s="431"/>
    </row>
    <row r="155" spans="1:9" s="148" customFormat="1">
      <c r="A155" s="451"/>
      <c r="B155" s="394" t="s">
        <v>612</v>
      </c>
      <c r="C155" s="394"/>
      <c r="D155" s="395"/>
      <c r="E155" s="395"/>
      <c r="F155" s="395"/>
      <c r="G155" s="395">
        <f>SUM(G76:G154)</f>
        <v>0</v>
      </c>
      <c r="H155" s="395">
        <f>SUM(H76:H154)</f>
        <v>0</v>
      </c>
      <c r="I155" s="395"/>
    </row>
    <row r="156" spans="1:9" s="148" customFormat="1">
      <c r="A156" s="476"/>
      <c r="B156" s="582"/>
      <c r="C156" s="563"/>
      <c r="D156" s="476"/>
      <c r="E156" s="429"/>
      <c r="F156" s="429"/>
      <c r="G156" s="432"/>
      <c r="H156" s="432"/>
      <c r="I156" s="432"/>
    </row>
    <row r="157" spans="1:9" s="148" customFormat="1">
      <c r="A157" s="430">
        <v>4</v>
      </c>
      <c r="B157" s="423" t="s">
        <v>613</v>
      </c>
      <c r="C157" s="555"/>
      <c r="D157" s="429"/>
      <c r="E157" s="429"/>
      <c r="F157" s="429"/>
      <c r="G157" s="431"/>
      <c r="H157" s="431"/>
      <c r="I157" s="431"/>
    </row>
    <row r="158" spans="1:9" s="148" customFormat="1" ht="72.5">
      <c r="A158" s="476"/>
      <c r="B158" s="583" t="s">
        <v>614</v>
      </c>
      <c r="C158" s="563"/>
      <c r="D158" s="476"/>
      <c r="E158" s="429"/>
      <c r="F158" s="429"/>
      <c r="G158" s="432"/>
      <c r="H158" s="432"/>
      <c r="I158" s="425"/>
    </row>
    <row r="159" spans="1:9" s="148" customFormat="1">
      <c r="A159" s="429"/>
      <c r="B159" s="471" t="s">
        <v>615</v>
      </c>
      <c r="C159" s="555"/>
      <c r="D159" s="429"/>
      <c r="E159" s="429"/>
      <c r="F159" s="429"/>
      <c r="G159" s="431"/>
      <c r="H159" s="431"/>
      <c r="I159" s="425"/>
    </row>
    <row r="160" spans="1:9" s="148" customFormat="1" ht="43.5">
      <c r="A160" s="429">
        <v>4.12</v>
      </c>
      <c r="B160" s="427" t="s">
        <v>627</v>
      </c>
      <c r="C160" s="434" t="s">
        <v>16</v>
      </c>
      <c r="D160" s="433">
        <v>30</v>
      </c>
      <c r="E160" s="429"/>
      <c r="F160" s="429"/>
      <c r="G160" s="489">
        <f t="shared" ref="G160:H160" si="10">IF($D160="","",IFERROR($D160*E160,""))</f>
        <v>0</v>
      </c>
      <c r="H160" s="489">
        <f t="shared" si="10"/>
        <v>0</v>
      </c>
      <c r="I160" s="431"/>
    </row>
    <row r="161" spans="1:9" s="143" customFormat="1">
      <c r="A161" s="384"/>
      <c r="B161" s="396"/>
      <c r="C161" s="383"/>
      <c r="D161" s="384"/>
      <c r="E161" s="385"/>
      <c r="F161" s="385"/>
      <c r="G161" s="386"/>
      <c r="H161" s="386"/>
      <c r="I161" s="386"/>
    </row>
    <row r="162" spans="1:9" s="143" customFormat="1">
      <c r="A162" s="451"/>
      <c r="B162" s="394" t="s">
        <v>655</v>
      </c>
      <c r="C162" s="394"/>
      <c r="D162" s="395"/>
      <c r="E162" s="395"/>
      <c r="F162" s="395"/>
      <c r="G162" s="395">
        <f>SUM(G158:G161)</f>
        <v>0</v>
      </c>
      <c r="H162" s="395">
        <f>SUM(H158:H161)</f>
        <v>0</v>
      </c>
      <c r="I162" s="395"/>
    </row>
    <row r="163" spans="1:9" s="143" customFormat="1">
      <c r="A163" s="384"/>
      <c r="B163" s="396"/>
      <c r="C163" s="383"/>
      <c r="D163" s="384"/>
      <c r="E163" s="385"/>
      <c r="F163" s="385"/>
      <c r="G163" s="386"/>
      <c r="H163" s="386"/>
      <c r="I163" s="386"/>
    </row>
    <row r="164" spans="1:9" s="143" customFormat="1">
      <c r="A164" s="460">
        <v>5</v>
      </c>
      <c r="B164" s="408" t="s">
        <v>656</v>
      </c>
      <c r="C164" s="390"/>
      <c r="D164" s="385"/>
      <c r="E164" s="385"/>
      <c r="F164" s="385"/>
      <c r="G164" s="389"/>
      <c r="H164" s="389"/>
      <c r="I164" s="421"/>
    </row>
    <row r="165" spans="1:9" s="143" customFormat="1">
      <c r="A165" s="460"/>
      <c r="B165" s="408"/>
      <c r="C165" s="390"/>
      <c r="D165" s="385"/>
      <c r="E165" s="385"/>
      <c r="F165" s="385"/>
      <c r="G165" s="389"/>
      <c r="H165" s="389"/>
      <c r="I165" s="421"/>
    </row>
    <row r="166" spans="1:9" s="143" customFormat="1">
      <c r="A166" s="587"/>
      <c r="B166" s="588" t="s">
        <v>657</v>
      </c>
      <c r="C166" s="434"/>
      <c r="D166" s="429"/>
      <c r="E166" s="429"/>
      <c r="F166" s="429"/>
      <c r="G166" s="431"/>
      <c r="H166" s="431"/>
      <c r="I166" s="589"/>
    </row>
    <row r="167" spans="1:9" s="143" customFormat="1" ht="43.5">
      <c r="A167" s="590"/>
      <c r="B167" s="591" t="s">
        <v>658</v>
      </c>
      <c r="C167" s="434"/>
      <c r="D167" s="429"/>
      <c r="E167" s="429"/>
      <c r="F167" s="429"/>
      <c r="G167" s="431"/>
      <c r="H167" s="431"/>
      <c r="I167" s="431"/>
    </row>
    <row r="168" spans="1:9" s="143" customFormat="1" ht="43.5">
      <c r="A168" s="590"/>
      <c r="B168" s="592" t="s">
        <v>659</v>
      </c>
      <c r="C168" s="434"/>
      <c r="D168" s="429"/>
      <c r="E168" s="429"/>
      <c r="F168" s="429"/>
      <c r="G168" s="431"/>
      <c r="H168" s="431"/>
      <c r="I168" s="431"/>
    </row>
    <row r="169" spans="1:9" s="145" customFormat="1">
      <c r="A169" s="590"/>
      <c r="B169" s="589" t="s">
        <v>660</v>
      </c>
      <c r="C169" s="434"/>
      <c r="D169" s="429"/>
      <c r="E169" s="429"/>
      <c r="F169" s="429"/>
      <c r="G169" s="431"/>
      <c r="H169" s="431"/>
      <c r="I169" s="431"/>
    </row>
    <row r="170" spans="1:9" s="147" customFormat="1">
      <c r="A170" s="590"/>
      <c r="B170" s="589" t="s">
        <v>661</v>
      </c>
      <c r="C170" s="434"/>
      <c r="D170" s="429"/>
      <c r="E170" s="429"/>
      <c r="F170" s="429"/>
      <c r="G170" s="431"/>
      <c r="H170" s="431"/>
      <c r="I170" s="431"/>
    </row>
    <row r="171" spans="1:9" s="143" customFormat="1">
      <c r="A171" s="590"/>
      <c r="B171" s="589" t="s">
        <v>662</v>
      </c>
      <c r="C171" s="434"/>
      <c r="D171" s="429"/>
      <c r="E171" s="429"/>
      <c r="F171" s="429"/>
      <c r="G171" s="431"/>
      <c r="H171" s="431"/>
      <c r="I171" s="431"/>
    </row>
    <row r="172" spans="1:9" s="143" customFormat="1" ht="29">
      <c r="A172" s="593">
        <f>A164+0.1</f>
        <v>5.0999999999999996</v>
      </c>
      <c r="B172" s="591" t="s">
        <v>667</v>
      </c>
      <c r="C172" s="434" t="s">
        <v>664</v>
      </c>
      <c r="D172" s="433">
        <v>50</v>
      </c>
      <c r="E172" s="429"/>
      <c r="F172" s="429"/>
      <c r="G172" s="489">
        <f t="shared" ref="G172:H173" si="11">IF($D172="","",IFERROR($D172*E172,""))</f>
        <v>0</v>
      </c>
      <c r="H172" s="489">
        <f t="shared" si="11"/>
        <v>0</v>
      </c>
      <c r="I172" s="431"/>
    </row>
    <row r="173" spans="1:9" s="143" customFormat="1" ht="29">
      <c r="A173" s="593">
        <f>A172+0.1</f>
        <v>5.1999999999999993</v>
      </c>
      <c r="B173" s="591" t="s">
        <v>668</v>
      </c>
      <c r="C173" s="434" t="s">
        <v>664</v>
      </c>
      <c r="D173" s="433">
        <v>200</v>
      </c>
      <c r="E173" s="429"/>
      <c r="F173" s="429"/>
      <c r="G173" s="489">
        <f t="shared" si="11"/>
        <v>0</v>
      </c>
      <c r="H173" s="489">
        <f t="shared" si="11"/>
        <v>0</v>
      </c>
      <c r="I173" s="431"/>
    </row>
    <row r="174" spans="1:9" s="143" customFormat="1">
      <c r="A174" s="461"/>
      <c r="B174" s="409"/>
      <c r="C174" s="393"/>
      <c r="D174" s="384"/>
      <c r="E174" s="385"/>
      <c r="F174" s="385"/>
      <c r="G174" s="386"/>
      <c r="H174" s="386"/>
      <c r="I174" s="386"/>
    </row>
    <row r="175" spans="1:9" s="143" customFormat="1">
      <c r="A175" s="451"/>
      <c r="B175" s="394" t="s">
        <v>671</v>
      </c>
      <c r="C175" s="394"/>
      <c r="D175" s="395"/>
      <c r="E175" s="395"/>
      <c r="F175" s="395"/>
      <c r="G175" s="395">
        <f>SUM(G165:G174)</f>
        <v>0</v>
      </c>
      <c r="H175" s="395">
        <f>SUM(H165:H174)</f>
        <v>0</v>
      </c>
      <c r="I175" s="395"/>
    </row>
    <row r="176" spans="1:9" s="143" customFormat="1">
      <c r="A176" s="405"/>
      <c r="B176" s="410"/>
      <c r="C176" s="410"/>
      <c r="D176" s="411"/>
      <c r="E176" s="411"/>
      <c r="F176" s="411"/>
      <c r="G176" s="411"/>
      <c r="H176" s="411"/>
      <c r="I176" s="411"/>
    </row>
    <row r="177" spans="1:9" s="145" customFormat="1">
      <c r="A177" s="405">
        <v>7</v>
      </c>
      <c r="B177" s="392" t="s">
        <v>687</v>
      </c>
      <c r="C177" s="388"/>
      <c r="D177" s="385"/>
      <c r="E177" s="385"/>
      <c r="F177" s="385"/>
      <c r="G177" s="389"/>
      <c r="H177" s="389"/>
      <c r="I177" s="389"/>
    </row>
    <row r="178" spans="1:9" s="145" customFormat="1">
      <c r="A178" s="453"/>
      <c r="B178" s="398"/>
      <c r="C178" s="390"/>
      <c r="D178" s="385"/>
      <c r="E178" s="385"/>
      <c r="F178" s="385"/>
      <c r="G178" s="389"/>
      <c r="H178" s="389"/>
      <c r="I178" s="389"/>
    </row>
    <row r="179" spans="1:9" s="145" customFormat="1">
      <c r="A179" s="457" t="s">
        <v>688</v>
      </c>
      <c r="B179" s="412" t="s">
        <v>689</v>
      </c>
      <c r="C179" s="390"/>
      <c r="D179" s="385"/>
      <c r="E179" s="385"/>
      <c r="F179" s="385"/>
      <c r="G179" s="389"/>
      <c r="H179" s="389"/>
      <c r="I179" s="389"/>
    </row>
    <row r="180" spans="1:9" s="143" customFormat="1" ht="101.5">
      <c r="A180" s="385"/>
      <c r="B180" s="427" t="s">
        <v>690</v>
      </c>
      <c r="C180" s="388"/>
      <c r="D180" s="385"/>
      <c r="E180" s="385"/>
      <c r="F180" s="385"/>
      <c r="G180" s="389"/>
      <c r="H180" s="389"/>
      <c r="I180" s="389"/>
    </row>
    <row r="181" spans="1:9" s="145" customFormat="1">
      <c r="A181" s="453"/>
      <c r="B181" s="404"/>
      <c r="C181" s="390"/>
      <c r="D181" s="385"/>
      <c r="E181" s="385"/>
      <c r="F181" s="385"/>
      <c r="G181" s="389"/>
      <c r="H181" s="389"/>
      <c r="I181" s="389"/>
    </row>
    <row r="182" spans="1:9" s="145" customFormat="1" ht="43.5">
      <c r="A182" s="453" t="s">
        <v>385</v>
      </c>
      <c r="B182" s="404" t="s">
        <v>704</v>
      </c>
      <c r="C182" s="390" t="s">
        <v>664</v>
      </c>
      <c r="D182" s="433">
        <v>65</v>
      </c>
      <c r="E182" s="429"/>
      <c r="F182" s="429"/>
      <c r="G182" s="489">
        <f t="shared" ref="G182:H184" si="12">IF($D182="","",IFERROR($D182*E182,""))</f>
        <v>0</v>
      </c>
      <c r="H182" s="489">
        <f t="shared" si="12"/>
        <v>0</v>
      </c>
      <c r="I182" s="397" t="s">
        <v>1465</v>
      </c>
    </row>
    <row r="183" spans="1:9" s="145" customFormat="1">
      <c r="A183" s="453" t="s">
        <v>387</v>
      </c>
      <c r="B183" s="404" t="s">
        <v>692</v>
      </c>
      <c r="C183" s="390" t="s">
        <v>664</v>
      </c>
      <c r="D183" s="433">
        <v>0</v>
      </c>
      <c r="E183" s="429"/>
      <c r="F183" s="429"/>
      <c r="G183" s="489">
        <f t="shared" si="12"/>
        <v>0</v>
      </c>
      <c r="H183" s="489">
        <f t="shared" si="12"/>
        <v>0</v>
      </c>
      <c r="I183" s="389"/>
    </row>
    <row r="184" spans="1:9" s="145" customFormat="1">
      <c r="A184" s="453" t="s">
        <v>388</v>
      </c>
      <c r="B184" s="404" t="s">
        <v>693</v>
      </c>
      <c r="C184" s="390" t="s">
        <v>664</v>
      </c>
      <c r="D184" s="433">
        <v>36</v>
      </c>
      <c r="E184" s="429"/>
      <c r="F184" s="429"/>
      <c r="G184" s="489">
        <f t="shared" si="12"/>
        <v>0</v>
      </c>
      <c r="H184" s="489">
        <f t="shared" si="12"/>
        <v>0</v>
      </c>
      <c r="I184" s="389"/>
    </row>
    <row r="185" spans="1:9" s="145" customFormat="1">
      <c r="A185" s="385"/>
      <c r="B185" s="406"/>
      <c r="C185" s="388"/>
      <c r="D185" s="385"/>
      <c r="E185" s="429"/>
      <c r="F185" s="429"/>
      <c r="G185" s="389"/>
      <c r="H185" s="389"/>
      <c r="I185" s="389"/>
    </row>
    <row r="186" spans="1:9" s="145" customFormat="1">
      <c r="A186" s="457" t="s">
        <v>694</v>
      </c>
      <c r="B186" s="412" t="s">
        <v>695</v>
      </c>
      <c r="C186" s="390"/>
      <c r="D186" s="385"/>
      <c r="E186" s="429"/>
      <c r="F186" s="429"/>
      <c r="G186" s="389"/>
      <c r="H186" s="389"/>
      <c r="I186" s="389"/>
    </row>
    <row r="187" spans="1:9" s="145" customFormat="1" ht="101.5">
      <c r="A187" s="463" t="s">
        <v>696</v>
      </c>
      <c r="B187" s="441" t="s">
        <v>1466</v>
      </c>
      <c r="C187" s="390"/>
      <c r="D187" s="418"/>
      <c r="E187" s="429"/>
      <c r="F187" s="429"/>
      <c r="G187" s="489"/>
      <c r="H187" s="489"/>
      <c r="I187" s="389"/>
    </row>
    <row r="188" spans="1:9" s="145" customFormat="1" ht="72.5">
      <c r="A188" s="463"/>
      <c r="B188" s="442" t="s">
        <v>697</v>
      </c>
      <c r="C188" s="390"/>
      <c r="D188" s="418"/>
      <c r="E188" s="429"/>
      <c r="F188" s="429"/>
      <c r="G188" s="489"/>
      <c r="H188" s="489"/>
      <c r="I188" s="389"/>
    </row>
    <row r="189" spans="1:9" s="143" customFormat="1">
      <c r="A189" s="385"/>
      <c r="B189" s="406"/>
      <c r="C189" s="388"/>
      <c r="D189" s="385"/>
      <c r="E189" s="429"/>
      <c r="F189" s="429"/>
      <c r="G189" s="389"/>
      <c r="H189" s="389"/>
      <c r="I189" s="389"/>
    </row>
    <row r="190" spans="1:9" s="143" customFormat="1" ht="29">
      <c r="A190" s="453" t="s">
        <v>698</v>
      </c>
      <c r="B190" s="404" t="s">
        <v>699</v>
      </c>
      <c r="C190" s="390" t="s">
        <v>664</v>
      </c>
      <c r="D190" s="433">
        <f>100*0</f>
        <v>0</v>
      </c>
      <c r="E190" s="429"/>
      <c r="F190" s="429"/>
      <c r="G190" s="489">
        <f t="shared" ref="G190:H195" si="13">IF($D190="","",IFERROR($D190*E190,""))</f>
        <v>0</v>
      </c>
      <c r="H190" s="489">
        <f t="shared" si="13"/>
        <v>0</v>
      </c>
      <c r="I190" s="397" t="s">
        <v>1467</v>
      </c>
    </row>
    <row r="191" spans="1:9" s="145" customFormat="1">
      <c r="A191" s="453" t="s">
        <v>700</v>
      </c>
      <c r="B191" s="404" t="s">
        <v>701</v>
      </c>
      <c r="C191" s="390" t="s">
        <v>664</v>
      </c>
      <c r="D191" s="433">
        <f>10*0</f>
        <v>0</v>
      </c>
      <c r="E191" s="429"/>
      <c r="F191" s="429"/>
      <c r="G191" s="489">
        <f t="shared" si="13"/>
        <v>0</v>
      </c>
      <c r="H191" s="489">
        <f t="shared" si="13"/>
        <v>0</v>
      </c>
      <c r="I191" s="397"/>
    </row>
    <row r="192" spans="1:9" s="145" customFormat="1">
      <c r="A192" s="453" t="s">
        <v>702</v>
      </c>
      <c r="B192" s="404" t="s">
        <v>691</v>
      </c>
      <c r="C192" s="390" t="s">
        <v>664</v>
      </c>
      <c r="D192" s="433">
        <v>35</v>
      </c>
      <c r="E192" s="429"/>
      <c r="F192" s="429"/>
      <c r="G192" s="489">
        <f t="shared" si="13"/>
        <v>0</v>
      </c>
      <c r="H192" s="489">
        <f t="shared" si="13"/>
        <v>0</v>
      </c>
      <c r="I192" s="389"/>
    </row>
    <row r="193" spans="1:9" s="145" customFormat="1">
      <c r="A193" s="453" t="s">
        <v>703</v>
      </c>
      <c r="B193" s="404" t="s">
        <v>704</v>
      </c>
      <c r="C193" s="390" t="s">
        <v>664</v>
      </c>
      <c r="D193" s="433">
        <v>30</v>
      </c>
      <c r="E193" s="429"/>
      <c r="F193" s="429"/>
      <c r="G193" s="489">
        <f t="shared" si="13"/>
        <v>0</v>
      </c>
      <c r="H193" s="489">
        <f t="shared" si="13"/>
        <v>0</v>
      </c>
      <c r="I193" s="389"/>
    </row>
    <row r="194" spans="1:9" s="145" customFormat="1">
      <c r="A194" s="453" t="s">
        <v>705</v>
      </c>
      <c r="B194" s="404" t="s">
        <v>706</v>
      </c>
      <c r="C194" s="390" t="s">
        <v>664</v>
      </c>
      <c r="D194" s="433">
        <f>125-25</f>
        <v>100</v>
      </c>
      <c r="E194" s="429"/>
      <c r="F194" s="429"/>
      <c r="G194" s="489">
        <f t="shared" si="13"/>
        <v>0</v>
      </c>
      <c r="H194" s="489">
        <f t="shared" si="13"/>
        <v>0</v>
      </c>
      <c r="I194" s="397"/>
    </row>
    <row r="195" spans="1:9" s="145" customFormat="1">
      <c r="A195" s="453" t="s">
        <v>707</v>
      </c>
      <c r="B195" s="404" t="s">
        <v>708</v>
      </c>
      <c r="C195" s="390" t="s">
        <v>664</v>
      </c>
      <c r="D195" s="433">
        <f>80-30</f>
        <v>50</v>
      </c>
      <c r="E195" s="429"/>
      <c r="F195" s="429"/>
      <c r="G195" s="489">
        <f t="shared" si="13"/>
        <v>0</v>
      </c>
      <c r="H195" s="489">
        <f t="shared" si="13"/>
        <v>0</v>
      </c>
      <c r="I195" s="397"/>
    </row>
    <row r="196" spans="1:9" s="145" customFormat="1">
      <c r="A196" s="453"/>
      <c r="B196" s="404"/>
      <c r="C196" s="390"/>
      <c r="D196" s="385"/>
      <c r="E196" s="429"/>
      <c r="F196" s="429"/>
      <c r="G196" s="489"/>
      <c r="H196" s="489"/>
      <c r="I196" s="397"/>
    </row>
    <row r="197" spans="1:9" s="145" customFormat="1">
      <c r="A197" s="457" t="s">
        <v>709</v>
      </c>
      <c r="B197" s="412" t="s">
        <v>710</v>
      </c>
      <c r="C197" s="385"/>
      <c r="D197" s="385"/>
      <c r="E197" s="429"/>
      <c r="F197" s="431"/>
      <c r="G197" s="389"/>
      <c r="H197" s="389"/>
      <c r="I197" s="389"/>
    </row>
    <row r="198" spans="1:9" s="145" customFormat="1" ht="58">
      <c r="A198" s="385"/>
      <c r="B198" s="406" t="s">
        <v>711</v>
      </c>
      <c r="C198" s="385"/>
      <c r="D198" s="385"/>
      <c r="E198" s="429"/>
      <c r="F198" s="431"/>
      <c r="G198" s="389"/>
      <c r="H198" s="389"/>
      <c r="I198" s="389"/>
    </row>
    <row r="199" spans="1:9" s="145" customFormat="1" ht="29">
      <c r="A199" s="384"/>
      <c r="B199" s="406" t="s">
        <v>712</v>
      </c>
      <c r="C199" s="384"/>
      <c r="D199" s="385"/>
      <c r="E199" s="429"/>
      <c r="F199" s="432"/>
      <c r="G199" s="386"/>
      <c r="H199" s="386"/>
      <c r="I199" s="386"/>
    </row>
    <row r="200" spans="1:9" s="143" customFormat="1" ht="58">
      <c r="A200" s="384"/>
      <c r="B200" s="427" t="s">
        <v>713</v>
      </c>
      <c r="C200" s="384"/>
      <c r="D200" s="385"/>
      <c r="E200" s="429"/>
      <c r="F200" s="432"/>
      <c r="G200" s="386"/>
      <c r="H200" s="386"/>
      <c r="I200" s="386"/>
    </row>
    <row r="201" spans="1:9" s="145" customFormat="1">
      <c r="A201" s="464"/>
      <c r="B201" s="420"/>
      <c r="C201" s="383"/>
      <c r="D201" s="384"/>
      <c r="E201" s="385"/>
      <c r="F201" s="385"/>
      <c r="G201" s="386"/>
      <c r="H201" s="386"/>
      <c r="I201" s="386"/>
    </row>
    <row r="202" spans="1:9" s="145" customFormat="1">
      <c r="A202" s="453"/>
      <c r="B202" s="400"/>
      <c r="C202" s="414"/>
      <c r="D202" s="384"/>
      <c r="E202" s="429"/>
      <c r="F202" s="429"/>
      <c r="G202" s="386"/>
      <c r="H202" s="386"/>
      <c r="I202" s="386"/>
    </row>
    <row r="203" spans="1:9" s="145" customFormat="1">
      <c r="A203" s="451"/>
      <c r="B203" s="394" t="s">
        <v>742</v>
      </c>
      <c r="C203" s="394"/>
      <c r="D203" s="395"/>
      <c r="E203" s="395"/>
      <c r="F203" s="395"/>
      <c r="G203" s="395">
        <f>SUM(G180:G202)</f>
        <v>0</v>
      </c>
      <c r="H203" s="395">
        <f>SUM(H180:H202)</f>
        <v>0</v>
      </c>
      <c r="I203" s="395"/>
    </row>
    <row r="204" spans="1:9" s="145" customFormat="1">
      <c r="A204" s="453"/>
      <c r="B204" s="400"/>
      <c r="C204" s="414"/>
      <c r="D204" s="384"/>
      <c r="E204" s="429"/>
      <c r="F204" s="429"/>
      <c r="G204" s="386"/>
      <c r="H204" s="386"/>
      <c r="I204" s="386"/>
    </row>
    <row r="205" spans="1:9" s="145" customFormat="1">
      <c r="A205" s="465" t="s">
        <v>743</v>
      </c>
      <c r="B205" s="382" t="s">
        <v>744</v>
      </c>
      <c r="C205" s="393"/>
      <c r="D205" s="384"/>
      <c r="E205" s="429"/>
      <c r="F205" s="429"/>
      <c r="G205" s="386"/>
      <c r="H205" s="386"/>
      <c r="I205" s="386"/>
    </row>
    <row r="206" spans="1:9" s="143" customFormat="1">
      <c r="A206" s="462"/>
      <c r="B206" s="409"/>
      <c r="C206" s="393"/>
      <c r="D206" s="384"/>
      <c r="E206" s="429"/>
      <c r="F206" s="429"/>
      <c r="G206" s="386"/>
      <c r="H206" s="386"/>
      <c r="I206" s="386"/>
    </row>
    <row r="207" spans="1:9" s="143" customFormat="1" ht="116">
      <c r="A207" s="453" t="s">
        <v>745</v>
      </c>
      <c r="B207" s="391" t="s">
        <v>746</v>
      </c>
      <c r="C207" s="390" t="s">
        <v>630</v>
      </c>
      <c r="D207" s="433">
        <v>0</v>
      </c>
      <c r="E207" s="429"/>
      <c r="F207" s="429"/>
      <c r="G207" s="489">
        <f t="shared" ref="G207:H232" si="14">IF($D207="","",IFERROR($D207*E207,""))</f>
        <v>0</v>
      </c>
      <c r="H207" s="489">
        <f t="shared" si="14"/>
        <v>0</v>
      </c>
      <c r="I207" s="389"/>
    </row>
    <row r="208" spans="1:9" s="143" customFormat="1" ht="116">
      <c r="A208" s="453" t="s">
        <v>747</v>
      </c>
      <c r="B208" s="391" t="s">
        <v>748</v>
      </c>
      <c r="C208" s="390" t="s">
        <v>630</v>
      </c>
      <c r="D208" s="433">
        <v>0</v>
      </c>
      <c r="E208" s="429"/>
      <c r="F208" s="429"/>
      <c r="G208" s="489">
        <f t="shared" si="14"/>
        <v>0</v>
      </c>
      <c r="H208" s="489">
        <f t="shared" si="14"/>
        <v>0</v>
      </c>
      <c r="I208" s="389"/>
    </row>
    <row r="209" spans="1:9" s="143" customFormat="1" ht="101.5">
      <c r="A209" s="453" t="s">
        <v>749</v>
      </c>
      <c r="B209" s="391" t="s">
        <v>1468</v>
      </c>
      <c r="C209" s="390" t="s">
        <v>630</v>
      </c>
      <c r="D209" s="433">
        <v>8</v>
      </c>
      <c r="E209" s="429"/>
      <c r="F209" s="429"/>
      <c r="G209" s="489">
        <f t="shared" si="14"/>
        <v>0</v>
      </c>
      <c r="H209" s="489">
        <f t="shared" si="14"/>
        <v>0</v>
      </c>
      <c r="I209" s="389"/>
    </row>
    <row r="210" spans="1:9" s="143" customFormat="1" ht="101.5">
      <c r="A210" s="453" t="s">
        <v>750</v>
      </c>
      <c r="B210" s="391" t="s">
        <v>751</v>
      </c>
      <c r="C210" s="390" t="s">
        <v>630</v>
      </c>
      <c r="D210" s="433">
        <v>0</v>
      </c>
      <c r="E210" s="429"/>
      <c r="F210" s="429"/>
      <c r="G210" s="489">
        <f t="shared" si="14"/>
        <v>0</v>
      </c>
      <c r="H210" s="489">
        <f t="shared" si="14"/>
        <v>0</v>
      </c>
      <c r="I210" s="389"/>
    </row>
    <row r="211" spans="1:9" s="147" customFormat="1" ht="87">
      <c r="A211" s="458" t="s">
        <v>752</v>
      </c>
      <c r="B211" s="391" t="s">
        <v>753</v>
      </c>
      <c r="C211" s="390"/>
      <c r="D211" s="385"/>
      <c r="E211" s="429"/>
      <c r="F211" s="429"/>
      <c r="G211" s="489" t="str">
        <f t="shared" si="14"/>
        <v/>
      </c>
      <c r="H211" s="489" t="str">
        <f t="shared" si="14"/>
        <v/>
      </c>
      <c r="I211" s="389"/>
    </row>
    <row r="212" spans="1:9" s="143" customFormat="1">
      <c r="A212" s="462" t="s">
        <v>385</v>
      </c>
      <c r="B212" s="409" t="s">
        <v>754</v>
      </c>
      <c r="C212" s="390" t="s">
        <v>664</v>
      </c>
      <c r="D212" s="433">
        <v>0</v>
      </c>
      <c r="E212" s="429"/>
      <c r="F212" s="429"/>
      <c r="G212" s="489">
        <f t="shared" si="14"/>
        <v>0</v>
      </c>
      <c r="H212" s="489">
        <f t="shared" si="14"/>
        <v>0</v>
      </c>
      <c r="I212" s="389"/>
    </row>
    <row r="213" spans="1:9" s="145" customFormat="1">
      <c r="A213" s="462" t="s">
        <v>387</v>
      </c>
      <c r="B213" s="409" t="s">
        <v>755</v>
      </c>
      <c r="C213" s="390" t="s">
        <v>664</v>
      </c>
      <c r="D213" s="433">
        <v>150</v>
      </c>
      <c r="E213" s="429"/>
      <c r="F213" s="429"/>
      <c r="G213" s="489">
        <f t="shared" si="14"/>
        <v>0</v>
      </c>
      <c r="H213" s="489">
        <f t="shared" si="14"/>
        <v>0</v>
      </c>
      <c r="I213" s="389"/>
    </row>
    <row r="214" spans="1:9" s="143" customFormat="1">
      <c r="A214" s="462" t="s">
        <v>388</v>
      </c>
      <c r="B214" s="409" t="s">
        <v>756</v>
      </c>
      <c r="C214" s="390" t="s">
        <v>664</v>
      </c>
      <c r="D214" s="433">
        <v>300</v>
      </c>
      <c r="E214" s="429"/>
      <c r="F214" s="429"/>
      <c r="G214" s="489">
        <f t="shared" si="14"/>
        <v>0</v>
      </c>
      <c r="H214" s="489">
        <f t="shared" si="14"/>
        <v>0</v>
      </c>
      <c r="I214" s="389" t="s">
        <v>1469</v>
      </c>
    </row>
    <row r="215" spans="1:9" s="145" customFormat="1">
      <c r="A215" s="462" t="s">
        <v>389</v>
      </c>
      <c r="B215" s="409" t="s">
        <v>757</v>
      </c>
      <c r="C215" s="390" t="s">
        <v>664</v>
      </c>
      <c r="D215" s="433">
        <v>30</v>
      </c>
      <c r="E215" s="429"/>
      <c r="F215" s="429"/>
      <c r="G215" s="489">
        <f t="shared" si="14"/>
        <v>0</v>
      </c>
      <c r="H215" s="489">
        <f t="shared" si="14"/>
        <v>0</v>
      </c>
      <c r="I215" s="389"/>
    </row>
    <row r="216" spans="1:9" s="145" customFormat="1">
      <c r="A216" s="462" t="s">
        <v>390</v>
      </c>
      <c r="B216" s="409" t="s">
        <v>758</v>
      </c>
      <c r="C216" s="390" t="s">
        <v>664</v>
      </c>
      <c r="D216" s="433">
        <v>0</v>
      </c>
      <c r="E216" s="429"/>
      <c r="F216" s="429"/>
      <c r="G216" s="489">
        <f t="shared" si="14"/>
        <v>0</v>
      </c>
      <c r="H216" s="489">
        <f t="shared" si="14"/>
        <v>0</v>
      </c>
      <c r="I216" s="389"/>
    </row>
    <row r="217" spans="1:9" s="145" customFormat="1">
      <c r="A217" s="456" t="s">
        <v>391</v>
      </c>
      <c r="B217" s="409" t="s">
        <v>759</v>
      </c>
      <c r="C217" s="390" t="s">
        <v>664</v>
      </c>
      <c r="D217" s="433">
        <v>0</v>
      </c>
      <c r="E217" s="429"/>
      <c r="F217" s="429"/>
      <c r="G217" s="489">
        <f t="shared" si="14"/>
        <v>0</v>
      </c>
      <c r="H217" s="489">
        <f t="shared" si="14"/>
        <v>0</v>
      </c>
      <c r="I217" s="389"/>
    </row>
    <row r="218" spans="1:9" s="145" customFormat="1">
      <c r="A218" s="453" t="s">
        <v>392</v>
      </c>
      <c r="B218" s="403" t="s">
        <v>586</v>
      </c>
      <c r="C218" s="390" t="s">
        <v>31</v>
      </c>
      <c r="D218" s="433">
        <f>150</f>
        <v>150</v>
      </c>
      <c r="E218" s="429"/>
      <c r="F218" s="429"/>
      <c r="G218" s="489">
        <f t="shared" si="14"/>
        <v>0</v>
      </c>
      <c r="H218" s="489">
        <f t="shared" si="14"/>
        <v>0</v>
      </c>
      <c r="I218" s="389" t="s">
        <v>1470</v>
      </c>
    </row>
    <row r="219" spans="1:9" s="145" customFormat="1">
      <c r="A219" s="453" t="s">
        <v>393</v>
      </c>
      <c r="B219" s="403" t="s">
        <v>587</v>
      </c>
      <c r="C219" s="390" t="s">
        <v>31</v>
      </c>
      <c r="D219" s="433">
        <v>0</v>
      </c>
      <c r="E219" s="429"/>
      <c r="F219" s="429"/>
      <c r="G219" s="489">
        <f t="shared" si="14"/>
        <v>0</v>
      </c>
      <c r="H219" s="489">
        <f t="shared" si="14"/>
        <v>0</v>
      </c>
      <c r="I219" s="389"/>
    </row>
    <row r="220" spans="1:9" s="145" customFormat="1">
      <c r="A220" s="453" t="s">
        <v>394</v>
      </c>
      <c r="B220" s="403" t="s">
        <v>588</v>
      </c>
      <c r="C220" s="390" t="s">
        <v>31</v>
      </c>
      <c r="D220" s="433">
        <v>0</v>
      </c>
      <c r="E220" s="429"/>
      <c r="F220" s="429"/>
      <c r="G220" s="489">
        <f t="shared" si="14"/>
        <v>0</v>
      </c>
      <c r="H220" s="489">
        <f t="shared" si="14"/>
        <v>0</v>
      </c>
      <c r="I220" s="389"/>
    </row>
    <row r="221" spans="1:9" s="143" customFormat="1">
      <c r="A221" s="453" t="s">
        <v>397</v>
      </c>
      <c r="B221" s="403" t="s">
        <v>589</v>
      </c>
      <c r="C221" s="390" t="s">
        <v>31</v>
      </c>
      <c r="D221" s="433">
        <v>150</v>
      </c>
      <c r="E221" s="429"/>
      <c r="F221" s="429"/>
      <c r="G221" s="489">
        <f t="shared" si="14"/>
        <v>0</v>
      </c>
      <c r="H221" s="489">
        <f t="shared" si="14"/>
        <v>0</v>
      </c>
      <c r="I221" s="389" t="s">
        <v>1471</v>
      </c>
    </row>
    <row r="222" spans="1:9" s="145" customFormat="1">
      <c r="A222" s="456" t="s">
        <v>398</v>
      </c>
      <c r="B222" s="409" t="s">
        <v>760</v>
      </c>
      <c r="C222" s="390" t="s">
        <v>664</v>
      </c>
      <c r="D222" s="433">
        <f>150+150</f>
        <v>300</v>
      </c>
      <c r="E222" s="429"/>
      <c r="F222" s="429"/>
      <c r="G222" s="489">
        <f t="shared" si="14"/>
        <v>0</v>
      </c>
      <c r="H222" s="489">
        <f t="shared" si="14"/>
        <v>0</v>
      </c>
      <c r="I222" s="389" t="s">
        <v>1472</v>
      </c>
    </row>
    <row r="223" spans="1:9" s="145" customFormat="1">
      <c r="A223" s="456" t="s">
        <v>399</v>
      </c>
      <c r="B223" s="409" t="s">
        <v>761</v>
      </c>
      <c r="C223" s="390" t="s">
        <v>664</v>
      </c>
      <c r="D223" s="433">
        <v>0</v>
      </c>
      <c r="E223" s="429"/>
      <c r="F223" s="429"/>
      <c r="G223" s="489">
        <f t="shared" si="14"/>
        <v>0</v>
      </c>
      <c r="H223" s="489">
        <f t="shared" si="14"/>
        <v>0</v>
      </c>
      <c r="I223" s="397"/>
    </row>
    <row r="224" spans="1:9" s="145" customFormat="1">
      <c r="A224" s="456" t="s">
        <v>401</v>
      </c>
      <c r="B224" s="409" t="s">
        <v>762</v>
      </c>
      <c r="C224" s="390" t="s">
        <v>664</v>
      </c>
      <c r="D224" s="433">
        <v>0</v>
      </c>
      <c r="E224" s="429"/>
      <c r="F224" s="429"/>
      <c r="G224" s="489">
        <f t="shared" si="14"/>
        <v>0</v>
      </c>
      <c r="H224" s="489">
        <f t="shared" si="14"/>
        <v>0</v>
      </c>
      <c r="I224" s="389"/>
    </row>
    <row r="225" spans="1:9" s="145" customFormat="1">
      <c r="A225" s="456" t="s">
        <v>402</v>
      </c>
      <c r="B225" s="409" t="s">
        <v>763</v>
      </c>
      <c r="C225" s="390" t="s">
        <v>664</v>
      </c>
      <c r="D225" s="433">
        <v>100</v>
      </c>
      <c r="E225" s="429"/>
      <c r="F225" s="429"/>
      <c r="G225" s="489">
        <f t="shared" si="14"/>
        <v>0</v>
      </c>
      <c r="H225" s="489">
        <f t="shared" si="14"/>
        <v>0</v>
      </c>
      <c r="I225" s="389"/>
    </row>
    <row r="226" spans="1:9" s="145" customFormat="1">
      <c r="A226" s="456" t="s">
        <v>403</v>
      </c>
      <c r="B226" s="409" t="s">
        <v>764</v>
      </c>
      <c r="C226" s="390" t="s">
        <v>664</v>
      </c>
      <c r="D226" s="433">
        <v>0</v>
      </c>
      <c r="E226" s="429"/>
      <c r="F226" s="429"/>
      <c r="G226" s="489">
        <f t="shared" si="14"/>
        <v>0</v>
      </c>
      <c r="H226" s="489">
        <f t="shared" si="14"/>
        <v>0</v>
      </c>
      <c r="I226" s="389"/>
    </row>
    <row r="227" spans="1:9" s="145" customFormat="1">
      <c r="A227" s="462"/>
      <c r="B227" s="407"/>
      <c r="C227" s="390"/>
      <c r="D227" s="385"/>
      <c r="E227" s="429"/>
      <c r="F227" s="429"/>
      <c r="G227" s="489" t="str">
        <f t="shared" si="14"/>
        <v/>
      </c>
      <c r="H227" s="489" t="str">
        <f t="shared" si="14"/>
        <v/>
      </c>
      <c r="I227" s="389"/>
    </row>
    <row r="228" spans="1:9" s="143" customFormat="1" ht="29">
      <c r="A228" s="453" t="s">
        <v>765</v>
      </c>
      <c r="B228" s="401" t="s">
        <v>766</v>
      </c>
      <c r="C228" s="390"/>
      <c r="D228" s="385"/>
      <c r="E228" s="429"/>
      <c r="F228" s="429"/>
      <c r="G228" s="489" t="str">
        <f t="shared" si="14"/>
        <v/>
      </c>
      <c r="H228" s="489" t="str">
        <f t="shared" si="14"/>
        <v/>
      </c>
      <c r="I228" s="389"/>
    </row>
    <row r="229" spans="1:9" s="145" customFormat="1" ht="29">
      <c r="A229" s="453" t="s">
        <v>385</v>
      </c>
      <c r="B229" s="401" t="s">
        <v>767</v>
      </c>
      <c r="C229" s="390" t="s">
        <v>16</v>
      </c>
      <c r="D229" s="433">
        <v>4</v>
      </c>
      <c r="E229" s="429"/>
      <c r="F229" s="429"/>
      <c r="G229" s="489">
        <f t="shared" si="14"/>
        <v>0</v>
      </c>
      <c r="H229" s="489">
        <f t="shared" si="14"/>
        <v>0</v>
      </c>
      <c r="I229" s="389"/>
    </row>
    <row r="230" spans="1:9" s="145" customFormat="1" ht="29">
      <c r="A230" s="453" t="s">
        <v>387</v>
      </c>
      <c r="B230" s="401" t="s">
        <v>768</v>
      </c>
      <c r="C230" s="390" t="s">
        <v>16</v>
      </c>
      <c r="D230" s="433">
        <v>2</v>
      </c>
      <c r="E230" s="429"/>
      <c r="F230" s="429"/>
      <c r="G230" s="489">
        <f t="shared" si="14"/>
        <v>0</v>
      </c>
      <c r="H230" s="489">
        <f t="shared" si="14"/>
        <v>0</v>
      </c>
      <c r="I230" s="389"/>
    </row>
    <row r="231" spans="1:9" s="145" customFormat="1">
      <c r="A231" s="453" t="s">
        <v>388</v>
      </c>
      <c r="B231" s="401" t="s">
        <v>769</v>
      </c>
      <c r="C231" s="390" t="s">
        <v>16</v>
      </c>
      <c r="D231" s="433">
        <v>8</v>
      </c>
      <c r="E231" s="429"/>
      <c r="F231" s="429"/>
      <c r="G231" s="489">
        <f t="shared" si="14"/>
        <v>0</v>
      </c>
      <c r="H231" s="489">
        <f t="shared" si="14"/>
        <v>0</v>
      </c>
      <c r="I231" s="389"/>
    </row>
    <row r="232" spans="1:9" s="145" customFormat="1">
      <c r="A232" s="385"/>
      <c r="B232" s="406"/>
      <c r="C232" s="388"/>
      <c r="D232" s="385"/>
      <c r="E232" s="385"/>
      <c r="F232" s="385"/>
      <c r="G232" s="489" t="str">
        <f t="shared" si="14"/>
        <v/>
      </c>
      <c r="H232" s="489" t="str">
        <f t="shared" si="14"/>
        <v/>
      </c>
      <c r="I232" s="389"/>
    </row>
    <row r="233" spans="1:9" s="145" customFormat="1">
      <c r="A233" s="451"/>
      <c r="B233" s="394" t="s">
        <v>770</v>
      </c>
      <c r="C233" s="394"/>
      <c r="D233" s="395"/>
      <c r="E233" s="395"/>
      <c r="F233" s="395"/>
      <c r="G233" s="395">
        <f>SUM(G205:G232)</f>
        <v>0</v>
      </c>
      <c r="H233" s="395">
        <f>SUM(H205:H232)</f>
        <v>0</v>
      </c>
      <c r="I233" s="395"/>
    </row>
    <row r="234" spans="1:9" s="147" customFormat="1">
      <c r="A234" s="405"/>
      <c r="B234" s="410"/>
      <c r="C234" s="410"/>
      <c r="D234" s="411"/>
      <c r="E234" s="411"/>
      <c r="F234" s="411"/>
      <c r="G234" s="411"/>
      <c r="H234" s="411"/>
      <c r="I234" s="389"/>
    </row>
    <row r="235" spans="1:9">
      <c r="A235" s="468" t="s">
        <v>785</v>
      </c>
      <c r="B235" s="417" t="s">
        <v>786</v>
      </c>
      <c r="C235" s="393"/>
      <c r="D235" s="384"/>
      <c r="E235" s="385"/>
      <c r="F235" s="385"/>
      <c r="G235" s="386"/>
      <c r="H235" s="386"/>
      <c r="I235" s="386"/>
    </row>
    <row r="236" spans="1:9">
      <c r="A236" s="468"/>
      <c r="B236" s="417"/>
      <c r="C236" s="393"/>
      <c r="D236" s="384"/>
      <c r="E236" s="385"/>
      <c r="F236" s="385"/>
      <c r="G236" s="386"/>
      <c r="H236" s="386"/>
      <c r="I236" s="386"/>
    </row>
    <row r="237" spans="1:9" ht="29">
      <c r="A237" s="458" t="s">
        <v>787</v>
      </c>
      <c r="B237" s="440" t="s">
        <v>788</v>
      </c>
      <c r="C237" s="390" t="s">
        <v>789</v>
      </c>
      <c r="D237" s="433">
        <v>50</v>
      </c>
      <c r="E237" s="429"/>
      <c r="F237" s="429"/>
      <c r="G237" s="489">
        <f>IF($D237="","",IFERROR($D237*E237,""))</f>
        <v>0</v>
      </c>
      <c r="H237" s="489">
        <f>IF($D237="","",IFERROR($D237*F237,""))</f>
        <v>0</v>
      </c>
      <c r="I237" s="428"/>
    </row>
    <row r="238" spans="1:9">
      <c r="A238" s="458" t="s">
        <v>790</v>
      </c>
      <c r="B238" s="440" t="s">
        <v>791</v>
      </c>
      <c r="C238" s="390" t="s">
        <v>789</v>
      </c>
      <c r="D238" s="433">
        <v>25</v>
      </c>
      <c r="E238" s="429"/>
      <c r="F238" s="429"/>
      <c r="G238" s="489">
        <f>IF($D238="","",IFERROR($D238*E238,""))</f>
        <v>0</v>
      </c>
      <c r="H238" s="489">
        <f>IF($D238="","",IFERROR($D238*F238,""))</f>
        <v>0</v>
      </c>
      <c r="I238" s="428"/>
    </row>
    <row r="239" spans="1:9">
      <c r="A239" s="462"/>
      <c r="B239" s="409"/>
      <c r="C239" s="390"/>
      <c r="D239" s="385"/>
      <c r="E239" s="385"/>
      <c r="F239" s="385"/>
      <c r="G239" s="389"/>
      <c r="H239" s="389"/>
      <c r="I239" s="389"/>
    </row>
    <row r="240" spans="1:9">
      <c r="A240" s="451"/>
      <c r="B240" s="394" t="s">
        <v>792</v>
      </c>
      <c r="C240" s="394"/>
      <c r="D240" s="395"/>
      <c r="E240" s="395"/>
      <c r="F240" s="395"/>
      <c r="G240" s="395">
        <f>SUM(G235:G239)</f>
        <v>0</v>
      </c>
      <c r="H240" s="395">
        <f>SUM(H235:H239)</f>
        <v>0</v>
      </c>
      <c r="I240" s="395"/>
    </row>
    <row r="241" spans="1:9">
      <c r="A241" s="462"/>
      <c r="B241" s="409"/>
      <c r="C241" s="390"/>
      <c r="D241" s="385"/>
      <c r="E241" s="385"/>
      <c r="F241" s="385"/>
      <c r="G241" s="389"/>
      <c r="H241" s="389"/>
      <c r="I241" s="389"/>
    </row>
    <row r="242" spans="1:9">
      <c r="A242" s="468" t="s">
        <v>793</v>
      </c>
      <c r="B242" s="417" t="s">
        <v>794</v>
      </c>
      <c r="C242" s="393"/>
      <c r="D242" s="384"/>
      <c r="E242" s="385"/>
      <c r="F242" s="385"/>
      <c r="G242" s="386"/>
      <c r="H242" s="386"/>
      <c r="I242" s="386"/>
    </row>
    <row r="243" spans="1:9">
      <c r="A243" s="468"/>
      <c r="B243" s="417"/>
      <c r="C243" s="393"/>
      <c r="D243" s="384"/>
      <c r="E243" s="385"/>
      <c r="F243" s="385"/>
      <c r="G243" s="386"/>
      <c r="H243" s="386"/>
      <c r="I243" s="386"/>
    </row>
    <row r="244" spans="1:9" ht="29">
      <c r="A244" s="458" t="s">
        <v>795</v>
      </c>
      <c r="B244" s="436" t="s">
        <v>796</v>
      </c>
      <c r="C244" s="390" t="s">
        <v>16</v>
      </c>
      <c r="D244" s="433">
        <v>5</v>
      </c>
      <c r="E244" s="429"/>
      <c r="F244" s="429"/>
      <c r="G244" s="489">
        <f t="shared" ref="G244:H250" si="15">IF($D244="","",IFERROR($D244*E244,""))</f>
        <v>0</v>
      </c>
      <c r="H244" s="489">
        <f t="shared" si="15"/>
        <v>0</v>
      </c>
      <c r="I244" s="431"/>
    </row>
    <row r="245" spans="1:9">
      <c r="A245" s="458" t="s">
        <v>797</v>
      </c>
      <c r="B245" s="436" t="s">
        <v>798</v>
      </c>
      <c r="C245" s="390" t="s">
        <v>16</v>
      </c>
      <c r="D245" s="433">
        <v>3</v>
      </c>
      <c r="E245" s="429"/>
      <c r="F245" s="429"/>
      <c r="G245" s="489">
        <f t="shared" si="15"/>
        <v>0</v>
      </c>
      <c r="H245" s="489">
        <f t="shared" si="15"/>
        <v>0</v>
      </c>
      <c r="I245" s="431"/>
    </row>
    <row r="246" spans="1:9">
      <c r="A246" s="458" t="s">
        <v>799</v>
      </c>
      <c r="B246" s="436" t="s">
        <v>800</v>
      </c>
      <c r="C246" s="390" t="s">
        <v>16</v>
      </c>
      <c r="D246" s="433">
        <v>10</v>
      </c>
      <c r="E246" s="429"/>
      <c r="F246" s="429"/>
      <c r="G246" s="489">
        <f t="shared" si="15"/>
        <v>0</v>
      </c>
      <c r="H246" s="489">
        <f t="shared" si="15"/>
        <v>0</v>
      </c>
      <c r="I246" s="389"/>
    </row>
    <row r="247" spans="1:9">
      <c r="A247" s="458" t="s">
        <v>801</v>
      </c>
      <c r="B247" s="436" t="s">
        <v>802</v>
      </c>
      <c r="C247" s="390" t="s">
        <v>16</v>
      </c>
      <c r="D247" s="433">
        <v>4</v>
      </c>
      <c r="E247" s="429"/>
      <c r="F247" s="429"/>
      <c r="G247" s="489">
        <f t="shared" si="15"/>
        <v>0</v>
      </c>
      <c r="H247" s="489">
        <f t="shared" si="15"/>
        <v>0</v>
      </c>
      <c r="I247" s="389"/>
    </row>
    <row r="248" spans="1:9">
      <c r="A248" s="458" t="s">
        <v>803</v>
      </c>
      <c r="B248" s="436" t="s">
        <v>804</v>
      </c>
      <c r="C248" s="390" t="s">
        <v>16</v>
      </c>
      <c r="D248" s="433">
        <v>4</v>
      </c>
      <c r="E248" s="429"/>
      <c r="F248" s="429"/>
      <c r="G248" s="489">
        <f t="shared" si="15"/>
        <v>0</v>
      </c>
      <c r="H248" s="489">
        <f t="shared" si="15"/>
        <v>0</v>
      </c>
      <c r="I248" s="389"/>
    </row>
    <row r="249" spans="1:9">
      <c r="A249" s="458" t="s">
        <v>805</v>
      </c>
      <c r="B249" s="403" t="s">
        <v>806</v>
      </c>
      <c r="C249" s="390" t="s">
        <v>16</v>
      </c>
      <c r="D249" s="433">
        <v>0</v>
      </c>
      <c r="E249" s="429"/>
      <c r="F249" s="429"/>
      <c r="G249" s="489">
        <f t="shared" si="15"/>
        <v>0</v>
      </c>
      <c r="H249" s="489">
        <f t="shared" si="15"/>
        <v>0</v>
      </c>
      <c r="I249" s="389"/>
    </row>
    <row r="250" spans="1:9">
      <c r="A250" s="458" t="s">
        <v>807</v>
      </c>
      <c r="B250" s="436" t="s">
        <v>808</v>
      </c>
      <c r="C250" s="390" t="s">
        <v>16</v>
      </c>
      <c r="D250" s="433">
        <v>0</v>
      </c>
      <c r="E250" s="429"/>
      <c r="F250" s="429"/>
      <c r="G250" s="489">
        <f t="shared" si="15"/>
        <v>0</v>
      </c>
      <c r="H250" s="489">
        <f t="shared" si="15"/>
        <v>0</v>
      </c>
      <c r="I250" s="431"/>
    </row>
    <row r="251" spans="1:9">
      <c r="A251" s="458"/>
      <c r="B251" s="436"/>
      <c r="C251" s="390"/>
      <c r="D251" s="418"/>
      <c r="E251" s="429"/>
      <c r="F251" s="429"/>
      <c r="G251" s="489"/>
      <c r="H251" s="489"/>
      <c r="I251" s="431"/>
    </row>
    <row r="252" spans="1:9" ht="43.5">
      <c r="A252" s="458" t="s">
        <v>809</v>
      </c>
      <c r="B252" s="426" t="s">
        <v>810</v>
      </c>
      <c r="C252" s="470" t="s">
        <v>78</v>
      </c>
      <c r="D252" s="433">
        <v>1</v>
      </c>
      <c r="E252" s="429"/>
      <c r="F252" s="429"/>
      <c r="G252" s="489">
        <f t="shared" ref="G252:H255" si="16">IF($D252="","",IFERROR($D252*E252,""))</f>
        <v>0</v>
      </c>
      <c r="H252" s="489">
        <f t="shared" si="16"/>
        <v>0</v>
      </c>
      <c r="I252" s="431"/>
    </row>
    <row r="253" spans="1:9">
      <c r="A253" s="458" t="s">
        <v>811</v>
      </c>
      <c r="B253" s="426" t="s">
        <v>812</v>
      </c>
      <c r="C253" s="434" t="s">
        <v>16</v>
      </c>
      <c r="D253" s="433">
        <v>1</v>
      </c>
      <c r="E253" s="429"/>
      <c r="F253" s="429"/>
      <c r="G253" s="489">
        <f t="shared" si="16"/>
        <v>0</v>
      </c>
      <c r="H253" s="489">
        <f t="shared" si="16"/>
        <v>0</v>
      </c>
      <c r="I253" s="431"/>
    </row>
    <row r="254" spans="1:9" ht="43.5">
      <c r="A254" s="422">
        <v>11.1</v>
      </c>
      <c r="B254" s="425" t="s">
        <v>813</v>
      </c>
      <c r="C254" s="470" t="s">
        <v>78</v>
      </c>
      <c r="D254" s="433">
        <v>1</v>
      </c>
      <c r="E254" s="429"/>
      <c r="F254" s="429"/>
      <c r="G254" s="489">
        <f t="shared" si="16"/>
        <v>0</v>
      </c>
      <c r="H254" s="489">
        <f t="shared" si="16"/>
        <v>0</v>
      </c>
      <c r="I254" s="431"/>
    </row>
    <row r="255" spans="1:9">
      <c r="A255" s="458"/>
      <c r="B255" s="404"/>
      <c r="C255" s="390"/>
      <c r="D255" s="385"/>
      <c r="E255" s="385"/>
      <c r="F255" s="385"/>
      <c r="G255" s="489" t="str">
        <f t="shared" si="16"/>
        <v/>
      </c>
      <c r="H255" s="489"/>
      <c r="I255" s="389"/>
    </row>
    <row r="256" spans="1:9">
      <c r="A256" s="451"/>
      <c r="B256" s="394" t="s">
        <v>814</v>
      </c>
      <c r="C256" s="394"/>
      <c r="D256" s="395"/>
      <c r="E256" s="395"/>
      <c r="F256" s="395"/>
      <c r="G256" s="395">
        <f>SUM(G242:G255)</f>
        <v>0</v>
      </c>
      <c r="H256" s="395">
        <f>SUM(H242:H255)</f>
        <v>0</v>
      </c>
      <c r="I256" s="395"/>
    </row>
    <row r="257" spans="1:9">
      <c r="A257" s="458"/>
      <c r="B257" s="404"/>
      <c r="C257" s="390"/>
      <c r="D257" s="385"/>
      <c r="E257" s="385"/>
      <c r="F257" s="385"/>
      <c r="G257" s="489"/>
      <c r="H257" s="489"/>
      <c r="I257" s="389"/>
    </row>
    <row r="258" spans="1:9">
      <c r="A258" s="451"/>
      <c r="B258" s="394" t="s">
        <v>57</v>
      </c>
      <c r="C258" s="394"/>
      <c r="D258" s="395"/>
      <c r="E258" s="395"/>
      <c r="F258" s="395"/>
      <c r="G258" s="395">
        <f>G256+G240+G233+G203+G155+G71</f>
        <v>0</v>
      </c>
      <c r="H258" s="395">
        <f>H256+H240+H233+H203+H155+H71</f>
        <v>0</v>
      </c>
      <c r="I258" s="395"/>
    </row>
    <row r="259" spans="1:9">
      <c r="A259" s="458"/>
      <c r="B259" s="404"/>
      <c r="C259" s="390"/>
      <c r="D259" s="385"/>
      <c r="E259" s="385"/>
      <c r="F259" s="385"/>
      <c r="G259" s="489"/>
      <c r="H259" s="489"/>
      <c r="I259" s="389"/>
    </row>
    <row r="260" spans="1:9">
      <c r="A260" s="451"/>
      <c r="B260" s="394" t="s">
        <v>2568</v>
      </c>
      <c r="C260" s="394"/>
      <c r="D260" s="395"/>
      <c r="E260" s="395"/>
      <c r="F260" s="395"/>
      <c r="G260" s="395"/>
      <c r="H260" s="395">
        <f>H258+G258</f>
        <v>0</v>
      </c>
      <c r="I260" s="395"/>
    </row>
  </sheetData>
  <mergeCells count="10">
    <mergeCell ref="E4:F4"/>
    <mergeCell ref="G4:G5"/>
    <mergeCell ref="H4:H5"/>
    <mergeCell ref="I4:I5"/>
    <mergeCell ref="A1:C1"/>
    <mergeCell ref="A2:C2"/>
    <mergeCell ref="A4:A5"/>
    <mergeCell ref="B4:B5"/>
    <mergeCell ref="C4:C5"/>
    <mergeCell ref="D4:D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F1E80-73EB-415F-837D-841D1FD1F19A}">
  <dimension ref="A1:I14"/>
  <sheetViews>
    <sheetView view="pageBreakPreview" zoomScale="80" zoomScaleNormal="100" zoomScaleSheetLayoutView="80" workbookViewId="0">
      <selection activeCell="B11" sqref="B11"/>
    </sheetView>
  </sheetViews>
  <sheetFormatPr defaultRowHeight="14"/>
  <cols>
    <col min="1" max="1" width="6.453125" style="606" customWidth="1"/>
    <col min="2" max="2" width="86.90625" style="606" customWidth="1"/>
    <col min="3" max="3" width="7.90625" style="606" customWidth="1"/>
    <col min="4" max="4" width="6.36328125" style="606" bestFit="1" customWidth="1"/>
    <col min="5" max="5" width="11" style="606" customWidth="1"/>
    <col min="6" max="6" width="12.08984375" style="606" bestFit="1" customWidth="1"/>
    <col min="7" max="7" width="11" style="606" customWidth="1"/>
    <col min="8" max="8" width="12.08984375" style="606" bestFit="1" customWidth="1"/>
    <col min="9" max="9" width="25.453125" style="606" customWidth="1"/>
    <col min="10" max="16384" width="8.7265625" style="606"/>
  </cols>
  <sheetData>
    <row r="1" spans="1:9" s="157" customFormat="1" ht="15.5">
      <c r="A1" s="153" t="s">
        <v>1430</v>
      </c>
      <c r="B1" s="154"/>
      <c r="C1" s="154"/>
      <c r="D1" s="155"/>
      <c r="E1" s="155"/>
      <c r="F1" s="155"/>
      <c r="G1" s="155"/>
      <c r="H1" s="155"/>
      <c r="I1" s="156" t="s">
        <v>1427</v>
      </c>
    </row>
    <row r="2" spans="1:9" s="157" customFormat="1" ht="15.5">
      <c r="A2" s="158" t="s">
        <v>817</v>
      </c>
      <c r="B2" s="595"/>
      <c r="C2" s="595"/>
      <c r="D2" s="596"/>
      <c r="E2" s="596"/>
      <c r="F2" s="596"/>
      <c r="G2" s="596"/>
      <c r="H2" s="596"/>
      <c r="I2" s="159" t="s">
        <v>421</v>
      </c>
    </row>
    <row r="3" spans="1:9" s="157" customFormat="1" ht="16" thickBot="1">
      <c r="A3" s="158" t="s">
        <v>818</v>
      </c>
      <c r="B3" s="595"/>
      <c r="C3" s="595"/>
      <c r="D3" s="596"/>
      <c r="E3" s="596"/>
      <c r="F3" s="596"/>
      <c r="G3" s="596"/>
      <c r="H3" s="596"/>
      <c r="I3" s="160"/>
    </row>
    <row r="4" spans="1:9" s="597" customFormat="1" ht="21.75" customHeight="1">
      <c r="A4" s="1482" t="s">
        <v>374</v>
      </c>
      <c r="B4" s="1484" t="s">
        <v>465</v>
      </c>
      <c r="C4" s="1486" t="s">
        <v>466</v>
      </c>
      <c r="D4" s="1486" t="s">
        <v>1160</v>
      </c>
      <c r="E4" s="1488" t="s">
        <v>8</v>
      </c>
      <c r="F4" s="1488"/>
      <c r="G4" s="1488" t="s">
        <v>9</v>
      </c>
      <c r="H4" s="1488"/>
      <c r="I4" s="1480" t="s">
        <v>428</v>
      </c>
    </row>
    <row r="5" spans="1:9" s="597" customFormat="1" ht="27" customHeight="1">
      <c r="A5" s="1483"/>
      <c r="B5" s="1485"/>
      <c r="C5" s="1487"/>
      <c r="D5" s="1487"/>
      <c r="E5" s="598" t="s">
        <v>470</v>
      </c>
      <c r="F5" s="599" t="s">
        <v>471</v>
      </c>
      <c r="G5" s="598" t="s">
        <v>470</v>
      </c>
      <c r="H5" s="599" t="s">
        <v>471</v>
      </c>
      <c r="I5" s="1481"/>
    </row>
    <row r="6" spans="1:9">
      <c r="A6" s="600"/>
      <c r="B6" s="601"/>
      <c r="C6" s="601"/>
      <c r="D6" s="602"/>
      <c r="E6" s="603"/>
      <c r="F6" s="604"/>
      <c r="G6" s="604"/>
      <c r="H6" s="604"/>
      <c r="I6" s="605"/>
    </row>
    <row r="7" spans="1:9" s="614" customFormat="1" ht="51.65" customHeight="1">
      <c r="A7" s="607" t="s">
        <v>820</v>
      </c>
      <c r="B7" s="608" t="s">
        <v>2545</v>
      </c>
      <c r="C7" s="609" t="s">
        <v>16</v>
      </c>
      <c r="D7" s="610">
        <v>1</v>
      </c>
      <c r="E7" s="611"/>
      <c r="F7" s="611"/>
      <c r="G7" s="612">
        <f t="shared" ref="G7:H10" si="0">IF($D7="","",IFERROR($D7*E7,""))</f>
        <v>0</v>
      </c>
      <c r="H7" s="612">
        <f t="shared" si="0"/>
        <v>0</v>
      </c>
      <c r="I7" s="613"/>
    </row>
    <row r="8" spans="1:9" s="614" customFormat="1" ht="42">
      <c r="A8" s="607" t="s">
        <v>821</v>
      </c>
      <c r="B8" s="608" t="s">
        <v>2546</v>
      </c>
      <c r="C8" s="609" t="s">
        <v>16</v>
      </c>
      <c r="D8" s="610">
        <v>1</v>
      </c>
      <c r="E8" s="611"/>
      <c r="F8" s="611"/>
      <c r="G8" s="612">
        <f t="shared" si="0"/>
        <v>0</v>
      </c>
      <c r="H8" s="612">
        <f t="shared" si="0"/>
        <v>0</v>
      </c>
      <c r="I8" s="613"/>
    </row>
    <row r="9" spans="1:9" s="614" customFormat="1" ht="33.65" customHeight="1">
      <c r="A9" s="607" t="s">
        <v>822</v>
      </c>
      <c r="B9" s="608" t="s">
        <v>2285</v>
      </c>
      <c r="C9" s="609" t="s">
        <v>16</v>
      </c>
      <c r="D9" s="610">
        <v>1</v>
      </c>
      <c r="E9" s="611"/>
      <c r="F9" s="611"/>
      <c r="G9" s="612">
        <f t="shared" si="0"/>
        <v>0</v>
      </c>
      <c r="H9" s="612">
        <f t="shared" si="0"/>
        <v>0</v>
      </c>
      <c r="I9" s="615"/>
    </row>
    <row r="10" spans="1:9" s="614" customFormat="1" ht="34.75" customHeight="1">
      <c r="A10" s="607" t="s">
        <v>823</v>
      </c>
      <c r="B10" s="608" t="s">
        <v>2547</v>
      </c>
      <c r="C10" s="609" t="s">
        <v>16</v>
      </c>
      <c r="D10" s="610">
        <v>1</v>
      </c>
      <c r="E10" s="611"/>
      <c r="F10" s="611"/>
      <c r="G10" s="612">
        <f t="shared" si="0"/>
        <v>0</v>
      </c>
      <c r="H10" s="612">
        <f t="shared" si="0"/>
        <v>0</v>
      </c>
      <c r="I10" s="615"/>
    </row>
    <row r="11" spans="1:9" s="618" customFormat="1" ht="16.25" customHeight="1">
      <c r="A11" s="161"/>
      <c r="B11" s="616"/>
      <c r="C11" s="609"/>
      <c r="D11" s="610"/>
      <c r="E11" s="611"/>
      <c r="F11" s="610"/>
      <c r="G11" s="617"/>
      <c r="H11" s="617"/>
      <c r="I11" s="615"/>
    </row>
    <row r="12" spans="1:9" s="623" customFormat="1" ht="25.75" customHeight="1">
      <c r="A12" s="619"/>
      <c r="B12" s="620" t="s">
        <v>829</v>
      </c>
      <c r="C12" s="620"/>
      <c r="D12" s="620"/>
      <c r="E12" s="621"/>
      <c r="F12" s="621"/>
      <c r="G12" s="621">
        <f>SUM(G7:G11)</f>
        <v>0</v>
      </c>
      <c r="H12" s="621">
        <f>SUM(H7:H11)</f>
        <v>0</v>
      </c>
      <c r="I12" s="622">
        <f>G12+H12</f>
        <v>0</v>
      </c>
    </row>
    <row r="13" spans="1:9" s="623" customFormat="1" ht="25.75" customHeight="1">
      <c r="A13" s="619"/>
      <c r="B13" s="620" t="s">
        <v>450</v>
      </c>
      <c r="C13" s="620"/>
      <c r="D13" s="620"/>
      <c r="E13" s="621"/>
      <c r="F13" s="621"/>
      <c r="G13" s="621"/>
      <c r="H13" s="621"/>
      <c r="I13" s="622"/>
    </row>
    <row r="14" spans="1:9" s="623" customFormat="1" ht="14.5" thickBot="1">
      <c r="A14" s="624"/>
      <c r="B14" s="625" t="s">
        <v>1473</v>
      </c>
      <c r="C14" s="625"/>
      <c r="D14" s="625"/>
      <c r="E14" s="626"/>
      <c r="F14" s="626"/>
      <c r="G14" s="626"/>
      <c r="H14" s="626"/>
      <c r="I14" s="627"/>
    </row>
  </sheetData>
  <protectedRanges>
    <protectedRange sqref="G7:G8" name="Range1_2_1_1_1"/>
    <protectedRange sqref="G9:G10" name="Range1_2_1_1_1_1"/>
  </protectedRanges>
  <mergeCells count="7">
    <mergeCell ref="I4:I5"/>
    <mergeCell ref="A4:A5"/>
    <mergeCell ref="B4:B5"/>
    <mergeCell ref="C4:C5"/>
    <mergeCell ref="D4:D5"/>
    <mergeCell ref="E4:F4"/>
    <mergeCell ref="G4:H4"/>
  </mergeCells>
  <pageMargins left="0.7" right="0.7" top="0.75" bottom="0.75" header="0.3" footer="0.3"/>
  <pageSetup paperSize="256" scale="48"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B38-23E5-4918-AE75-44C8801DD76E}">
  <dimension ref="A1:I128"/>
  <sheetViews>
    <sheetView view="pageBreakPreview" zoomScale="50" zoomScaleNormal="70" zoomScaleSheetLayoutView="50" workbookViewId="0">
      <selection sqref="A1:I1"/>
    </sheetView>
  </sheetViews>
  <sheetFormatPr defaultColWidth="9.08984375" defaultRowHeight="12.5"/>
  <cols>
    <col min="1" max="1" width="7.6328125" style="216" customWidth="1"/>
    <col min="2" max="2" width="86" style="217" customWidth="1"/>
    <col min="3" max="3" width="9.54296875" style="216" customWidth="1"/>
    <col min="4" max="4" width="10.54296875" style="217" customWidth="1"/>
    <col min="5" max="5" width="11.90625" style="218" customWidth="1"/>
    <col min="6" max="7" width="15.90625" style="218" customWidth="1"/>
    <col min="8" max="8" width="17.1796875" style="218" customWidth="1"/>
    <col min="9" max="9" width="27.08984375" style="217" customWidth="1"/>
    <col min="10" max="16384" width="9.08984375" style="217"/>
  </cols>
  <sheetData>
    <row r="1" spans="1:9" s="162" customFormat="1" ht="40" customHeight="1" thickBot="1">
      <c r="A1" s="1489" t="s">
        <v>830</v>
      </c>
      <c r="B1" s="1490"/>
      <c r="C1" s="1490"/>
      <c r="D1" s="1490"/>
      <c r="E1" s="1490"/>
      <c r="F1" s="1490"/>
      <c r="G1" s="1490"/>
      <c r="H1" s="1490"/>
      <c r="I1" s="1491"/>
    </row>
    <row r="2" spans="1:9" s="162" customFormat="1" ht="15.5">
      <c r="A2" s="163" t="s">
        <v>1430</v>
      </c>
      <c r="B2" s="164"/>
      <c r="C2" s="165"/>
      <c r="D2" s="164"/>
      <c r="E2" s="164"/>
      <c r="F2" s="164"/>
      <c r="G2" s="164"/>
      <c r="H2" s="164" t="s">
        <v>831</v>
      </c>
      <c r="I2" s="166" t="s">
        <v>1474</v>
      </c>
    </row>
    <row r="3" spans="1:9" s="162" customFormat="1" ht="15.5">
      <c r="A3" s="167" t="s">
        <v>832</v>
      </c>
      <c r="B3" s="628"/>
      <c r="C3" s="629"/>
      <c r="D3" s="628"/>
      <c r="E3" s="628"/>
      <c r="F3" s="628"/>
      <c r="G3" s="628"/>
      <c r="H3" s="628" t="s">
        <v>833</v>
      </c>
      <c r="I3" s="168" t="s">
        <v>379</v>
      </c>
    </row>
    <row r="4" spans="1:9" s="162" customFormat="1" ht="16" thickBot="1">
      <c r="A4" s="169" t="s">
        <v>834</v>
      </c>
      <c r="B4" s="170"/>
      <c r="C4" s="171"/>
      <c r="D4" s="170"/>
      <c r="E4" s="170"/>
      <c r="F4" s="170"/>
      <c r="G4" s="170"/>
      <c r="H4" s="170" t="s">
        <v>835</v>
      </c>
      <c r="I4" s="172"/>
    </row>
    <row r="5" spans="1:9" s="162" customFormat="1" ht="16" thickBot="1">
      <c r="A5" s="630"/>
      <c r="B5" s="631"/>
      <c r="C5" s="632"/>
      <c r="D5" s="631"/>
      <c r="E5" s="633"/>
      <c r="F5" s="634"/>
      <c r="G5" s="633"/>
      <c r="H5" s="634"/>
      <c r="I5" s="635"/>
    </row>
    <row r="6" spans="1:9" s="175" customFormat="1" ht="20" customHeight="1">
      <c r="A6" s="173" t="s">
        <v>819</v>
      </c>
      <c r="B6" s="503" t="s">
        <v>2</v>
      </c>
      <c r="C6" s="503" t="s">
        <v>12</v>
      </c>
      <c r="D6" s="503" t="s">
        <v>1475</v>
      </c>
      <c r="E6" s="1492" t="s">
        <v>14</v>
      </c>
      <c r="F6" s="1492"/>
      <c r="G6" s="1492" t="s">
        <v>9</v>
      </c>
      <c r="H6" s="1492"/>
      <c r="I6" s="174" t="s">
        <v>428</v>
      </c>
    </row>
    <row r="7" spans="1:9" s="175" customFormat="1" ht="20" customHeight="1">
      <c r="A7" s="176"/>
      <c r="B7" s="636"/>
      <c r="C7" s="636"/>
      <c r="D7" s="636"/>
      <c r="E7" s="636" t="s">
        <v>470</v>
      </c>
      <c r="F7" s="636" t="s">
        <v>28</v>
      </c>
      <c r="G7" s="636" t="s">
        <v>470</v>
      </c>
      <c r="H7" s="636" t="s">
        <v>28</v>
      </c>
      <c r="I7" s="177"/>
    </row>
    <row r="8" spans="1:9" s="180" customFormat="1" ht="20" customHeight="1">
      <c r="A8" s="178">
        <v>1</v>
      </c>
      <c r="B8" s="637" t="s">
        <v>836</v>
      </c>
      <c r="C8" s="638"/>
      <c r="D8" s="638"/>
      <c r="E8" s="639"/>
      <c r="F8" s="639"/>
      <c r="G8" s="639"/>
      <c r="H8" s="639"/>
      <c r="I8" s="179"/>
    </row>
    <row r="9" spans="1:9" s="180" customFormat="1" ht="20" customHeight="1">
      <c r="A9" s="181">
        <v>1.1000000000000001</v>
      </c>
      <c r="B9" s="640" t="s">
        <v>2552</v>
      </c>
      <c r="C9" s="641" t="s">
        <v>838</v>
      </c>
      <c r="D9" s="957">
        <v>48</v>
      </c>
      <c r="E9" s="642">
        <v>16800</v>
      </c>
      <c r="F9" s="642">
        <v>600</v>
      </c>
      <c r="G9" s="643">
        <f t="shared" ref="G9:G17" si="0">IF($E9="","",IFERROR($E9*D9,""))</f>
        <v>806400</v>
      </c>
      <c r="H9" s="643">
        <f t="shared" ref="H9:H17" si="1">IF($F9="","",IFERROR($F9*D9,""))</f>
        <v>28800</v>
      </c>
      <c r="I9" s="182"/>
    </row>
    <row r="10" spans="1:9" s="180" customFormat="1" ht="20" customHeight="1">
      <c r="A10" s="181">
        <v>1.2</v>
      </c>
      <c r="B10" s="644" t="s">
        <v>2553</v>
      </c>
      <c r="C10" s="641" t="s">
        <v>16</v>
      </c>
      <c r="D10" s="957">
        <v>210</v>
      </c>
      <c r="E10" s="642">
        <v>420</v>
      </c>
      <c r="F10" s="642">
        <v>60</v>
      </c>
      <c r="G10" s="643">
        <f t="shared" si="0"/>
        <v>88200</v>
      </c>
      <c r="H10" s="643">
        <f t="shared" si="1"/>
        <v>12600</v>
      </c>
      <c r="I10" s="182"/>
    </row>
    <row r="11" spans="1:9" s="180" customFormat="1" ht="20" customHeight="1">
      <c r="A11" s="181">
        <v>1.3</v>
      </c>
      <c r="B11" s="644" t="s">
        <v>2554</v>
      </c>
      <c r="C11" s="641" t="s">
        <v>16</v>
      </c>
      <c r="D11" s="957">
        <f>D10:D10</f>
        <v>210</v>
      </c>
      <c r="E11" s="642">
        <v>240</v>
      </c>
      <c r="F11" s="642">
        <v>12</v>
      </c>
      <c r="G11" s="643">
        <f t="shared" si="0"/>
        <v>50400</v>
      </c>
      <c r="H11" s="643">
        <f t="shared" si="1"/>
        <v>2520</v>
      </c>
      <c r="I11" s="182"/>
    </row>
    <row r="12" spans="1:9" s="180" customFormat="1" ht="20" customHeight="1">
      <c r="A12" s="181">
        <v>1.4</v>
      </c>
      <c r="B12" s="644" t="s">
        <v>840</v>
      </c>
      <c r="C12" s="641" t="s">
        <v>16</v>
      </c>
      <c r="D12" s="957">
        <f>D10*0.8</f>
        <v>168</v>
      </c>
      <c r="E12" s="642">
        <v>90</v>
      </c>
      <c r="F12" s="642">
        <v>24</v>
      </c>
      <c r="G12" s="643">
        <f t="shared" si="0"/>
        <v>15120</v>
      </c>
      <c r="H12" s="643">
        <f t="shared" si="1"/>
        <v>4032</v>
      </c>
      <c r="I12" s="182"/>
    </row>
    <row r="13" spans="1:9" s="180" customFormat="1" ht="20" customHeight="1">
      <c r="A13" s="181">
        <v>1.5</v>
      </c>
      <c r="B13" s="644" t="s">
        <v>841</v>
      </c>
      <c r="C13" s="641" t="s">
        <v>16</v>
      </c>
      <c r="D13" s="957">
        <f>D10*0.1</f>
        <v>21</v>
      </c>
      <c r="E13" s="642">
        <v>96</v>
      </c>
      <c r="F13" s="642">
        <v>24</v>
      </c>
      <c r="G13" s="643">
        <f t="shared" si="0"/>
        <v>2016</v>
      </c>
      <c r="H13" s="643">
        <f t="shared" si="1"/>
        <v>504</v>
      </c>
      <c r="I13" s="182"/>
    </row>
    <row r="14" spans="1:9" s="180" customFormat="1" ht="20" customHeight="1">
      <c r="A14" s="181">
        <v>1.6</v>
      </c>
      <c r="B14" s="644" t="s">
        <v>842</v>
      </c>
      <c r="C14" s="641" t="s">
        <v>16</v>
      </c>
      <c r="D14" s="957">
        <v>0</v>
      </c>
      <c r="E14" s="642">
        <v>102</v>
      </c>
      <c r="F14" s="642">
        <v>24</v>
      </c>
      <c r="G14" s="643">
        <f t="shared" si="0"/>
        <v>0</v>
      </c>
      <c r="H14" s="643">
        <f t="shared" si="1"/>
        <v>0</v>
      </c>
      <c r="I14" s="182"/>
    </row>
    <row r="15" spans="1:9" s="180" customFormat="1" ht="20" customHeight="1">
      <c r="A15" s="181">
        <v>1.7</v>
      </c>
      <c r="B15" s="644" t="s">
        <v>843</v>
      </c>
      <c r="C15" s="641" t="s">
        <v>16</v>
      </c>
      <c r="D15" s="957">
        <v>0</v>
      </c>
      <c r="E15" s="642">
        <v>18</v>
      </c>
      <c r="F15" s="642">
        <v>6</v>
      </c>
      <c r="G15" s="643">
        <f t="shared" si="0"/>
        <v>0</v>
      </c>
      <c r="H15" s="643">
        <f t="shared" si="1"/>
        <v>0</v>
      </c>
      <c r="I15" s="182"/>
    </row>
    <row r="16" spans="1:9" s="180" customFormat="1" ht="30" customHeight="1">
      <c r="A16" s="181">
        <v>1.8</v>
      </c>
      <c r="B16" s="644" t="s">
        <v>844</v>
      </c>
      <c r="C16" s="641" t="s">
        <v>16</v>
      </c>
      <c r="D16" s="957">
        <f>D10*5%</f>
        <v>10.5</v>
      </c>
      <c r="E16" s="642">
        <v>42</v>
      </c>
      <c r="F16" s="642">
        <v>12</v>
      </c>
      <c r="G16" s="643">
        <f t="shared" si="0"/>
        <v>441</v>
      </c>
      <c r="H16" s="643">
        <f t="shared" si="1"/>
        <v>126</v>
      </c>
      <c r="I16" s="182"/>
    </row>
    <row r="17" spans="1:9" s="180" customFormat="1" ht="20" customHeight="1">
      <c r="A17" s="181">
        <v>1.9</v>
      </c>
      <c r="B17" s="640" t="s">
        <v>1476</v>
      </c>
      <c r="C17" s="641" t="s">
        <v>816</v>
      </c>
      <c r="D17" s="958">
        <v>50</v>
      </c>
      <c r="E17" s="642">
        <v>38</v>
      </c>
      <c r="F17" s="642">
        <v>14</v>
      </c>
      <c r="G17" s="643">
        <f t="shared" si="0"/>
        <v>1900</v>
      </c>
      <c r="H17" s="643">
        <f t="shared" si="1"/>
        <v>700</v>
      </c>
      <c r="I17" s="183"/>
    </row>
    <row r="18" spans="1:9" s="180" customFormat="1" ht="20" customHeight="1">
      <c r="A18" s="181"/>
      <c r="B18" s="644"/>
      <c r="C18" s="641"/>
      <c r="D18" s="957"/>
      <c r="E18" s="642"/>
      <c r="F18" s="642"/>
      <c r="G18" s="642"/>
      <c r="H18" s="642"/>
      <c r="I18" s="183"/>
    </row>
    <row r="19" spans="1:9" s="180" customFormat="1" ht="20" customHeight="1">
      <c r="A19" s="178">
        <f>A8+1</f>
        <v>2</v>
      </c>
      <c r="B19" s="637" t="s">
        <v>845</v>
      </c>
      <c r="C19" s="638"/>
      <c r="D19" s="959"/>
      <c r="E19" s="639"/>
      <c r="F19" s="639"/>
      <c r="G19" s="642"/>
      <c r="H19" s="642"/>
      <c r="I19" s="183"/>
    </row>
    <row r="20" spans="1:9" s="180" customFormat="1" ht="30" customHeight="1">
      <c r="A20" s="181">
        <v>2.1</v>
      </c>
      <c r="B20" s="645" t="s">
        <v>852</v>
      </c>
      <c r="C20" s="646" t="s">
        <v>16</v>
      </c>
      <c r="D20" s="961">
        <v>11</v>
      </c>
      <c r="E20" s="642">
        <v>14400</v>
      </c>
      <c r="F20" s="642">
        <v>600</v>
      </c>
      <c r="G20" s="643">
        <f t="shared" ref="G20:G23" si="2">IF($E20="","",IFERROR($E20*D20,""))</f>
        <v>158400</v>
      </c>
      <c r="H20" s="643">
        <f t="shared" ref="H20:H23" si="3">IF($F20="","",IFERROR($F20*D20,""))</f>
        <v>6600</v>
      </c>
      <c r="I20" s="183"/>
    </row>
    <row r="21" spans="1:9" s="180" customFormat="1" ht="20" customHeight="1">
      <c r="A21" s="181">
        <v>2.2000000000000002</v>
      </c>
      <c r="B21" s="644" t="s">
        <v>853</v>
      </c>
      <c r="C21" s="641" t="s">
        <v>16</v>
      </c>
      <c r="D21" s="957">
        <f>(D20*20)*0.2</f>
        <v>44</v>
      </c>
      <c r="E21" s="642">
        <v>270</v>
      </c>
      <c r="F21" s="642">
        <v>12</v>
      </c>
      <c r="G21" s="643">
        <f t="shared" si="2"/>
        <v>11880</v>
      </c>
      <c r="H21" s="643">
        <f t="shared" si="3"/>
        <v>528</v>
      </c>
      <c r="I21" s="183"/>
    </row>
    <row r="22" spans="1:9" s="180" customFormat="1" ht="20" customHeight="1">
      <c r="A22" s="181">
        <v>2.2999999999999998</v>
      </c>
      <c r="B22" s="644" t="s">
        <v>854</v>
      </c>
      <c r="C22" s="641" t="s">
        <v>16</v>
      </c>
      <c r="D22" s="957">
        <f>(D20*20)*0.6</f>
        <v>132</v>
      </c>
      <c r="E22" s="642">
        <v>216</v>
      </c>
      <c r="F22" s="642">
        <v>12</v>
      </c>
      <c r="G22" s="643">
        <f t="shared" si="2"/>
        <v>28512</v>
      </c>
      <c r="H22" s="643">
        <f t="shared" si="3"/>
        <v>1584</v>
      </c>
      <c r="I22" s="183"/>
    </row>
    <row r="23" spans="1:9" s="180" customFormat="1" ht="20" customHeight="1">
      <c r="A23" s="181">
        <v>2.4</v>
      </c>
      <c r="B23" s="644" t="s">
        <v>855</v>
      </c>
      <c r="C23" s="641" t="s">
        <v>16</v>
      </c>
      <c r="D23" s="957">
        <f>(D20*20)*0.2</f>
        <v>44</v>
      </c>
      <c r="E23" s="642">
        <v>180</v>
      </c>
      <c r="F23" s="642">
        <v>12</v>
      </c>
      <c r="G23" s="643">
        <f t="shared" si="2"/>
        <v>7920</v>
      </c>
      <c r="H23" s="643">
        <f t="shared" si="3"/>
        <v>528</v>
      </c>
      <c r="I23" s="183"/>
    </row>
    <row r="24" spans="1:9" s="180" customFormat="1" ht="20" customHeight="1">
      <c r="A24" s="181"/>
      <c r="B24" s="647"/>
      <c r="C24" s="648"/>
      <c r="D24" s="960"/>
      <c r="E24" s="639"/>
      <c r="F24" s="639"/>
      <c r="G24" s="642"/>
      <c r="H24" s="642"/>
      <c r="I24" s="183"/>
    </row>
    <row r="25" spans="1:9" s="184" customFormat="1" ht="20" customHeight="1">
      <c r="A25" s="178">
        <f>A19+1</f>
        <v>3</v>
      </c>
      <c r="B25" s="637" t="s">
        <v>850</v>
      </c>
      <c r="C25" s="638"/>
      <c r="D25" s="959"/>
      <c r="E25" s="639"/>
      <c r="F25" s="639"/>
      <c r="G25" s="642"/>
      <c r="H25" s="642"/>
      <c r="I25" s="182"/>
    </row>
    <row r="26" spans="1:9" s="184" customFormat="1" ht="20" customHeight="1">
      <c r="A26" s="181">
        <v>3.1</v>
      </c>
      <c r="B26" s="640" t="s">
        <v>2552</v>
      </c>
      <c r="C26" s="641" t="s">
        <v>838</v>
      </c>
      <c r="D26" s="957">
        <v>4</v>
      </c>
      <c r="E26" s="642">
        <v>16800</v>
      </c>
      <c r="F26" s="642">
        <v>360</v>
      </c>
      <c r="G26" s="643">
        <f t="shared" ref="G26:G34" si="4">IF($E26="","",IFERROR($E26*D26,""))</f>
        <v>67200</v>
      </c>
      <c r="H26" s="643">
        <f t="shared" ref="H26:H34" si="5">IF($F26="","",IFERROR($F26*D26,""))</f>
        <v>1440</v>
      </c>
      <c r="I26" s="182"/>
    </row>
    <row r="27" spans="1:9" s="184" customFormat="1" ht="20" customHeight="1">
      <c r="A27" s="181">
        <v>3.2</v>
      </c>
      <c r="B27" s="644" t="s">
        <v>2553</v>
      </c>
      <c r="C27" s="641" t="s">
        <v>16</v>
      </c>
      <c r="D27" s="957">
        <v>15</v>
      </c>
      <c r="E27" s="642">
        <v>420</v>
      </c>
      <c r="F27" s="642">
        <v>60</v>
      </c>
      <c r="G27" s="643">
        <f t="shared" si="4"/>
        <v>6300</v>
      </c>
      <c r="H27" s="643">
        <f t="shared" si="5"/>
        <v>900</v>
      </c>
      <c r="I27" s="182"/>
    </row>
    <row r="28" spans="1:9" s="184" customFormat="1" ht="20" customHeight="1">
      <c r="A28" s="181">
        <v>3.3</v>
      </c>
      <c r="B28" s="644" t="s">
        <v>2554</v>
      </c>
      <c r="C28" s="641" t="s">
        <v>16</v>
      </c>
      <c r="D28" s="957">
        <f>D27:D27</f>
        <v>15</v>
      </c>
      <c r="E28" s="642">
        <v>240</v>
      </c>
      <c r="F28" s="642">
        <v>12</v>
      </c>
      <c r="G28" s="643">
        <f t="shared" si="4"/>
        <v>3600</v>
      </c>
      <c r="H28" s="643">
        <f t="shared" si="5"/>
        <v>180</v>
      </c>
      <c r="I28" s="182"/>
    </row>
    <row r="29" spans="1:9" s="184" customFormat="1" ht="20" customHeight="1">
      <c r="A29" s="181">
        <v>3.4</v>
      </c>
      <c r="B29" s="644" t="s">
        <v>840</v>
      </c>
      <c r="C29" s="641" t="s">
        <v>16</v>
      </c>
      <c r="D29" s="957">
        <f>D27*0.8</f>
        <v>12</v>
      </c>
      <c r="E29" s="642">
        <v>90</v>
      </c>
      <c r="F29" s="642">
        <v>24</v>
      </c>
      <c r="G29" s="643">
        <f t="shared" si="4"/>
        <v>1080</v>
      </c>
      <c r="H29" s="643">
        <f t="shared" si="5"/>
        <v>288</v>
      </c>
      <c r="I29" s="182"/>
    </row>
    <row r="30" spans="1:9" s="184" customFormat="1" ht="20" customHeight="1">
      <c r="A30" s="181">
        <v>3.5</v>
      </c>
      <c r="B30" s="644" t="s">
        <v>841</v>
      </c>
      <c r="C30" s="641" t="s">
        <v>16</v>
      </c>
      <c r="D30" s="957">
        <f>D27*0.1</f>
        <v>1.5</v>
      </c>
      <c r="E30" s="642">
        <v>96</v>
      </c>
      <c r="F30" s="642">
        <v>24</v>
      </c>
      <c r="G30" s="643">
        <f t="shared" si="4"/>
        <v>144</v>
      </c>
      <c r="H30" s="643">
        <f t="shared" si="5"/>
        <v>36</v>
      </c>
      <c r="I30" s="182"/>
    </row>
    <row r="31" spans="1:9" s="184" customFormat="1" ht="20" customHeight="1">
      <c r="A31" s="181">
        <v>3.6</v>
      </c>
      <c r="B31" s="644" t="s">
        <v>842</v>
      </c>
      <c r="C31" s="641" t="s">
        <v>16</v>
      </c>
      <c r="D31" s="957">
        <v>0</v>
      </c>
      <c r="E31" s="642">
        <v>102</v>
      </c>
      <c r="F31" s="642">
        <v>24</v>
      </c>
      <c r="G31" s="643">
        <f t="shared" si="4"/>
        <v>0</v>
      </c>
      <c r="H31" s="643">
        <f t="shared" si="5"/>
        <v>0</v>
      </c>
      <c r="I31" s="182"/>
    </row>
    <row r="32" spans="1:9" s="184" customFormat="1" ht="20" customHeight="1">
      <c r="A32" s="181">
        <v>3.7</v>
      </c>
      <c r="B32" s="644" t="s">
        <v>843</v>
      </c>
      <c r="C32" s="641" t="s">
        <v>16</v>
      </c>
      <c r="D32" s="957">
        <v>0</v>
      </c>
      <c r="E32" s="642">
        <v>18</v>
      </c>
      <c r="F32" s="642">
        <v>6</v>
      </c>
      <c r="G32" s="643">
        <f t="shared" si="4"/>
        <v>0</v>
      </c>
      <c r="H32" s="643">
        <f t="shared" si="5"/>
        <v>0</v>
      </c>
      <c r="I32" s="182"/>
    </row>
    <row r="33" spans="1:9" s="184" customFormat="1" ht="30" customHeight="1">
      <c r="A33" s="181">
        <v>3.8</v>
      </c>
      <c r="B33" s="644" t="s">
        <v>844</v>
      </c>
      <c r="C33" s="641" t="s">
        <v>16</v>
      </c>
      <c r="D33" s="957">
        <f>D27*5%</f>
        <v>0.75</v>
      </c>
      <c r="E33" s="642">
        <v>42</v>
      </c>
      <c r="F33" s="642">
        <v>12</v>
      </c>
      <c r="G33" s="643">
        <f t="shared" si="4"/>
        <v>31.5</v>
      </c>
      <c r="H33" s="643">
        <f t="shared" si="5"/>
        <v>9</v>
      </c>
      <c r="I33" s="182"/>
    </row>
    <row r="34" spans="1:9" s="180" customFormat="1" ht="20" customHeight="1">
      <c r="A34" s="181">
        <v>3.9</v>
      </c>
      <c r="B34" s="640" t="s">
        <v>1476</v>
      </c>
      <c r="C34" s="641" t="s">
        <v>816</v>
      </c>
      <c r="D34" s="958">
        <v>0</v>
      </c>
      <c r="E34" s="642">
        <v>54</v>
      </c>
      <c r="F34" s="642">
        <v>14</v>
      </c>
      <c r="G34" s="643">
        <f t="shared" si="4"/>
        <v>0</v>
      </c>
      <c r="H34" s="643">
        <f t="shared" si="5"/>
        <v>0</v>
      </c>
      <c r="I34" s="183"/>
    </row>
    <row r="35" spans="1:9" s="184" customFormat="1" ht="20" customHeight="1">
      <c r="A35" s="181"/>
      <c r="B35" s="647"/>
      <c r="C35" s="648"/>
      <c r="D35" s="960"/>
      <c r="E35" s="639"/>
      <c r="F35" s="639"/>
      <c r="G35" s="642"/>
      <c r="H35" s="642"/>
      <c r="I35" s="182"/>
    </row>
    <row r="36" spans="1:9" s="184" customFormat="1" ht="20" customHeight="1">
      <c r="A36" s="178">
        <f>A25+1</f>
        <v>4</v>
      </c>
      <c r="B36" s="637" t="s">
        <v>851</v>
      </c>
      <c r="C36" s="638"/>
      <c r="D36" s="959"/>
      <c r="E36" s="639"/>
      <c r="F36" s="639"/>
      <c r="G36" s="642"/>
      <c r="H36" s="642"/>
      <c r="I36" s="182"/>
    </row>
    <row r="37" spans="1:9" s="180" customFormat="1" ht="30" customHeight="1">
      <c r="A37" s="181">
        <v>4.0999999999999996</v>
      </c>
      <c r="B37" s="644" t="s">
        <v>852</v>
      </c>
      <c r="C37" s="641" t="s">
        <v>16</v>
      </c>
      <c r="D37" s="961">
        <v>1</v>
      </c>
      <c r="E37" s="642">
        <v>9600</v>
      </c>
      <c r="F37" s="642">
        <v>600</v>
      </c>
      <c r="G37" s="643">
        <f t="shared" ref="G37:G40" si="6">IF($E37="","",IFERROR($E37*D37,""))</f>
        <v>9600</v>
      </c>
      <c r="H37" s="643">
        <f t="shared" ref="H37:H40" si="7">IF($F37="","",IFERROR($F37*D37,""))</f>
        <v>600</v>
      </c>
      <c r="I37" s="183"/>
    </row>
    <row r="38" spans="1:9" s="180" customFormat="1" ht="20" customHeight="1">
      <c r="A38" s="181">
        <v>4.2</v>
      </c>
      <c r="B38" s="644" t="s">
        <v>853</v>
      </c>
      <c r="C38" s="641" t="s">
        <v>16</v>
      </c>
      <c r="D38" s="957">
        <f>(D37*24)*0.2</f>
        <v>4.8000000000000007</v>
      </c>
      <c r="E38" s="642">
        <v>270</v>
      </c>
      <c r="F38" s="642">
        <v>12</v>
      </c>
      <c r="G38" s="643">
        <f t="shared" si="6"/>
        <v>1296.0000000000002</v>
      </c>
      <c r="H38" s="643">
        <f t="shared" si="7"/>
        <v>57.600000000000009</v>
      </c>
      <c r="I38" s="183"/>
    </row>
    <row r="39" spans="1:9" s="180" customFormat="1" ht="20" customHeight="1">
      <c r="A39" s="181">
        <v>4.3</v>
      </c>
      <c r="B39" s="644" t="s">
        <v>854</v>
      </c>
      <c r="C39" s="641" t="s">
        <v>16</v>
      </c>
      <c r="D39" s="957">
        <f>(D37*24)*0.6</f>
        <v>14.399999999999999</v>
      </c>
      <c r="E39" s="642">
        <v>216</v>
      </c>
      <c r="F39" s="642">
        <v>12</v>
      </c>
      <c r="G39" s="643">
        <f t="shared" si="6"/>
        <v>3110.3999999999996</v>
      </c>
      <c r="H39" s="643">
        <f t="shared" si="7"/>
        <v>172.79999999999998</v>
      </c>
      <c r="I39" s="183"/>
    </row>
    <row r="40" spans="1:9" s="180" customFormat="1" ht="20" customHeight="1">
      <c r="A40" s="181">
        <v>4.4000000000000004</v>
      </c>
      <c r="B40" s="644" t="s">
        <v>855</v>
      </c>
      <c r="C40" s="641" t="s">
        <v>16</v>
      </c>
      <c r="D40" s="957">
        <f>(D37*24)*0.2</f>
        <v>4.8000000000000007</v>
      </c>
      <c r="E40" s="642">
        <v>180</v>
      </c>
      <c r="F40" s="642">
        <v>12</v>
      </c>
      <c r="G40" s="643">
        <f t="shared" si="6"/>
        <v>864.00000000000011</v>
      </c>
      <c r="H40" s="643">
        <f t="shared" si="7"/>
        <v>57.600000000000009</v>
      </c>
      <c r="I40" s="183"/>
    </row>
    <row r="41" spans="1:9" s="180" customFormat="1" ht="20" customHeight="1">
      <c r="A41" s="181"/>
      <c r="B41" s="647"/>
      <c r="C41" s="648"/>
      <c r="D41" s="960"/>
      <c r="E41" s="639"/>
      <c r="F41" s="639"/>
      <c r="G41" s="642"/>
      <c r="H41" s="642"/>
      <c r="I41" s="183"/>
    </row>
    <row r="42" spans="1:9" s="184" customFormat="1" ht="20" customHeight="1">
      <c r="A42" s="178">
        <v>5</v>
      </c>
      <c r="B42" s="637" t="s">
        <v>856</v>
      </c>
      <c r="C42" s="638"/>
      <c r="D42" s="959"/>
      <c r="E42" s="639"/>
      <c r="F42" s="639"/>
      <c r="G42" s="642"/>
      <c r="H42" s="642"/>
      <c r="I42" s="182" t="s">
        <v>1477</v>
      </c>
    </row>
    <row r="43" spans="1:9" s="184" customFormat="1" ht="20" customHeight="1">
      <c r="A43" s="181">
        <v>5.0999999999999996</v>
      </c>
      <c r="B43" s="640" t="s">
        <v>837</v>
      </c>
      <c r="C43" s="641" t="s">
        <v>838</v>
      </c>
      <c r="D43" s="957">
        <v>25</v>
      </c>
      <c r="E43" s="642">
        <v>19200</v>
      </c>
      <c r="F43" s="642">
        <v>360</v>
      </c>
      <c r="G43" s="643">
        <f t="shared" ref="G43:G50" si="8">IF($E43="","",IFERROR($E43*D43,""))</f>
        <v>480000</v>
      </c>
      <c r="H43" s="643">
        <f t="shared" ref="H43:H50" si="9">IF($F43="","",IFERROR($F43*D43,""))</f>
        <v>9000</v>
      </c>
      <c r="I43" s="182"/>
    </row>
    <row r="44" spans="1:9" s="184" customFormat="1" ht="20" customHeight="1">
      <c r="A44" s="181">
        <v>5.2</v>
      </c>
      <c r="B44" s="644" t="s">
        <v>857</v>
      </c>
      <c r="C44" s="641" t="s">
        <v>16</v>
      </c>
      <c r="D44" s="957">
        <f>45*2</f>
        <v>90</v>
      </c>
      <c r="E44" s="642">
        <v>330</v>
      </c>
      <c r="F44" s="642">
        <v>36</v>
      </c>
      <c r="G44" s="643">
        <f t="shared" si="8"/>
        <v>29700</v>
      </c>
      <c r="H44" s="643">
        <f t="shared" si="9"/>
        <v>3240</v>
      </c>
      <c r="I44" s="182"/>
    </row>
    <row r="45" spans="1:9" s="184" customFormat="1" ht="20" customHeight="1">
      <c r="A45" s="181">
        <v>5.3</v>
      </c>
      <c r="B45" s="644" t="s">
        <v>839</v>
      </c>
      <c r="C45" s="641" t="s">
        <v>16</v>
      </c>
      <c r="D45" s="957">
        <f>D44:D44</f>
        <v>90</v>
      </c>
      <c r="E45" s="642">
        <v>240</v>
      </c>
      <c r="F45" s="642">
        <v>12</v>
      </c>
      <c r="G45" s="643">
        <f t="shared" si="8"/>
        <v>21600</v>
      </c>
      <c r="H45" s="643">
        <f t="shared" si="9"/>
        <v>1080</v>
      </c>
      <c r="I45" s="182"/>
    </row>
    <row r="46" spans="1:9" s="184" customFormat="1" ht="20" customHeight="1">
      <c r="A46" s="181">
        <v>5.4</v>
      </c>
      <c r="B46" s="644" t="s">
        <v>858</v>
      </c>
      <c r="C46" s="641" t="s">
        <v>16</v>
      </c>
      <c r="D46" s="957">
        <f>D44</f>
        <v>90</v>
      </c>
      <c r="E46" s="642">
        <v>90</v>
      </c>
      <c r="F46" s="642">
        <v>24</v>
      </c>
      <c r="G46" s="643">
        <f t="shared" si="8"/>
        <v>8100</v>
      </c>
      <c r="H46" s="643">
        <f t="shared" si="9"/>
        <v>2160</v>
      </c>
      <c r="I46" s="182"/>
    </row>
    <row r="47" spans="1:9" s="184" customFormat="1" ht="20" customHeight="1">
      <c r="A47" s="181">
        <v>5.5</v>
      </c>
      <c r="B47" s="644" t="s">
        <v>859</v>
      </c>
      <c r="C47" s="641" t="s">
        <v>16</v>
      </c>
      <c r="D47" s="957">
        <f>D44*0</f>
        <v>0</v>
      </c>
      <c r="E47" s="642">
        <v>96</v>
      </c>
      <c r="F47" s="642">
        <v>24</v>
      </c>
      <c r="G47" s="643">
        <f t="shared" si="8"/>
        <v>0</v>
      </c>
      <c r="H47" s="643">
        <f t="shared" si="9"/>
        <v>0</v>
      </c>
      <c r="I47" s="182"/>
    </row>
    <row r="48" spans="1:9" s="184" customFormat="1" ht="20" customHeight="1">
      <c r="A48" s="181">
        <v>5.6</v>
      </c>
      <c r="B48" s="644" t="s">
        <v>842</v>
      </c>
      <c r="C48" s="641" t="s">
        <v>16</v>
      </c>
      <c r="D48" s="957">
        <v>0</v>
      </c>
      <c r="E48" s="642">
        <v>102</v>
      </c>
      <c r="F48" s="642">
        <v>24</v>
      </c>
      <c r="G48" s="643">
        <f t="shared" si="8"/>
        <v>0</v>
      </c>
      <c r="H48" s="643">
        <f t="shared" si="9"/>
        <v>0</v>
      </c>
      <c r="I48" s="182"/>
    </row>
    <row r="49" spans="1:9" s="184" customFormat="1" ht="20" customHeight="1">
      <c r="A49" s="181">
        <v>5.7</v>
      </c>
      <c r="B49" s="644" t="s">
        <v>843</v>
      </c>
      <c r="C49" s="641" t="s">
        <v>16</v>
      </c>
      <c r="D49" s="957">
        <v>0</v>
      </c>
      <c r="E49" s="642">
        <v>18</v>
      </c>
      <c r="F49" s="642">
        <v>6</v>
      </c>
      <c r="G49" s="643">
        <f t="shared" si="8"/>
        <v>0</v>
      </c>
      <c r="H49" s="643">
        <f t="shared" si="9"/>
        <v>0</v>
      </c>
      <c r="I49" s="182"/>
    </row>
    <row r="50" spans="1:9" s="184" customFormat="1" ht="30" customHeight="1">
      <c r="A50" s="181">
        <v>5.8</v>
      </c>
      <c r="B50" s="644" t="s">
        <v>844</v>
      </c>
      <c r="C50" s="641" t="s">
        <v>16</v>
      </c>
      <c r="D50" s="957">
        <f>D44</f>
        <v>90</v>
      </c>
      <c r="E50" s="642">
        <v>42</v>
      </c>
      <c r="F50" s="642">
        <v>12</v>
      </c>
      <c r="G50" s="643">
        <f t="shared" si="8"/>
        <v>3780</v>
      </c>
      <c r="H50" s="643">
        <f t="shared" si="9"/>
        <v>1080</v>
      </c>
      <c r="I50" s="182"/>
    </row>
    <row r="51" spans="1:9" s="184" customFormat="1" ht="20" customHeight="1">
      <c r="A51" s="181"/>
      <c r="B51" s="644"/>
      <c r="C51" s="641"/>
      <c r="D51" s="957"/>
      <c r="E51" s="642"/>
      <c r="F51" s="642"/>
      <c r="G51" s="642"/>
      <c r="H51" s="642"/>
      <c r="I51" s="182"/>
    </row>
    <row r="52" spans="1:9" s="184" customFormat="1" ht="20" customHeight="1">
      <c r="A52" s="178">
        <v>6</v>
      </c>
      <c r="B52" s="637" t="s">
        <v>860</v>
      </c>
      <c r="C52" s="638"/>
      <c r="D52" s="959"/>
      <c r="E52" s="639"/>
      <c r="F52" s="639"/>
      <c r="G52" s="642"/>
      <c r="H52" s="642"/>
      <c r="I52" s="182"/>
    </row>
    <row r="53" spans="1:9" s="180" customFormat="1" ht="30" customHeight="1">
      <c r="A53" s="181">
        <v>6.1</v>
      </c>
      <c r="B53" s="644" t="s">
        <v>846</v>
      </c>
      <c r="C53" s="641" t="s">
        <v>16</v>
      </c>
      <c r="D53" s="961">
        <v>4</v>
      </c>
      <c r="E53" s="642">
        <v>14400</v>
      </c>
      <c r="F53" s="642">
        <v>600</v>
      </c>
      <c r="G53" s="643">
        <f t="shared" ref="G53:G57" si="10">IF($E53="","",IFERROR($E53*D53,""))</f>
        <v>57600</v>
      </c>
      <c r="H53" s="643">
        <f t="shared" ref="H53:H57" si="11">IF($F53="","",IFERROR($F53*D53,""))</f>
        <v>2400</v>
      </c>
      <c r="I53" s="183"/>
    </row>
    <row r="54" spans="1:9" s="180" customFormat="1" ht="30" customHeight="1">
      <c r="A54" s="181">
        <v>6.1</v>
      </c>
      <c r="B54" s="644" t="s">
        <v>861</v>
      </c>
      <c r="C54" s="641" t="s">
        <v>16</v>
      </c>
      <c r="D54" s="961">
        <v>0</v>
      </c>
      <c r="E54" s="642">
        <v>11040</v>
      </c>
      <c r="F54" s="642">
        <v>600</v>
      </c>
      <c r="G54" s="643">
        <f t="shared" si="10"/>
        <v>0</v>
      </c>
      <c r="H54" s="643">
        <f t="shared" si="11"/>
        <v>0</v>
      </c>
      <c r="I54" s="183"/>
    </row>
    <row r="55" spans="1:9" s="180" customFormat="1" ht="20" customHeight="1">
      <c r="A55" s="181">
        <v>6.2</v>
      </c>
      <c r="B55" s="644" t="s">
        <v>847</v>
      </c>
      <c r="C55" s="641" t="s">
        <v>16</v>
      </c>
      <c r="D55" s="957">
        <f>(D53*24)*0.2</f>
        <v>19.200000000000003</v>
      </c>
      <c r="E55" s="642">
        <v>330</v>
      </c>
      <c r="F55" s="642">
        <v>24</v>
      </c>
      <c r="G55" s="643">
        <f t="shared" si="10"/>
        <v>6336.0000000000009</v>
      </c>
      <c r="H55" s="643">
        <f t="shared" si="11"/>
        <v>460.80000000000007</v>
      </c>
      <c r="I55" s="183"/>
    </row>
    <row r="56" spans="1:9" s="180" customFormat="1" ht="20" customHeight="1">
      <c r="A56" s="181">
        <v>6.3</v>
      </c>
      <c r="B56" s="644" t="s">
        <v>848</v>
      </c>
      <c r="C56" s="641" t="s">
        <v>16</v>
      </c>
      <c r="D56" s="957">
        <f>(D53*24)*0.6</f>
        <v>57.599999999999994</v>
      </c>
      <c r="E56" s="642">
        <v>288</v>
      </c>
      <c r="F56" s="642">
        <v>24</v>
      </c>
      <c r="G56" s="643">
        <f t="shared" si="10"/>
        <v>16588.8</v>
      </c>
      <c r="H56" s="643">
        <f t="shared" si="11"/>
        <v>1382.3999999999999</v>
      </c>
      <c r="I56" s="183"/>
    </row>
    <row r="57" spans="1:9" s="180" customFormat="1" ht="20" customHeight="1">
      <c r="A57" s="181">
        <v>6.4</v>
      </c>
      <c r="B57" s="644" t="s">
        <v>849</v>
      </c>
      <c r="C57" s="641" t="s">
        <v>16</v>
      </c>
      <c r="D57" s="957">
        <f>(D53*24)*0.2</f>
        <v>19.200000000000003</v>
      </c>
      <c r="E57" s="642">
        <v>240</v>
      </c>
      <c r="F57" s="642">
        <v>18</v>
      </c>
      <c r="G57" s="643">
        <f t="shared" si="10"/>
        <v>4608.0000000000009</v>
      </c>
      <c r="H57" s="643">
        <f t="shared" si="11"/>
        <v>345.6</v>
      </c>
      <c r="I57" s="183"/>
    </row>
    <row r="58" spans="1:9" s="187" customFormat="1" ht="20" customHeight="1">
      <c r="A58" s="185"/>
      <c r="B58" s="649"/>
      <c r="C58" s="641"/>
      <c r="D58" s="957"/>
      <c r="E58" s="650"/>
      <c r="F58" s="650"/>
      <c r="G58" s="650"/>
      <c r="H58" s="650"/>
      <c r="I58" s="186"/>
    </row>
    <row r="59" spans="1:9" s="184" customFormat="1" ht="20" customHeight="1">
      <c r="A59" s="188">
        <v>7</v>
      </c>
      <c r="B59" s="651" t="s">
        <v>862</v>
      </c>
      <c r="C59" s="652"/>
      <c r="D59" s="959"/>
      <c r="E59" s="653"/>
      <c r="F59" s="653"/>
      <c r="G59" s="654"/>
      <c r="H59" s="654"/>
      <c r="I59" s="189"/>
    </row>
    <row r="60" spans="1:9" s="184" customFormat="1" ht="20" customHeight="1">
      <c r="A60" s="190">
        <v>7.1</v>
      </c>
      <c r="B60" s="655" t="s">
        <v>863</v>
      </c>
      <c r="C60" s="656" t="s">
        <v>864</v>
      </c>
      <c r="D60" s="957">
        <v>200</v>
      </c>
      <c r="E60" s="642">
        <v>252</v>
      </c>
      <c r="F60" s="642">
        <v>24</v>
      </c>
      <c r="G60" s="657">
        <f t="shared" ref="G60:G67" si="12">IF($E60="","",IFERROR($E60*D60,""))</f>
        <v>50400</v>
      </c>
      <c r="H60" s="657">
        <f t="shared" ref="H60:H67" si="13">IF($F60="","",IFERROR($F60*D60,""))</f>
        <v>4800</v>
      </c>
      <c r="I60" s="1493"/>
    </row>
    <row r="61" spans="1:9" s="184" customFormat="1" ht="20" customHeight="1">
      <c r="A61" s="191">
        <v>7.2</v>
      </c>
      <c r="B61" s="658" t="s">
        <v>865</v>
      </c>
      <c r="C61" s="659" t="s">
        <v>866</v>
      </c>
      <c r="D61" s="957">
        <v>2</v>
      </c>
      <c r="E61" s="642">
        <v>15000</v>
      </c>
      <c r="F61" s="642">
        <v>600</v>
      </c>
      <c r="G61" s="660">
        <f t="shared" si="12"/>
        <v>30000</v>
      </c>
      <c r="H61" s="660">
        <f t="shared" si="13"/>
        <v>1200</v>
      </c>
      <c r="I61" s="1493"/>
    </row>
    <row r="62" spans="1:9" s="184" customFormat="1" ht="20" customHeight="1">
      <c r="A62" s="191">
        <v>7.3</v>
      </c>
      <c r="B62" s="658" t="s">
        <v>867</v>
      </c>
      <c r="C62" s="659" t="s">
        <v>866</v>
      </c>
      <c r="D62" s="957">
        <v>2</v>
      </c>
      <c r="E62" s="642">
        <v>9000</v>
      </c>
      <c r="F62" s="642">
        <v>180</v>
      </c>
      <c r="G62" s="660">
        <f t="shared" si="12"/>
        <v>18000</v>
      </c>
      <c r="H62" s="660">
        <f t="shared" si="13"/>
        <v>360</v>
      </c>
      <c r="I62" s="1493"/>
    </row>
    <row r="63" spans="1:9" s="184" customFormat="1" ht="20" customHeight="1">
      <c r="A63" s="191">
        <v>7.4</v>
      </c>
      <c r="B63" s="658" t="s">
        <v>868</v>
      </c>
      <c r="C63" s="659" t="s">
        <v>866</v>
      </c>
      <c r="D63" s="957">
        <v>2</v>
      </c>
      <c r="E63" s="642">
        <v>960</v>
      </c>
      <c r="F63" s="642">
        <v>120</v>
      </c>
      <c r="G63" s="660">
        <f t="shared" si="12"/>
        <v>1920</v>
      </c>
      <c r="H63" s="660">
        <f t="shared" si="13"/>
        <v>240</v>
      </c>
      <c r="I63" s="1493"/>
    </row>
    <row r="64" spans="1:9" s="184" customFormat="1" ht="20" customHeight="1">
      <c r="A64" s="191">
        <v>7.5</v>
      </c>
      <c r="B64" s="658" t="s">
        <v>869</v>
      </c>
      <c r="C64" s="659" t="s">
        <v>866</v>
      </c>
      <c r="D64" s="957">
        <v>2</v>
      </c>
      <c r="E64" s="642">
        <v>1500</v>
      </c>
      <c r="F64" s="642">
        <v>120</v>
      </c>
      <c r="G64" s="660">
        <f t="shared" si="12"/>
        <v>3000</v>
      </c>
      <c r="H64" s="660">
        <f t="shared" si="13"/>
        <v>240</v>
      </c>
      <c r="I64" s="1493"/>
    </row>
    <row r="65" spans="1:9" s="184" customFormat="1" ht="20" customHeight="1">
      <c r="A65" s="191">
        <v>7.6</v>
      </c>
      <c r="B65" s="658" t="s">
        <v>870</v>
      </c>
      <c r="C65" s="659" t="s">
        <v>866</v>
      </c>
      <c r="D65" s="957">
        <v>2</v>
      </c>
      <c r="E65" s="642">
        <v>6000</v>
      </c>
      <c r="F65" s="642">
        <v>120</v>
      </c>
      <c r="G65" s="660">
        <f t="shared" si="12"/>
        <v>12000</v>
      </c>
      <c r="H65" s="660">
        <f t="shared" si="13"/>
        <v>240</v>
      </c>
      <c r="I65" s="1493"/>
    </row>
    <row r="66" spans="1:9" s="184" customFormat="1" ht="20" customHeight="1">
      <c r="A66" s="191">
        <v>7.7</v>
      </c>
      <c r="B66" s="658" t="s">
        <v>871</v>
      </c>
      <c r="C66" s="659" t="s">
        <v>866</v>
      </c>
      <c r="D66" s="957">
        <v>2</v>
      </c>
      <c r="E66" s="642">
        <v>804</v>
      </c>
      <c r="F66" s="642">
        <v>60</v>
      </c>
      <c r="G66" s="660">
        <f t="shared" si="12"/>
        <v>1608</v>
      </c>
      <c r="H66" s="660">
        <f t="shared" si="13"/>
        <v>120</v>
      </c>
      <c r="I66" s="1493"/>
    </row>
    <row r="67" spans="1:9" s="184" customFormat="1" ht="20" customHeight="1">
      <c r="A67" s="191">
        <v>7.8</v>
      </c>
      <c r="B67" s="658" t="s">
        <v>872</v>
      </c>
      <c r="C67" s="659" t="s">
        <v>866</v>
      </c>
      <c r="D67" s="957">
        <v>2</v>
      </c>
      <c r="E67" s="642">
        <v>1080</v>
      </c>
      <c r="F67" s="642">
        <v>60</v>
      </c>
      <c r="G67" s="660">
        <f t="shared" si="12"/>
        <v>2160</v>
      </c>
      <c r="H67" s="660">
        <f t="shared" si="13"/>
        <v>120</v>
      </c>
      <c r="I67" s="1493"/>
    </row>
    <row r="68" spans="1:9" s="193" customFormat="1" ht="20" customHeight="1">
      <c r="A68" s="185"/>
      <c r="B68" s="649"/>
      <c r="C68" s="641"/>
      <c r="D68" s="957"/>
      <c r="E68" s="650"/>
      <c r="F68" s="650"/>
      <c r="G68" s="650"/>
      <c r="H68" s="650"/>
      <c r="I68" s="192"/>
    </row>
    <row r="69" spans="1:9" s="195" customFormat="1" ht="20" customHeight="1">
      <c r="A69" s="178">
        <v>8</v>
      </c>
      <c r="B69" s="661" t="s">
        <v>873</v>
      </c>
      <c r="C69" s="638"/>
      <c r="D69" s="959"/>
      <c r="E69" s="639"/>
      <c r="F69" s="639"/>
      <c r="G69" s="642"/>
      <c r="H69" s="642"/>
      <c r="I69" s="194"/>
    </row>
    <row r="70" spans="1:9" s="195" customFormat="1" ht="20" customHeight="1">
      <c r="A70" s="181">
        <v>8.1</v>
      </c>
      <c r="B70" s="662" t="s">
        <v>874</v>
      </c>
      <c r="C70" s="641" t="s">
        <v>386</v>
      </c>
      <c r="D70" s="957">
        <v>4</v>
      </c>
      <c r="E70" s="642">
        <v>126000</v>
      </c>
      <c r="F70" s="642">
        <v>6000</v>
      </c>
      <c r="G70" s="643">
        <f t="shared" ref="G70" si="14">IF($E70="","",IFERROR($E70*D70,""))</f>
        <v>504000</v>
      </c>
      <c r="H70" s="643">
        <f t="shared" ref="H70" si="15">IF($F70="","",IFERROR($F70*D70,""))</f>
        <v>24000</v>
      </c>
      <c r="I70" s="1494"/>
    </row>
    <row r="71" spans="1:9" s="195" customFormat="1" ht="20" customHeight="1">
      <c r="A71" s="178"/>
      <c r="B71" s="662" t="s">
        <v>875</v>
      </c>
      <c r="C71" s="638"/>
      <c r="D71" s="959"/>
      <c r="E71" s="639"/>
      <c r="F71" s="639"/>
      <c r="G71" s="642"/>
      <c r="H71" s="642"/>
      <c r="I71" s="1495"/>
    </row>
    <row r="72" spans="1:9" s="195" customFormat="1" ht="20" customHeight="1">
      <c r="A72" s="178"/>
      <c r="B72" s="662" t="s">
        <v>876</v>
      </c>
      <c r="C72" s="638"/>
      <c r="D72" s="959"/>
      <c r="E72" s="639"/>
      <c r="F72" s="639"/>
      <c r="G72" s="642"/>
      <c r="H72" s="642"/>
      <c r="I72" s="1495"/>
    </row>
    <row r="73" spans="1:9" s="195" customFormat="1" ht="20" customHeight="1">
      <c r="A73" s="178"/>
      <c r="B73" s="662" t="s">
        <v>877</v>
      </c>
      <c r="C73" s="638"/>
      <c r="D73" s="959"/>
      <c r="E73" s="639"/>
      <c r="F73" s="639"/>
      <c r="G73" s="642"/>
      <c r="H73" s="642"/>
      <c r="I73" s="1495"/>
    </row>
    <row r="74" spans="1:9" s="195" customFormat="1" ht="20" customHeight="1">
      <c r="A74" s="178"/>
      <c r="B74" s="662" t="s">
        <v>878</v>
      </c>
      <c r="C74" s="638"/>
      <c r="D74" s="959"/>
      <c r="E74" s="639"/>
      <c r="F74" s="639"/>
      <c r="G74" s="642"/>
      <c r="H74" s="642"/>
      <c r="I74" s="1495"/>
    </row>
    <row r="75" spans="1:9" s="195" customFormat="1" ht="20" customHeight="1">
      <c r="A75" s="178"/>
      <c r="B75" s="662" t="s">
        <v>879</v>
      </c>
      <c r="C75" s="638"/>
      <c r="D75" s="959"/>
      <c r="E75" s="639"/>
      <c r="F75" s="639"/>
      <c r="G75" s="642"/>
      <c r="H75" s="642"/>
      <c r="I75" s="1495"/>
    </row>
    <row r="76" spans="1:9" s="195" customFormat="1" ht="20" customHeight="1">
      <c r="A76" s="178"/>
      <c r="B76" s="662" t="s">
        <v>880</v>
      </c>
      <c r="C76" s="638"/>
      <c r="D76" s="959"/>
      <c r="E76" s="639"/>
      <c r="F76" s="639"/>
      <c r="G76" s="642"/>
      <c r="H76" s="642"/>
      <c r="I76" s="1495"/>
    </row>
    <row r="77" spans="1:9" s="195" customFormat="1" ht="20" customHeight="1">
      <c r="A77" s="178"/>
      <c r="B77" s="637"/>
      <c r="C77" s="638"/>
      <c r="D77" s="959"/>
      <c r="E77" s="639"/>
      <c r="F77" s="639"/>
      <c r="G77" s="642"/>
      <c r="H77" s="642"/>
      <c r="I77" s="1495"/>
    </row>
    <row r="78" spans="1:9" s="180" customFormat="1" ht="20" customHeight="1">
      <c r="A78" s="181">
        <v>8.1999999999999993</v>
      </c>
      <c r="B78" s="644" t="s">
        <v>881</v>
      </c>
      <c r="C78" s="641" t="s">
        <v>386</v>
      </c>
      <c r="D78" s="957">
        <v>1</v>
      </c>
      <c r="E78" s="642">
        <v>150000</v>
      </c>
      <c r="F78" s="642">
        <v>6000</v>
      </c>
      <c r="G78" s="643">
        <f t="shared" ref="G78" si="16">IF($E78="","",IFERROR($E78*D78,""))</f>
        <v>150000</v>
      </c>
      <c r="H78" s="643">
        <f t="shared" ref="H78" si="17">IF($F78="","",IFERROR($F78*D78,""))</f>
        <v>6000</v>
      </c>
      <c r="I78" s="1496"/>
    </row>
    <row r="79" spans="1:9" s="180" customFormat="1" ht="20" customHeight="1">
      <c r="A79" s="181"/>
      <c r="B79" s="644" t="s">
        <v>882</v>
      </c>
      <c r="C79" s="638"/>
      <c r="D79" s="959"/>
      <c r="E79" s="639"/>
      <c r="F79" s="639"/>
      <c r="G79" s="642"/>
      <c r="H79" s="642"/>
      <c r="I79" s="183"/>
    </row>
    <row r="80" spans="1:9" s="180" customFormat="1" ht="20" customHeight="1">
      <c r="A80" s="181"/>
      <c r="B80" s="644" t="s">
        <v>883</v>
      </c>
      <c r="C80" s="638"/>
      <c r="D80" s="959"/>
      <c r="E80" s="639"/>
      <c r="F80" s="639"/>
      <c r="G80" s="642"/>
      <c r="H80" s="642"/>
      <c r="I80" s="183"/>
    </row>
    <row r="81" spans="1:9" s="180" customFormat="1" ht="20" customHeight="1">
      <c r="A81" s="181"/>
      <c r="B81" s="644" t="s">
        <v>884</v>
      </c>
      <c r="C81" s="638"/>
      <c r="D81" s="959"/>
      <c r="E81" s="639"/>
      <c r="F81" s="639"/>
      <c r="G81" s="642"/>
      <c r="H81" s="642"/>
      <c r="I81" s="183"/>
    </row>
    <row r="82" spans="1:9" s="180" customFormat="1" ht="20" customHeight="1">
      <c r="A82" s="181"/>
      <c r="B82" s="644" t="s">
        <v>885</v>
      </c>
      <c r="C82" s="638"/>
      <c r="D82" s="959"/>
      <c r="E82" s="639"/>
      <c r="F82" s="639"/>
      <c r="G82" s="642"/>
      <c r="H82" s="642"/>
      <c r="I82" s="183"/>
    </row>
    <row r="83" spans="1:9" s="180" customFormat="1" ht="20" customHeight="1">
      <c r="A83" s="181"/>
      <c r="B83" s="644" t="s">
        <v>886</v>
      </c>
      <c r="C83" s="638"/>
      <c r="D83" s="959"/>
      <c r="E83" s="639"/>
      <c r="F83" s="639"/>
      <c r="G83" s="642"/>
      <c r="H83" s="642"/>
      <c r="I83" s="183"/>
    </row>
    <row r="84" spans="1:9" s="180" customFormat="1" ht="20" customHeight="1">
      <c r="A84" s="181"/>
      <c r="B84" s="644" t="s">
        <v>887</v>
      </c>
      <c r="C84" s="638"/>
      <c r="D84" s="959"/>
      <c r="E84" s="639"/>
      <c r="F84" s="639"/>
      <c r="G84" s="642"/>
      <c r="H84" s="642"/>
      <c r="I84" s="183"/>
    </row>
    <row r="85" spans="1:9" s="180" customFormat="1" ht="20" customHeight="1">
      <c r="A85" s="181"/>
      <c r="B85" s="644" t="s">
        <v>888</v>
      </c>
      <c r="C85" s="638"/>
      <c r="D85" s="959"/>
      <c r="E85" s="639"/>
      <c r="F85" s="639"/>
      <c r="G85" s="642"/>
      <c r="H85" s="642"/>
      <c r="I85" s="183"/>
    </row>
    <row r="86" spans="1:9" s="180" customFormat="1" ht="50" customHeight="1">
      <c r="A86" s="181"/>
      <c r="B86" s="663" t="s">
        <v>889</v>
      </c>
      <c r="C86" s="638"/>
      <c r="D86" s="959"/>
      <c r="E86" s="639"/>
      <c r="F86" s="639"/>
      <c r="G86" s="642"/>
      <c r="H86" s="642"/>
      <c r="I86" s="183"/>
    </row>
    <row r="87" spans="1:9" s="180" customFormat="1" ht="20" customHeight="1">
      <c r="A87" s="181"/>
      <c r="B87" s="644" t="s">
        <v>890</v>
      </c>
      <c r="C87" s="638"/>
      <c r="D87" s="959"/>
      <c r="E87" s="639"/>
      <c r="F87" s="639"/>
      <c r="G87" s="642"/>
      <c r="H87" s="642"/>
      <c r="I87" s="183"/>
    </row>
    <row r="88" spans="1:9" s="180" customFormat="1" ht="20" customHeight="1">
      <c r="A88" s="181"/>
      <c r="B88" s="644" t="s">
        <v>891</v>
      </c>
      <c r="C88" s="638"/>
      <c r="D88" s="959"/>
      <c r="E88" s="639"/>
      <c r="F88" s="639"/>
      <c r="G88" s="642"/>
      <c r="H88" s="642"/>
      <c r="I88" s="183"/>
    </row>
    <row r="89" spans="1:9" s="180" customFormat="1" ht="20" customHeight="1">
      <c r="A89" s="181"/>
      <c r="B89" s="644" t="s">
        <v>892</v>
      </c>
      <c r="C89" s="638"/>
      <c r="D89" s="959"/>
      <c r="E89" s="639"/>
      <c r="F89" s="639"/>
      <c r="G89" s="642"/>
      <c r="H89" s="642"/>
      <c r="I89" s="183"/>
    </row>
    <row r="90" spans="1:9" s="180" customFormat="1" ht="20" customHeight="1">
      <c r="A90" s="181"/>
      <c r="B90" s="644" t="s">
        <v>893</v>
      </c>
      <c r="C90" s="638"/>
      <c r="D90" s="959"/>
      <c r="E90" s="639"/>
      <c r="F90" s="639"/>
      <c r="G90" s="642"/>
      <c r="H90" s="642"/>
      <c r="I90" s="183"/>
    </row>
    <row r="91" spans="1:9" s="180" customFormat="1" ht="20" customHeight="1">
      <c r="A91" s="181"/>
      <c r="B91" s="644" t="s">
        <v>894</v>
      </c>
      <c r="C91" s="638"/>
      <c r="D91" s="959"/>
      <c r="E91" s="639"/>
      <c r="F91" s="639"/>
      <c r="G91" s="642"/>
      <c r="H91" s="642"/>
      <c r="I91" s="183"/>
    </row>
    <row r="92" spans="1:9" s="180" customFormat="1" ht="20" customHeight="1">
      <c r="A92" s="181"/>
      <c r="B92" s="644" t="s">
        <v>895</v>
      </c>
      <c r="C92" s="638"/>
      <c r="D92" s="959"/>
      <c r="E92" s="639"/>
      <c r="F92" s="639"/>
      <c r="G92" s="642"/>
      <c r="H92" s="642"/>
      <c r="I92" s="183"/>
    </row>
    <row r="93" spans="1:9" s="187" customFormat="1" ht="20" customHeight="1">
      <c r="A93" s="185"/>
      <c r="B93" s="649"/>
      <c r="C93" s="641"/>
      <c r="D93" s="957"/>
      <c r="E93" s="648"/>
      <c r="F93" s="648"/>
      <c r="G93" s="642"/>
      <c r="H93" s="642"/>
      <c r="I93" s="196"/>
    </row>
    <row r="94" spans="1:9" s="180" customFormat="1" ht="62.4" customHeight="1">
      <c r="A94" s="181">
        <v>8.3000000000000007</v>
      </c>
      <c r="B94" s="644" t="s">
        <v>896</v>
      </c>
      <c r="C94" s="641" t="s">
        <v>386</v>
      </c>
      <c r="D94" s="957" t="s">
        <v>828</v>
      </c>
      <c r="E94" s="642">
        <v>6600</v>
      </c>
      <c r="F94" s="642">
        <v>1800</v>
      </c>
      <c r="G94" s="643" t="str">
        <f t="shared" ref="G94:G97" si="18">IF($E94="","",IFERROR($E94*D94,""))</f>
        <v/>
      </c>
      <c r="H94" s="643" t="str">
        <f t="shared" ref="H94:H97" si="19">IF($F94="","",IFERROR($F94*D94,""))</f>
        <v/>
      </c>
      <c r="I94" s="183"/>
    </row>
    <row r="95" spans="1:9" s="180" customFormat="1" ht="69.650000000000006" customHeight="1">
      <c r="A95" s="181">
        <v>8.4</v>
      </c>
      <c r="B95" s="644" t="s">
        <v>897</v>
      </c>
      <c r="C95" s="641" t="s">
        <v>386</v>
      </c>
      <c r="D95" s="957" t="s">
        <v>828</v>
      </c>
      <c r="E95" s="642">
        <v>10200</v>
      </c>
      <c r="F95" s="642">
        <v>1800</v>
      </c>
      <c r="G95" s="643" t="str">
        <f t="shared" si="18"/>
        <v/>
      </c>
      <c r="H95" s="643" t="str">
        <f t="shared" si="19"/>
        <v/>
      </c>
      <c r="I95" s="183"/>
    </row>
    <row r="96" spans="1:9" s="180" customFormat="1" ht="64.25" customHeight="1">
      <c r="A96" s="181">
        <v>8.5</v>
      </c>
      <c r="B96" s="644" t="s">
        <v>898</v>
      </c>
      <c r="C96" s="641" t="s">
        <v>386</v>
      </c>
      <c r="D96" s="957" t="s">
        <v>828</v>
      </c>
      <c r="E96" s="642">
        <v>15000</v>
      </c>
      <c r="F96" s="642">
        <v>1800</v>
      </c>
      <c r="G96" s="643" t="str">
        <f t="shared" si="18"/>
        <v/>
      </c>
      <c r="H96" s="643" t="str">
        <f t="shared" si="19"/>
        <v/>
      </c>
      <c r="I96" s="183"/>
    </row>
    <row r="97" spans="1:9" s="195" customFormat="1" ht="20" customHeight="1">
      <c r="A97" s="181">
        <v>8.6</v>
      </c>
      <c r="B97" s="644" t="s">
        <v>899</v>
      </c>
      <c r="C97" s="641" t="s">
        <v>900</v>
      </c>
      <c r="D97" s="957">
        <f>D10+D27+D44</f>
        <v>315</v>
      </c>
      <c r="E97" s="642">
        <v>0</v>
      </c>
      <c r="F97" s="642">
        <v>210</v>
      </c>
      <c r="G97" s="643">
        <f t="shared" si="18"/>
        <v>0</v>
      </c>
      <c r="H97" s="643">
        <f t="shared" si="19"/>
        <v>66150</v>
      </c>
      <c r="I97" s="194"/>
    </row>
    <row r="98" spans="1:9" s="180" customFormat="1" ht="20" customHeight="1">
      <c r="A98" s="181"/>
      <c r="B98" s="647"/>
      <c r="C98" s="648"/>
      <c r="D98" s="960"/>
      <c r="E98" s="639"/>
      <c r="F98" s="639"/>
      <c r="G98" s="642"/>
      <c r="H98" s="642"/>
      <c r="I98" s="183"/>
    </row>
    <row r="99" spans="1:9" s="180" customFormat="1" ht="20" customHeight="1">
      <c r="A99" s="178">
        <v>9</v>
      </c>
      <c r="B99" s="664" t="s">
        <v>901</v>
      </c>
      <c r="C99" s="646"/>
      <c r="D99" s="961"/>
      <c r="E99" s="665"/>
      <c r="F99" s="665"/>
      <c r="G99" s="665"/>
      <c r="H99" s="665"/>
      <c r="I99" s="183"/>
    </row>
    <row r="100" spans="1:9" s="180" customFormat="1" ht="30" customHeight="1">
      <c r="A100" s="178"/>
      <c r="B100" s="666" t="s">
        <v>902</v>
      </c>
      <c r="C100" s="646"/>
      <c r="D100" s="961"/>
      <c r="E100" s="665"/>
      <c r="F100" s="665"/>
      <c r="G100" s="665"/>
      <c r="H100" s="665"/>
      <c r="I100" s="183"/>
    </row>
    <row r="101" spans="1:9" s="180" customFormat="1" ht="20" customHeight="1">
      <c r="A101" s="181">
        <v>9.1</v>
      </c>
      <c r="B101" s="667" t="s">
        <v>775</v>
      </c>
      <c r="C101" s="668" t="s">
        <v>864</v>
      </c>
      <c r="D101" s="957">
        <v>150</v>
      </c>
      <c r="E101" s="642">
        <v>54</v>
      </c>
      <c r="F101" s="642">
        <v>24</v>
      </c>
      <c r="G101" s="643">
        <f t="shared" ref="G101:G103" si="20">IF($E101="","",IFERROR($E101*D101,""))</f>
        <v>8100</v>
      </c>
      <c r="H101" s="643">
        <f t="shared" ref="H101:H103" si="21">IF($F101="","",IFERROR($F101*D101,""))</f>
        <v>3600</v>
      </c>
      <c r="I101" s="183"/>
    </row>
    <row r="102" spans="1:9" s="180" customFormat="1" ht="20" customHeight="1">
      <c r="A102" s="181">
        <v>9.1999999999999993</v>
      </c>
      <c r="B102" s="667" t="s">
        <v>776</v>
      </c>
      <c r="C102" s="668" t="s">
        <v>864</v>
      </c>
      <c r="D102" s="957">
        <v>1100</v>
      </c>
      <c r="E102" s="642">
        <v>42</v>
      </c>
      <c r="F102" s="642">
        <v>18</v>
      </c>
      <c r="G102" s="643">
        <f t="shared" si="20"/>
        <v>46200</v>
      </c>
      <c r="H102" s="643">
        <f t="shared" si="21"/>
        <v>19800</v>
      </c>
      <c r="I102" s="183"/>
    </row>
    <row r="103" spans="1:9" s="180" customFormat="1" ht="20" customHeight="1">
      <c r="A103" s="181">
        <v>9.3000000000000007</v>
      </c>
      <c r="B103" s="667" t="s">
        <v>903</v>
      </c>
      <c r="C103" s="668" t="s">
        <v>864</v>
      </c>
      <c r="D103" s="957"/>
      <c r="E103" s="642">
        <v>36</v>
      </c>
      <c r="F103" s="642">
        <v>14</v>
      </c>
      <c r="G103" s="643">
        <f t="shared" si="20"/>
        <v>0</v>
      </c>
      <c r="H103" s="643">
        <f t="shared" si="21"/>
        <v>0</v>
      </c>
      <c r="I103" s="183"/>
    </row>
    <row r="104" spans="1:9" s="180" customFormat="1" ht="20" customHeight="1">
      <c r="A104" s="178"/>
      <c r="B104" s="647"/>
      <c r="C104" s="648"/>
      <c r="D104" s="647"/>
      <c r="E104" s="639"/>
      <c r="F104" s="639"/>
      <c r="G104" s="639"/>
      <c r="H104" s="639"/>
      <c r="I104" s="183"/>
    </row>
    <row r="105" spans="1:9" s="199" customFormat="1" ht="20" customHeight="1">
      <c r="A105" s="197"/>
      <c r="B105" s="669" t="s">
        <v>904</v>
      </c>
      <c r="C105" s="669"/>
      <c r="D105" s="669"/>
      <c r="E105" s="669"/>
      <c r="F105" s="669"/>
      <c r="G105" s="670">
        <f>SUM(G8:G104)</f>
        <v>2720115.7</v>
      </c>
      <c r="H105" s="670">
        <f>SUM(H8:H104)</f>
        <v>210281.8</v>
      </c>
      <c r="I105" s="198">
        <f>G105+H105</f>
        <v>2930397.5</v>
      </c>
    </row>
    <row r="106" spans="1:9" s="199" customFormat="1" ht="20" customHeight="1">
      <c r="A106" s="197"/>
      <c r="B106" s="669" t="s">
        <v>905</v>
      </c>
      <c r="C106" s="669"/>
      <c r="D106" s="669"/>
      <c r="E106" s="669"/>
      <c r="F106" s="669"/>
      <c r="G106" s="669"/>
      <c r="H106" s="669"/>
      <c r="I106" s="200"/>
    </row>
    <row r="107" spans="1:9" s="199" customFormat="1" ht="20" customHeight="1" thickBot="1">
      <c r="A107" s="201"/>
      <c r="B107" s="202" t="s">
        <v>906</v>
      </c>
      <c r="C107" s="202"/>
      <c r="D107" s="202"/>
      <c r="E107" s="202"/>
      <c r="F107" s="202"/>
      <c r="G107" s="202"/>
      <c r="H107" s="202"/>
      <c r="I107" s="203"/>
    </row>
    <row r="108" spans="1:9" s="209" customFormat="1" ht="15" customHeight="1">
      <c r="A108" s="204"/>
      <c r="B108" s="205"/>
      <c r="C108" s="206"/>
      <c r="D108" s="207"/>
      <c r="E108" s="207"/>
      <c r="F108" s="207"/>
      <c r="G108" s="207"/>
      <c r="H108" s="207"/>
      <c r="I108" s="208"/>
    </row>
    <row r="109" spans="1:9" s="209" customFormat="1" ht="15" customHeight="1">
      <c r="A109" s="204"/>
      <c r="B109" s="210" t="s">
        <v>400</v>
      </c>
      <c r="C109" s="206"/>
      <c r="D109" s="207"/>
      <c r="E109" s="207"/>
      <c r="F109" s="207"/>
      <c r="G109" s="207"/>
      <c r="H109" s="207"/>
      <c r="I109" s="208"/>
    </row>
    <row r="110" spans="1:9" s="209" customFormat="1" ht="15" customHeight="1">
      <c r="A110" s="204">
        <v>1</v>
      </c>
      <c r="B110" s="211" t="s">
        <v>907</v>
      </c>
      <c r="C110" s="206"/>
      <c r="D110" s="207"/>
      <c r="E110" s="207"/>
      <c r="F110" s="207"/>
      <c r="G110" s="207"/>
      <c r="H110" s="207"/>
      <c r="I110" s="208"/>
    </row>
    <row r="111" spans="1:9" s="209" customFormat="1" ht="15" customHeight="1">
      <c r="A111" s="204">
        <v>2</v>
      </c>
      <c r="B111" s="211" t="s">
        <v>908</v>
      </c>
      <c r="C111" s="206"/>
      <c r="D111" s="207"/>
      <c r="E111" s="207"/>
      <c r="F111" s="207"/>
      <c r="G111" s="207"/>
      <c r="H111" s="207"/>
      <c r="I111" s="208"/>
    </row>
    <row r="112" spans="1:9" s="209" customFormat="1" ht="15" customHeight="1">
      <c r="A112" s="204">
        <v>3</v>
      </c>
      <c r="B112" s="212" t="s">
        <v>909</v>
      </c>
      <c r="C112" s="206"/>
      <c r="D112" s="207"/>
      <c r="E112" s="207"/>
      <c r="F112" s="207"/>
      <c r="G112" s="207"/>
      <c r="H112" s="207"/>
      <c r="I112" s="208"/>
    </row>
    <row r="113" spans="1:9" s="209" customFormat="1" ht="15" customHeight="1">
      <c r="A113" s="204">
        <v>4</v>
      </c>
      <c r="B113" s="212" t="s">
        <v>910</v>
      </c>
      <c r="C113" s="206"/>
      <c r="D113" s="207"/>
      <c r="E113" s="207"/>
      <c r="F113" s="207"/>
      <c r="G113" s="207"/>
      <c r="H113" s="207"/>
      <c r="I113" s="208"/>
    </row>
    <row r="114" spans="1:9" s="209" customFormat="1" ht="15" customHeight="1">
      <c r="A114" s="204">
        <v>5</v>
      </c>
      <c r="B114" s="213" t="s">
        <v>911</v>
      </c>
      <c r="C114" s="206"/>
      <c r="D114" s="207"/>
      <c r="E114" s="207"/>
      <c r="F114" s="207"/>
      <c r="G114" s="207"/>
      <c r="H114" s="207"/>
      <c r="I114" s="208"/>
    </row>
    <row r="115" spans="1:9" s="209" customFormat="1" ht="15" customHeight="1">
      <c r="A115" s="204">
        <v>6</v>
      </c>
      <c r="B115" s="213" t="s">
        <v>912</v>
      </c>
      <c r="C115" s="206"/>
      <c r="D115" s="207"/>
      <c r="E115" s="207"/>
      <c r="F115" s="207"/>
      <c r="G115" s="207"/>
      <c r="H115" s="207"/>
      <c r="I115" s="208"/>
    </row>
    <row r="116" spans="1:9" s="209" customFormat="1" ht="15" customHeight="1">
      <c r="A116" s="204">
        <v>7</v>
      </c>
      <c r="B116" s="211" t="s">
        <v>913</v>
      </c>
      <c r="C116" s="206"/>
      <c r="D116" s="207"/>
      <c r="E116" s="207"/>
      <c r="F116" s="207"/>
      <c r="G116" s="207"/>
      <c r="H116" s="207"/>
      <c r="I116" s="208"/>
    </row>
    <row r="117" spans="1:9" s="209" customFormat="1" ht="15" customHeight="1">
      <c r="A117" s="204">
        <v>8</v>
      </c>
      <c r="B117" s="211" t="s">
        <v>914</v>
      </c>
      <c r="C117" s="206"/>
      <c r="D117" s="207"/>
      <c r="E117" s="207"/>
      <c r="F117" s="207"/>
      <c r="G117" s="207"/>
      <c r="H117" s="207"/>
      <c r="I117" s="208"/>
    </row>
    <row r="118" spans="1:9" s="209" customFormat="1" ht="15" customHeight="1">
      <c r="A118" s="204">
        <v>9</v>
      </c>
      <c r="B118" s="214" t="s">
        <v>915</v>
      </c>
      <c r="C118" s="206"/>
      <c r="D118" s="207"/>
      <c r="E118" s="207"/>
      <c r="F118" s="207"/>
      <c r="G118" s="207"/>
      <c r="H118" s="207"/>
      <c r="I118" s="208"/>
    </row>
    <row r="119" spans="1:9" s="209" customFormat="1" ht="15" customHeight="1">
      <c r="A119" s="204">
        <v>10</v>
      </c>
      <c r="B119" s="214" t="s">
        <v>916</v>
      </c>
      <c r="C119" s="206"/>
      <c r="D119" s="207"/>
      <c r="E119" s="207"/>
      <c r="F119" s="207"/>
      <c r="G119" s="207"/>
      <c r="H119" s="207"/>
      <c r="I119" s="208"/>
    </row>
    <row r="120" spans="1:9" s="209" customFormat="1" ht="15" customHeight="1">
      <c r="A120" s="204">
        <v>11</v>
      </c>
      <c r="B120" s="214" t="s">
        <v>917</v>
      </c>
      <c r="C120" s="206"/>
      <c r="D120" s="207"/>
      <c r="E120" s="207"/>
      <c r="F120" s="207"/>
      <c r="G120" s="207"/>
      <c r="H120" s="207"/>
      <c r="I120" s="208"/>
    </row>
    <row r="121" spans="1:9" s="209" customFormat="1" ht="15" customHeight="1">
      <c r="A121" s="204">
        <v>12</v>
      </c>
      <c r="B121" s="214" t="s">
        <v>918</v>
      </c>
      <c r="C121" s="206"/>
      <c r="D121" s="207"/>
      <c r="E121" s="207"/>
      <c r="F121" s="207"/>
      <c r="G121" s="207"/>
      <c r="H121" s="207"/>
      <c r="I121" s="208"/>
    </row>
    <row r="122" spans="1:9" s="209" customFormat="1" ht="15" customHeight="1">
      <c r="A122" s="204">
        <v>13</v>
      </c>
      <c r="B122" s="211" t="s">
        <v>919</v>
      </c>
      <c r="C122" s="206"/>
      <c r="D122" s="207"/>
      <c r="E122" s="207"/>
      <c r="F122" s="207"/>
      <c r="G122" s="207"/>
      <c r="H122" s="207"/>
      <c r="I122" s="208"/>
    </row>
    <row r="123" spans="1:9" s="209" customFormat="1" ht="15" customHeight="1">
      <c r="A123" s="204">
        <v>14</v>
      </c>
      <c r="B123" s="211" t="s">
        <v>920</v>
      </c>
      <c r="C123" s="206"/>
      <c r="D123" s="207"/>
      <c r="E123" s="207"/>
      <c r="F123" s="207"/>
      <c r="G123" s="207"/>
      <c r="H123" s="207"/>
      <c r="I123" s="208"/>
    </row>
    <row r="124" spans="1:9" s="209" customFormat="1" ht="15" customHeight="1">
      <c r="A124" s="204">
        <v>15</v>
      </c>
      <c r="B124" s="214" t="s">
        <v>921</v>
      </c>
      <c r="C124" s="206"/>
      <c r="D124" s="207"/>
      <c r="E124" s="207"/>
      <c r="F124" s="207"/>
      <c r="G124" s="207"/>
      <c r="H124" s="207"/>
      <c r="I124" s="208"/>
    </row>
    <row r="125" spans="1:9" s="209" customFormat="1" ht="15" customHeight="1">
      <c r="A125" s="204"/>
      <c r="B125" s="214"/>
      <c r="C125" s="206"/>
      <c r="D125" s="207"/>
      <c r="E125" s="207"/>
      <c r="F125" s="207"/>
      <c r="G125" s="207"/>
      <c r="H125" s="207"/>
      <c r="I125" s="208"/>
    </row>
    <row r="126" spans="1:9" s="209" customFormat="1" ht="15" customHeight="1">
      <c r="A126" s="204"/>
      <c r="B126" s="215" t="s">
        <v>922</v>
      </c>
      <c r="C126" s="206"/>
      <c r="D126" s="207"/>
      <c r="E126" s="207"/>
      <c r="F126" s="207"/>
      <c r="G126" s="207"/>
      <c r="H126" s="207"/>
      <c r="I126" s="208"/>
    </row>
    <row r="127" spans="1:9" s="209" customFormat="1" ht="15" customHeight="1">
      <c r="A127" s="204">
        <v>1</v>
      </c>
      <c r="B127" s="214" t="s">
        <v>923</v>
      </c>
      <c r="C127" s="206"/>
      <c r="D127" s="207"/>
      <c r="E127" s="207"/>
      <c r="F127" s="207"/>
      <c r="G127" s="207"/>
      <c r="H127" s="207"/>
      <c r="I127" s="208"/>
    </row>
    <row r="128" spans="1:9" s="209" customFormat="1" ht="15" customHeight="1">
      <c r="A128" s="204">
        <v>2</v>
      </c>
      <c r="B128" s="214" t="s">
        <v>924</v>
      </c>
      <c r="C128" s="206"/>
      <c r="D128" s="207"/>
      <c r="E128" s="207"/>
      <c r="F128" s="207"/>
      <c r="G128" s="207"/>
      <c r="H128" s="207"/>
      <c r="I128" s="208"/>
    </row>
  </sheetData>
  <mergeCells count="5">
    <mergeCell ref="A1:I1"/>
    <mergeCell ref="E6:F6"/>
    <mergeCell ref="G6:H6"/>
    <mergeCell ref="I60:I67"/>
    <mergeCell ref="I70:I78"/>
  </mergeCells>
  <pageMargins left="0.7" right="0.7" top="0.75" bottom="0.75" header="0.3" footer="0.3"/>
  <pageSetup paperSize="256" scale="44"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1B04F-6A60-4B66-B00E-D009C3AC4CBC}">
  <dimension ref="A1:I45"/>
  <sheetViews>
    <sheetView view="pageBreakPreview" zoomScale="50" zoomScaleNormal="70" zoomScaleSheetLayoutView="50" workbookViewId="0"/>
  </sheetViews>
  <sheetFormatPr defaultColWidth="9.08984375" defaultRowHeight="15.5"/>
  <cols>
    <col min="1" max="1" width="6.6328125" style="267" customWidth="1"/>
    <col min="2" max="2" width="132.453125" style="267" customWidth="1"/>
    <col min="3" max="3" width="8.08984375" style="221" customWidth="1"/>
    <col min="4" max="4" width="10.453125" style="221" customWidth="1"/>
    <col min="5" max="5" width="13.36328125" style="222" customWidth="1"/>
    <col min="6" max="6" width="14.6328125" style="222" customWidth="1"/>
    <col min="7" max="7" width="15.54296875" style="222" bestFit="1" customWidth="1"/>
    <col min="8" max="8" width="18" style="222" customWidth="1"/>
    <col min="9" max="9" width="23.81640625" style="223" customWidth="1"/>
    <col min="10" max="16384" width="9.08984375" style="223"/>
  </cols>
  <sheetData>
    <row r="1" spans="1:9" ht="16" thickBot="1">
      <c r="A1" s="219"/>
      <c r="B1" s="220"/>
    </row>
    <row r="2" spans="1:9" s="162" customFormat="1" ht="40" customHeight="1" thickBot="1">
      <c r="A2" s="1498" t="s">
        <v>925</v>
      </c>
      <c r="B2" s="1499"/>
      <c r="C2" s="1499"/>
      <c r="D2" s="1499"/>
      <c r="E2" s="1499"/>
      <c r="F2" s="1499"/>
      <c r="G2" s="1499"/>
      <c r="H2" s="1499"/>
      <c r="I2" s="1500"/>
    </row>
    <row r="3" spans="1:9" s="162" customFormat="1" ht="17.5" customHeight="1">
      <c r="A3" s="224" t="s">
        <v>1430</v>
      </c>
      <c r="B3" s="225"/>
      <c r="C3" s="226"/>
      <c r="D3" s="225"/>
      <c r="E3" s="225"/>
      <c r="F3" s="225"/>
      <c r="G3" s="225"/>
      <c r="H3" s="225" t="s">
        <v>831</v>
      </c>
      <c r="I3" s="227" t="s">
        <v>1474</v>
      </c>
    </row>
    <row r="4" spans="1:9" s="162" customFormat="1" ht="17.5" customHeight="1">
      <c r="A4" s="228" t="s">
        <v>832</v>
      </c>
      <c r="B4" s="671"/>
      <c r="C4" s="672"/>
      <c r="D4" s="671"/>
      <c r="E4" s="671"/>
      <c r="F4" s="671"/>
      <c r="G4" s="671"/>
      <c r="H4" s="671" t="s">
        <v>833</v>
      </c>
      <c r="I4" s="229" t="s">
        <v>379</v>
      </c>
    </row>
    <row r="5" spans="1:9" s="162" customFormat="1" ht="17.5" customHeight="1" thickBot="1">
      <c r="A5" s="230" t="s">
        <v>834</v>
      </c>
      <c r="B5" s="231"/>
      <c r="C5" s="232"/>
      <c r="D5" s="231"/>
      <c r="E5" s="231"/>
      <c r="F5" s="231"/>
      <c r="G5" s="231"/>
      <c r="H5" s="231" t="s">
        <v>835</v>
      </c>
      <c r="I5" s="233"/>
    </row>
    <row r="6" spans="1:9" s="162" customFormat="1" ht="17.5" customHeight="1" thickBot="1">
      <c r="A6" s="234"/>
      <c r="B6" s="235"/>
      <c r="C6" s="236"/>
      <c r="D6" s="235"/>
      <c r="E6" s="237"/>
      <c r="F6" s="238"/>
      <c r="G6" s="237"/>
      <c r="H6" s="238"/>
      <c r="I6" s="237"/>
    </row>
    <row r="7" spans="1:9" s="239" customFormat="1" ht="20" customHeight="1">
      <c r="A7" s="1501" t="s">
        <v>819</v>
      </c>
      <c r="B7" s="1497" t="s">
        <v>2</v>
      </c>
      <c r="C7" s="1497" t="s">
        <v>12</v>
      </c>
      <c r="D7" s="1497" t="s">
        <v>13</v>
      </c>
      <c r="E7" s="1497" t="s">
        <v>14</v>
      </c>
      <c r="F7" s="1497"/>
      <c r="G7" s="1497" t="s">
        <v>9</v>
      </c>
      <c r="H7" s="1497"/>
      <c r="I7" s="504" t="s">
        <v>428</v>
      </c>
    </row>
    <row r="8" spans="1:9" s="239" customFormat="1" ht="20" customHeight="1">
      <c r="A8" s="1502"/>
      <c r="B8" s="1503"/>
      <c r="C8" s="1503"/>
      <c r="D8" s="1503"/>
      <c r="E8" s="673" t="s">
        <v>470</v>
      </c>
      <c r="F8" s="673" t="s">
        <v>28</v>
      </c>
      <c r="G8" s="673" t="s">
        <v>470</v>
      </c>
      <c r="H8" s="673" t="s">
        <v>28</v>
      </c>
      <c r="I8" s="505"/>
    </row>
    <row r="9" spans="1:9" s="242" customFormat="1" ht="100" customHeight="1">
      <c r="A9" s="240" t="s">
        <v>820</v>
      </c>
      <c r="B9" s="674" t="s">
        <v>926</v>
      </c>
      <c r="C9" s="675" t="s">
        <v>16</v>
      </c>
      <c r="D9" s="1601">
        <f>85*0</f>
        <v>0</v>
      </c>
      <c r="E9" s="675">
        <v>6000</v>
      </c>
      <c r="F9" s="675">
        <v>240</v>
      </c>
      <c r="G9" s="676">
        <f t="shared" ref="G9:H22" si="0">IF($D9="","",IFERROR($D9*E9,""))</f>
        <v>0</v>
      </c>
      <c r="H9" s="676">
        <f t="shared" si="0"/>
        <v>0</v>
      </c>
      <c r="I9" s="241"/>
    </row>
    <row r="10" spans="1:9" s="242" customFormat="1" ht="88.25" customHeight="1">
      <c r="A10" s="240" t="s">
        <v>821</v>
      </c>
      <c r="B10" s="674" t="s">
        <v>927</v>
      </c>
      <c r="C10" s="675" t="s">
        <v>16</v>
      </c>
      <c r="D10" s="1601">
        <f>1*0</f>
        <v>0</v>
      </c>
      <c r="E10" s="675">
        <v>17400</v>
      </c>
      <c r="F10" s="675">
        <v>900</v>
      </c>
      <c r="G10" s="676">
        <f t="shared" si="0"/>
        <v>0</v>
      </c>
      <c r="H10" s="676">
        <f t="shared" si="0"/>
        <v>0</v>
      </c>
      <c r="I10" s="241"/>
    </row>
    <row r="11" spans="1:9" s="243" customFormat="1" ht="139.5">
      <c r="A11" s="240" t="s">
        <v>822</v>
      </c>
      <c r="B11" s="674" t="s">
        <v>929</v>
      </c>
      <c r="C11" s="675" t="s">
        <v>930</v>
      </c>
      <c r="D11" s="1601">
        <f>3*0</f>
        <v>0</v>
      </c>
      <c r="E11" s="675">
        <v>78000</v>
      </c>
      <c r="F11" s="675">
        <v>4200</v>
      </c>
      <c r="G11" s="676">
        <f t="shared" si="0"/>
        <v>0</v>
      </c>
      <c r="H11" s="676">
        <f t="shared" si="0"/>
        <v>0</v>
      </c>
      <c r="I11" s="241"/>
    </row>
    <row r="12" spans="1:9" s="243" customFormat="1" ht="170" customHeight="1">
      <c r="A12" s="240" t="s">
        <v>823</v>
      </c>
      <c r="B12" s="674" t="s">
        <v>931</v>
      </c>
      <c r="C12" s="675" t="s">
        <v>930</v>
      </c>
      <c r="D12" s="1601">
        <f>1*0</f>
        <v>0</v>
      </c>
      <c r="E12" s="675">
        <v>54000</v>
      </c>
      <c r="F12" s="675">
        <v>4200</v>
      </c>
      <c r="G12" s="676">
        <f t="shared" si="0"/>
        <v>0</v>
      </c>
      <c r="H12" s="676">
        <f t="shared" si="0"/>
        <v>0</v>
      </c>
      <c r="I12" s="241"/>
    </row>
    <row r="13" spans="1:9" s="243" customFormat="1" ht="30" customHeight="1">
      <c r="A13" s="240" t="s">
        <v>824</v>
      </c>
      <c r="B13" s="677" t="s">
        <v>932</v>
      </c>
      <c r="C13" s="675" t="s">
        <v>933</v>
      </c>
      <c r="D13" s="1601">
        <f>85*75</f>
        <v>6375</v>
      </c>
      <c r="E13" s="675">
        <v>72</v>
      </c>
      <c r="F13" s="675">
        <v>14</v>
      </c>
      <c r="G13" s="676">
        <f t="shared" si="0"/>
        <v>459000</v>
      </c>
      <c r="H13" s="676">
        <f t="shared" si="0"/>
        <v>89250</v>
      </c>
      <c r="I13" s="244"/>
    </row>
    <row r="14" spans="1:9" s="243" customFormat="1" ht="30" customHeight="1">
      <c r="A14" s="240" t="s">
        <v>672</v>
      </c>
      <c r="B14" s="677" t="s">
        <v>934</v>
      </c>
      <c r="C14" s="675" t="s">
        <v>16</v>
      </c>
      <c r="D14" s="1601">
        <v>86</v>
      </c>
      <c r="E14" s="675">
        <v>420</v>
      </c>
      <c r="F14" s="675">
        <v>60</v>
      </c>
      <c r="G14" s="676">
        <f t="shared" si="0"/>
        <v>36120</v>
      </c>
      <c r="H14" s="676">
        <f t="shared" si="0"/>
        <v>5160</v>
      </c>
      <c r="I14" s="245"/>
    </row>
    <row r="15" spans="1:9" s="243" customFormat="1" ht="35" customHeight="1">
      <c r="A15" s="240" t="s">
        <v>825</v>
      </c>
      <c r="B15" s="678" t="s">
        <v>935</v>
      </c>
      <c r="C15" s="675" t="s">
        <v>630</v>
      </c>
      <c r="D15" s="1601">
        <f>4</f>
        <v>4</v>
      </c>
      <c r="E15" s="675">
        <v>14256</v>
      </c>
      <c r="F15" s="675">
        <v>2484</v>
      </c>
      <c r="G15" s="676">
        <f t="shared" si="0"/>
        <v>57024</v>
      </c>
      <c r="H15" s="676">
        <f t="shared" si="0"/>
        <v>9936</v>
      </c>
      <c r="I15" s="244"/>
    </row>
    <row r="16" spans="1:9" s="243" customFormat="1" ht="35" customHeight="1">
      <c r="A16" s="240" t="s">
        <v>743</v>
      </c>
      <c r="B16" s="678" t="s">
        <v>936</v>
      </c>
      <c r="C16" s="675" t="s">
        <v>933</v>
      </c>
      <c r="D16" s="1601">
        <v>0</v>
      </c>
      <c r="E16" s="675">
        <v>4200</v>
      </c>
      <c r="F16" s="675">
        <v>360</v>
      </c>
      <c r="G16" s="676">
        <f t="shared" si="0"/>
        <v>0</v>
      </c>
      <c r="H16" s="676">
        <f t="shared" si="0"/>
        <v>0</v>
      </c>
      <c r="I16" s="244"/>
    </row>
    <row r="17" spans="1:9" s="243" customFormat="1" ht="35" customHeight="1">
      <c r="A17" s="240" t="s">
        <v>771</v>
      </c>
      <c r="B17" s="677" t="s">
        <v>937</v>
      </c>
      <c r="C17" s="675" t="s">
        <v>930</v>
      </c>
      <c r="D17" s="1601">
        <v>0</v>
      </c>
      <c r="E17" s="675">
        <v>252</v>
      </c>
      <c r="F17" s="675">
        <v>12</v>
      </c>
      <c r="G17" s="676">
        <f t="shared" si="0"/>
        <v>0</v>
      </c>
      <c r="H17" s="676">
        <f t="shared" si="0"/>
        <v>0</v>
      </c>
      <c r="I17" s="245"/>
    </row>
    <row r="18" spans="1:9" s="243" customFormat="1" ht="35" customHeight="1">
      <c r="A18" s="240" t="s">
        <v>785</v>
      </c>
      <c r="B18" s="677" t="s">
        <v>938</v>
      </c>
      <c r="C18" s="675" t="s">
        <v>930</v>
      </c>
      <c r="D18" s="1601">
        <f>86*2</f>
        <v>172</v>
      </c>
      <c r="E18" s="675">
        <v>374</v>
      </c>
      <c r="F18" s="675">
        <v>18</v>
      </c>
      <c r="G18" s="676">
        <f t="shared" si="0"/>
        <v>64328</v>
      </c>
      <c r="H18" s="676">
        <f t="shared" si="0"/>
        <v>3096</v>
      </c>
      <c r="I18" s="245"/>
    </row>
    <row r="19" spans="1:9" s="243" customFormat="1" ht="35" customHeight="1">
      <c r="A19" s="240" t="s">
        <v>793</v>
      </c>
      <c r="B19" s="677" t="s">
        <v>939</v>
      </c>
      <c r="C19" s="675" t="s">
        <v>930</v>
      </c>
      <c r="D19" s="1601">
        <v>0</v>
      </c>
      <c r="E19" s="675">
        <v>18000</v>
      </c>
      <c r="F19" s="675">
        <v>0</v>
      </c>
      <c r="G19" s="676">
        <f t="shared" si="0"/>
        <v>0</v>
      </c>
      <c r="H19" s="676">
        <f t="shared" si="0"/>
        <v>0</v>
      </c>
      <c r="I19" s="1602"/>
    </row>
    <row r="20" spans="1:9" s="243" customFormat="1" ht="35" customHeight="1">
      <c r="A20" s="240" t="s">
        <v>941</v>
      </c>
      <c r="B20" s="677" t="s">
        <v>942</v>
      </c>
      <c r="C20" s="675" t="s">
        <v>930</v>
      </c>
      <c r="D20" s="1601">
        <v>0</v>
      </c>
      <c r="E20" s="675">
        <v>54000</v>
      </c>
      <c r="F20" s="675">
        <v>2400</v>
      </c>
      <c r="G20" s="676">
        <f t="shared" si="0"/>
        <v>0</v>
      </c>
      <c r="H20" s="676">
        <f t="shared" si="0"/>
        <v>0</v>
      </c>
      <c r="I20" s="1602"/>
    </row>
    <row r="21" spans="1:9" s="243" customFormat="1" ht="35" customHeight="1">
      <c r="A21" s="240" t="s">
        <v>943</v>
      </c>
      <c r="B21" s="677" t="s">
        <v>944</v>
      </c>
      <c r="C21" s="675" t="s">
        <v>930</v>
      </c>
      <c r="D21" s="1601">
        <v>0</v>
      </c>
      <c r="E21" s="675">
        <v>42000</v>
      </c>
      <c r="F21" s="675">
        <v>1200</v>
      </c>
      <c r="G21" s="676">
        <f t="shared" si="0"/>
        <v>0</v>
      </c>
      <c r="H21" s="676">
        <f t="shared" si="0"/>
        <v>0</v>
      </c>
      <c r="I21" s="1602"/>
    </row>
    <row r="22" spans="1:9" s="243" customFormat="1" ht="30" customHeight="1">
      <c r="A22" s="240" t="s">
        <v>945</v>
      </c>
      <c r="B22" s="677" t="s">
        <v>946</v>
      </c>
      <c r="C22" s="675" t="s">
        <v>930</v>
      </c>
      <c r="D22" s="1601">
        <v>0</v>
      </c>
      <c r="E22" s="675">
        <v>9000</v>
      </c>
      <c r="F22" s="675">
        <v>240</v>
      </c>
      <c r="G22" s="676">
        <f t="shared" si="0"/>
        <v>0</v>
      </c>
      <c r="H22" s="676">
        <f t="shared" si="0"/>
        <v>0</v>
      </c>
      <c r="I22" s="244"/>
    </row>
    <row r="23" spans="1:9" s="248" customFormat="1" ht="20" customHeight="1">
      <c r="A23" s="246">
        <v>15</v>
      </c>
      <c r="B23" s="679" t="s">
        <v>901</v>
      </c>
      <c r="C23" s="680"/>
      <c r="D23" s="1601"/>
      <c r="E23" s="681"/>
      <c r="F23" s="681"/>
      <c r="G23" s="681"/>
      <c r="H23" s="681"/>
      <c r="I23" s="247"/>
    </row>
    <row r="24" spans="1:9" s="248" customFormat="1" ht="30" customHeight="1">
      <c r="A24" s="249"/>
      <c r="B24" s="682" t="s">
        <v>902</v>
      </c>
      <c r="C24" s="680"/>
      <c r="D24" s="1601"/>
      <c r="E24" s="681"/>
      <c r="F24" s="681"/>
      <c r="G24" s="681"/>
      <c r="H24" s="681"/>
      <c r="I24" s="247"/>
    </row>
    <row r="25" spans="1:9" s="248" customFormat="1" ht="20" customHeight="1">
      <c r="A25" s="246" t="s">
        <v>385</v>
      </c>
      <c r="B25" s="683" t="s">
        <v>775</v>
      </c>
      <c r="C25" s="684" t="s">
        <v>864</v>
      </c>
      <c r="D25" s="1601">
        <v>0</v>
      </c>
      <c r="E25" s="675">
        <v>54</v>
      </c>
      <c r="F25" s="675">
        <v>24</v>
      </c>
      <c r="G25" s="676">
        <f t="shared" ref="G25:H30" si="1">IF($D25="","",IFERROR($D25*E25,""))</f>
        <v>0</v>
      </c>
      <c r="H25" s="676">
        <f t="shared" si="1"/>
        <v>0</v>
      </c>
      <c r="I25" s="247"/>
    </row>
    <row r="26" spans="1:9" s="248" customFormat="1" ht="20" customHeight="1">
      <c r="A26" s="246" t="s">
        <v>387</v>
      </c>
      <c r="B26" s="683" t="s">
        <v>776</v>
      </c>
      <c r="C26" s="684" t="s">
        <v>864</v>
      </c>
      <c r="D26" s="1601">
        <v>300</v>
      </c>
      <c r="E26" s="675">
        <v>42</v>
      </c>
      <c r="F26" s="675">
        <v>18</v>
      </c>
      <c r="G26" s="676">
        <f t="shared" si="1"/>
        <v>12600</v>
      </c>
      <c r="H26" s="676">
        <f t="shared" si="1"/>
        <v>5400</v>
      </c>
      <c r="I26" s="247"/>
    </row>
    <row r="27" spans="1:9" s="248" customFormat="1" ht="20" customHeight="1">
      <c r="A27" s="246" t="s">
        <v>388</v>
      </c>
      <c r="B27" s="683" t="s">
        <v>903</v>
      </c>
      <c r="C27" s="684" t="s">
        <v>864</v>
      </c>
      <c r="D27" s="1601">
        <v>0</v>
      </c>
      <c r="E27" s="675">
        <v>36</v>
      </c>
      <c r="F27" s="675">
        <v>14</v>
      </c>
      <c r="G27" s="676">
        <f t="shared" si="1"/>
        <v>0</v>
      </c>
      <c r="H27" s="676">
        <f t="shared" si="1"/>
        <v>0</v>
      </c>
      <c r="I27" s="247"/>
    </row>
    <row r="28" spans="1:9" s="243" customFormat="1" ht="33.65" customHeight="1">
      <c r="A28" s="240" t="s">
        <v>947</v>
      </c>
      <c r="B28" s="677" t="s">
        <v>948</v>
      </c>
      <c r="C28" s="675" t="s">
        <v>930</v>
      </c>
      <c r="D28" s="1601">
        <f>35*0</f>
        <v>0</v>
      </c>
      <c r="E28" s="675">
        <v>1440</v>
      </c>
      <c r="F28" s="675">
        <v>360</v>
      </c>
      <c r="G28" s="676">
        <f t="shared" si="1"/>
        <v>0</v>
      </c>
      <c r="H28" s="676">
        <f t="shared" si="1"/>
        <v>0</v>
      </c>
      <c r="I28" s="244"/>
    </row>
    <row r="29" spans="1:9" s="243" customFormat="1" ht="33" customHeight="1">
      <c r="A29" s="240" t="s">
        <v>949</v>
      </c>
      <c r="B29" s="677" t="s">
        <v>950</v>
      </c>
      <c r="C29" s="675" t="s">
        <v>930</v>
      </c>
      <c r="D29" s="1601">
        <v>0</v>
      </c>
      <c r="E29" s="675">
        <v>9000</v>
      </c>
      <c r="F29" s="675">
        <v>600</v>
      </c>
      <c r="G29" s="676">
        <f t="shared" si="1"/>
        <v>0</v>
      </c>
      <c r="H29" s="676">
        <f t="shared" si="1"/>
        <v>0</v>
      </c>
      <c r="I29" s="244"/>
    </row>
    <row r="30" spans="1:9" s="248" customFormat="1" ht="30" customHeight="1">
      <c r="A30" s="246">
        <v>18</v>
      </c>
      <c r="B30" s="682" t="s">
        <v>951</v>
      </c>
      <c r="C30" s="675" t="s">
        <v>78</v>
      </c>
      <c r="D30" s="1601">
        <v>0</v>
      </c>
      <c r="E30" s="675">
        <v>0</v>
      </c>
      <c r="F30" s="675">
        <v>90000</v>
      </c>
      <c r="G30" s="676">
        <f t="shared" si="1"/>
        <v>0</v>
      </c>
      <c r="H30" s="676">
        <f t="shared" si="1"/>
        <v>0</v>
      </c>
      <c r="I30" s="244"/>
    </row>
    <row r="31" spans="1:9" s="248" customFormat="1" ht="30" customHeight="1">
      <c r="A31" s="246"/>
      <c r="B31" s="682"/>
      <c r="C31" s="675"/>
      <c r="D31" s="675"/>
      <c r="E31" s="675"/>
      <c r="F31" s="675"/>
      <c r="G31" s="685"/>
      <c r="H31" s="685"/>
      <c r="I31" s="244"/>
    </row>
    <row r="32" spans="1:9" s="252" customFormat="1" ht="22.5" customHeight="1">
      <c r="A32" s="250"/>
      <c r="B32" s="686" t="s">
        <v>904</v>
      </c>
      <c r="C32" s="686"/>
      <c r="D32" s="686"/>
      <c r="E32" s="686"/>
      <c r="F32" s="687"/>
      <c r="G32" s="1434">
        <f>SUM(G9:G30)</f>
        <v>629072</v>
      </c>
      <c r="H32" s="1434">
        <f>SUM(H9:H30)</f>
        <v>112842</v>
      </c>
      <c r="I32" s="1435">
        <f>G32+H32</f>
        <v>741914</v>
      </c>
    </row>
    <row r="33" spans="1:9" s="252" customFormat="1" ht="22.5" customHeight="1">
      <c r="A33" s="250"/>
      <c r="B33" s="686" t="s">
        <v>905</v>
      </c>
      <c r="C33" s="686"/>
      <c r="D33" s="686"/>
      <c r="E33" s="686"/>
      <c r="F33" s="687"/>
      <c r="G33" s="687"/>
      <c r="H33" s="687"/>
      <c r="I33" s="253"/>
    </row>
    <row r="34" spans="1:9" s="252" customFormat="1" ht="22.5" customHeight="1">
      <c r="A34" s="250"/>
      <c r="B34" s="686" t="s">
        <v>952</v>
      </c>
      <c r="C34" s="686"/>
      <c r="D34" s="686"/>
      <c r="E34" s="686"/>
      <c r="F34" s="687"/>
      <c r="G34" s="687"/>
      <c r="H34" s="687"/>
      <c r="I34" s="253"/>
    </row>
    <row r="35" spans="1:9" s="256" customFormat="1" ht="30" customHeight="1">
      <c r="A35" s="254"/>
      <c r="B35" s="689"/>
      <c r="C35" s="690"/>
      <c r="D35" s="690"/>
      <c r="E35" s="691"/>
      <c r="F35" s="691"/>
      <c r="G35" s="691"/>
      <c r="H35" s="691"/>
      <c r="I35" s="255"/>
    </row>
    <row r="36" spans="1:9" s="259" customFormat="1" ht="20" customHeight="1">
      <c r="A36" s="257"/>
      <c r="B36" s="692" t="s">
        <v>953</v>
      </c>
      <c r="C36" s="692"/>
      <c r="D36" s="692"/>
      <c r="E36" s="693"/>
      <c r="F36" s="693"/>
      <c r="G36" s="693"/>
      <c r="H36" s="693"/>
      <c r="I36" s="258"/>
    </row>
    <row r="37" spans="1:9" s="261" customFormat="1" ht="20" customHeight="1">
      <c r="A37" s="257"/>
      <c r="B37" s="694" t="s">
        <v>954</v>
      </c>
      <c r="C37" s="694"/>
      <c r="D37" s="694"/>
      <c r="E37" s="695"/>
      <c r="F37" s="695"/>
      <c r="G37" s="695"/>
      <c r="H37" s="695"/>
      <c r="I37" s="260"/>
    </row>
    <row r="38" spans="1:9" s="264" customFormat="1" ht="20" customHeight="1">
      <c r="A38" s="262"/>
      <c r="B38" s="694" t="s">
        <v>955</v>
      </c>
      <c r="C38" s="694"/>
      <c r="D38" s="694"/>
      <c r="E38" s="695"/>
      <c r="F38" s="695"/>
      <c r="G38" s="695"/>
      <c r="H38" s="695"/>
      <c r="I38" s="263"/>
    </row>
    <row r="39" spans="1:9" s="264" customFormat="1" ht="20" customHeight="1">
      <c r="A39" s="262"/>
      <c r="B39" s="694" t="s">
        <v>956</v>
      </c>
      <c r="C39" s="694"/>
      <c r="D39" s="694"/>
      <c r="E39" s="695"/>
      <c r="F39" s="695"/>
      <c r="G39" s="695"/>
      <c r="H39" s="695"/>
      <c r="I39" s="263"/>
    </row>
    <row r="40" spans="1:9" s="264" customFormat="1" ht="20" customHeight="1">
      <c r="A40" s="262"/>
      <c r="B40" s="696" t="s">
        <v>924</v>
      </c>
      <c r="C40" s="694"/>
      <c r="D40" s="694"/>
      <c r="E40" s="695"/>
      <c r="F40" s="695"/>
      <c r="G40" s="695"/>
      <c r="H40" s="695"/>
      <c r="I40" s="263"/>
    </row>
    <row r="41" spans="1:9" s="264" customFormat="1" ht="20" customHeight="1">
      <c r="A41" s="262"/>
      <c r="B41" s="696"/>
      <c r="C41" s="694"/>
      <c r="D41" s="694"/>
      <c r="E41" s="695"/>
      <c r="F41" s="695"/>
      <c r="G41" s="695"/>
      <c r="H41" s="695"/>
      <c r="I41" s="263"/>
    </row>
    <row r="42" spans="1:9" s="267" customFormat="1" ht="20" customHeight="1">
      <c r="A42" s="265"/>
      <c r="B42" s="692" t="s">
        <v>957</v>
      </c>
      <c r="C42" s="694"/>
      <c r="D42" s="694"/>
      <c r="E42" s="695"/>
      <c r="F42" s="695"/>
      <c r="G42" s="695"/>
      <c r="H42" s="695"/>
      <c r="I42" s="266"/>
    </row>
    <row r="43" spans="1:9" s="267" customFormat="1" ht="20" customHeight="1">
      <c r="A43" s="265"/>
      <c r="B43" s="694" t="s">
        <v>958</v>
      </c>
      <c r="C43" s="692"/>
      <c r="D43" s="692"/>
      <c r="E43" s="693"/>
      <c r="F43" s="693"/>
      <c r="G43" s="693"/>
      <c r="H43" s="693"/>
      <c r="I43" s="266"/>
    </row>
    <row r="44" spans="1:9" s="267" customFormat="1" ht="20" customHeight="1">
      <c r="A44" s="265"/>
      <c r="B44" s="692" t="s">
        <v>62</v>
      </c>
      <c r="C44" s="694"/>
      <c r="D44" s="694"/>
      <c r="E44" s="695"/>
      <c r="F44" s="695"/>
      <c r="G44" s="695"/>
      <c r="H44" s="695"/>
      <c r="I44" s="266"/>
    </row>
    <row r="45" spans="1:9" s="267" customFormat="1" ht="20" customHeight="1" thickBot="1">
      <c r="A45" s="268"/>
      <c r="B45" s="269" t="s">
        <v>959</v>
      </c>
      <c r="C45" s="269"/>
      <c r="D45" s="269"/>
      <c r="E45" s="270"/>
      <c r="F45" s="270"/>
      <c r="G45" s="270"/>
      <c r="H45" s="270"/>
      <c r="I45" s="271"/>
    </row>
  </sheetData>
  <protectedRanges>
    <protectedRange sqref="E7:H8" name="Range1_3"/>
    <protectedRange sqref="B15:B16" name="Range1_7"/>
    <protectedRange sqref="B22" name="Range1_1_1_1_4"/>
    <protectedRange sqref="B13:B14 B28 B17:B18" name="Range1_1_1_1_1_3"/>
    <protectedRange sqref="D31" name="Range1_8"/>
    <protectedRange sqref="E25:F30 E9:F22" name="Range1_3_1_1"/>
    <protectedRange sqref="E31" name="Range1_1_2_1_1"/>
    <protectedRange sqref="G9 G25:G28 G30:G31 G11:G22" name="Range1_2_1_1"/>
    <protectedRange sqref="C28 C17:C22 C9 C30:C31 C11:C12 C14" name="Range1_9"/>
    <protectedRange sqref="C15:C16 C13" name="Range1_1_2_2"/>
    <protectedRange sqref="A1:D6" name="Range1_2_1"/>
    <protectedRange sqref="B21" name="Range1_4_1_3"/>
    <protectedRange sqref="B19" name="Range1_1_1_1_4_1"/>
    <protectedRange sqref="B20" name="Range1_1_1_1_4_3"/>
    <protectedRange sqref="B30:B31" name="Range1_7_1"/>
    <protectedRange sqref="C10" name="Range1_9_1"/>
    <protectedRange sqref="G10" name="Range1_2_1_1_3"/>
    <protectedRange sqref="B29" name="Range1_1_1_1_1_3_1"/>
    <protectedRange sqref="C29" name="Range1_9_2"/>
    <protectedRange sqref="G29" name="Range1_2_1_1_3_1"/>
  </protectedRanges>
  <mergeCells count="8">
    <mergeCell ref="I19:I21"/>
    <mergeCell ref="A2:I2"/>
    <mergeCell ref="A7:A8"/>
    <mergeCell ref="B7:B8"/>
    <mergeCell ref="C7:C8"/>
    <mergeCell ref="D7:D8"/>
    <mergeCell ref="E7:F7"/>
    <mergeCell ref="G7:H7"/>
  </mergeCells>
  <pageMargins left="0.7" right="0.7" top="0.75" bottom="0.75" header="0.3" footer="0.3"/>
  <pageSetup paperSize="256" scale="36"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B346C-6644-4863-B047-500FC4577C89}">
  <dimension ref="A1:I44"/>
  <sheetViews>
    <sheetView topLeftCell="A16" zoomScale="50" zoomScaleNormal="50" workbookViewId="0">
      <selection activeCell="B5" sqref="B5"/>
    </sheetView>
  </sheetViews>
  <sheetFormatPr defaultColWidth="9.08984375" defaultRowHeight="15.5"/>
  <cols>
    <col min="1" max="1" width="6.6328125" style="267" customWidth="1"/>
    <col min="2" max="2" width="132.453125" style="267" customWidth="1"/>
    <col min="3" max="3" width="8.08984375" style="221" customWidth="1"/>
    <col min="4" max="4" width="10.453125" style="221" customWidth="1"/>
    <col min="5" max="5" width="13.36328125" style="222" customWidth="1"/>
    <col min="6" max="6" width="14.6328125" style="222" customWidth="1"/>
    <col min="7" max="7" width="15.54296875" style="222" bestFit="1" customWidth="1"/>
    <col min="8" max="8" width="18" style="222" customWidth="1"/>
    <col min="9" max="9" width="23.81640625" style="223" customWidth="1"/>
    <col min="10" max="16384" width="9.08984375" style="223"/>
  </cols>
  <sheetData>
    <row r="1" spans="1:9" ht="16" thickBot="1">
      <c r="A1" s="219"/>
      <c r="B1" s="220"/>
    </row>
    <row r="2" spans="1:9" s="162" customFormat="1" ht="40" customHeight="1" thickBot="1">
      <c r="A2" s="1498" t="s">
        <v>925</v>
      </c>
      <c r="B2" s="1499"/>
      <c r="C2" s="1499"/>
      <c r="D2" s="1499"/>
      <c r="E2" s="1499"/>
      <c r="F2" s="1499"/>
      <c r="G2" s="1499"/>
      <c r="H2" s="1499"/>
      <c r="I2" s="1500"/>
    </row>
    <row r="3" spans="1:9" s="162" customFormat="1" ht="17.5" customHeight="1">
      <c r="A3" s="224" t="s">
        <v>1430</v>
      </c>
      <c r="B3" s="225"/>
      <c r="C3" s="226"/>
      <c r="D3" s="225"/>
      <c r="E3" s="225"/>
      <c r="F3" s="225"/>
      <c r="G3" s="225"/>
      <c r="H3" s="225" t="s">
        <v>831</v>
      </c>
      <c r="I3" s="227" t="s">
        <v>1474</v>
      </c>
    </row>
    <row r="4" spans="1:9" s="162" customFormat="1" ht="17.5" customHeight="1">
      <c r="A4" s="228" t="s">
        <v>832</v>
      </c>
      <c r="B4" s="671"/>
      <c r="C4" s="672"/>
      <c r="D4" s="671"/>
      <c r="E4" s="671"/>
      <c r="F4" s="671"/>
      <c r="G4" s="671"/>
      <c r="H4" s="671" t="s">
        <v>833</v>
      </c>
      <c r="I4" s="229" t="s">
        <v>379</v>
      </c>
    </row>
    <row r="5" spans="1:9" s="162" customFormat="1" ht="17.5" customHeight="1" thickBot="1">
      <c r="A5" s="230" t="s">
        <v>834</v>
      </c>
      <c r="B5" s="231"/>
      <c r="C5" s="232"/>
      <c r="D5" s="231"/>
      <c r="E5" s="231"/>
      <c r="F5" s="231"/>
      <c r="G5" s="231"/>
      <c r="H5" s="231" t="s">
        <v>835</v>
      </c>
      <c r="I5" s="233"/>
    </row>
    <row r="6" spans="1:9" s="162" customFormat="1" ht="17.5" customHeight="1" thickBot="1">
      <c r="A6" s="234"/>
      <c r="B6" s="235"/>
      <c r="C6" s="236"/>
      <c r="D6" s="235"/>
      <c r="E6" s="237"/>
      <c r="F6" s="238"/>
      <c r="G6" s="237"/>
      <c r="H6" s="238"/>
      <c r="I6" s="237"/>
    </row>
    <row r="7" spans="1:9" s="239" customFormat="1" ht="20" customHeight="1">
      <c r="A7" s="1501" t="s">
        <v>819</v>
      </c>
      <c r="B7" s="1497" t="s">
        <v>2</v>
      </c>
      <c r="C7" s="1497" t="s">
        <v>12</v>
      </c>
      <c r="D7" s="1497" t="s">
        <v>13</v>
      </c>
      <c r="E7" s="1497" t="s">
        <v>14</v>
      </c>
      <c r="F7" s="1497"/>
      <c r="G7" s="1497" t="s">
        <v>9</v>
      </c>
      <c r="H7" s="1497"/>
      <c r="I7" s="1432" t="s">
        <v>428</v>
      </c>
    </row>
    <row r="8" spans="1:9" s="239" customFormat="1" ht="20" customHeight="1">
      <c r="A8" s="1502"/>
      <c r="B8" s="1503"/>
      <c r="C8" s="1503"/>
      <c r="D8" s="1503"/>
      <c r="E8" s="1431" t="s">
        <v>470</v>
      </c>
      <c r="F8" s="1431" t="s">
        <v>28</v>
      </c>
      <c r="G8" s="1431" t="s">
        <v>470</v>
      </c>
      <c r="H8" s="1431" t="s">
        <v>28</v>
      </c>
      <c r="I8" s="1433"/>
    </row>
    <row r="9" spans="1:9" s="242" customFormat="1" ht="100" customHeight="1">
      <c r="A9" s="240" t="s">
        <v>820</v>
      </c>
      <c r="B9" s="674" t="s">
        <v>926</v>
      </c>
      <c r="C9" s="675" t="s">
        <v>16</v>
      </c>
      <c r="D9" s="1601">
        <f>85</f>
        <v>85</v>
      </c>
      <c r="E9" s="675"/>
      <c r="F9" s="675"/>
      <c r="G9" s="676">
        <f t="shared" ref="G9:H22" si="0">IF($D9="","",IFERROR($D9*E9,""))</f>
        <v>0</v>
      </c>
      <c r="H9" s="676">
        <f t="shared" si="0"/>
        <v>0</v>
      </c>
      <c r="I9" s="241" t="s">
        <v>940</v>
      </c>
    </row>
    <row r="10" spans="1:9" s="242" customFormat="1" ht="88.25" customHeight="1">
      <c r="A10" s="240" t="s">
        <v>821</v>
      </c>
      <c r="B10" s="674" t="s">
        <v>927</v>
      </c>
      <c r="C10" s="675" t="s">
        <v>16</v>
      </c>
      <c r="D10" s="1601">
        <v>1</v>
      </c>
      <c r="E10" s="675"/>
      <c r="F10" s="675"/>
      <c r="G10" s="676">
        <f t="shared" si="0"/>
        <v>0</v>
      </c>
      <c r="H10" s="676">
        <f t="shared" si="0"/>
        <v>0</v>
      </c>
      <c r="I10" s="241" t="s">
        <v>928</v>
      </c>
    </row>
    <row r="11" spans="1:9" s="243" customFormat="1" ht="139.5">
      <c r="A11" s="240" t="s">
        <v>822</v>
      </c>
      <c r="B11" s="674" t="s">
        <v>929</v>
      </c>
      <c r="C11" s="675" t="s">
        <v>930</v>
      </c>
      <c r="D11" s="1601">
        <v>5</v>
      </c>
      <c r="E11" s="675"/>
      <c r="F11" s="675"/>
      <c r="G11" s="676">
        <f t="shared" si="0"/>
        <v>0</v>
      </c>
      <c r="H11" s="676">
        <f t="shared" si="0"/>
        <v>0</v>
      </c>
      <c r="I11" s="241" t="s">
        <v>940</v>
      </c>
    </row>
    <row r="12" spans="1:9" s="243" customFormat="1" ht="170" customHeight="1">
      <c r="A12" s="240" t="s">
        <v>823</v>
      </c>
      <c r="B12" s="674" t="s">
        <v>931</v>
      </c>
      <c r="C12" s="675" t="s">
        <v>930</v>
      </c>
      <c r="D12" s="1601">
        <f>1</f>
        <v>1</v>
      </c>
      <c r="E12" s="675"/>
      <c r="F12" s="675"/>
      <c r="G12" s="676">
        <f t="shared" si="0"/>
        <v>0</v>
      </c>
      <c r="H12" s="676">
        <f t="shared" si="0"/>
        <v>0</v>
      </c>
      <c r="I12" s="241" t="s">
        <v>940</v>
      </c>
    </row>
    <row r="13" spans="1:9" s="243" customFormat="1" ht="30" customHeight="1">
      <c r="A13" s="240" t="s">
        <v>824</v>
      </c>
      <c r="B13" s="677" t="s">
        <v>932</v>
      </c>
      <c r="C13" s="675" t="s">
        <v>933</v>
      </c>
      <c r="D13" s="1601"/>
      <c r="E13" s="675"/>
      <c r="F13" s="675"/>
      <c r="G13" s="676" t="str">
        <f t="shared" si="0"/>
        <v/>
      </c>
      <c r="H13" s="676" t="str">
        <f t="shared" si="0"/>
        <v/>
      </c>
      <c r="I13" s="244"/>
    </row>
    <row r="14" spans="1:9" s="243" customFormat="1" ht="30" customHeight="1">
      <c r="A14" s="240" t="s">
        <v>672</v>
      </c>
      <c r="B14" s="677" t="s">
        <v>934</v>
      </c>
      <c r="C14" s="675" t="s">
        <v>16</v>
      </c>
      <c r="D14" s="1601"/>
      <c r="E14" s="675"/>
      <c r="F14" s="675"/>
      <c r="G14" s="676" t="str">
        <f t="shared" si="0"/>
        <v/>
      </c>
      <c r="H14" s="676" t="str">
        <f t="shared" si="0"/>
        <v/>
      </c>
      <c r="I14" s="245"/>
    </row>
    <row r="15" spans="1:9" s="243" customFormat="1" ht="35" customHeight="1">
      <c r="A15" s="240" t="s">
        <v>825</v>
      </c>
      <c r="B15" s="678" t="s">
        <v>935</v>
      </c>
      <c r="C15" s="675" t="s">
        <v>630</v>
      </c>
      <c r="D15" s="1601"/>
      <c r="E15" s="675"/>
      <c r="F15" s="675"/>
      <c r="G15" s="676" t="str">
        <f t="shared" si="0"/>
        <v/>
      </c>
      <c r="H15" s="676" t="str">
        <f t="shared" si="0"/>
        <v/>
      </c>
      <c r="I15" s="244"/>
    </row>
    <row r="16" spans="1:9" s="243" customFormat="1" ht="35" customHeight="1">
      <c r="A16" s="240" t="s">
        <v>743</v>
      </c>
      <c r="B16" s="678" t="s">
        <v>936</v>
      </c>
      <c r="C16" s="675" t="s">
        <v>933</v>
      </c>
      <c r="D16" s="1601"/>
      <c r="E16" s="675"/>
      <c r="F16" s="675"/>
      <c r="G16" s="676" t="str">
        <f t="shared" si="0"/>
        <v/>
      </c>
      <c r="H16" s="676" t="str">
        <f t="shared" si="0"/>
        <v/>
      </c>
      <c r="I16" s="244"/>
    </row>
    <row r="17" spans="1:9" s="243" customFormat="1" ht="35" customHeight="1">
      <c r="A17" s="240" t="s">
        <v>771</v>
      </c>
      <c r="B17" s="677" t="s">
        <v>937</v>
      </c>
      <c r="C17" s="675" t="s">
        <v>930</v>
      </c>
      <c r="D17" s="1601"/>
      <c r="E17" s="675"/>
      <c r="F17" s="675"/>
      <c r="G17" s="676" t="str">
        <f t="shared" si="0"/>
        <v/>
      </c>
      <c r="H17" s="676" t="str">
        <f t="shared" si="0"/>
        <v/>
      </c>
      <c r="I17" s="245"/>
    </row>
    <row r="18" spans="1:9" s="243" customFormat="1" ht="35" customHeight="1">
      <c r="A18" s="240" t="s">
        <v>785</v>
      </c>
      <c r="B18" s="677" t="s">
        <v>938</v>
      </c>
      <c r="C18" s="675" t="s">
        <v>930</v>
      </c>
      <c r="D18" s="1601"/>
      <c r="E18" s="675"/>
      <c r="F18" s="675"/>
      <c r="G18" s="676" t="str">
        <f t="shared" si="0"/>
        <v/>
      </c>
      <c r="H18" s="676" t="str">
        <f t="shared" si="0"/>
        <v/>
      </c>
      <c r="I18" s="245"/>
    </row>
    <row r="19" spans="1:9" s="243" customFormat="1" ht="35" customHeight="1">
      <c r="A19" s="240" t="s">
        <v>793</v>
      </c>
      <c r="B19" s="677" t="s">
        <v>939</v>
      </c>
      <c r="C19" s="675" t="s">
        <v>930</v>
      </c>
      <c r="D19" s="1601">
        <v>0</v>
      </c>
      <c r="E19" s="675"/>
      <c r="F19" s="675"/>
      <c r="G19" s="676">
        <f t="shared" si="0"/>
        <v>0</v>
      </c>
      <c r="H19" s="676">
        <f t="shared" si="0"/>
        <v>0</v>
      </c>
      <c r="I19" s="1602" t="s">
        <v>940</v>
      </c>
    </row>
    <row r="20" spans="1:9" s="243" customFormat="1" ht="35" customHeight="1">
      <c r="A20" s="240" t="s">
        <v>941</v>
      </c>
      <c r="B20" s="677" t="s">
        <v>942</v>
      </c>
      <c r="C20" s="675" t="s">
        <v>930</v>
      </c>
      <c r="D20" s="1601">
        <v>0</v>
      </c>
      <c r="E20" s="675"/>
      <c r="F20" s="675"/>
      <c r="G20" s="676">
        <f t="shared" si="0"/>
        <v>0</v>
      </c>
      <c r="H20" s="676">
        <f t="shared" si="0"/>
        <v>0</v>
      </c>
      <c r="I20" s="1602"/>
    </row>
    <row r="21" spans="1:9" s="243" customFormat="1" ht="35" customHeight="1">
      <c r="A21" s="240" t="s">
        <v>943</v>
      </c>
      <c r="B21" s="677" t="s">
        <v>944</v>
      </c>
      <c r="C21" s="675" t="s">
        <v>930</v>
      </c>
      <c r="D21" s="1601">
        <v>0</v>
      </c>
      <c r="E21" s="675"/>
      <c r="F21" s="675"/>
      <c r="G21" s="676">
        <f t="shared" si="0"/>
        <v>0</v>
      </c>
      <c r="H21" s="676">
        <f t="shared" si="0"/>
        <v>0</v>
      </c>
      <c r="I21" s="1602"/>
    </row>
    <row r="22" spans="1:9" s="243" customFormat="1" ht="30" customHeight="1">
      <c r="A22" s="240" t="s">
        <v>945</v>
      </c>
      <c r="B22" s="677" t="s">
        <v>946</v>
      </c>
      <c r="C22" s="675" t="s">
        <v>930</v>
      </c>
      <c r="D22" s="1601">
        <v>0</v>
      </c>
      <c r="E22" s="675"/>
      <c r="F22" s="675"/>
      <c r="G22" s="676">
        <f t="shared" si="0"/>
        <v>0</v>
      </c>
      <c r="H22" s="676">
        <f t="shared" si="0"/>
        <v>0</v>
      </c>
      <c r="I22" s="244"/>
    </row>
    <row r="23" spans="1:9" s="248" customFormat="1" ht="20" customHeight="1">
      <c r="A23" s="246">
        <v>15</v>
      </c>
      <c r="B23" s="679" t="s">
        <v>901</v>
      </c>
      <c r="C23" s="680"/>
      <c r="D23" s="1601"/>
      <c r="E23" s="681"/>
      <c r="F23" s="681"/>
      <c r="G23" s="681"/>
      <c r="H23" s="681"/>
      <c r="I23" s="247"/>
    </row>
    <row r="24" spans="1:9" s="248" customFormat="1" ht="30" customHeight="1">
      <c r="A24" s="249"/>
      <c r="B24" s="682" t="s">
        <v>902</v>
      </c>
      <c r="C24" s="680"/>
      <c r="D24" s="1601"/>
      <c r="E24" s="681"/>
      <c r="F24" s="681"/>
      <c r="G24" s="681"/>
      <c r="H24" s="681"/>
      <c r="I24" s="247"/>
    </row>
    <row r="25" spans="1:9" s="248" customFormat="1" ht="20" customHeight="1">
      <c r="A25" s="246" t="s">
        <v>385</v>
      </c>
      <c r="B25" s="683" t="s">
        <v>775</v>
      </c>
      <c r="C25" s="684" t="s">
        <v>864</v>
      </c>
      <c r="D25" s="962">
        <v>0</v>
      </c>
      <c r="E25" s="675"/>
      <c r="F25" s="675"/>
      <c r="G25" s="676">
        <f t="shared" ref="G25:H30" si="1">IF($D25="","",IFERROR($D25*E25,""))</f>
        <v>0</v>
      </c>
      <c r="H25" s="676">
        <f t="shared" si="1"/>
        <v>0</v>
      </c>
      <c r="I25" s="247"/>
    </row>
    <row r="26" spans="1:9" s="248" customFormat="1" ht="20" customHeight="1">
      <c r="A26" s="246" t="s">
        <v>387</v>
      </c>
      <c r="B26" s="683" t="s">
        <v>776</v>
      </c>
      <c r="C26" s="684" t="s">
        <v>864</v>
      </c>
      <c r="D26" s="962">
        <v>0</v>
      </c>
      <c r="E26" s="675"/>
      <c r="F26" s="675"/>
      <c r="G26" s="676">
        <f t="shared" si="1"/>
        <v>0</v>
      </c>
      <c r="H26" s="676">
        <f t="shared" si="1"/>
        <v>0</v>
      </c>
      <c r="I26" s="247"/>
    </row>
    <row r="27" spans="1:9" s="248" customFormat="1" ht="20" customHeight="1">
      <c r="A27" s="246" t="s">
        <v>388</v>
      </c>
      <c r="B27" s="683" t="s">
        <v>903</v>
      </c>
      <c r="C27" s="684" t="s">
        <v>864</v>
      </c>
      <c r="D27" s="962">
        <v>0</v>
      </c>
      <c r="E27" s="675"/>
      <c r="F27" s="675"/>
      <c r="G27" s="676">
        <f t="shared" si="1"/>
        <v>0</v>
      </c>
      <c r="H27" s="676">
        <f t="shared" si="1"/>
        <v>0</v>
      </c>
      <c r="I27" s="247"/>
    </row>
    <row r="28" spans="1:9" s="243" customFormat="1" ht="33.65" customHeight="1">
      <c r="A28" s="240" t="s">
        <v>947</v>
      </c>
      <c r="B28" s="677" t="s">
        <v>948</v>
      </c>
      <c r="C28" s="675" t="s">
        <v>930</v>
      </c>
      <c r="D28" s="962">
        <v>35</v>
      </c>
      <c r="E28" s="675"/>
      <c r="F28" s="675"/>
      <c r="G28" s="676">
        <f t="shared" si="1"/>
        <v>0</v>
      </c>
      <c r="H28" s="676">
        <f t="shared" si="1"/>
        <v>0</v>
      </c>
      <c r="I28" s="244"/>
    </row>
    <row r="29" spans="1:9" s="243" customFormat="1" ht="33" customHeight="1">
      <c r="A29" s="240" t="s">
        <v>949</v>
      </c>
      <c r="B29" s="677" t="s">
        <v>950</v>
      </c>
      <c r="C29" s="675" t="s">
        <v>930</v>
      </c>
      <c r="D29" s="962">
        <v>0</v>
      </c>
      <c r="E29" s="675"/>
      <c r="F29" s="675"/>
      <c r="G29" s="676">
        <f t="shared" si="1"/>
        <v>0</v>
      </c>
      <c r="H29" s="676">
        <f t="shared" si="1"/>
        <v>0</v>
      </c>
      <c r="I29" s="244"/>
    </row>
    <row r="30" spans="1:9" s="248" customFormat="1" ht="30" customHeight="1">
      <c r="A30" s="246">
        <v>18</v>
      </c>
      <c r="B30" s="682" t="s">
        <v>951</v>
      </c>
      <c r="C30" s="675" t="s">
        <v>78</v>
      </c>
      <c r="D30" s="962">
        <v>1</v>
      </c>
      <c r="E30" s="675"/>
      <c r="F30" s="675"/>
      <c r="G30" s="676">
        <f t="shared" si="1"/>
        <v>0</v>
      </c>
      <c r="H30" s="676">
        <f t="shared" si="1"/>
        <v>0</v>
      </c>
      <c r="I30" s="244"/>
    </row>
    <row r="31" spans="1:9" s="248" customFormat="1" ht="30" customHeight="1">
      <c r="A31" s="246"/>
      <c r="B31" s="682"/>
      <c r="C31" s="675"/>
      <c r="D31" s="675"/>
      <c r="E31" s="675"/>
      <c r="F31" s="675"/>
      <c r="G31" s="685"/>
      <c r="H31" s="685"/>
      <c r="I31" s="244"/>
    </row>
    <row r="32" spans="1:9" s="252" customFormat="1" ht="22.5" customHeight="1">
      <c r="A32" s="250"/>
      <c r="B32" s="686" t="s">
        <v>904</v>
      </c>
      <c r="C32" s="686"/>
      <c r="D32" s="686"/>
      <c r="E32" s="686"/>
      <c r="F32" s="687"/>
      <c r="G32" s="688">
        <f>SUM(G9:G30)</f>
        <v>0</v>
      </c>
      <c r="H32" s="688">
        <f>SUM(H9:H30)</f>
        <v>0</v>
      </c>
      <c r="I32" s="251"/>
    </row>
    <row r="33" spans="1:9" s="252" customFormat="1" ht="22.5" customHeight="1">
      <c r="A33" s="250"/>
      <c r="B33" s="686" t="s">
        <v>2569</v>
      </c>
      <c r="C33" s="686"/>
      <c r="D33" s="686"/>
      <c r="E33" s="686"/>
      <c r="F33" s="687"/>
      <c r="G33" s="687"/>
      <c r="H33" s="688">
        <f>H32+G32</f>
        <v>0</v>
      </c>
      <c r="I33" s="253"/>
    </row>
    <row r="34" spans="1:9" s="256" customFormat="1" ht="30" customHeight="1">
      <c r="A34" s="254"/>
      <c r="B34" s="689"/>
      <c r="C34" s="690"/>
      <c r="D34" s="690"/>
      <c r="E34" s="691"/>
      <c r="F34" s="691"/>
      <c r="G34" s="691"/>
      <c r="H34" s="691"/>
      <c r="I34" s="255"/>
    </row>
    <row r="35" spans="1:9" s="259" customFormat="1" ht="20" customHeight="1">
      <c r="A35" s="257"/>
      <c r="B35" s="692" t="s">
        <v>953</v>
      </c>
      <c r="C35" s="692"/>
      <c r="D35" s="692"/>
      <c r="E35" s="693"/>
      <c r="F35" s="693"/>
      <c r="G35" s="693"/>
      <c r="H35" s="693"/>
      <c r="I35" s="258"/>
    </row>
    <row r="36" spans="1:9" s="261" customFormat="1" ht="20" customHeight="1">
      <c r="A36" s="257"/>
      <c r="B36" s="694" t="s">
        <v>954</v>
      </c>
      <c r="C36" s="694"/>
      <c r="D36" s="694"/>
      <c r="E36" s="695"/>
      <c r="F36" s="695"/>
      <c r="G36" s="695"/>
      <c r="H36" s="695"/>
      <c r="I36" s="260"/>
    </row>
    <row r="37" spans="1:9" s="264" customFormat="1" ht="20" customHeight="1">
      <c r="A37" s="262"/>
      <c r="B37" s="694" t="s">
        <v>955</v>
      </c>
      <c r="C37" s="694"/>
      <c r="D37" s="694"/>
      <c r="E37" s="695"/>
      <c r="F37" s="695"/>
      <c r="G37" s="695"/>
      <c r="H37" s="695"/>
      <c r="I37" s="263"/>
    </row>
    <row r="38" spans="1:9" s="264" customFormat="1" ht="20" customHeight="1">
      <c r="A38" s="262"/>
      <c r="B38" s="694" t="s">
        <v>956</v>
      </c>
      <c r="C38" s="694"/>
      <c r="D38" s="694"/>
      <c r="E38" s="695"/>
      <c r="F38" s="695"/>
      <c r="G38" s="695"/>
      <c r="H38" s="695"/>
      <c r="I38" s="263"/>
    </row>
    <row r="39" spans="1:9" s="264" customFormat="1" ht="20" customHeight="1">
      <c r="A39" s="262"/>
      <c r="B39" s="696" t="s">
        <v>924</v>
      </c>
      <c r="C39" s="694"/>
      <c r="D39" s="694"/>
      <c r="E39" s="695"/>
      <c r="F39" s="695"/>
      <c r="G39" s="695"/>
      <c r="H39" s="695"/>
      <c r="I39" s="263"/>
    </row>
    <row r="40" spans="1:9" s="264" customFormat="1" ht="20" customHeight="1">
      <c r="A40" s="262"/>
      <c r="B40" s="696"/>
      <c r="C40" s="694"/>
      <c r="D40" s="694"/>
      <c r="E40" s="695"/>
      <c r="F40" s="695"/>
      <c r="G40" s="695"/>
      <c r="H40" s="695"/>
      <c r="I40" s="263"/>
    </row>
    <row r="41" spans="1:9" s="267" customFormat="1" ht="20" customHeight="1">
      <c r="A41" s="265"/>
      <c r="B41" s="692" t="s">
        <v>957</v>
      </c>
      <c r="C41" s="694"/>
      <c r="D41" s="694"/>
      <c r="E41" s="695"/>
      <c r="F41" s="695"/>
      <c r="G41" s="695"/>
      <c r="H41" s="695"/>
      <c r="I41" s="266"/>
    </row>
    <row r="42" spans="1:9" s="267" customFormat="1" ht="20" customHeight="1">
      <c r="A42" s="265"/>
      <c r="B42" s="694" t="s">
        <v>958</v>
      </c>
      <c r="C42" s="692"/>
      <c r="D42" s="692"/>
      <c r="E42" s="693"/>
      <c r="F42" s="693"/>
      <c r="G42" s="693"/>
      <c r="H42" s="693"/>
      <c r="I42" s="266"/>
    </row>
    <row r="43" spans="1:9" s="267" customFormat="1" ht="20" customHeight="1">
      <c r="A43" s="265"/>
      <c r="B43" s="692" t="s">
        <v>62</v>
      </c>
      <c r="C43" s="694"/>
      <c r="D43" s="694"/>
      <c r="E43" s="695"/>
      <c r="F43" s="695"/>
      <c r="G43" s="695"/>
      <c r="H43" s="695"/>
      <c r="I43" s="266"/>
    </row>
    <row r="44" spans="1:9" s="267" customFormat="1" ht="20" customHeight="1" thickBot="1">
      <c r="A44" s="268"/>
      <c r="B44" s="269" t="s">
        <v>959</v>
      </c>
      <c r="C44" s="269"/>
      <c r="D44" s="269"/>
      <c r="E44" s="270"/>
      <c r="F44" s="270"/>
      <c r="G44" s="270"/>
      <c r="H44" s="270"/>
      <c r="I44" s="271"/>
    </row>
  </sheetData>
  <protectedRanges>
    <protectedRange sqref="E7:H8" name="Range1_3"/>
    <protectedRange sqref="B15:B16" name="Range1_7"/>
    <protectedRange sqref="B22" name="Range1_1_1_1_4"/>
    <protectedRange sqref="B13:B14 B28 B17:B18" name="Range1_1_1_1_1_3"/>
    <protectedRange sqref="D31" name="Range1_8"/>
    <protectedRange sqref="E25:F30 E9:F22" name="Range1_3_1_1"/>
    <protectedRange sqref="E31" name="Range1_1_2_1_1"/>
    <protectedRange sqref="G9 G25:G28 G30:G31 G11:G22" name="Range1_2_1_1"/>
    <protectedRange sqref="C28 C17:C22 C9 C30:C31 C11:C12 C14" name="Range1_9"/>
    <protectedRange sqref="C15:C16 C13" name="Range1_1_2_2"/>
    <protectedRange sqref="A1:D6" name="Range1_2_1"/>
    <protectedRange sqref="B21" name="Range1_4_1_3"/>
    <protectedRange sqref="B19" name="Range1_1_1_1_4_1"/>
    <protectedRange sqref="B20" name="Range1_1_1_1_4_3"/>
    <protectedRange sqref="B30:B31" name="Range1_7_1"/>
    <protectedRange sqref="C10" name="Range1_9_1"/>
    <protectedRange sqref="G10" name="Range1_2_1_1_3"/>
    <protectedRange sqref="B29" name="Range1_1_1_1_1_3_1"/>
    <protectedRange sqref="C29" name="Range1_9_2"/>
    <protectedRange sqref="G29" name="Range1_2_1_1_3_1"/>
    <protectedRange sqref="K22" name="Range1_1_3_1_2"/>
    <protectedRange sqref="K9" name="Range1_3_1_1_4"/>
    <protectedRange sqref="K13 K15:K16 K28 K30" name="Range1_1_2_1_1_3"/>
    <protectedRange sqref="K14 K17:K21" name="Range1_3_1_1_1_3"/>
    <protectedRange sqref="K11:K12" name="Range1_3_1_1_1_1_2"/>
    <protectedRange sqref="K10" name="Range1_3_1_1_2_2"/>
    <protectedRange sqref="L10" name="Range1_2_1_1_1_2"/>
    <protectedRange sqref="K29" name="Range1_1_2_1_1_1_2"/>
    <protectedRange sqref="L29" name="Range1_1_2_1_2_2"/>
    <protectedRange sqref="R7:Y8" name="Range1_3_2"/>
    <protectedRange sqref="Q31" name="Range1_8_1"/>
    <protectedRange sqref="R22" name="Range1_1_3_1"/>
    <protectedRange sqref="R16 R30:R31" name="Range1_1_2_1_1_1"/>
    <protectedRange sqref="R17 R19:R21" name="Range1_3_1_1_1"/>
    <protectedRange sqref="V9 V25:V28 V30:V31 V11:V22 X9 X25:X28 X30:X31 X11:X22" name="Range1_2_1_1_1"/>
    <protectedRange sqref="R12" name="Range1_3_1_1_1_1"/>
    <protectedRange sqref="Q1:Q6" name="Range1_2_1_2"/>
    <protectedRange sqref="R10" name="Range1_3_1_1_2"/>
    <protectedRange sqref="S10" name="Range1_2_1_1_1_3"/>
    <protectedRange sqref="V10 X10" name="Range1_2_1_1_3_2"/>
    <protectedRange sqref="R29" name="Range1_1_2_1_1_1_3"/>
    <protectedRange sqref="S29" name="Range1_1_2_1_2"/>
    <protectedRange sqref="V29 X29" name="Range1_2_1_1_3_1_1"/>
    <protectedRange sqref="R9" name="Range1_3_1_1_4_1"/>
    <protectedRange sqref="R11" name="Range1_3_1_1_1_1_2_1"/>
    <protectedRange sqref="R13 R15" name="Range1_1_2_1_1_3_1"/>
    <protectedRange sqref="R14" name="Range1_3_1_1_1_3_1"/>
    <protectedRange sqref="R18" name="Range1_3_1_1_1_4"/>
    <protectedRange sqref="R28" name="Range1_1_2_1_1_4"/>
  </protectedRanges>
  <mergeCells count="8">
    <mergeCell ref="I19:I21"/>
    <mergeCell ref="A2:I2"/>
    <mergeCell ref="A7:A8"/>
    <mergeCell ref="B7:B8"/>
    <mergeCell ref="C7:C8"/>
    <mergeCell ref="D7:D8"/>
    <mergeCell ref="E7:F7"/>
    <mergeCell ref="G7:H7"/>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1897E-1CCF-4CB7-BF60-01BB6683AC3A}">
  <dimension ref="A1:I49"/>
  <sheetViews>
    <sheetView view="pageBreakPreview" zoomScale="50" zoomScaleNormal="70" zoomScaleSheetLayoutView="50" workbookViewId="0">
      <selection activeCell="A8" sqref="A8"/>
    </sheetView>
  </sheetViews>
  <sheetFormatPr defaultColWidth="9.08984375" defaultRowHeight="15.5"/>
  <cols>
    <col min="1" max="1" width="6.6328125" style="290" customWidth="1"/>
    <col min="2" max="2" width="125.6328125" style="291" customWidth="1"/>
    <col min="3" max="3" width="8.08984375" style="292" customWidth="1"/>
    <col min="4" max="4" width="8" style="292" customWidth="1"/>
    <col min="5" max="5" width="13" style="222" customWidth="1"/>
    <col min="6" max="6" width="14.08984375" style="222" customWidth="1"/>
    <col min="7" max="7" width="13.81640625" style="222" customWidth="1"/>
    <col min="8" max="8" width="16.6328125" style="222" customWidth="1"/>
    <col min="9" max="9" width="22.90625" style="223" customWidth="1"/>
    <col min="10" max="16384" width="9.08984375" style="223"/>
  </cols>
  <sheetData>
    <row r="1" spans="1:9" s="162" customFormat="1" ht="40" customHeight="1">
      <c r="A1" s="1504" t="s">
        <v>960</v>
      </c>
      <c r="B1" s="1505"/>
      <c r="C1" s="1505"/>
      <c r="D1" s="1505"/>
      <c r="E1" s="1505"/>
      <c r="F1" s="1505"/>
      <c r="G1" s="1505"/>
      <c r="H1" s="1505"/>
      <c r="I1" s="1506"/>
    </row>
    <row r="2" spans="1:9" s="162" customFormat="1" ht="20" customHeight="1">
      <c r="A2" s="228" t="s">
        <v>1430</v>
      </c>
      <c r="B2" s="671"/>
      <c r="C2" s="672"/>
      <c r="D2" s="671"/>
      <c r="E2" s="671"/>
      <c r="F2" s="671"/>
      <c r="G2" s="671"/>
      <c r="H2" s="671" t="s">
        <v>831</v>
      </c>
      <c r="I2" s="272" t="s">
        <v>1474</v>
      </c>
    </row>
    <row r="3" spans="1:9" s="162" customFormat="1" ht="20" customHeight="1">
      <c r="A3" s="228" t="s">
        <v>961</v>
      </c>
      <c r="B3" s="671"/>
      <c r="C3" s="672"/>
      <c r="D3" s="671"/>
      <c r="E3" s="671"/>
      <c r="F3" s="671"/>
      <c r="G3" s="671"/>
      <c r="H3" s="671" t="s">
        <v>833</v>
      </c>
      <c r="I3" s="229" t="s">
        <v>379</v>
      </c>
    </row>
    <row r="4" spans="1:9" s="162" customFormat="1" ht="20" customHeight="1" thickBot="1">
      <c r="A4" s="230" t="s">
        <v>834</v>
      </c>
      <c r="B4" s="231"/>
      <c r="C4" s="232"/>
      <c r="D4" s="231"/>
      <c r="E4" s="231"/>
      <c r="F4" s="231"/>
      <c r="G4" s="231"/>
      <c r="H4" s="231"/>
      <c r="I4" s="233"/>
    </row>
    <row r="5" spans="1:9" s="239" customFormat="1" ht="22.75" customHeight="1">
      <c r="A5" s="1501" t="s">
        <v>819</v>
      </c>
      <c r="B5" s="1497" t="s">
        <v>2</v>
      </c>
      <c r="C5" s="1497" t="s">
        <v>12</v>
      </c>
      <c r="D5" s="1497" t="s">
        <v>13</v>
      </c>
      <c r="E5" s="1497" t="s">
        <v>14</v>
      </c>
      <c r="F5" s="1497"/>
      <c r="G5" s="1497" t="s">
        <v>9</v>
      </c>
      <c r="H5" s="1497"/>
      <c r="I5" s="1507" t="s">
        <v>428</v>
      </c>
    </row>
    <row r="6" spans="1:9" s="239" customFormat="1" ht="22.75" customHeight="1">
      <c r="A6" s="1502"/>
      <c r="B6" s="1503"/>
      <c r="C6" s="1503"/>
      <c r="D6" s="1503"/>
      <c r="E6" s="673" t="s">
        <v>470</v>
      </c>
      <c r="F6" s="673" t="s">
        <v>28</v>
      </c>
      <c r="G6" s="673" t="s">
        <v>470</v>
      </c>
      <c r="H6" s="673" t="s">
        <v>28</v>
      </c>
      <c r="I6" s="1508"/>
    </row>
    <row r="7" spans="1:9" s="243" customFormat="1" ht="55.25" customHeight="1">
      <c r="A7" s="273">
        <v>1</v>
      </c>
      <c r="B7" s="697" t="s">
        <v>962</v>
      </c>
      <c r="C7" s="698" t="s">
        <v>16</v>
      </c>
      <c r="D7" s="963">
        <f>20*0</f>
        <v>0</v>
      </c>
      <c r="E7" s="698">
        <v>19800</v>
      </c>
      <c r="F7" s="698">
        <v>1800</v>
      </c>
      <c r="G7" s="699">
        <f t="shared" ref="G7:H22" si="0">IF($D7="","",IFERROR($D7*E7,""))</f>
        <v>0</v>
      </c>
      <c r="H7" s="699">
        <f t="shared" si="0"/>
        <v>0</v>
      </c>
      <c r="I7" s="274"/>
    </row>
    <row r="8" spans="1:9" s="243" customFormat="1" ht="50" customHeight="1">
      <c r="A8" s="273" t="s">
        <v>821</v>
      </c>
      <c r="B8" s="700" t="s">
        <v>963</v>
      </c>
      <c r="C8" s="698" t="s">
        <v>16</v>
      </c>
      <c r="D8" s="963">
        <f>1*0</f>
        <v>0</v>
      </c>
      <c r="E8" s="698">
        <v>9000</v>
      </c>
      <c r="F8" s="698">
        <v>600</v>
      </c>
      <c r="G8" s="699">
        <f t="shared" si="0"/>
        <v>0</v>
      </c>
      <c r="H8" s="699">
        <f t="shared" si="0"/>
        <v>0</v>
      </c>
      <c r="I8" s="274"/>
    </row>
    <row r="9" spans="1:9" s="243" customFormat="1" ht="160" customHeight="1">
      <c r="A9" s="273" t="s">
        <v>822</v>
      </c>
      <c r="B9" s="700" t="s">
        <v>965</v>
      </c>
      <c r="C9" s="698" t="s">
        <v>16</v>
      </c>
      <c r="D9" s="963">
        <f>1*0</f>
        <v>0</v>
      </c>
      <c r="E9" s="698">
        <v>3600</v>
      </c>
      <c r="F9" s="698">
        <v>600</v>
      </c>
      <c r="G9" s="699">
        <f t="shared" si="0"/>
        <v>0</v>
      </c>
      <c r="H9" s="699">
        <f t="shared" si="0"/>
        <v>0</v>
      </c>
      <c r="I9" s="274"/>
    </row>
    <row r="10" spans="1:9" s="243" customFormat="1" ht="50" customHeight="1">
      <c r="A10" s="273" t="s">
        <v>823</v>
      </c>
      <c r="B10" s="700" t="s">
        <v>966</v>
      </c>
      <c r="C10" s="698" t="s">
        <v>16</v>
      </c>
      <c r="D10" s="963">
        <f>16*0</f>
        <v>0</v>
      </c>
      <c r="E10" s="698">
        <v>5400</v>
      </c>
      <c r="F10" s="698">
        <v>240</v>
      </c>
      <c r="G10" s="699">
        <f t="shared" si="0"/>
        <v>0</v>
      </c>
      <c r="H10" s="699">
        <f t="shared" si="0"/>
        <v>0</v>
      </c>
      <c r="I10" s="274"/>
    </row>
    <row r="11" spans="1:9" s="243" customFormat="1" ht="50" customHeight="1">
      <c r="A11" s="273" t="s">
        <v>824</v>
      </c>
      <c r="B11" s="700" t="s">
        <v>967</v>
      </c>
      <c r="C11" s="698" t="s">
        <v>16</v>
      </c>
      <c r="D11" s="963">
        <v>0</v>
      </c>
      <c r="E11" s="698">
        <v>12600</v>
      </c>
      <c r="F11" s="698">
        <v>240</v>
      </c>
      <c r="G11" s="699">
        <f t="shared" si="0"/>
        <v>0</v>
      </c>
      <c r="H11" s="699">
        <f t="shared" si="0"/>
        <v>0</v>
      </c>
      <c r="I11" s="274"/>
    </row>
    <row r="12" spans="1:9" s="243" customFormat="1" ht="50" customHeight="1">
      <c r="A12" s="273" t="s">
        <v>672</v>
      </c>
      <c r="B12" s="700" t="s">
        <v>968</v>
      </c>
      <c r="C12" s="698" t="s">
        <v>16</v>
      </c>
      <c r="D12" s="963">
        <v>0</v>
      </c>
      <c r="E12" s="698">
        <v>9000</v>
      </c>
      <c r="F12" s="698">
        <v>240</v>
      </c>
      <c r="G12" s="699">
        <f t="shared" si="0"/>
        <v>0</v>
      </c>
      <c r="H12" s="699">
        <f t="shared" si="0"/>
        <v>0</v>
      </c>
      <c r="I12" s="274"/>
    </row>
    <row r="13" spans="1:9" s="243" customFormat="1" ht="50" customHeight="1">
      <c r="A13" s="273" t="s">
        <v>825</v>
      </c>
      <c r="B13" s="700" t="s">
        <v>969</v>
      </c>
      <c r="C13" s="698" t="s">
        <v>16</v>
      </c>
      <c r="D13" s="963">
        <f>4*0</f>
        <v>0</v>
      </c>
      <c r="E13" s="698">
        <v>27000</v>
      </c>
      <c r="F13" s="698">
        <v>600</v>
      </c>
      <c r="G13" s="699">
        <f t="shared" si="0"/>
        <v>0</v>
      </c>
      <c r="H13" s="699">
        <f t="shared" si="0"/>
        <v>0</v>
      </c>
      <c r="I13" s="274"/>
    </row>
    <row r="14" spans="1:9" s="243" customFormat="1" ht="40" customHeight="1">
      <c r="A14" s="273" t="s">
        <v>743</v>
      </c>
      <c r="B14" s="700" t="s">
        <v>970</v>
      </c>
      <c r="C14" s="698" t="s">
        <v>16</v>
      </c>
      <c r="D14" s="963" t="s">
        <v>828</v>
      </c>
      <c r="E14" s="698">
        <v>300</v>
      </c>
      <c r="F14" s="698">
        <v>60</v>
      </c>
      <c r="G14" s="699" t="str">
        <f t="shared" si="0"/>
        <v/>
      </c>
      <c r="H14" s="699" t="str">
        <f t="shared" si="0"/>
        <v/>
      </c>
      <c r="I14" s="274"/>
    </row>
    <row r="15" spans="1:9" s="243" customFormat="1" ht="40" customHeight="1">
      <c r="A15" s="273" t="s">
        <v>771</v>
      </c>
      <c r="B15" s="700" t="s">
        <v>971</v>
      </c>
      <c r="C15" s="698" t="s">
        <v>16</v>
      </c>
      <c r="D15" s="963">
        <f>16*0</f>
        <v>0</v>
      </c>
      <c r="E15" s="698">
        <v>7800</v>
      </c>
      <c r="F15" s="698">
        <v>1080</v>
      </c>
      <c r="G15" s="699">
        <f t="shared" si="0"/>
        <v>0</v>
      </c>
      <c r="H15" s="699">
        <f t="shared" si="0"/>
        <v>0</v>
      </c>
      <c r="I15" s="274"/>
    </row>
    <row r="16" spans="1:9" s="243" customFormat="1" ht="40" customHeight="1">
      <c r="A16" s="273" t="s">
        <v>785</v>
      </c>
      <c r="B16" s="700" t="s">
        <v>972</v>
      </c>
      <c r="C16" s="698" t="s">
        <v>16</v>
      </c>
      <c r="D16" s="963">
        <f>2*0</f>
        <v>0</v>
      </c>
      <c r="E16" s="698">
        <v>10200</v>
      </c>
      <c r="F16" s="698">
        <v>1320</v>
      </c>
      <c r="G16" s="699">
        <f t="shared" si="0"/>
        <v>0</v>
      </c>
      <c r="H16" s="699">
        <f t="shared" si="0"/>
        <v>0</v>
      </c>
      <c r="I16" s="274"/>
    </row>
    <row r="17" spans="1:9" s="243" customFormat="1" ht="40" customHeight="1">
      <c r="A17" s="273" t="s">
        <v>793</v>
      </c>
      <c r="B17" s="700" t="s">
        <v>973</v>
      </c>
      <c r="C17" s="698" t="s">
        <v>16</v>
      </c>
      <c r="D17" s="963">
        <f>20*0</f>
        <v>0</v>
      </c>
      <c r="E17" s="698">
        <v>1080</v>
      </c>
      <c r="F17" s="698">
        <v>360</v>
      </c>
      <c r="G17" s="699">
        <f t="shared" si="0"/>
        <v>0</v>
      </c>
      <c r="H17" s="699">
        <f t="shared" si="0"/>
        <v>0</v>
      </c>
      <c r="I17" s="274"/>
    </row>
    <row r="18" spans="1:9" s="243" customFormat="1" ht="40" customHeight="1">
      <c r="A18" s="273" t="s">
        <v>941</v>
      </c>
      <c r="B18" s="700" t="s">
        <v>974</v>
      </c>
      <c r="C18" s="698" t="s">
        <v>16</v>
      </c>
      <c r="D18" s="963">
        <f>20*0</f>
        <v>0</v>
      </c>
      <c r="E18" s="698">
        <v>780</v>
      </c>
      <c r="F18" s="698">
        <v>360</v>
      </c>
      <c r="G18" s="699">
        <f t="shared" si="0"/>
        <v>0</v>
      </c>
      <c r="H18" s="699">
        <f t="shared" si="0"/>
        <v>0</v>
      </c>
      <c r="I18" s="274"/>
    </row>
    <row r="19" spans="1:9" s="243" customFormat="1" ht="40" customHeight="1">
      <c r="A19" s="273" t="s">
        <v>943</v>
      </c>
      <c r="B19" s="700" t="s">
        <v>975</v>
      </c>
      <c r="C19" s="698" t="s">
        <v>16</v>
      </c>
      <c r="D19" s="963">
        <f>4*0</f>
        <v>0</v>
      </c>
      <c r="E19" s="698">
        <v>240</v>
      </c>
      <c r="F19" s="698">
        <v>120</v>
      </c>
      <c r="G19" s="699">
        <f t="shared" si="0"/>
        <v>0</v>
      </c>
      <c r="H19" s="699">
        <f t="shared" si="0"/>
        <v>0</v>
      </c>
      <c r="I19" s="274"/>
    </row>
    <row r="20" spans="1:9" s="243" customFormat="1" ht="230" customHeight="1">
      <c r="A20" s="273" t="s">
        <v>945</v>
      </c>
      <c r="B20" s="697" t="s">
        <v>976</v>
      </c>
      <c r="C20" s="1603" t="s">
        <v>16</v>
      </c>
      <c r="D20" s="1604" t="s">
        <v>828</v>
      </c>
      <c r="E20" s="1605">
        <v>120000</v>
      </c>
      <c r="F20" s="1605"/>
      <c r="G20" s="1606" t="str">
        <f t="shared" si="0"/>
        <v/>
      </c>
      <c r="H20" s="1606" t="str">
        <f t="shared" si="0"/>
        <v/>
      </c>
      <c r="I20" s="1607"/>
    </row>
    <row r="21" spans="1:9" s="243" customFormat="1" ht="65.400000000000006" customHeight="1">
      <c r="A21" s="273"/>
      <c r="B21" s="700" t="s">
        <v>978</v>
      </c>
      <c r="C21" s="1603"/>
      <c r="D21" s="1604"/>
      <c r="E21" s="1608"/>
      <c r="F21" s="1608"/>
      <c r="G21" s="1606"/>
      <c r="H21" s="1606"/>
      <c r="I21" s="1607"/>
    </row>
    <row r="22" spans="1:9" s="243" customFormat="1" ht="40" customHeight="1">
      <c r="A22" s="273"/>
      <c r="B22" s="700" t="s">
        <v>979</v>
      </c>
      <c r="C22" s="698"/>
      <c r="D22" s="963"/>
      <c r="E22" s="698"/>
      <c r="F22" s="704"/>
      <c r="G22" s="699" t="str">
        <f t="shared" si="0"/>
        <v/>
      </c>
      <c r="H22" s="699" t="str">
        <f t="shared" si="0"/>
        <v/>
      </c>
      <c r="I22" s="274"/>
    </row>
    <row r="23" spans="1:9" s="243" customFormat="1" ht="40" customHeight="1">
      <c r="A23" s="273" t="s">
        <v>980</v>
      </c>
      <c r="B23" s="700" t="s">
        <v>981</v>
      </c>
      <c r="C23" s="698" t="s">
        <v>16</v>
      </c>
      <c r="D23" s="963" t="s">
        <v>828</v>
      </c>
      <c r="E23" s="698">
        <v>140400</v>
      </c>
      <c r="F23" s="698">
        <v>30000</v>
      </c>
      <c r="G23" s="699" t="str">
        <f t="shared" ref="G23:H37" si="1">IF($D23="","",IFERROR($D23*E23,""))</f>
        <v/>
      </c>
      <c r="H23" s="699" t="str">
        <f t="shared" si="1"/>
        <v/>
      </c>
      <c r="I23" s="274"/>
    </row>
    <row r="24" spans="1:9" s="243" customFormat="1" ht="40" customHeight="1">
      <c r="A24" s="273" t="s">
        <v>947</v>
      </c>
      <c r="B24" s="700" t="s">
        <v>982</v>
      </c>
      <c r="C24" s="698" t="s">
        <v>16</v>
      </c>
      <c r="D24" s="963" t="s">
        <v>828</v>
      </c>
      <c r="E24" s="698">
        <v>66000</v>
      </c>
      <c r="F24" s="698">
        <v>1800</v>
      </c>
      <c r="G24" s="699" t="str">
        <f t="shared" si="1"/>
        <v/>
      </c>
      <c r="H24" s="699" t="str">
        <f t="shared" si="1"/>
        <v/>
      </c>
      <c r="I24" s="274"/>
    </row>
    <row r="25" spans="1:9" s="243" customFormat="1" ht="40" customHeight="1">
      <c r="A25" s="273" t="s">
        <v>949</v>
      </c>
      <c r="B25" s="700" t="s">
        <v>983</v>
      </c>
      <c r="C25" s="698" t="s">
        <v>16</v>
      </c>
      <c r="D25" s="963" t="s">
        <v>828</v>
      </c>
      <c r="E25" s="698">
        <v>120000</v>
      </c>
      <c r="F25" s="698">
        <v>18000</v>
      </c>
      <c r="G25" s="699" t="str">
        <f t="shared" si="1"/>
        <v/>
      </c>
      <c r="H25" s="699" t="str">
        <f t="shared" si="1"/>
        <v/>
      </c>
      <c r="I25" s="274"/>
    </row>
    <row r="26" spans="1:9" s="243" customFormat="1" ht="40" customHeight="1">
      <c r="A26" s="273"/>
      <c r="B26" s="700" t="s">
        <v>984</v>
      </c>
      <c r="C26" s="698"/>
      <c r="D26" s="963"/>
      <c r="E26" s="698"/>
      <c r="F26" s="698"/>
      <c r="G26" s="699" t="str">
        <f t="shared" si="1"/>
        <v/>
      </c>
      <c r="H26" s="699" t="str">
        <f t="shared" si="1"/>
        <v/>
      </c>
      <c r="I26" s="274"/>
    </row>
    <row r="27" spans="1:9" s="243" customFormat="1" ht="40" customHeight="1">
      <c r="A27" s="273" t="s">
        <v>985</v>
      </c>
      <c r="B27" s="700" t="s">
        <v>986</v>
      </c>
      <c r="C27" s="698" t="s">
        <v>933</v>
      </c>
      <c r="D27" s="963">
        <v>400</v>
      </c>
      <c r="E27" s="698">
        <v>118</v>
      </c>
      <c r="F27" s="698">
        <v>22</v>
      </c>
      <c r="G27" s="699">
        <f t="shared" si="1"/>
        <v>47200</v>
      </c>
      <c r="H27" s="699">
        <f t="shared" si="1"/>
        <v>8800</v>
      </c>
      <c r="I27" s="274"/>
    </row>
    <row r="28" spans="1:9" s="243" customFormat="1" ht="40" customHeight="1">
      <c r="A28" s="273" t="s">
        <v>987</v>
      </c>
      <c r="B28" s="700" t="s">
        <v>988</v>
      </c>
      <c r="C28" s="698" t="s">
        <v>933</v>
      </c>
      <c r="D28" s="963">
        <v>250</v>
      </c>
      <c r="E28" s="698">
        <v>94</v>
      </c>
      <c r="F28" s="698">
        <v>24</v>
      </c>
      <c r="G28" s="699">
        <f t="shared" si="1"/>
        <v>23500</v>
      </c>
      <c r="H28" s="699">
        <f t="shared" si="1"/>
        <v>6000</v>
      </c>
      <c r="I28" s="274"/>
    </row>
    <row r="29" spans="1:9" s="243" customFormat="1" ht="40" customHeight="1">
      <c r="A29" s="273" t="s">
        <v>989</v>
      </c>
      <c r="B29" s="700" t="s">
        <v>990</v>
      </c>
      <c r="C29" s="698" t="s">
        <v>933</v>
      </c>
      <c r="D29" s="963">
        <v>200</v>
      </c>
      <c r="E29" s="698">
        <v>54</v>
      </c>
      <c r="F29" s="698">
        <v>24</v>
      </c>
      <c r="G29" s="699">
        <f t="shared" si="1"/>
        <v>10800</v>
      </c>
      <c r="H29" s="699">
        <f t="shared" si="1"/>
        <v>4800</v>
      </c>
      <c r="I29" s="274"/>
    </row>
    <row r="30" spans="1:9" s="243" customFormat="1" ht="30" customHeight="1">
      <c r="A30" s="273" t="s">
        <v>991</v>
      </c>
      <c r="B30" s="700" t="s">
        <v>992</v>
      </c>
      <c r="C30" s="698" t="s">
        <v>933</v>
      </c>
      <c r="D30" s="963">
        <v>150</v>
      </c>
      <c r="E30" s="698">
        <v>96</v>
      </c>
      <c r="F30" s="698">
        <v>24</v>
      </c>
      <c r="G30" s="699">
        <f t="shared" si="1"/>
        <v>14400</v>
      </c>
      <c r="H30" s="699">
        <f t="shared" si="1"/>
        <v>3600</v>
      </c>
      <c r="I30" s="274"/>
    </row>
    <row r="31" spans="1:9" s="243" customFormat="1" ht="30" customHeight="1">
      <c r="A31" s="273" t="s">
        <v>993</v>
      </c>
      <c r="B31" s="700" t="s">
        <v>994</v>
      </c>
      <c r="C31" s="698" t="s">
        <v>933</v>
      </c>
      <c r="D31" s="963">
        <v>150</v>
      </c>
      <c r="E31" s="698">
        <v>78</v>
      </c>
      <c r="F31" s="698">
        <v>24</v>
      </c>
      <c r="G31" s="699">
        <f t="shared" si="1"/>
        <v>11700</v>
      </c>
      <c r="H31" s="699">
        <f t="shared" si="1"/>
        <v>3600</v>
      </c>
      <c r="I31" s="274"/>
    </row>
    <row r="32" spans="1:9" s="243" customFormat="1" ht="30" customHeight="1">
      <c r="A32" s="273" t="s">
        <v>995</v>
      </c>
      <c r="B32" s="700" t="s">
        <v>996</v>
      </c>
      <c r="C32" s="698" t="s">
        <v>933</v>
      </c>
      <c r="D32" s="963">
        <v>500</v>
      </c>
      <c r="E32" s="698">
        <v>72</v>
      </c>
      <c r="F32" s="698">
        <v>14</v>
      </c>
      <c r="G32" s="699">
        <f t="shared" si="1"/>
        <v>36000</v>
      </c>
      <c r="H32" s="699">
        <f t="shared" si="1"/>
        <v>7000</v>
      </c>
      <c r="I32" s="274"/>
    </row>
    <row r="33" spans="1:9" s="243" customFormat="1" ht="30" customHeight="1">
      <c r="A33" s="273" t="s">
        <v>997</v>
      </c>
      <c r="B33" s="700" t="s">
        <v>998</v>
      </c>
      <c r="C33" s="698" t="s">
        <v>933</v>
      </c>
      <c r="D33" s="963" t="s">
        <v>828</v>
      </c>
      <c r="E33" s="698">
        <v>77</v>
      </c>
      <c r="F33" s="698">
        <v>30</v>
      </c>
      <c r="G33" s="699" t="str">
        <f t="shared" si="1"/>
        <v/>
      </c>
      <c r="H33" s="699" t="str">
        <f t="shared" si="1"/>
        <v/>
      </c>
      <c r="I33" s="275"/>
    </row>
    <row r="34" spans="1:9" s="243" customFormat="1" ht="40" customHeight="1">
      <c r="A34" s="273" t="s">
        <v>999</v>
      </c>
      <c r="B34" s="700" t="s">
        <v>1000</v>
      </c>
      <c r="C34" s="698" t="s">
        <v>933</v>
      </c>
      <c r="D34" s="964">
        <v>450</v>
      </c>
      <c r="E34" s="698">
        <v>50</v>
      </c>
      <c r="F34" s="698">
        <v>24</v>
      </c>
      <c r="G34" s="699">
        <f t="shared" si="1"/>
        <v>22500</v>
      </c>
      <c r="H34" s="699">
        <f t="shared" si="1"/>
        <v>10800</v>
      </c>
      <c r="I34" s="274"/>
    </row>
    <row r="35" spans="1:9" s="243" customFormat="1" ht="40" customHeight="1">
      <c r="A35" s="273" t="s">
        <v>1001</v>
      </c>
      <c r="B35" s="700" t="s">
        <v>1002</v>
      </c>
      <c r="C35" s="698" t="s">
        <v>933</v>
      </c>
      <c r="D35" s="963"/>
      <c r="E35" s="698">
        <v>34</v>
      </c>
      <c r="F35" s="698">
        <v>18</v>
      </c>
      <c r="G35" s="699" t="str">
        <f t="shared" si="1"/>
        <v/>
      </c>
      <c r="H35" s="699" t="str">
        <f t="shared" si="1"/>
        <v/>
      </c>
      <c r="I35" s="274"/>
    </row>
    <row r="36" spans="1:9" s="243" customFormat="1" ht="40" customHeight="1">
      <c r="A36" s="273" t="s">
        <v>1003</v>
      </c>
      <c r="B36" s="700" t="s">
        <v>1004</v>
      </c>
      <c r="C36" s="698" t="s">
        <v>16</v>
      </c>
      <c r="D36" s="963">
        <v>0</v>
      </c>
      <c r="E36" s="698">
        <v>13800</v>
      </c>
      <c r="F36" s="698">
        <v>3000</v>
      </c>
      <c r="G36" s="699">
        <f t="shared" si="1"/>
        <v>0</v>
      </c>
      <c r="H36" s="699">
        <f t="shared" si="1"/>
        <v>0</v>
      </c>
      <c r="I36" s="274"/>
    </row>
    <row r="37" spans="1:9" s="243" customFormat="1" ht="40" customHeight="1">
      <c r="A37" s="273" t="s">
        <v>1005</v>
      </c>
      <c r="B37" s="700" t="s">
        <v>1006</v>
      </c>
      <c r="C37" s="698" t="s">
        <v>395</v>
      </c>
      <c r="D37" s="963">
        <v>0</v>
      </c>
      <c r="E37" s="698">
        <v>0</v>
      </c>
      <c r="F37" s="698">
        <v>54000</v>
      </c>
      <c r="G37" s="699">
        <f t="shared" si="1"/>
        <v>0</v>
      </c>
      <c r="H37" s="699">
        <f t="shared" si="1"/>
        <v>0</v>
      </c>
      <c r="I37" s="274"/>
    </row>
    <row r="38" spans="1:9" s="243" customFormat="1" ht="20" customHeight="1">
      <c r="A38" s="276"/>
      <c r="B38" s="701"/>
      <c r="C38" s="702"/>
      <c r="D38" s="703"/>
      <c r="E38" s="703"/>
      <c r="F38" s="704"/>
      <c r="G38" s="703"/>
      <c r="H38" s="704"/>
      <c r="I38" s="274"/>
    </row>
    <row r="39" spans="1:9" s="256" customFormat="1" ht="25" customHeight="1">
      <c r="A39" s="277"/>
      <c r="B39" s="705" t="s">
        <v>904</v>
      </c>
      <c r="C39" s="705"/>
      <c r="D39" s="705"/>
      <c r="E39" s="705"/>
      <c r="F39" s="706"/>
      <c r="G39" s="1438">
        <f>SUM(G7:G37)</f>
        <v>166100</v>
      </c>
      <c r="H39" s="1438">
        <f>SUM(H7:H37)</f>
        <v>44600</v>
      </c>
      <c r="I39" s="1437">
        <f>G39+H39</f>
        <v>210700</v>
      </c>
    </row>
    <row r="40" spans="1:9" s="256" customFormat="1" ht="25" customHeight="1">
      <c r="A40" s="277"/>
      <c r="B40" s="705" t="s">
        <v>905</v>
      </c>
      <c r="C40" s="705"/>
      <c r="D40" s="705"/>
      <c r="E40" s="705"/>
      <c r="F40" s="706"/>
      <c r="G40" s="706"/>
      <c r="H40" s="706"/>
      <c r="I40" s="279"/>
    </row>
    <row r="41" spans="1:9" s="256" customFormat="1" ht="25" customHeight="1">
      <c r="A41" s="277"/>
      <c r="B41" s="705" t="s">
        <v>952</v>
      </c>
      <c r="C41" s="705"/>
      <c r="D41" s="705"/>
      <c r="E41" s="705"/>
      <c r="F41" s="706"/>
      <c r="G41" s="706"/>
      <c r="H41" s="706"/>
      <c r="I41" s="279"/>
    </row>
    <row r="42" spans="1:9" ht="20" customHeight="1">
      <c r="A42" s="280"/>
      <c r="B42" s="708"/>
      <c r="C42" s="709"/>
      <c r="D42" s="709"/>
      <c r="E42" s="710"/>
      <c r="F42" s="710"/>
      <c r="G42" s="710"/>
      <c r="H42" s="710"/>
      <c r="I42" s="281"/>
    </row>
    <row r="43" spans="1:9" s="284" customFormat="1" ht="17.5" customHeight="1">
      <c r="A43" s="282"/>
      <c r="B43" s="711" t="s">
        <v>957</v>
      </c>
      <c r="C43" s="712"/>
      <c r="D43" s="712"/>
      <c r="E43" s="713"/>
      <c r="F43" s="713"/>
      <c r="G43" s="713"/>
      <c r="H43" s="713"/>
      <c r="I43" s="283"/>
    </row>
    <row r="44" spans="1:9" s="284" customFormat="1" ht="17.5" customHeight="1">
      <c r="A44" s="282"/>
      <c r="B44" s="714" t="s">
        <v>1007</v>
      </c>
      <c r="C44" s="712"/>
      <c r="D44" s="712"/>
      <c r="E44" s="713"/>
      <c r="F44" s="713"/>
      <c r="G44" s="713"/>
      <c r="H44" s="713"/>
      <c r="I44" s="283"/>
    </row>
    <row r="45" spans="1:9" s="284" customFormat="1" ht="17.5" customHeight="1">
      <c r="A45" s="282"/>
      <c r="B45" s="714" t="s">
        <v>1008</v>
      </c>
      <c r="C45" s="712"/>
      <c r="D45" s="712"/>
      <c r="E45" s="713"/>
      <c r="F45" s="713"/>
      <c r="G45" s="713"/>
      <c r="H45" s="713"/>
      <c r="I45" s="283"/>
    </row>
    <row r="46" spans="1:9" s="284" customFormat="1" ht="17.5" customHeight="1">
      <c r="A46" s="282"/>
      <c r="B46" s="714" t="s">
        <v>1009</v>
      </c>
      <c r="C46" s="712"/>
      <c r="D46" s="712"/>
      <c r="E46" s="713"/>
      <c r="F46" s="713"/>
      <c r="G46" s="713"/>
      <c r="H46" s="713"/>
      <c r="I46" s="283"/>
    </row>
    <row r="47" spans="1:9" s="284" customFormat="1" ht="17.5" customHeight="1">
      <c r="A47" s="282"/>
      <c r="B47" s="715" t="s">
        <v>1010</v>
      </c>
      <c r="C47" s="712"/>
      <c r="D47" s="712"/>
      <c r="E47" s="713"/>
      <c r="F47" s="713"/>
      <c r="G47" s="713"/>
      <c r="H47" s="713"/>
      <c r="I47" s="283"/>
    </row>
    <row r="48" spans="1:9" s="284" customFormat="1" ht="17.5" customHeight="1">
      <c r="A48" s="282"/>
      <c r="B48" s="715"/>
      <c r="C48" s="712"/>
      <c r="D48" s="712"/>
      <c r="E48" s="713"/>
      <c r="F48" s="713"/>
      <c r="G48" s="713"/>
      <c r="H48" s="713"/>
      <c r="I48" s="283"/>
    </row>
    <row r="49" spans="1:9" s="284" customFormat="1" ht="17.5" customHeight="1" thickBot="1">
      <c r="A49" s="285"/>
      <c r="B49" s="286" t="s">
        <v>1011</v>
      </c>
      <c r="C49" s="287"/>
      <c r="D49" s="287"/>
      <c r="E49" s="288"/>
      <c r="F49" s="288"/>
      <c r="G49" s="288"/>
      <c r="H49" s="288"/>
      <c r="I49" s="289"/>
    </row>
  </sheetData>
  <protectedRanges>
    <protectedRange sqref="A23:A30 A33:A37 A38:D38 B36:C37 A7:A21 C7:C21 C23:C26" name="Range1_1_1"/>
    <protectedRange sqref="B24" name="Range1_1_1_1_2_2"/>
    <protectedRange sqref="B8" name="Range1_1_1_4_1"/>
    <protectedRange sqref="B7" name="Range1_1_1_2_1_1"/>
    <protectedRange sqref="B9:B21 B23 B25:B26" name="Range1_1_1_3_1_1"/>
    <protectedRange sqref="C27:C31 C34:C35" name="Range1_1_2_2_1"/>
    <protectedRange sqref="B27:B29 B34:B35" name="Range1_1_1_1_1_1_1"/>
    <protectedRange sqref="F38 H38 F20:F21" name="Range1_3_3_1"/>
    <protectedRange sqref="B32" name="Range1_1_1_1_1_3"/>
    <protectedRange sqref="C32" name="Range1_1_2_2"/>
    <protectedRange sqref="B33" name="Range1_1_1_1_4"/>
    <protectedRange sqref="C33" name="Range1_1_2_2_2"/>
    <protectedRange sqref="E7:F19" name="Range1_3_1_1_1_1"/>
    <protectedRange sqref="E23:F37" name="Range1_3_2_1_1_1"/>
    <protectedRange sqref="A22 C22" name="Range1_1_1_2"/>
    <protectedRange sqref="B22" name="Range1_1_1_3_1_1_1"/>
    <protectedRange sqref="F22" name="Range1_3_3_1_2_1"/>
    <protectedRange sqref="A1:D4" name="Range1_2_1"/>
    <protectedRange sqref="E5:H6" name="Range1_3"/>
    <protectedRange sqref="G7:G37" name="Range1_2_1_1"/>
    <protectedRange sqref="D34:D37 D7:D21 D23:D31" name="Range1_1_1_1"/>
    <protectedRange sqref="D32" name="Range1_8_2"/>
    <protectedRange sqref="D33" name="Range1_8_1_1"/>
    <protectedRange sqref="D22" name="Range1_1_1_2_1"/>
  </protectedRanges>
  <mergeCells count="14">
    <mergeCell ref="C20:C21"/>
    <mergeCell ref="A1:I1"/>
    <mergeCell ref="A5:A6"/>
    <mergeCell ref="B5:B6"/>
    <mergeCell ref="C5:C6"/>
    <mergeCell ref="D5:D6"/>
    <mergeCell ref="E5:F5"/>
    <mergeCell ref="G5:H5"/>
    <mergeCell ref="I5:I6"/>
    <mergeCell ref="D20:D21"/>
    <mergeCell ref="E20:E21"/>
    <mergeCell ref="F20:F21"/>
    <mergeCell ref="G20:G21"/>
    <mergeCell ref="H20:H21"/>
  </mergeCells>
  <pageMargins left="0.7" right="0.7" top="0.75" bottom="0.75" header="0.3" footer="0.3"/>
  <pageSetup paperSize="256" scale="34"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B0EDA-D0A9-4B43-B85D-624F38A30BBE}">
  <dimension ref="A1:I48"/>
  <sheetViews>
    <sheetView topLeftCell="A13" zoomScale="50" zoomScaleNormal="50" workbookViewId="0">
      <selection activeCell="B8" sqref="B8"/>
    </sheetView>
  </sheetViews>
  <sheetFormatPr defaultColWidth="9.08984375" defaultRowHeight="15.5"/>
  <cols>
    <col min="1" max="1" width="6.6328125" style="290" customWidth="1"/>
    <col min="2" max="2" width="125.6328125" style="291" customWidth="1"/>
    <col min="3" max="3" width="8.08984375" style="292" customWidth="1"/>
    <col min="4" max="4" width="8" style="292" customWidth="1"/>
    <col min="5" max="5" width="13" style="222" customWidth="1"/>
    <col min="6" max="6" width="14.08984375" style="222" customWidth="1"/>
    <col min="7" max="7" width="13.81640625" style="222" customWidth="1"/>
    <col min="8" max="8" width="16.6328125" style="222" customWidth="1"/>
    <col min="9" max="9" width="22.90625" style="223" customWidth="1"/>
    <col min="10" max="16384" width="9.08984375" style="223"/>
  </cols>
  <sheetData>
    <row r="1" spans="1:9" s="162" customFormat="1" ht="40" customHeight="1">
      <c r="A1" s="1504" t="s">
        <v>960</v>
      </c>
      <c r="B1" s="1505"/>
      <c r="C1" s="1505"/>
      <c r="D1" s="1505"/>
      <c r="E1" s="1505"/>
      <c r="F1" s="1505"/>
      <c r="G1" s="1505"/>
      <c r="H1" s="1505"/>
      <c r="I1" s="1506"/>
    </row>
    <row r="2" spans="1:9" s="162" customFormat="1" ht="20" customHeight="1">
      <c r="A2" s="228" t="s">
        <v>1430</v>
      </c>
      <c r="B2" s="671"/>
      <c r="C2" s="672"/>
      <c r="D2" s="671"/>
      <c r="E2" s="671"/>
      <c r="F2" s="671"/>
      <c r="G2" s="671"/>
      <c r="H2" s="671" t="s">
        <v>831</v>
      </c>
      <c r="I2" s="272" t="s">
        <v>1474</v>
      </c>
    </row>
    <row r="3" spans="1:9" s="162" customFormat="1" ht="20" customHeight="1">
      <c r="A3" s="228" t="s">
        <v>961</v>
      </c>
      <c r="B3" s="671"/>
      <c r="C3" s="672"/>
      <c r="D3" s="671"/>
      <c r="E3" s="671"/>
      <c r="F3" s="671"/>
      <c r="G3" s="671"/>
      <c r="H3" s="671" t="s">
        <v>833</v>
      </c>
      <c r="I3" s="229" t="s">
        <v>379</v>
      </c>
    </row>
    <row r="4" spans="1:9" s="162" customFormat="1" ht="20" customHeight="1" thickBot="1">
      <c r="A4" s="230" t="s">
        <v>834</v>
      </c>
      <c r="B4" s="231"/>
      <c r="C4" s="232"/>
      <c r="D4" s="231"/>
      <c r="E4" s="231"/>
      <c r="F4" s="231"/>
      <c r="G4" s="231"/>
      <c r="H4" s="231"/>
      <c r="I4" s="233"/>
    </row>
    <row r="5" spans="1:9" s="239" customFormat="1" ht="22.75" customHeight="1">
      <c r="A5" s="1501" t="s">
        <v>819</v>
      </c>
      <c r="B5" s="1497" t="s">
        <v>2</v>
      </c>
      <c r="C5" s="1497" t="s">
        <v>12</v>
      </c>
      <c r="D5" s="1497" t="s">
        <v>13</v>
      </c>
      <c r="E5" s="1497" t="s">
        <v>14</v>
      </c>
      <c r="F5" s="1497"/>
      <c r="G5" s="1497" t="s">
        <v>9</v>
      </c>
      <c r="H5" s="1497"/>
      <c r="I5" s="1507" t="s">
        <v>428</v>
      </c>
    </row>
    <row r="6" spans="1:9" s="239" customFormat="1" ht="22.75" customHeight="1">
      <c r="A6" s="1502"/>
      <c r="B6" s="1503"/>
      <c r="C6" s="1503"/>
      <c r="D6" s="1503"/>
      <c r="E6" s="1431" t="s">
        <v>470</v>
      </c>
      <c r="F6" s="1431" t="s">
        <v>28</v>
      </c>
      <c r="G6" s="1431" t="s">
        <v>470</v>
      </c>
      <c r="H6" s="1431" t="s">
        <v>28</v>
      </c>
      <c r="I6" s="1508"/>
    </row>
    <row r="7" spans="1:9" s="243" customFormat="1" ht="55.25" customHeight="1">
      <c r="A7" s="273">
        <v>1</v>
      </c>
      <c r="B7" s="697" t="s">
        <v>962</v>
      </c>
      <c r="C7" s="698" t="s">
        <v>16</v>
      </c>
      <c r="D7" s="963">
        <v>16</v>
      </c>
      <c r="E7" s="698"/>
      <c r="F7" s="698"/>
      <c r="G7" s="699">
        <f t="shared" ref="G7:H22" si="0">IF($D7="","",IFERROR($D7*E7,""))</f>
        <v>0</v>
      </c>
      <c r="H7" s="699">
        <f t="shared" si="0"/>
        <v>0</v>
      </c>
      <c r="I7" s="274" t="s">
        <v>2516</v>
      </c>
    </row>
    <row r="8" spans="1:9" s="243" customFormat="1" ht="50" customHeight="1">
      <c r="A8" s="273" t="s">
        <v>821</v>
      </c>
      <c r="B8" s="700" t="s">
        <v>963</v>
      </c>
      <c r="C8" s="698" t="s">
        <v>16</v>
      </c>
      <c r="D8" s="963">
        <f>1</f>
        <v>1</v>
      </c>
      <c r="E8" s="698"/>
      <c r="F8" s="698"/>
      <c r="G8" s="699">
        <f t="shared" si="0"/>
        <v>0</v>
      </c>
      <c r="H8" s="699">
        <f t="shared" si="0"/>
        <v>0</v>
      </c>
      <c r="I8" s="274" t="s">
        <v>964</v>
      </c>
    </row>
    <row r="9" spans="1:9" s="243" customFormat="1" ht="160" customHeight="1">
      <c r="A9" s="273" t="s">
        <v>822</v>
      </c>
      <c r="B9" s="700" t="s">
        <v>965</v>
      </c>
      <c r="C9" s="698" t="s">
        <v>16</v>
      </c>
      <c r="D9" s="963">
        <f>1</f>
        <v>1</v>
      </c>
      <c r="E9" s="698"/>
      <c r="F9" s="698"/>
      <c r="G9" s="699">
        <f t="shared" si="0"/>
        <v>0</v>
      </c>
      <c r="H9" s="699">
        <f t="shared" si="0"/>
        <v>0</v>
      </c>
      <c r="I9" s="274" t="s">
        <v>2516</v>
      </c>
    </row>
    <row r="10" spans="1:9" s="243" customFormat="1" ht="50" customHeight="1">
      <c r="A10" s="273" t="s">
        <v>823</v>
      </c>
      <c r="B10" s="700" t="s">
        <v>966</v>
      </c>
      <c r="C10" s="698" t="s">
        <v>16</v>
      </c>
      <c r="D10" s="963">
        <v>12</v>
      </c>
      <c r="E10" s="698"/>
      <c r="F10" s="698"/>
      <c r="G10" s="699">
        <f t="shared" si="0"/>
        <v>0</v>
      </c>
      <c r="H10" s="699">
        <f t="shared" si="0"/>
        <v>0</v>
      </c>
      <c r="I10" s="274"/>
    </row>
    <row r="11" spans="1:9" s="243" customFormat="1" ht="50" customHeight="1">
      <c r="A11" s="273" t="s">
        <v>824</v>
      </c>
      <c r="B11" s="700" t="s">
        <v>967</v>
      </c>
      <c r="C11" s="698" t="s">
        <v>16</v>
      </c>
      <c r="D11" s="963">
        <v>0</v>
      </c>
      <c r="E11" s="698"/>
      <c r="F11" s="698"/>
      <c r="G11" s="699">
        <f t="shared" si="0"/>
        <v>0</v>
      </c>
      <c r="H11" s="699">
        <f t="shared" si="0"/>
        <v>0</v>
      </c>
      <c r="I11" s="274"/>
    </row>
    <row r="12" spans="1:9" s="243" customFormat="1" ht="50" customHeight="1">
      <c r="A12" s="273" t="s">
        <v>672</v>
      </c>
      <c r="B12" s="700" t="s">
        <v>968</v>
      </c>
      <c r="C12" s="698" t="s">
        <v>16</v>
      </c>
      <c r="D12" s="963">
        <v>0</v>
      </c>
      <c r="E12" s="698"/>
      <c r="F12" s="698"/>
      <c r="G12" s="699">
        <f t="shared" si="0"/>
        <v>0</v>
      </c>
      <c r="H12" s="699">
        <f t="shared" si="0"/>
        <v>0</v>
      </c>
      <c r="I12" s="274"/>
    </row>
    <row r="13" spans="1:9" s="243" customFormat="1" ht="50" customHeight="1">
      <c r="A13" s="273" t="s">
        <v>825</v>
      </c>
      <c r="B13" s="700" t="s">
        <v>969</v>
      </c>
      <c r="C13" s="698" t="s">
        <v>16</v>
      </c>
      <c r="D13" s="963">
        <f>4</f>
        <v>4</v>
      </c>
      <c r="E13" s="698"/>
      <c r="F13" s="698"/>
      <c r="G13" s="699">
        <f t="shared" si="0"/>
        <v>0</v>
      </c>
      <c r="H13" s="699">
        <f t="shared" si="0"/>
        <v>0</v>
      </c>
      <c r="I13" s="274"/>
    </row>
    <row r="14" spans="1:9" s="243" customFormat="1" ht="40" customHeight="1">
      <c r="A14" s="273" t="s">
        <v>743</v>
      </c>
      <c r="B14" s="700" t="s">
        <v>970</v>
      </c>
      <c r="C14" s="698" t="s">
        <v>16</v>
      </c>
      <c r="D14" s="963" t="s">
        <v>828</v>
      </c>
      <c r="E14" s="698"/>
      <c r="F14" s="698"/>
      <c r="G14" s="699" t="str">
        <f t="shared" si="0"/>
        <v/>
      </c>
      <c r="H14" s="699" t="str">
        <f t="shared" si="0"/>
        <v/>
      </c>
      <c r="I14" s="274"/>
    </row>
    <row r="15" spans="1:9" s="243" customFormat="1" ht="40" customHeight="1">
      <c r="A15" s="273" t="s">
        <v>771</v>
      </c>
      <c r="B15" s="700" t="s">
        <v>971</v>
      </c>
      <c r="C15" s="698" t="s">
        <v>16</v>
      </c>
      <c r="D15" s="963">
        <v>14</v>
      </c>
      <c r="E15" s="698"/>
      <c r="F15" s="698"/>
      <c r="G15" s="699">
        <f t="shared" si="0"/>
        <v>0</v>
      </c>
      <c r="H15" s="699">
        <f t="shared" si="0"/>
        <v>0</v>
      </c>
      <c r="I15" s="274"/>
    </row>
    <row r="16" spans="1:9" s="243" customFormat="1" ht="40" customHeight="1">
      <c r="A16" s="273" t="s">
        <v>785</v>
      </c>
      <c r="B16" s="700" t="s">
        <v>972</v>
      </c>
      <c r="C16" s="698" t="s">
        <v>16</v>
      </c>
      <c r="D16" s="963">
        <f>2</f>
        <v>2</v>
      </c>
      <c r="E16" s="698"/>
      <c r="F16" s="698"/>
      <c r="G16" s="699">
        <f t="shared" si="0"/>
        <v>0</v>
      </c>
      <c r="H16" s="699">
        <f t="shared" si="0"/>
        <v>0</v>
      </c>
      <c r="I16" s="274"/>
    </row>
    <row r="17" spans="1:9" s="243" customFormat="1" ht="40" customHeight="1">
      <c r="A17" s="273" t="s">
        <v>793</v>
      </c>
      <c r="B17" s="700" t="s">
        <v>973</v>
      </c>
      <c r="C17" s="698" t="s">
        <v>16</v>
      </c>
      <c r="D17" s="963">
        <v>16</v>
      </c>
      <c r="E17" s="698"/>
      <c r="F17" s="698"/>
      <c r="G17" s="699">
        <f t="shared" si="0"/>
        <v>0</v>
      </c>
      <c r="H17" s="699">
        <f t="shared" si="0"/>
        <v>0</v>
      </c>
      <c r="I17" s="274"/>
    </row>
    <row r="18" spans="1:9" s="243" customFormat="1" ht="40" customHeight="1">
      <c r="A18" s="273" t="s">
        <v>941</v>
      </c>
      <c r="B18" s="700" t="s">
        <v>974</v>
      </c>
      <c r="C18" s="698" t="s">
        <v>16</v>
      </c>
      <c r="D18" s="963">
        <v>16</v>
      </c>
      <c r="E18" s="698"/>
      <c r="F18" s="698"/>
      <c r="G18" s="699">
        <f t="shared" si="0"/>
        <v>0</v>
      </c>
      <c r="H18" s="699">
        <f t="shared" si="0"/>
        <v>0</v>
      </c>
      <c r="I18" s="274"/>
    </row>
    <row r="19" spans="1:9" s="243" customFormat="1" ht="40" customHeight="1">
      <c r="A19" s="273" t="s">
        <v>943</v>
      </c>
      <c r="B19" s="700" t="s">
        <v>975</v>
      </c>
      <c r="C19" s="698" t="s">
        <v>16</v>
      </c>
      <c r="D19" s="963">
        <f>4</f>
        <v>4</v>
      </c>
      <c r="E19" s="698"/>
      <c r="F19" s="698"/>
      <c r="G19" s="699">
        <f t="shared" si="0"/>
        <v>0</v>
      </c>
      <c r="H19" s="699">
        <f t="shared" si="0"/>
        <v>0</v>
      </c>
      <c r="I19" s="274"/>
    </row>
    <row r="20" spans="1:9" s="243" customFormat="1" ht="230" customHeight="1">
      <c r="A20" s="273" t="s">
        <v>945</v>
      </c>
      <c r="B20" s="697" t="s">
        <v>976</v>
      </c>
      <c r="C20" s="1603" t="s">
        <v>16</v>
      </c>
      <c r="D20" s="1604">
        <v>1</v>
      </c>
      <c r="E20" s="1603"/>
      <c r="F20" s="1603"/>
      <c r="G20" s="1606">
        <f t="shared" si="0"/>
        <v>0</v>
      </c>
      <c r="H20" s="1606">
        <f t="shared" si="0"/>
        <v>0</v>
      </c>
      <c r="I20" s="1609" t="s">
        <v>977</v>
      </c>
    </row>
    <row r="21" spans="1:9" s="243" customFormat="1" ht="65.400000000000006" customHeight="1">
      <c r="A21" s="273"/>
      <c r="B21" s="700" t="s">
        <v>978</v>
      </c>
      <c r="C21" s="1603"/>
      <c r="D21" s="1604"/>
      <c r="E21" s="1603"/>
      <c r="F21" s="1603"/>
      <c r="G21" s="1606"/>
      <c r="H21" s="1606"/>
      <c r="I21" s="1609"/>
    </row>
    <row r="22" spans="1:9" s="243" customFormat="1" ht="40" customHeight="1">
      <c r="A22" s="273"/>
      <c r="B22" s="700" t="s">
        <v>979</v>
      </c>
      <c r="C22" s="698"/>
      <c r="D22" s="963"/>
      <c r="E22" s="698"/>
      <c r="F22" s="704"/>
      <c r="G22" s="699" t="str">
        <f t="shared" si="0"/>
        <v/>
      </c>
      <c r="H22" s="699" t="str">
        <f t="shared" si="0"/>
        <v/>
      </c>
      <c r="I22" s="274"/>
    </row>
    <row r="23" spans="1:9" s="243" customFormat="1" ht="40" customHeight="1">
      <c r="A23" s="273" t="s">
        <v>980</v>
      </c>
      <c r="B23" s="700" t="s">
        <v>981</v>
      </c>
      <c r="C23" s="698" t="s">
        <v>16</v>
      </c>
      <c r="D23" s="963">
        <v>1</v>
      </c>
      <c r="E23" s="698"/>
      <c r="F23" s="698"/>
      <c r="G23" s="699">
        <f t="shared" ref="G23:H37" si="1">IF($D23="","",IFERROR($D23*E23,""))</f>
        <v>0</v>
      </c>
      <c r="H23" s="699">
        <f t="shared" si="1"/>
        <v>0</v>
      </c>
      <c r="I23" s="274"/>
    </row>
    <row r="24" spans="1:9" s="243" customFormat="1" ht="40" customHeight="1">
      <c r="A24" s="273" t="s">
        <v>947</v>
      </c>
      <c r="B24" s="700" t="s">
        <v>982</v>
      </c>
      <c r="C24" s="698" t="s">
        <v>16</v>
      </c>
      <c r="D24" s="963">
        <v>1</v>
      </c>
      <c r="E24" s="698"/>
      <c r="F24" s="698"/>
      <c r="G24" s="699">
        <f t="shared" si="1"/>
        <v>0</v>
      </c>
      <c r="H24" s="699">
        <f t="shared" si="1"/>
        <v>0</v>
      </c>
      <c r="I24" s="274"/>
    </row>
    <row r="25" spans="1:9" s="243" customFormat="1" ht="40" customHeight="1">
      <c r="A25" s="273" t="s">
        <v>949</v>
      </c>
      <c r="B25" s="700" t="s">
        <v>983</v>
      </c>
      <c r="C25" s="698" t="s">
        <v>16</v>
      </c>
      <c r="D25" s="963">
        <v>0</v>
      </c>
      <c r="E25" s="698"/>
      <c r="F25" s="698"/>
      <c r="G25" s="699">
        <f t="shared" si="1"/>
        <v>0</v>
      </c>
      <c r="H25" s="699">
        <f t="shared" si="1"/>
        <v>0</v>
      </c>
      <c r="I25" s="274" t="s">
        <v>977</v>
      </c>
    </row>
    <row r="26" spans="1:9" s="243" customFormat="1" ht="40" customHeight="1">
      <c r="A26" s="273"/>
      <c r="B26" s="1436" t="s">
        <v>984</v>
      </c>
      <c r="C26" s="698"/>
      <c r="D26" s="963"/>
      <c r="E26" s="698"/>
      <c r="F26" s="698"/>
      <c r="G26" s="699" t="str">
        <f t="shared" si="1"/>
        <v/>
      </c>
      <c r="H26" s="699" t="str">
        <f t="shared" si="1"/>
        <v/>
      </c>
      <c r="I26" s="274"/>
    </row>
    <row r="27" spans="1:9" s="243" customFormat="1" ht="40" customHeight="1">
      <c r="A27" s="273" t="s">
        <v>985</v>
      </c>
      <c r="B27" s="700" t="s">
        <v>986</v>
      </c>
      <c r="C27" s="698" t="s">
        <v>933</v>
      </c>
      <c r="D27" s="963">
        <f>400*0</f>
        <v>0</v>
      </c>
      <c r="E27" s="698"/>
      <c r="F27" s="698"/>
      <c r="G27" s="699">
        <f t="shared" si="1"/>
        <v>0</v>
      </c>
      <c r="H27" s="699">
        <f t="shared" si="1"/>
        <v>0</v>
      </c>
      <c r="I27" s="274"/>
    </row>
    <row r="28" spans="1:9" s="243" customFormat="1" ht="40" customHeight="1">
      <c r="A28" s="273" t="s">
        <v>987</v>
      </c>
      <c r="B28" s="700" t="s">
        <v>988</v>
      </c>
      <c r="C28" s="698" t="s">
        <v>933</v>
      </c>
      <c r="D28" s="963">
        <f>250*0</f>
        <v>0</v>
      </c>
      <c r="E28" s="698"/>
      <c r="F28" s="698"/>
      <c r="G28" s="699">
        <f t="shared" si="1"/>
        <v>0</v>
      </c>
      <c r="H28" s="699">
        <f t="shared" si="1"/>
        <v>0</v>
      </c>
      <c r="I28" s="274"/>
    </row>
    <row r="29" spans="1:9" s="243" customFormat="1" ht="40" customHeight="1">
      <c r="A29" s="273" t="s">
        <v>989</v>
      </c>
      <c r="B29" s="700" t="s">
        <v>990</v>
      </c>
      <c r="C29" s="698" t="s">
        <v>933</v>
      </c>
      <c r="D29" s="963">
        <f>450*0</f>
        <v>0</v>
      </c>
      <c r="E29" s="698"/>
      <c r="F29" s="698"/>
      <c r="G29" s="699">
        <f t="shared" si="1"/>
        <v>0</v>
      </c>
      <c r="H29" s="699">
        <f t="shared" si="1"/>
        <v>0</v>
      </c>
      <c r="I29" s="274"/>
    </row>
    <row r="30" spans="1:9" s="243" customFormat="1" ht="30" customHeight="1">
      <c r="A30" s="273" t="s">
        <v>991</v>
      </c>
      <c r="B30" s="700" t="s">
        <v>992</v>
      </c>
      <c r="C30" s="698" t="s">
        <v>933</v>
      </c>
      <c r="D30" s="963">
        <f>300*0</f>
        <v>0</v>
      </c>
      <c r="E30" s="698"/>
      <c r="F30" s="698"/>
      <c r="G30" s="699">
        <f t="shared" si="1"/>
        <v>0</v>
      </c>
      <c r="H30" s="699">
        <f t="shared" si="1"/>
        <v>0</v>
      </c>
      <c r="I30" s="274"/>
    </row>
    <row r="31" spans="1:9" s="243" customFormat="1" ht="30" customHeight="1">
      <c r="A31" s="273" t="s">
        <v>993</v>
      </c>
      <c r="B31" s="700" t="s">
        <v>994</v>
      </c>
      <c r="C31" s="698" t="s">
        <v>933</v>
      </c>
      <c r="D31" s="963">
        <f>150*0</f>
        <v>0</v>
      </c>
      <c r="E31" s="698"/>
      <c r="F31" s="698"/>
      <c r="G31" s="699">
        <f t="shared" si="1"/>
        <v>0</v>
      </c>
      <c r="H31" s="699">
        <f t="shared" si="1"/>
        <v>0</v>
      </c>
      <c r="I31" s="274"/>
    </row>
    <row r="32" spans="1:9" s="243" customFormat="1" ht="30" customHeight="1">
      <c r="A32" s="273" t="s">
        <v>995</v>
      </c>
      <c r="B32" s="700" t="s">
        <v>996</v>
      </c>
      <c r="C32" s="698" t="s">
        <v>933</v>
      </c>
      <c r="D32" s="963">
        <f>300*0</f>
        <v>0</v>
      </c>
      <c r="E32" s="698"/>
      <c r="F32" s="698"/>
      <c r="G32" s="699">
        <f t="shared" si="1"/>
        <v>0</v>
      </c>
      <c r="H32" s="699">
        <f t="shared" si="1"/>
        <v>0</v>
      </c>
      <c r="I32" s="274"/>
    </row>
    <row r="33" spans="1:9" s="243" customFormat="1" ht="30" customHeight="1">
      <c r="A33" s="273" t="s">
        <v>997</v>
      </c>
      <c r="B33" s="700" t="s">
        <v>998</v>
      </c>
      <c r="C33" s="698" t="s">
        <v>933</v>
      </c>
      <c r="D33" s="963" t="s">
        <v>828</v>
      </c>
      <c r="E33" s="698"/>
      <c r="F33" s="698"/>
      <c r="G33" s="699" t="str">
        <f t="shared" si="1"/>
        <v/>
      </c>
      <c r="H33" s="699" t="str">
        <f t="shared" si="1"/>
        <v/>
      </c>
      <c r="I33" s="275"/>
    </row>
    <row r="34" spans="1:9" s="243" customFormat="1" ht="40" customHeight="1">
      <c r="A34" s="273" t="s">
        <v>999</v>
      </c>
      <c r="B34" s="700" t="s">
        <v>1000</v>
      </c>
      <c r="C34" s="698" t="s">
        <v>933</v>
      </c>
      <c r="D34" s="964">
        <f>350*0</f>
        <v>0</v>
      </c>
      <c r="E34" s="698"/>
      <c r="F34" s="698"/>
      <c r="G34" s="699">
        <f t="shared" si="1"/>
        <v>0</v>
      </c>
      <c r="H34" s="699">
        <f t="shared" si="1"/>
        <v>0</v>
      </c>
      <c r="I34" s="274"/>
    </row>
    <row r="35" spans="1:9" s="243" customFormat="1" ht="40" customHeight="1">
      <c r="A35" s="273" t="s">
        <v>1001</v>
      </c>
      <c r="B35" s="700" t="s">
        <v>1002</v>
      </c>
      <c r="C35" s="698" t="s">
        <v>933</v>
      </c>
      <c r="D35" s="963">
        <f>200*0</f>
        <v>0</v>
      </c>
      <c r="E35" s="698"/>
      <c r="F35" s="698"/>
      <c r="G35" s="699">
        <f t="shared" si="1"/>
        <v>0</v>
      </c>
      <c r="H35" s="699">
        <f t="shared" si="1"/>
        <v>0</v>
      </c>
      <c r="I35" s="274"/>
    </row>
    <row r="36" spans="1:9" s="243" customFormat="1" ht="40" customHeight="1">
      <c r="A36" s="273" t="s">
        <v>1003</v>
      </c>
      <c r="B36" s="700" t="s">
        <v>1004</v>
      </c>
      <c r="C36" s="698" t="s">
        <v>16</v>
      </c>
      <c r="D36" s="963">
        <v>0</v>
      </c>
      <c r="E36" s="698"/>
      <c r="F36" s="698"/>
      <c r="G36" s="699">
        <f t="shared" si="1"/>
        <v>0</v>
      </c>
      <c r="H36" s="699">
        <f t="shared" si="1"/>
        <v>0</v>
      </c>
      <c r="I36" s="274"/>
    </row>
    <row r="37" spans="1:9" s="243" customFormat="1" ht="40" customHeight="1">
      <c r="A37" s="273" t="s">
        <v>1005</v>
      </c>
      <c r="B37" s="700" t="s">
        <v>1006</v>
      </c>
      <c r="C37" s="698" t="s">
        <v>395</v>
      </c>
      <c r="D37" s="963">
        <v>1</v>
      </c>
      <c r="E37" s="698"/>
      <c r="F37" s="698"/>
      <c r="G37" s="699">
        <f t="shared" si="1"/>
        <v>0</v>
      </c>
      <c r="H37" s="699">
        <f t="shared" si="1"/>
        <v>0</v>
      </c>
      <c r="I37" s="274"/>
    </row>
    <row r="38" spans="1:9" s="243" customFormat="1" ht="20" customHeight="1">
      <c r="A38" s="276"/>
      <c r="B38" s="701"/>
      <c r="C38" s="702"/>
      <c r="D38" s="703"/>
      <c r="E38" s="703"/>
      <c r="F38" s="704"/>
      <c r="G38" s="703"/>
      <c r="H38" s="704"/>
      <c r="I38" s="274"/>
    </row>
    <row r="39" spans="1:9" s="256" customFormat="1" ht="25" customHeight="1">
      <c r="A39" s="277"/>
      <c r="B39" s="705" t="s">
        <v>904</v>
      </c>
      <c r="C39" s="705"/>
      <c r="D39" s="705"/>
      <c r="E39" s="705"/>
      <c r="F39" s="706"/>
      <c r="G39" s="707">
        <f>SUM(G7:G37)</f>
        <v>0</v>
      </c>
      <c r="H39" s="707">
        <f>SUM(H7:H37)</f>
        <v>0</v>
      </c>
      <c r="I39" s="278"/>
    </row>
    <row r="40" spans="1:9" s="256" customFormat="1" ht="25" customHeight="1">
      <c r="A40" s="277"/>
      <c r="B40" s="705" t="s">
        <v>2569</v>
      </c>
      <c r="C40" s="705"/>
      <c r="D40" s="705"/>
      <c r="E40" s="705"/>
      <c r="F40" s="706"/>
      <c r="G40" s="706"/>
      <c r="H40" s="707">
        <f>H39+G39</f>
        <v>0</v>
      </c>
      <c r="I40" s="279"/>
    </row>
    <row r="41" spans="1:9" ht="20" customHeight="1">
      <c r="A41" s="280"/>
      <c r="B41" s="708"/>
      <c r="C41" s="709"/>
      <c r="D41" s="709"/>
      <c r="E41" s="710"/>
      <c r="F41" s="710"/>
      <c r="G41" s="710"/>
      <c r="H41" s="710"/>
      <c r="I41" s="281"/>
    </row>
    <row r="42" spans="1:9" s="284" customFormat="1" ht="17.5" customHeight="1">
      <c r="A42" s="282"/>
      <c r="B42" s="711" t="s">
        <v>957</v>
      </c>
      <c r="C42" s="712"/>
      <c r="D42" s="712"/>
      <c r="E42" s="713"/>
      <c r="F42" s="713"/>
      <c r="G42" s="713"/>
      <c r="H42" s="713"/>
      <c r="I42" s="283"/>
    </row>
    <row r="43" spans="1:9" s="284" customFormat="1" ht="17.5" customHeight="1">
      <c r="A43" s="282"/>
      <c r="B43" s="714" t="s">
        <v>1007</v>
      </c>
      <c r="C43" s="712"/>
      <c r="D43" s="712"/>
      <c r="E43" s="713"/>
      <c r="F43" s="713"/>
      <c r="G43" s="713"/>
      <c r="H43" s="713"/>
      <c r="I43" s="283"/>
    </row>
    <row r="44" spans="1:9" s="284" customFormat="1" ht="17.5" customHeight="1">
      <c r="A44" s="282"/>
      <c r="B44" s="714" t="s">
        <v>1008</v>
      </c>
      <c r="C44" s="712"/>
      <c r="D44" s="712"/>
      <c r="E44" s="713"/>
      <c r="F44" s="713"/>
      <c r="G44" s="713"/>
      <c r="H44" s="713"/>
      <c r="I44" s="283"/>
    </row>
    <row r="45" spans="1:9" s="284" customFormat="1" ht="17.5" customHeight="1">
      <c r="A45" s="282"/>
      <c r="B45" s="714" t="s">
        <v>1009</v>
      </c>
      <c r="C45" s="712"/>
      <c r="D45" s="712"/>
      <c r="E45" s="713"/>
      <c r="F45" s="713"/>
      <c r="G45" s="713"/>
      <c r="H45" s="713"/>
      <c r="I45" s="283"/>
    </row>
    <row r="46" spans="1:9" s="284" customFormat="1" ht="17.5" customHeight="1">
      <c r="A46" s="282"/>
      <c r="B46" s="715" t="s">
        <v>1010</v>
      </c>
      <c r="C46" s="712"/>
      <c r="D46" s="712"/>
      <c r="E46" s="713"/>
      <c r="F46" s="713"/>
      <c r="G46" s="713"/>
      <c r="H46" s="713"/>
      <c r="I46" s="283"/>
    </row>
    <row r="47" spans="1:9" s="284" customFormat="1" ht="17.5" customHeight="1">
      <c r="A47" s="282"/>
      <c r="B47" s="715"/>
      <c r="C47" s="712"/>
      <c r="D47" s="712"/>
      <c r="E47" s="713"/>
      <c r="F47" s="713"/>
      <c r="G47" s="713"/>
      <c r="H47" s="713"/>
      <c r="I47" s="283"/>
    </row>
    <row r="48" spans="1:9" s="284" customFormat="1" ht="17.5" customHeight="1" thickBot="1">
      <c r="A48" s="285"/>
      <c r="B48" s="286" t="s">
        <v>1011</v>
      </c>
      <c r="C48" s="287"/>
      <c r="D48" s="287"/>
      <c r="E48" s="288"/>
      <c r="F48" s="288"/>
      <c r="G48" s="288"/>
      <c r="H48" s="288"/>
      <c r="I48" s="289"/>
    </row>
  </sheetData>
  <protectedRanges>
    <protectedRange sqref="A23:A30 A33:A37 A38:D38 B36:C37 A7:A21 C7:C21 C23:C26" name="Range1_1_1"/>
    <protectedRange sqref="B24" name="Range1_1_1_1_2_2"/>
    <protectedRange sqref="B8" name="Range1_1_1_4_1"/>
    <protectedRange sqref="B7" name="Range1_1_1_2_1_1"/>
    <protectedRange sqref="B9:B21 B23 B25:B26" name="Range1_1_1_3_1_1"/>
    <protectedRange sqref="C27:C31 C34:C35" name="Range1_1_2_2_1"/>
    <protectedRange sqref="B27:B29 B34:B35" name="Range1_1_1_1_1_1_1"/>
    <protectedRange sqref="F38 H38 F20:F21" name="Range1_3_3_1"/>
    <protectedRange sqref="B32" name="Range1_1_1_1_1_3"/>
    <protectedRange sqref="C32" name="Range1_1_2_2"/>
    <protectedRange sqref="B33" name="Range1_1_1_1_4"/>
    <protectedRange sqref="C33" name="Range1_1_2_2_2"/>
    <protectedRange sqref="E7:F19" name="Range1_3_1_1_1_1"/>
    <protectedRange sqref="E23:F37" name="Range1_3_2_1_1_1"/>
    <protectedRange sqref="A22 C22" name="Range1_1_1_2"/>
    <protectedRange sqref="B22" name="Range1_1_1_3_1_1_1"/>
    <protectedRange sqref="F22" name="Range1_3_3_1_2_1"/>
    <protectedRange sqref="A1:D4" name="Range1_2_1"/>
    <protectedRange sqref="E5:H6" name="Range1_3"/>
    <protectedRange sqref="G7:G37" name="Range1_2_1_1"/>
    <protectedRange sqref="L34:L37 L7:L21 L23:L31" name="Range1_3_3_1_3"/>
    <protectedRange sqref="L32" name="Range1_3_3_1_1_2"/>
    <protectedRange sqref="L32" name="Range1_3_5_3"/>
    <protectedRange sqref="L33" name="Range1_3_5_1_2"/>
    <protectedRange sqref="K7:K19" name="Range1_3_1_1_1_1_2"/>
    <protectedRange sqref="K37" name="Range1_7_1_1_1_2"/>
    <protectedRange sqref="K23:K26" name="Range1_3_2_1_1_1_2"/>
    <protectedRange sqref="K27:K35" name="Range1_1_2_1_1_1_2_2"/>
    <protectedRange sqref="K32" name="Range1_1_2_1_1_1_1_1_2"/>
    <protectedRange sqref="K32" name="Range1_1_2_1_1_2_2"/>
    <protectedRange sqref="K33" name="Range1_1_3_1_1_2"/>
    <protectedRange sqref="L22" name="Range1_3_3_1_2_1_2"/>
    <protectedRange sqref="D34:D37 D7:D21 D23:D31" name="Range1_1_1_1"/>
    <protectedRange sqref="D32" name="Range1_8_2"/>
    <protectedRange sqref="D33" name="Range1_8_1_1"/>
    <protectedRange sqref="D22" name="Range1_1_1_2_1"/>
    <protectedRange sqref="Q34:Q38 Q7:Q21 Q23:Q31" name="Range1_1_1_3"/>
    <protectedRange sqref="S38:U38 W38 S11:S12 S23:S26 S20:S21 S35 Y38" name="Range1_3_3_1_1"/>
    <protectedRange sqref="Q32" name="Range1_8"/>
    <protectedRange sqref="Q33" name="Range1_8_1"/>
    <protectedRange sqref="R11:R12" name="Range1_3_1_1_1_1_3"/>
    <protectedRange sqref="R23:R26" name="Range1_3_2_1_1_1_3"/>
    <protectedRange sqref="R35" name="Range1_1_2_1_1_1_2"/>
    <protectedRange sqref="Q22" name="Range1_1_1_2_2"/>
    <protectedRange sqref="S22" name="Range1_3_3_1_2_1_3"/>
    <protectedRange sqref="Q1:Q4" name="Range1_2_1_2"/>
    <protectedRange sqref="R5:Y6" name="Range1_3_2"/>
    <protectedRange sqref="V7:V37 X7:X37" name="Range1_2_1_1_2"/>
    <protectedRange sqref="S7:U7 S8 T8:U37" name="Range1_3_3_1_3_1"/>
    <protectedRange sqref="R7:R8" name="Range1_3_1_1_1_1_2_1"/>
    <protectedRange sqref="S9:S10" name="Range1_3_3_1_4"/>
    <protectedRange sqref="R9:R10" name="Range1_3_1_1_1_1_3_1"/>
    <protectedRange sqref="S13:S19" name="Range1_3_3_1_5"/>
    <protectedRange sqref="R13:R19" name="Range1_3_1_1_1_1_4"/>
    <protectedRange sqref="S34 S27:S31 S36:S37" name="Range1_3_3_1_6"/>
    <protectedRange sqref="S32" name="Range1_3_3_1_1_2_1"/>
    <protectedRange sqref="S32" name="Range1_3_5_3_1"/>
    <protectedRange sqref="S33" name="Range1_3_5_1_2_1"/>
    <protectedRange sqref="R37" name="Range1_7_1_1_1_2_1"/>
    <protectedRange sqref="R27:R34" name="Range1_1_2_1_1_1_2_2_1"/>
    <protectedRange sqref="R32" name="Range1_1_2_1_1_1_1_1_2_1"/>
    <protectedRange sqref="R32" name="Range1_1_2_1_1_2_2_1"/>
    <protectedRange sqref="R33" name="Range1_1_3_1_1_2_1"/>
  </protectedRanges>
  <mergeCells count="15">
    <mergeCell ref="A1:I1"/>
    <mergeCell ref="A5:A6"/>
    <mergeCell ref="B5:B6"/>
    <mergeCell ref="C5:C6"/>
    <mergeCell ref="D5:D6"/>
    <mergeCell ref="E5:F5"/>
    <mergeCell ref="G5:H5"/>
    <mergeCell ref="I5:I6"/>
    <mergeCell ref="I20:I21"/>
    <mergeCell ref="C20:C21"/>
    <mergeCell ref="D20:D21"/>
    <mergeCell ref="E20:E21"/>
    <mergeCell ref="F20:F21"/>
    <mergeCell ref="G20:G21"/>
    <mergeCell ref="H20:H2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1AEAD-C5FB-4384-9A37-904540535AE7}">
  <dimension ref="A1:J14"/>
  <sheetViews>
    <sheetView zoomScale="60" zoomScaleNormal="60" workbookViewId="0">
      <selection sqref="A1:C1"/>
    </sheetView>
  </sheetViews>
  <sheetFormatPr defaultColWidth="8.6328125" defaultRowHeight="14"/>
  <cols>
    <col min="1" max="1" width="8.36328125" style="989" customWidth="1"/>
    <col min="2" max="2" width="77.81640625" style="990" customWidth="1"/>
    <col min="3" max="3" width="26.6328125" style="991" customWidth="1"/>
    <col min="4" max="4" width="9.08984375" style="989" customWidth="1"/>
    <col min="5" max="5" width="12.08984375" style="989" customWidth="1"/>
    <col min="6" max="6" width="10" style="989" bestFit="1" customWidth="1"/>
    <col min="7" max="7" width="13.08984375" style="992" bestFit="1" customWidth="1"/>
    <col min="8" max="8" width="20.90625" style="992" bestFit="1" customWidth="1"/>
    <col min="9" max="9" width="20.81640625" style="989" bestFit="1" customWidth="1"/>
    <col min="10" max="10" width="20.90625" style="989" bestFit="1" customWidth="1"/>
    <col min="11" max="207" width="8.6328125" style="988"/>
    <col min="208" max="208" width="24.6328125" style="988" customWidth="1"/>
    <col min="209" max="209" width="89.6328125" style="988" customWidth="1"/>
    <col min="210" max="210" width="8.36328125" style="988" customWidth="1"/>
    <col min="211" max="211" width="12.453125" style="988" customWidth="1"/>
    <col min="212" max="212" width="23" style="988" customWidth="1"/>
    <col min="213" max="213" width="22.453125" style="988" customWidth="1"/>
    <col min="214" max="214" width="26.36328125" style="988" customWidth="1"/>
    <col min="215" max="215" width="25.6328125" style="988" customWidth="1"/>
    <col min="216" max="216" width="7.36328125" style="988" customWidth="1"/>
    <col min="217" max="463" width="8.6328125" style="988"/>
    <col min="464" max="464" width="24.6328125" style="988" customWidth="1"/>
    <col min="465" max="465" width="89.6328125" style="988" customWidth="1"/>
    <col min="466" max="466" width="8.36328125" style="988" customWidth="1"/>
    <col min="467" max="467" width="12.453125" style="988" customWidth="1"/>
    <col min="468" max="468" width="23" style="988" customWidth="1"/>
    <col min="469" max="469" width="22.453125" style="988" customWidth="1"/>
    <col min="470" max="470" width="26.36328125" style="988" customWidth="1"/>
    <col min="471" max="471" width="25.6328125" style="988" customWidth="1"/>
    <col min="472" max="472" width="7.36328125" style="988" customWidth="1"/>
    <col min="473" max="719" width="8.6328125" style="988"/>
    <col min="720" max="720" width="24.6328125" style="988" customWidth="1"/>
    <col min="721" max="721" width="89.6328125" style="988" customWidth="1"/>
    <col min="722" max="722" width="8.36328125" style="988" customWidth="1"/>
    <col min="723" max="723" width="12.453125" style="988" customWidth="1"/>
    <col min="724" max="724" width="23" style="988" customWidth="1"/>
    <col min="725" max="725" width="22.453125" style="988" customWidth="1"/>
    <col min="726" max="726" width="26.36328125" style="988" customWidth="1"/>
    <col min="727" max="727" width="25.6328125" style="988" customWidth="1"/>
    <col min="728" max="728" width="7.36328125" style="988" customWidth="1"/>
    <col min="729" max="975" width="8.6328125" style="988"/>
    <col min="976" max="976" width="24.6328125" style="988" customWidth="1"/>
    <col min="977" max="977" width="89.6328125" style="988" customWidth="1"/>
    <col min="978" max="978" width="8.36328125" style="988" customWidth="1"/>
    <col min="979" max="979" width="12.453125" style="988" customWidth="1"/>
    <col min="980" max="980" width="23" style="988" customWidth="1"/>
    <col min="981" max="981" width="22.453125" style="988" customWidth="1"/>
    <col min="982" max="982" width="26.36328125" style="988" customWidth="1"/>
    <col min="983" max="983" width="25.6328125" style="988" customWidth="1"/>
    <col min="984" max="984" width="7.36328125" style="988" customWidth="1"/>
    <col min="985" max="1231" width="8.6328125" style="988"/>
    <col min="1232" max="1232" width="24.6328125" style="988" customWidth="1"/>
    <col min="1233" max="1233" width="89.6328125" style="988" customWidth="1"/>
    <col min="1234" max="1234" width="8.36328125" style="988" customWidth="1"/>
    <col min="1235" max="1235" width="12.453125" style="988" customWidth="1"/>
    <col min="1236" max="1236" width="23" style="988" customWidth="1"/>
    <col min="1237" max="1237" width="22.453125" style="988" customWidth="1"/>
    <col min="1238" max="1238" width="26.36328125" style="988" customWidth="1"/>
    <col min="1239" max="1239" width="25.6328125" style="988" customWidth="1"/>
    <col min="1240" max="1240" width="7.36328125" style="988" customWidth="1"/>
    <col min="1241" max="1487" width="8.6328125" style="988"/>
    <col min="1488" max="1488" width="24.6328125" style="988" customWidth="1"/>
    <col min="1489" max="1489" width="89.6328125" style="988" customWidth="1"/>
    <col min="1490" max="1490" width="8.36328125" style="988" customWidth="1"/>
    <col min="1491" max="1491" width="12.453125" style="988" customWidth="1"/>
    <col min="1492" max="1492" width="23" style="988" customWidth="1"/>
    <col min="1493" max="1493" width="22.453125" style="988" customWidth="1"/>
    <col min="1494" max="1494" width="26.36328125" style="988" customWidth="1"/>
    <col min="1495" max="1495" width="25.6328125" style="988" customWidth="1"/>
    <col min="1496" max="1496" width="7.36328125" style="988" customWidth="1"/>
    <col min="1497" max="1743" width="8.6328125" style="988"/>
    <col min="1744" max="1744" width="24.6328125" style="988" customWidth="1"/>
    <col min="1745" max="1745" width="89.6328125" style="988" customWidth="1"/>
    <col min="1746" max="1746" width="8.36328125" style="988" customWidth="1"/>
    <col min="1747" max="1747" width="12.453125" style="988" customWidth="1"/>
    <col min="1748" max="1748" width="23" style="988" customWidth="1"/>
    <col min="1749" max="1749" width="22.453125" style="988" customWidth="1"/>
    <col min="1750" max="1750" width="26.36328125" style="988" customWidth="1"/>
    <col min="1751" max="1751" width="25.6328125" style="988" customWidth="1"/>
    <col min="1752" max="1752" width="7.36328125" style="988" customWidth="1"/>
    <col min="1753" max="1999" width="8.6328125" style="988"/>
    <col min="2000" max="2000" width="24.6328125" style="988" customWidth="1"/>
    <col min="2001" max="2001" width="89.6328125" style="988" customWidth="1"/>
    <col min="2002" max="2002" width="8.36328125" style="988" customWidth="1"/>
    <col min="2003" max="2003" width="12.453125" style="988" customWidth="1"/>
    <col min="2004" max="2004" width="23" style="988" customWidth="1"/>
    <col min="2005" max="2005" width="22.453125" style="988" customWidth="1"/>
    <col min="2006" max="2006" width="26.36328125" style="988" customWidth="1"/>
    <col min="2007" max="2007" width="25.6328125" style="988" customWidth="1"/>
    <col min="2008" max="2008" width="7.36328125" style="988" customWidth="1"/>
    <col min="2009" max="2255" width="8.6328125" style="988"/>
    <col min="2256" max="2256" width="24.6328125" style="988" customWidth="1"/>
    <col min="2257" max="2257" width="89.6328125" style="988" customWidth="1"/>
    <col min="2258" max="2258" width="8.36328125" style="988" customWidth="1"/>
    <col min="2259" max="2259" width="12.453125" style="988" customWidth="1"/>
    <col min="2260" max="2260" width="23" style="988" customWidth="1"/>
    <col min="2261" max="2261" width="22.453125" style="988" customWidth="1"/>
    <col min="2262" max="2262" width="26.36328125" style="988" customWidth="1"/>
    <col min="2263" max="2263" width="25.6328125" style="988" customWidth="1"/>
    <col min="2264" max="2264" width="7.36328125" style="988" customWidth="1"/>
    <col min="2265" max="2511" width="8.6328125" style="988"/>
    <col min="2512" max="2512" width="24.6328125" style="988" customWidth="1"/>
    <col min="2513" max="2513" width="89.6328125" style="988" customWidth="1"/>
    <col min="2514" max="2514" width="8.36328125" style="988" customWidth="1"/>
    <col min="2515" max="2515" width="12.453125" style="988" customWidth="1"/>
    <col min="2516" max="2516" width="23" style="988" customWidth="1"/>
    <col min="2517" max="2517" width="22.453125" style="988" customWidth="1"/>
    <col min="2518" max="2518" width="26.36328125" style="988" customWidth="1"/>
    <col min="2519" max="2519" width="25.6328125" style="988" customWidth="1"/>
    <col min="2520" max="2520" width="7.36328125" style="988" customWidth="1"/>
    <col min="2521" max="2767" width="8.6328125" style="988"/>
    <col min="2768" max="2768" width="24.6328125" style="988" customWidth="1"/>
    <col min="2769" max="2769" width="89.6328125" style="988" customWidth="1"/>
    <col min="2770" max="2770" width="8.36328125" style="988" customWidth="1"/>
    <col min="2771" max="2771" width="12.453125" style="988" customWidth="1"/>
    <col min="2772" max="2772" width="23" style="988" customWidth="1"/>
    <col min="2773" max="2773" width="22.453125" style="988" customWidth="1"/>
    <col min="2774" max="2774" width="26.36328125" style="988" customWidth="1"/>
    <col min="2775" max="2775" width="25.6328125" style="988" customWidth="1"/>
    <col min="2776" max="2776" width="7.36328125" style="988" customWidth="1"/>
    <col min="2777" max="3023" width="8.6328125" style="988"/>
    <col min="3024" max="3024" width="24.6328125" style="988" customWidth="1"/>
    <col min="3025" max="3025" width="89.6328125" style="988" customWidth="1"/>
    <col min="3026" max="3026" width="8.36328125" style="988" customWidth="1"/>
    <col min="3027" max="3027" width="12.453125" style="988" customWidth="1"/>
    <col min="3028" max="3028" width="23" style="988" customWidth="1"/>
    <col min="3029" max="3029" width="22.453125" style="988" customWidth="1"/>
    <col min="3030" max="3030" width="26.36328125" style="988" customWidth="1"/>
    <col min="3031" max="3031" width="25.6328125" style="988" customWidth="1"/>
    <col min="3032" max="3032" width="7.36328125" style="988" customWidth="1"/>
    <col min="3033" max="3279" width="8.6328125" style="988"/>
    <col min="3280" max="3280" width="24.6328125" style="988" customWidth="1"/>
    <col min="3281" max="3281" width="89.6328125" style="988" customWidth="1"/>
    <col min="3282" max="3282" width="8.36328125" style="988" customWidth="1"/>
    <col min="3283" max="3283" width="12.453125" style="988" customWidth="1"/>
    <col min="3284" max="3284" width="23" style="988" customWidth="1"/>
    <col min="3285" max="3285" width="22.453125" style="988" customWidth="1"/>
    <col min="3286" max="3286" width="26.36328125" style="988" customWidth="1"/>
    <col min="3287" max="3287" width="25.6328125" style="988" customWidth="1"/>
    <col min="3288" max="3288" width="7.36328125" style="988" customWidth="1"/>
    <col min="3289" max="3535" width="8.6328125" style="988"/>
    <col min="3536" max="3536" width="24.6328125" style="988" customWidth="1"/>
    <col min="3537" max="3537" width="89.6328125" style="988" customWidth="1"/>
    <col min="3538" max="3538" width="8.36328125" style="988" customWidth="1"/>
    <col min="3539" max="3539" width="12.453125" style="988" customWidth="1"/>
    <col min="3540" max="3540" width="23" style="988" customWidth="1"/>
    <col min="3541" max="3541" width="22.453125" style="988" customWidth="1"/>
    <col min="3542" max="3542" width="26.36328125" style="988" customWidth="1"/>
    <col min="3543" max="3543" width="25.6328125" style="988" customWidth="1"/>
    <col min="3544" max="3544" width="7.36328125" style="988" customWidth="1"/>
    <col min="3545" max="3791" width="8.6328125" style="988"/>
    <col min="3792" max="3792" width="24.6328125" style="988" customWidth="1"/>
    <col min="3793" max="3793" width="89.6328125" style="988" customWidth="1"/>
    <col min="3794" max="3794" width="8.36328125" style="988" customWidth="1"/>
    <col min="3795" max="3795" width="12.453125" style="988" customWidth="1"/>
    <col min="3796" max="3796" width="23" style="988" customWidth="1"/>
    <col min="3797" max="3797" width="22.453125" style="988" customWidth="1"/>
    <col min="3798" max="3798" width="26.36328125" style="988" customWidth="1"/>
    <col min="3799" max="3799" width="25.6328125" style="988" customWidth="1"/>
    <col min="3800" max="3800" width="7.36328125" style="988" customWidth="1"/>
    <col min="3801" max="4047" width="8.6328125" style="988"/>
    <col min="4048" max="4048" width="24.6328125" style="988" customWidth="1"/>
    <col min="4049" max="4049" width="89.6328125" style="988" customWidth="1"/>
    <col min="4050" max="4050" width="8.36328125" style="988" customWidth="1"/>
    <col min="4051" max="4051" width="12.453125" style="988" customWidth="1"/>
    <col min="4052" max="4052" width="23" style="988" customWidth="1"/>
    <col min="4053" max="4053" width="22.453125" style="988" customWidth="1"/>
    <col min="4054" max="4054" width="26.36328125" style="988" customWidth="1"/>
    <col min="4055" max="4055" width="25.6328125" style="988" customWidth="1"/>
    <col min="4056" max="4056" width="7.36328125" style="988" customWidth="1"/>
    <col min="4057" max="4303" width="8.6328125" style="988"/>
    <col min="4304" max="4304" width="24.6328125" style="988" customWidth="1"/>
    <col min="4305" max="4305" width="89.6328125" style="988" customWidth="1"/>
    <col min="4306" max="4306" width="8.36328125" style="988" customWidth="1"/>
    <col min="4307" max="4307" width="12.453125" style="988" customWidth="1"/>
    <col min="4308" max="4308" width="23" style="988" customWidth="1"/>
    <col min="4309" max="4309" width="22.453125" style="988" customWidth="1"/>
    <col min="4310" max="4310" width="26.36328125" style="988" customWidth="1"/>
    <col min="4311" max="4311" width="25.6328125" style="988" customWidth="1"/>
    <col min="4312" max="4312" width="7.36328125" style="988" customWidth="1"/>
    <col min="4313" max="4559" width="8.6328125" style="988"/>
    <col min="4560" max="4560" width="24.6328125" style="988" customWidth="1"/>
    <col min="4561" max="4561" width="89.6328125" style="988" customWidth="1"/>
    <col min="4562" max="4562" width="8.36328125" style="988" customWidth="1"/>
    <col min="4563" max="4563" width="12.453125" style="988" customWidth="1"/>
    <col min="4564" max="4564" width="23" style="988" customWidth="1"/>
    <col min="4565" max="4565" width="22.453125" style="988" customWidth="1"/>
    <col min="4566" max="4566" width="26.36328125" style="988" customWidth="1"/>
    <col min="4567" max="4567" width="25.6328125" style="988" customWidth="1"/>
    <col min="4568" max="4568" width="7.36328125" style="988" customWidth="1"/>
    <col min="4569" max="4815" width="8.6328125" style="988"/>
    <col min="4816" max="4816" width="24.6328125" style="988" customWidth="1"/>
    <col min="4817" max="4817" width="89.6328125" style="988" customWidth="1"/>
    <col min="4818" max="4818" width="8.36328125" style="988" customWidth="1"/>
    <col min="4819" max="4819" width="12.453125" style="988" customWidth="1"/>
    <col min="4820" max="4820" width="23" style="988" customWidth="1"/>
    <col min="4821" max="4821" width="22.453125" style="988" customWidth="1"/>
    <col min="4822" max="4822" width="26.36328125" style="988" customWidth="1"/>
    <col min="4823" max="4823" width="25.6328125" style="988" customWidth="1"/>
    <col min="4824" max="4824" width="7.36328125" style="988" customWidth="1"/>
    <col min="4825" max="5071" width="8.6328125" style="988"/>
    <col min="5072" max="5072" width="24.6328125" style="988" customWidth="1"/>
    <col min="5073" max="5073" width="89.6328125" style="988" customWidth="1"/>
    <col min="5074" max="5074" width="8.36328125" style="988" customWidth="1"/>
    <col min="5075" max="5075" width="12.453125" style="988" customWidth="1"/>
    <col min="5076" max="5076" width="23" style="988" customWidth="1"/>
    <col min="5077" max="5077" width="22.453125" style="988" customWidth="1"/>
    <col min="5078" max="5078" width="26.36328125" style="988" customWidth="1"/>
    <col min="5079" max="5079" width="25.6328125" style="988" customWidth="1"/>
    <col min="5080" max="5080" width="7.36328125" style="988" customWidth="1"/>
    <col min="5081" max="5327" width="8.6328125" style="988"/>
    <col min="5328" max="5328" width="24.6328125" style="988" customWidth="1"/>
    <col min="5329" max="5329" width="89.6328125" style="988" customWidth="1"/>
    <col min="5330" max="5330" width="8.36328125" style="988" customWidth="1"/>
    <col min="5331" max="5331" width="12.453125" style="988" customWidth="1"/>
    <col min="5332" max="5332" width="23" style="988" customWidth="1"/>
    <col min="5333" max="5333" width="22.453125" style="988" customWidth="1"/>
    <col min="5334" max="5334" width="26.36328125" style="988" customWidth="1"/>
    <col min="5335" max="5335" width="25.6328125" style="988" customWidth="1"/>
    <col min="5336" max="5336" width="7.36328125" style="988" customWidth="1"/>
    <col min="5337" max="5583" width="8.6328125" style="988"/>
    <col min="5584" max="5584" width="24.6328125" style="988" customWidth="1"/>
    <col min="5585" max="5585" width="89.6328125" style="988" customWidth="1"/>
    <col min="5586" max="5586" width="8.36328125" style="988" customWidth="1"/>
    <col min="5587" max="5587" width="12.453125" style="988" customWidth="1"/>
    <col min="5588" max="5588" width="23" style="988" customWidth="1"/>
    <col min="5589" max="5589" width="22.453125" style="988" customWidth="1"/>
    <col min="5590" max="5590" width="26.36328125" style="988" customWidth="1"/>
    <col min="5591" max="5591" width="25.6328125" style="988" customWidth="1"/>
    <col min="5592" max="5592" width="7.36328125" style="988" customWidth="1"/>
    <col min="5593" max="5839" width="8.6328125" style="988"/>
    <col min="5840" max="5840" width="24.6328125" style="988" customWidth="1"/>
    <col min="5841" max="5841" width="89.6328125" style="988" customWidth="1"/>
    <col min="5842" max="5842" width="8.36328125" style="988" customWidth="1"/>
    <col min="5843" max="5843" width="12.453125" style="988" customWidth="1"/>
    <col min="5844" max="5844" width="23" style="988" customWidth="1"/>
    <col min="5845" max="5845" width="22.453125" style="988" customWidth="1"/>
    <col min="5846" max="5846" width="26.36328125" style="988" customWidth="1"/>
    <col min="5847" max="5847" width="25.6328125" style="988" customWidth="1"/>
    <col min="5848" max="5848" width="7.36328125" style="988" customWidth="1"/>
    <col min="5849" max="6095" width="8.6328125" style="988"/>
    <col min="6096" max="6096" width="24.6328125" style="988" customWidth="1"/>
    <col min="6097" max="6097" width="89.6328125" style="988" customWidth="1"/>
    <col min="6098" max="6098" width="8.36328125" style="988" customWidth="1"/>
    <col min="6099" max="6099" width="12.453125" style="988" customWidth="1"/>
    <col min="6100" max="6100" width="23" style="988" customWidth="1"/>
    <col min="6101" max="6101" width="22.453125" style="988" customWidth="1"/>
    <col min="6102" max="6102" width="26.36328125" style="988" customWidth="1"/>
    <col min="6103" max="6103" width="25.6328125" style="988" customWidth="1"/>
    <col min="6104" max="6104" width="7.36328125" style="988" customWidth="1"/>
    <col min="6105" max="6351" width="8.6328125" style="988"/>
    <col min="6352" max="6352" width="24.6328125" style="988" customWidth="1"/>
    <col min="6353" max="6353" width="89.6328125" style="988" customWidth="1"/>
    <col min="6354" max="6354" width="8.36328125" style="988" customWidth="1"/>
    <col min="6355" max="6355" width="12.453125" style="988" customWidth="1"/>
    <col min="6356" max="6356" width="23" style="988" customWidth="1"/>
    <col min="6357" max="6357" width="22.453125" style="988" customWidth="1"/>
    <col min="6358" max="6358" width="26.36328125" style="988" customWidth="1"/>
    <col min="6359" max="6359" width="25.6328125" style="988" customWidth="1"/>
    <col min="6360" max="6360" width="7.36328125" style="988" customWidth="1"/>
    <col min="6361" max="6607" width="8.6328125" style="988"/>
    <col min="6608" max="6608" width="24.6328125" style="988" customWidth="1"/>
    <col min="6609" max="6609" width="89.6328125" style="988" customWidth="1"/>
    <col min="6610" max="6610" width="8.36328125" style="988" customWidth="1"/>
    <col min="6611" max="6611" width="12.453125" style="988" customWidth="1"/>
    <col min="6612" max="6612" width="23" style="988" customWidth="1"/>
    <col min="6613" max="6613" width="22.453125" style="988" customWidth="1"/>
    <col min="6614" max="6614" width="26.36328125" style="988" customWidth="1"/>
    <col min="6615" max="6615" width="25.6328125" style="988" customWidth="1"/>
    <col min="6616" max="6616" width="7.36328125" style="988" customWidth="1"/>
    <col min="6617" max="6863" width="8.6328125" style="988"/>
    <col min="6864" max="6864" width="24.6328125" style="988" customWidth="1"/>
    <col min="6865" max="6865" width="89.6328125" style="988" customWidth="1"/>
    <col min="6866" max="6866" width="8.36328125" style="988" customWidth="1"/>
    <col min="6867" max="6867" width="12.453125" style="988" customWidth="1"/>
    <col min="6868" max="6868" width="23" style="988" customWidth="1"/>
    <col min="6869" max="6869" width="22.453125" style="988" customWidth="1"/>
    <col min="6870" max="6870" width="26.36328125" style="988" customWidth="1"/>
    <col min="6871" max="6871" width="25.6328125" style="988" customWidth="1"/>
    <col min="6872" max="6872" width="7.36328125" style="988" customWidth="1"/>
    <col min="6873" max="7119" width="8.6328125" style="988"/>
    <col min="7120" max="7120" width="24.6328125" style="988" customWidth="1"/>
    <col min="7121" max="7121" width="89.6328125" style="988" customWidth="1"/>
    <col min="7122" max="7122" width="8.36328125" style="988" customWidth="1"/>
    <col min="7123" max="7123" width="12.453125" style="988" customWidth="1"/>
    <col min="7124" max="7124" width="23" style="988" customWidth="1"/>
    <col min="7125" max="7125" width="22.453125" style="988" customWidth="1"/>
    <col min="7126" max="7126" width="26.36328125" style="988" customWidth="1"/>
    <col min="7127" max="7127" width="25.6328125" style="988" customWidth="1"/>
    <col min="7128" max="7128" width="7.36328125" style="988" customWidth="1"/>
    <col min="7129" max="7375" width="8.6328125" style="988"/>
    <col min="7376" max="7376" width="24.6328125" style="988" customWidth="1"/>
    <col min="7377" max="7377" width="89.6328125" style="988" customWidth="1"/>
    <col min="7378" max="7378" width="8.36328125" style="988" customWidth="1"/>
    <col min="7379" max="7379" width="12.453125" style="988" customWidth="1"/>
    <col min="7380" max="7380" width="23" style="988" customWidth="1"/>
    <col min="7381" max="7381" width="22.453125" style="988" customWidth="1"/>
    <col min="7382" max="7382" width="26.36328125" style="988" customWidth="1"/>
    <col min="7383" max="7383" width="25.6328125" style="988" customWidth="1"/>
    <col min="7384" max="7384" width="7.36328125" style="988" customWidth="1"/>
    <col min="7385" max="7631" width="8.6328125" style="988"/>
    <col min="7632" max="7632" width="24.6328125" style="988" customWidth="1"/>
    <col min="7633" max="7633" width="89.6328125" style="988" customWidth="1"/>
    <col min="7634" max="7634" width="8.36328125" style="988" customWidth="1"/>
    <col min="7635" max="7635" width="12.453125" style="988" customWidth="1"/>
    <col min="7636" max="7636" width="23" style="988" customWidth="1"/>
    <col min="7637" max="7637" width="22.453125" style="988" customWidth="1"/>
    <col min="7638" max="7638" width="26.36328125" style="988" customWidth="1"/>
    <col min="7639" max="7639" width="25.6328125" style="988" customWidth="1"/>
    <col min="7640" max="7640" width="7.36328125" style="988" customWidth="1"/>
    <col min="7641" max="7887" width="8.6328125" style="988"/>
    <col min="7888" max="7888" width="24.6328125" style="988" customWidth="1"/>
    <col min="7889" max="7889" width="89.6328125" style="988" customWidth="1"/>
    <col min="7890" max="7890" width="8.36328125" style="988" customWidth="1"/>
    <col min="7891" max="7891" width="12.453125" style="988" customWidth="1"/>
    <col min="7892" max="7892" width="23" style="988" customWidth="1"/>
    <col min="7893" max="7893" width="22.453125" style="988" customWidth="1"/>
    <col min="7894" max="7894" width="26.36328125" style="988" customWidth="1"/>
    <col min="7895" max="7895" width="25.6328125" style="988" customWidth="1"/>
    <col min="7896" max="7896" width="7.36328125" style="988" customWidth="1"/>
    <col min="7897" max="8143" width="8.6328125" style="988"/>
    <col min="8144" max="8144" width="24.6328125" style="988" customWidth="1"/>
    <col min="8145" max="8145" width="89.6328125" style="988" customWidth="1"/>
    <col min="8146" max="8146" width="8.36328125" style="988" customWidth="1"/>
    <col min="8147" max="8147" width="12.453125" style="988" customWidth="1"/>
    <col min="8148" max="8148" width="23" style="988" customWidth="1"/>
    <col min="8149" max="8149" width="22.453125" style="988" customWidth="1"/>
    <col min="8150" max="8150" width="26.36328125" style="988" customWidth="1"/>
    <col min="8151" max="8151" width="25.6328125" style="988" customWidth="1"/>
    <col min="8152" max="8152" width="7.36328125" style="988" customWidth="1"/>
    <col min="8153" max="8399" width="8.6328125" style="988"/>
    <col min="8400" max="8400" width="24.6328125" style="988" customWidth="1"/>
    <col min="8401" max="8401" width="89.6328125" style="988" customWidth="1"/>
    <col min="8402" max="8402" width="8.36328125" style="988" customWidth="1"/>
    <col min="8403" max="8403" width="12.453125" style="988" customWidth="1"/>
    <col min="8404" max="8404" width="23" style="988" customWidth="1"/>
    <col min="8405" max="8405" width="22.453125" style="988" customWidth="1"/>
    <col min="8406" max="8406" width="26.36328125" style="988" customWidth="1"/>
    <col min="8407" max="8407" width="25.6328125" style="988" customWidth="1"/>
    <col min="8408" max="8408" width="7.36328125" style="988" customWidth="1"/>
    <col min="8409" max="8655" width="8.6328125" style="988"/>
    <col min="8656" max="8656" width="24.6328125" style="988" customWidth="1"/>
    <col min="8657" max="8657" width="89.6328125" style="988" customWidth="1"/>
    <col min="8658" max="8658" width="8.36328125" style="988" customWidth="1"/>
    <col min="8659" max="8659" width="12.453125" style="988" customWidth="1"/>
    <col min="8660" max="8660" width="23" style="988" customWidth="1"/>
    <col min="8661" max="8661" width="22.453125" style="988" customWidth="1"/>
    <col min="8662" max="8662" width="26.36328125" style="988" customWidth="1"/>
    <col min="8663" max="8663" width="25.6328125" style="988" customWidth="1"/>
    <col min="8664" max="8664" width="7.36328125" style="988" customWidth="1"/>
    <col min="8665" max="8911" width="8.6328125" style="988"/>
    <col min="8912" max="8912" width="24.6328125" style="988" customWidth="1"/>
    <col min="8913" max="8913" width="89.6328125" style="988" customWidth="1"/>
    <col min="8914" max="8914" width="8.36328125" style="988" customWidth="1"/>
    <col min="8915" max="8915" width="12.453125" style="988" customWidth="1"/>
    <col min="8916" max="8916" width="23" style="988" customWidth="1"/>
    <col min="8917" max="8917" width="22.453125" style="988" customWidth="1"/>
    <col min="8918" max="8918" width="26.36328125" style="988" customWidth="1"/>
    <col min="8919" max="8919" width="25.6328125" style="988" customWidth="1"/>
    <col min="8920" max="8920" width="7.36328125" style="988" customWidth="1"/>
    <col min="8921" max="9167" width="8.6328125" style="988"/>
    <col min="9168" max="9168" width="24.6328125" style="988" customWidth="1"/>
    <col min="9169" max="9169" width="89.6328125" style="988" customWidth="1"/>
    <col min="9170" max="9170" width="8.36328125" style="988" customWidth="1"/>
    <col min="9171" max="9171" width="12.453125" style="988" customWidth="1"/>
    <col min="9172" max="9172" width="23" style="988" customWidth="1"/>
    <col min="9173" max="9173" width="22.453125" style="988" customWidth="1"/>
    <col min="9174" max="9174" width="26.36328125" style="988" customWidth="1"/>
    <col min="9175" max="9175" width="25.6328125" style="988" customWidth="1"/>
    <col min="9176" max="9176" width="7.36328125" style="988" customWidth="1"/>
    <col min="9177" max="9423" width="8.6328125" style="988"/>
    <col min="9424" max="9424" width="24.6328125" style="988" customWidth="1"/>
    <col min="9425" max="9425" width="89.6328125" style="988" customWidth="1"/>
    <col min="9426" max="9426" width="8.36328125" style="988" customWidth="1"/>
    <col min="9427" max="9427" width="12.453125" style="988" customWidth="1"/>
    <col min="9428" max="9428" width="23" style="988" customWidth="1"/>
    <col min="9429" max="9429" width="22.453125" style="988" customWidth="1"/>
    <col min="9430" max="9430" width="26.36328125" style="988" customWidth="1"/>
    <col min="9431" max="9431" width="25.6328125" style="988" customWidth="1"/>
    <col min="9432" max="9432" width="7.36328125" style="988" customWidth="1"/>
    <col min="9433" max="9679" width="8.6328125" style="988"/>
    <col min="9680" max="9680" width="24.6328125" style="988" customWidth="1"/>
    <col min="9681" max="9681" width="89.6328125" style="988" customWidth="1"/>
    <col min="9682" max="9682" width="8.36328125" style="988" customWidth="1"/>
    <col min="9683" max="9683" width="12.453125" style="988" customWidth="1"/>
    <col min="9684" max="9684" width="23" style="988" customWidth="1"/>
    <col min="9685" max="9685" width="22.453125" style="988" customWidth="1"/>
    <col min="9686" max="9686" width="26.36328125" style="988" customWidth="1"/>
    <col min="9687" max="9687" width="25.6328125" style="988" customWidth="1"/>
    <col min="9688" max="9688" width="7.36328125" style="988" customWidth="1"/>
    <col min="9689" max="9935" width="8.6328125" style="988"/>
    <col min="9936" max="9936" width="24.6328125" style="988" customWidth="1"/>
    <col min="9937" max="9937" width="89.6328125" style="988" customWidth="1"/>
    <col min="9938" max="9938" width="8.36328125" style="988" customWidth="1"/>
    <col min="9939" max="9939" width="12.453125" style="988" customWidth="1"/>
    <col min="9940" max="9940" width="23" style="988" customWidth="1"/>
    <col min="9941" max="9941" width="22.453125" style="988" customWidth="1"/>
    <col min="9942" max="9942" width="26.36328125" style="988" customWidth="1"/>
    <col min="9943" max="9943" width="25.6328125" style="988" customWidth="1"/>
    <col min="9944" max="9944" width="7.36328125" style="988" customWidth="1"/>
    <col min="9945" max="10191" width="8.6328125" style="988"/>
    <col min="10192" max="10192" width="24.6328125" style="988" customWidth="1"/>
    <col min="10193" max="10193" width="89.6328125" style="988" customWidth="1"/>
    <col min="10194" max="10194" width="8.36328125" style="988" customWidth="1"/>
    <col min="10195" max="10195" width="12.453125" style="988" customWidth="1"/>
    <col min="10196" max="10196" width="23" style="988" customWidth="1"/>
    <col min="10197" max="10197" width="22.453125" style="988" customWidth="1"/>
    <col min="10198" max="10198" width="26.36328125" style="988" customWidth="1"/>
    <col min="10199" max="10199" width="25.6328125" style="988" customWidth="1"/>
    <col min="10200" max="10200" width="7.36328125" style="988" customWidth="1"/>
    <col min="10201" max="10447" width="8.6328125" style="988"/>
    <col min="10448" max="10448" width="24.6328125" style="988" customWidth="1"/>
    <col min="10449" max="10449" width="89.6328125" style="988" customWidth="1"/>
    <col min="10450" max="10450" width="8.36328125" style="988" customWidth="1"/>
    <col min="10451" max="10451" width="12.453125" style="988" customWidth="1"/>
    <col min="10452" max="10452" width="23" style="988" customWidth="1"/>
    <col min="10453" max="10453" width="22.453125" style="988" customWidth="1"/>
    <col min="10454" max="10454" width="26.36328125" style="988" customWidth="1"/>
    <col min="10455" max="10455" width="25.6328125" style="988" customWidth="1"/>
    <col min="10456" max="10456" width="7.36328125" style="988" customWidth="1"/>
    <col min="10457" max="10703" width="8.6328125" style="988"/>
    <col min="10704" max="10704" width="24.6328125" style="988" customWidth="1"/>
    <col min="10705" max="10705" width="89.6328125" style="988" customWidth="1"/>
    <col min="10706" max="10706" width="8.36328125" style="988" customWidth="1"/>
    <col min="10707" max="10707" width="12.453125" style="988" customWidth="1"/>
    <col min="10708" max="10708" width="23" style="988" customWidth="1"/>
    <col min="10709" max="10709" width="22.453125" style="988" customWidth="1"/>
    <col min="10710" max="10710" width="26.36328125" style="988" customWidth="1"/>
    <col min="10711" max="10711" width="25.6328125" style="988" customWidth="1"/>
    <col min="10712" max="10712" width="7.36328125" style="988" customWidth="1"/>
    <col min="10713" max="10959" width="8.6328125" style="988"/>
    <col min="10960" max="10960" width="24.6328125" style="988" customWidth="1"/>
    <col min="10961" max="10961" width="89.6328125" style="988" customWidth="1"/>
    <col min="10962" max="10962" width="8.36328125" style="988" customWidth="1"/>
    <col min="10963" max="10963" width="12.453125" style="988" customWidth="1"/>
    <col min="10964" max="10964" width="23" style="988" customWidth="1"/>
    <col min="10965" max="10965" width="22.453125" style="988" customWidth="1"/>
    <col min="10966" max="10966" width="26.36328125" style="988" customWidth="1"/>
    <col min="10967" max="10967" width="25.6328125" style="988" customWidth="1"/>
    <col min="10968" max="10968" width="7.36328125" style="988" customWidth="1"/>
    <col min="10969" max="11215" width="8.6328125" style="988"/>
    <col min="11216" max="11216" width="24.6328125" style="988" customWidth="1"/>
    <col min="11217" max="11217" width="89.6328125" style="988" customWidth="1"/>
    <col min="11218" max="11218" width="8.36328125" style="988" customWidth="1"/>
    <col min="11219" max="11219" width="12.453125" style="988" customWidth="1"/>
    <col min="11220" max="11220" width="23" style="988" customWidth="1"/>
    <col min="11221" max="11221" width="22.453125" style="988" customWidth="1"/>
    <col min="11222" max="11222" width="26.36328125" style="988" customWidth="1"/>
    <col min="11223" max="11223" width="25.6328125" style="988" customWidth="1"/>
    <col min="11224" max="11224" width="7.36328125" style="988" customWidth="1"/>
    <col min="11225" max="11471" width="8.6328125" style="988"/>
    <col min="11472" max="11472" width="24.6328125" style="988" customWidth="1"/>
    <col min="11473" max="11473" width="89.6328125" style="988" customWidth="1"/>
    <col min="11474" max="11474" width="8.36328125" style="988" customWidth="1"/>
    <col min="11475" max="11475" width="12.453125" style="988" customWidth="1"/>
    <col min="11476" max="11476" width="23" style="988" customWidth="1"/>
    <col min="11477" max="11477" width="22.453125" style="988" customWidth="1"/>
    <col min="11478" max="11478" width="26.36328125" style="988" customWidth="1"/>
    <col min="11479" max="11479" width="25.6328125" style="988" customWidth="1"/>
    <col min="11480" max="11480" width="7.36328125" style="988" customWidth="1"/>
    <col min="11481" max="11727" width="8.6328125" style="988"/>
    <col min="11728" max="11728" width="24.6328125" style="988" customWidth="1"/>
    <col min="11729" max="11729" width="89.6328125" style="988" customWidth="1"/>
    <col min="11730" max="11730" width="8.36328125" style="988" customWidth="1"/>
    <col min="11731" max="11731" width="12.453125" style="988" customWidth="1"/>
    <col min="11732" max="11732" width="23" style="988" customWidth="1"/>
    <col min="11733" max="11733" width="22.453125" style="988" customWidth="1"/>
    <col min="11734" max="11734" width="26.36328125" style="988" customWidth="1"/>
    <col min="11735" max="11735" width="25.6328125" style="988" customWidth="1"/>
    <col min="11736" max="11736" width="7.36328125" style="988" customWidth="1"/>
    <col min="11737" max="11983" width="8.6328125" style="988"/>
    <col min="11984" max="11984" width="24.6328125" style="988" customWidth="1"/>
    <col min="11985" max="11985" width="89.6328125" style="988" customWidth="1"/>
    <col min="11986" max="11986" width="8.36328125" style="988" customWidth="1"/>
    <col min="11987" max="11987" width="12.453125" style="988" customWidth="1"/>
    <col min="11988" max="11988" width="23" style="988" customWidth="1"/>
    <col min="11989" max="11989" width="22.453125" style="988" customWidth="1"/>
    <col min="11990" max="11990" width="26.36328125" style="988" customWidth="1"/>
    <col min="11991" max="11991" width="25.6328125" style="988" customWidth="1"/>
    <col min="11992" max="11992" width="7.36328125" style="988" customWidth="1"/>
    <col min="11993" max="12239" width="8.6328125" style="988"/>
    <col min="12240" max="12240" width="24.6328125" style="988" customWidth="1"/>
    <col min="12241" max="12241" width="89.6328125" style="988" customWidth="1"/>
    <col min="12242" max="12242" width="8.36328125" style="988" customWidth="1"/>
    <col min="12243" max="12243" width="12.453125" style="988" customWidth="1"/>
    <col min="12244" max="12244" width="23" style="988" customWidth="1"/>
    <col min="12245" max="12245" width="22.453125" style="988" customWidth="1"/>
    <col min="12246" max="12246" width="26.36328125" style="988" customWidth="1"/>
    <col min="12247" max="12247" width="25.6328125" style="988" customWidth="1"/>
    <col min="12248" max="12248" width="7.36328125" style="988" customWidth="1"/>
    <col min="12249" max="12495" width="8.6328125" style="988"/>
    <col min="12496" max="12496" width="24.6328125" style="988" customWidth="1"/>
    <col min="12497" max="12497" width="89.6328125" style="988" customWidth="1"/>
    <col min="12498" max="12498" width="8.36328125" style="988" customWidth="1"/>
    <col min="12499" max="12499" width="12.453125" style="988" customWidth="1"/>
    <col min="12500" max="12500" width="23" style="988" customWidth="1"/>
    <col min="12501" max="12501" width="22.453125" style="988" customWidth="1"/>
    <col min="12502" max="12502" width="26.36328125" style="988" customWidth="1"/>
    <col min="12503" max="12503" width="25.6328125" style="988" customWidth="1"/>
    <col min="12504" max="12504" width="7.36328125" style="988" customWidth="1"/>
    <col min="12505" max="12751" width="8.6328125" style="988"/>
    <col min="12752" max="12752" width="24.6328125" style="988" customWidth="1"/>
    <col min="12753" max="12753" width="89.6328125" style="988" customWidth="1"/>
    <col min="12754" max="12754" width="8.36328125" style="988" customWidth="1"/>
    <col min="12755" max="12755" width="12.453125" style="988" customWidth="1"/>
    <col min="12756" max="12756" width="23" style="988" customWidth="1"/>
    <col min="12757" max="12757" width="22.453125" style="988" customWidth="1"/>
    <col min="12758" max="12758" width="26.36328125" style="988" customWidth="1"/>
    <col min="12759" max="12759" width="25.6328125" style="988" customWidth="1"/>
    <col min="12760" max="12760" width="7.36328125" style="988" customWidth="1"/>
    <col min="12761" max="13007" width="8.6328125" style="988"/>
    <col min="13008" max="13008" width="24.6328125" style="988" customWidth="1"/>
    <col min="13009" max="13009" width="89.6328125" style="988" customWidth="1"/>
    <col min="13010" max="13010" width="8.36328125" style="988" customWidth="1"/>
    <col min="13011" max="13011" width="12.453125" style="988" customWidth="1"/>
    <col min="13012" max="13012" width="23" style="988" customWidth="1"/>
    <col min="13013" max="13013" width="22.453125" style="988" customWidth="1"/>
    <col min="13014" max="13014" width="26.36328125" style="988" customWidth="1"/>
    <col min="13015" max="13015" width="25.6328125" style="988" customWidth="1"/>
    <col min="13016" max="13016" width="7.36328125" style="988" customWidth="1"/>
    <col min="13017" max="13263" width="8.6328125" style="988"/>
    <col min="13264" max="13264" width="24.6328125" style="988" customWidth="1"/>
    <col min="13265" max="13265" width="89.6328125" style="988" customWidth="1"/>
    <col min="13266" max="13266" width="8.36328125" style="988" customWidth="1"/>
    <col min="13267" max="13267" width="12.453125" style="988" customWidth="1"/>
    <col min="13268" max="13268" width="23" style="988" customWidth="1"/>
    <col min="13269" max="13269" width="22.453125" style="988" customWidth="1"/>
    <col min="13270" max="13270" width="26.36328125" style="988" customWidth="1"/>
    <col min="13271" max="13271" width="25.6328125" style="988" customWidth="1"/>
    <col min="13272" max="13272" width="7.36328125" style="988" customWidth="1"/>
    <col min="13273" max="13519" width="8.6328125" style="988"/>
    <col min="13520" max="13520" width="24.6328125" style="988" customWidth="1"/>
    <col min="13521" max="13521" width="89.6328125" style="988" customWidth="1"/>
    <col min="13522" max="13522" width="8.36328125" style="988" customWidth="1"/>
    <col min="13523" max="13523" width="12.453125" style="988" customWidth="1"/>
    <col min="13524" max="13524" width="23" style="988" customWidth="1"/>
    <col min="13525" max="13525" width="22.453125" style="988" customWidth="1"/>
    <col min="13526" max="13526" width="26.36328125" style="988" customWidth="1"/>
    <col min="13527" max="13527" width="25.6328125" style="988" customWidth="1"/>
    <col min="13528" max="13528" width="7.36328125" style="988" customWidth="1"/>
    <col min="13529" max="13775" width="8.6328125" style="988"/>
    <col min="13776" max="13776" width="24.6328125" style="988" customWidth="1"/>
    <col min="13777" max="13777" width="89.6328125" style="988" customWidth="1"/>
    <col min="13778" max="13778" width="8.36328125" style="988" customWidth="1"/>
    <col min="13779" max="13779" width="12.453125" style="988" customWidth="1"/>
    <col min="13780" max="13780" width="23" style="988" customWidth="1"/>
    <col min="13781" max="13781" width="22.453125" style="988" customWidth="1"/>
    <col min="13782" max="13782" width="26.36328125" style="988" customWidth="1"/>
    <col min="13783" max="13783" width="25.6328125" style="988" customWidth="1"/>
    <col min="13784" max="13784" width="7.36328125" style="988" customWidth="1"/>
    <col min="13785" max="14031" width="8.6328125" style="988"/>
    <col min="14032" max="14032" width="24.6328125" style="988" customWidth="1"/>
    <col min="14033" max="14033" width="89.6328125" style="988" customWidth="1"/>
    <col min="14034" max="14034" width="8.36328125" style="988" customWidth="1"/>
    <col min="14035" max="14035" width="12.453125" style="988" customWidth="1"/>
    <col min="14036" max="14036" width="23" style="988" customWidth="1"/>
    <col min="14037" max="14037" width="22.453125" style="988" customWidth="1"/>
    <col min="14038" max="14038" width="26.36328125" style="988" customWidth="1"/>
    <col min="14039" max="14039" width="25.6328125" style="988" customWidth="1"/>
    <col min="14040" max="14040" width="7.36328125" style="988" customWidth="1"/>
    <col min="14041" max="14287" width="8.6328125" style="988"/>
    <col min="14288" max="14288" width="24.6328125" style="988" customWidth="1"/>
    <col min="14289" max="14289" width="89.6328125" style="988" customWidth="1"/>
    <col min="14290" max="14290" width="8.36328125" style="988" customWidth="1"/>
    <col min="14291" max="14291" width="12.453125" style="988" customWidth="1"/>
    <col min="14292" max="14292" width="23" style="988" customWidth="1"/>
    <col min="14293" max="14293" width="22.453125" style="988" customWidth="1"/>
    <col min="14294" max="14294" width="26.36328125" style="988" customWidth="1"/>
    <col min="14295" max="14295" width="25.6328125" style="988" customWidth="1"/>
    <col min="14296" max="14296" width="7.36328125" style="988" customWidth="1"/>
    <col min="14297" max="14543" width="8.6328125" style="988"/>
    <col min="14544" max="14544" width="24.6328125" style="988" customWidth="1"/>
    <col min="14545" max="14545" width="89.6328125" style="988" customWidth="1"/>
    <col min="14546" max="14546" width="8.36328125" style="988" customWidth="1"/>
    <col min="14547" max="14547" width="12.453125" style="988" customWidth="1"/>
    <col min="14548" max="14548" width="23" style="988" customWidth="1"/>
    <col min="14549" max="14549" width="22.453125" style="988" customWidth="1"/>
    <col min="14550" max="14550" width="26.36328125" style="988" customWidth="1"/>
    <col min="14551" max="14551" width="25.6328125" style="988" customWidth="1"/>
    <col min="14552" max="14552" width="7.36328125" style="988" customWidth="1"/>
    <col min="14553" max="14799" width="8.6328125" style="988"/>
    <col min="14800" max="14800" width="24.6328125" style="988" customWidth="1"/>
    <col min="14801" max="14801" width="89.6328125" style="988" customWidth="1"/>
    <col min="14802" max="14802" width="8.36328125" style="988" customWidth="1"/>
    <col min="14803" max="14803" width="12.453125" style="988" customWidth="1"/>
    <col min="14804" max="14804" width="23" style="988" customWidth="1"/>
    <col min="14805" max="14805" width="22.453125" style="988" customWidth="1"/>
    <col min="14806" max="14806" width="26.36328125" style="988" customWidth="1"/>
    <col min="14807" max="14807" width="25.6328125" style="988" customWidth="1"/>
    <col min="14808" max="14808" width="7.36328125" style="988" customWidth="1"/>
    <col min="14809" max="15055" width="8.6328125" style="988"/>
    <col min="15056" max="15056" width="24.6328125" style="988" customWidth="1"/>
    <col min="15057" max="15057" width="89.6328125" style="988" customWidth="1"/>
    <col min="15058" max="15058" width="8.36328125" style="988" customWidth="1"/>
    <col min="15059" max="15059" width="12.453125" style="988" customWidth="1"/>
    <col min="15060" max="15060" width="23" style="988" customWidth="1"/>
    <col min="15061" max="15061" width="22.453125" style="988" customWidth="1"/>
    <col min="15062" max="15062" width="26.36328125" style="988" customWidth="1"/>
    <col min="15063" max="15063" width="25.6328125" style="988" customWidth="1"/>
    <col min="15064" max="15064" width="7.36328125" style="988" customWidth="1"/>
    <col min="15065" max="15311" width="8.6328125" style="988"/>
    <col min="15312" max="15312" width="24.6328125" style="988" customWidth="1"/>
    <col min="15313" max="15313" width="89.6328125" style="988" customWidth="1"/>
    <col min="15314" max="15314" width="8.36328125" style="988" customWidth="1"/>
    <col min="15315" max="15315" width="12.453125" style="988" customWidth="1"/>
    <col min="15316" max="15316" width="23" style="988" customWidth="1"/>
    <col min="15317" max="15317" width="22.453125" style="988" customWidth="1"/>
    <col min="15318" max="15318" width="26.36328125" style="988" customWidth="1"/>
    <col min="15319" max="15319" width="25.6328125" style="988" customWidth="1"/>
    <col min="15320" max="15320" width="7.36328125" style="988" customWidth="1"/>
    <col min="15321" max="15567" width="8.6328125" style="988"/>
    <col min="15568" max="15568" width="24.6328125" style="988" customWidth="1"/>
    <col min="15569" max="15569" width="89.6328125" style="988" customWidth="1"/>
    <col min="15570" max="15570" width="8.36328125" style="988" customWidth="1"/>
    <col min="15571" max="15571" width="12.453125" style="988" customWidth="1"/>
    <col min="15572" max="15572" width="23" style="988" customWidth="1"/>
    <col min="15573" max="15573" width="22.453125" style="988" customWidth="1"/>
    <col min="15574" max="15574" width="26.36328125" style="988" customWidth="1"/>
    <col min="15575" max="15575" width="25.6328125" style="988" customWidth="1"/>
    <col min="15576" max="15576" width="7.36328125" style="988" customWidth="1"/>
    <col min="15577" max="15823" width="8.6328125" style="988"/>
    <col min="15824" max="15824" width="24.6328125" style="988" customWidth="1"/>
    <col min="15825" max="15825" width="89.6328125" style="988" customWidth="1"/>
    <col min="15826" max="15826" width="8.36328125" style="988" customWidth="1"/>
    <col min="15827" max="15827" width="12.453125" style="988" customWidth="1"/>
    <col min="15828" max="15828" width="23" style="988" customWidth="1"/>
    <col min="15829" max="15829" width="22.453125" style="988" customWidth="1"/>
    <col min="15830" max="15830" width="26.36328125" style="988" customWidth="1"/>
    <col min="15831" max="15831" width="25.6328125" style="988" customWidth="1"/>
    <col min="15832" max="15832" width="7.36328125" style="988" customWidth="1"/>
    <col min="15833" max="16079" width="8.6328125" style="988"/>
    <col min="16080" max="16080" width="24.6328125" style="988" customWidth="1"/>
    <col min="16081" max="16081" width="89.6328125" style="988" customWidth="1"/>
    <col min="16082" max="16082" width="8.36328125" style="988" customWidth="1"/>
    <col min="16083" max="16083" width="12.453125" style="988" customWidth="1"/>
    <col min="16084" max="16084" width="23" style="988" customWidth="1"/>
    <col min="16085" max="16085" width="22.453125" style="988" customWidth="1"/>
    <col min="16086" max="16086" width="26.36328125" style="988" customWidth="1"/>
    <col min="16087" max="16087" width="25.6328125" style="988" customWidth="1"/>
    <col min="16088" max="16088" width="7.36328125" style="988" customWidth="1"/>
    <col min="16089" max="16384" width="8.6328125" style="988"/>
  </cols>
  <sheetData>
    <row r="1" spans="1:10" s="143" customFormat="1" ht="15.5">
      <c r="A1" s="1475" t="s">
        <v>1430</v>
      </c>
      <c r="B1" s="1475"/>
      <c r="C1" s="1475"/>
      <c r="D1" s="965"/>
      <c r="E1" s="438"/>
      <c r="F1" s="438"/>
      <c r="G1" s="439"/>
      <c r="H1" s="439"/>
      <c r="I1" s="439"/>
      <c r="J1" s="469" t="s">
        <v>2231</v>
      </c>
    </row>
    <row r="2" spans="1:10" s="143" customFormat="1" ht="15.5">
      <c r="A2" s="1475" t="s">
        <v>2286</v>
      </c>
      <c r="B2" s="1475"/>
      <c r="C2" s="1475"/>
      <c r="D2" s="965"/>
      <c r="E2" s="438"/>
      <c r="F2" s="438"/>
      <c r="G2" s="439"/>
      <c r="H2" s="439"/>
      <c r="I2" s="439"/>
      <c r="J2" s="469" t="s">
        <v>2232</v>
      </c>
    </row>
    <row r="3" spans="1:10" s="143" customFormat="1" ht="15.5">
      <c r="A3" s="473"/>
      <c r="B3" s="444"/>
      <c r="C3" s="444"/>
      <c r="D3" s="966"/>
      <c r="E3" s="439"/>
      <c r="F3" s="439"/>
      <c r="G3" s="439"/>
      <c r="H3" s="439"/>
      <c r="I3" s="439"/>
      <c r="J3" s="445"/>
    </row>
    <row r="4" spans="1:10" s="968" customFormat="1" ht="18">
      <c r="A4" s="1511"/>
      <c r="B4" s="1511"/>
      <c r="C4" s="1511"/>
      <c r="D4" s="1511"/>
      <c r="E4" s="1511"/>
      <c r="F4" s="1511"/>
      <c r="G4" s="1511"/>
      <c r="H4" s="1511"/>
      <c r="I4" s="1511"/>
      <c r="J4" s="967"/>
    </row>
    <row r="5" spans="1:10" s="969" customFormat="1" ht="18">
      <c r="A5" s="1512" t="s">
        <v>2287</v>
      </c>
      <c r="B5" s="1512" t="s">
        <v>4</v>
      </c>
      <c r="C5" s="1512" t="s">
        <v>2288</v>
      </c>
      <c r="D5" s="1512" t="s">
        <v>466</v>
      </c>
      <c r="E5" s="1512" t="s">
        <v>1160</v>
      </c>
      <c r="F5" s="1512" t="s">
        <v>57</v>
      </c>
      <c r="G5" s="1509" t="s">
        <v>2289</v>
      </c>
      <c r="H5" s="1509"/>
      <c r="I5" s="1509" t="s">
        <v>2290</v>
      </c>
      <c r="J5" s="1509"/>
    </row>
    <row r="6" spans="1:10" s="969" customFormat="1" ht="18">
      <c r="A6" s="1512"/>
      <c r="B6" s="1512"/>
      <c r="C6" s="1512"/>
      <c r="D6" s="1512"/>
      <c r="E6" s="1512"/>
      <c r="F6" s="1512"/>
      <c r="G6" s="970" t="s">
        <v>2291</v>
      </c>
      <c r="H6" s="970" t="s">
        <v>2292</v>
      </c>
      <c r="I6" s="970" t="s">
        <v>2291</v>
      </c>
      <c r="J6" s="970" t="s">
        <v>2292</v>
      </c>
    </row>
    <row r="7" spans="1:10" s="978" customFormat="1" ht="131" customHeight="1">
      <c r="A7" s="971">
        <v>1</v>
      </c>
      <c r="B7" s="972" t="s">
        <v>2293</v>
      </c>
      <c r="C7" s="973"/>
      <c r="D7" s="971" t="s">
        <v>827</v>
      </c>
      <c r="E7" s="974">
        <v>22</v>
      </c>
      <c r="F7" s="975">
        <f t="shared" ref="F7:F12" si="0">E7</f>
        <v>22</v>
      </c>
      <c r="G7" s="976">
        <v>18600</v>
      </c>
      <c r="H7" s="976">
        <v>960</v>
      </c>
      <c r="I7" s="977">
        <f t="shared" ref="I7:I12" si="1">F7*G7</f>
        <v>409200</v>
      </c>
      <c r="J7" s="977">
        <f t="shared" ref="J7:J12" si="2">F7*H7</f>
        <v>21120</v>
      </c>
    </row>
    <row r="8" spans="1:10" s="978" customFormat="1" ht="109" customHeight="1">
      <c r="A8" s="971">
        <v>2</v>
      </c>
      <c r="B8" s="972" t="s">
        <v>2294</v>
      </c>
      <c r="C8" s="973"/>
      <c r="D8" s="971" t="s">
        <v>827</v>
      </c>
      <c r="E8" s="974">
        <v>12</v>
      </c>
      <c r="F8" s="975">
        <f t="shared" si="0"/>
        <v>12</v>
      </c>
      <c r="G8" s="976">
        <v>18600</v>
      </c>
      <c r="H8" s="976">
        <v>960</v>
      </c>
      <c r="I8" s="977">
        <f t="shared" si="1"/>
        <v>223200</v>
      </c>
      <c r="J8" s="977">
        <f t="shared" si="2"/>
        <v>11520</v>
      </c>
    </row>
    <row r="9" spans="1:10" s="978" customFormat="1" ht="77.5">
      <c r="A9" s="971">
        <v>3</v>
      </c>
      <c r="B9" s="979" t="s">
        <v>2295</v>
      </c>
      <c r="C9" s="973"/>
      <c r="D9" s="971" t="s">
        <v>827</v>
      </c>
      <c r="E9" s="974">
        <v>22</v>
      </c>
      <c r="F9" s="975">
        <f t="shared" si="0"/>
        <v>22</v>
      </c>
      <c r="G9" s="976">
        <v>8760</v>
      </c>
      <c r="H9" s="976">
        <v>600</v>
      </c>
      <c r="I9" s="977">
        <f t="shared" si="1"/>
        <v>192720</v>
      </c>
      <c r="J9" s="977">
        <f t="shared" si="2"/>
        <v>13200</v>
      </c>
    </row>
    <row r="10" spans="1:10" s="978" customFormat="1" ht="114.5" customHeight="1">
      <c r="A10" s="971">
        <v>4</v>
      </c>
      <c r="B10" s="979" t="s">
        <v>2296</v>
      </c>
      <c r="C10" s="485"/>
      <c r="D10" s="971" t="s">
        <v>827</v>
      </c>
      <c r="E10" s="974">
        <v>5</v>
      </c>
      <c r="F10" s="975">
        <f t="shared" si="0"/>
        <v>5</v>
      </c>
      <c r="G10" s="976">
        <v>16200</v>
      </c>
      <c r="H10" s="976">
        <v>600</v>
      </c>
      <c r="I10" s="977">
        <f t="shared" si="1"/>
        <v>81000</v>
      </c>
      <c r="J10" s="977">
        <f t="shared" si="2"/>
        <v>3000</v>
      </c>
    </row>
    <row r="11" spans="1:10" s="978" customFormat="1" ht="146.5" customHeight="1">
      <c r="A11" s="971">
        <v>5</v>
      </c>
      <c r="B11" s="979" t="s">
        <v>2297</v>
      </c>
      <c r="C11" s="485"/>
      <c r="D11" s="971" t="s">
        <v>827</v>
      </c>
      <c r="E11" s="974">
        <v>4</v>
      </c>
      <c r="F11" s="975">
        <f t="shared" si="0"/>
        <v>4</v>
      </c>
      <c r="G11" s="976">
        <v>24600</v>
      </c>
      <c r="H11" s="976">
        <v>600</v>
      </c>
      <c r="I11" s="977">
        <f t="shared" si="1"/>
        <v>98400</v>
      </c>
      <c r="J11" s="977">
        <f t="shared" si="2"/>
        <v>2400</v>
      </c>
    </row>
    <row r="12" spans="1:10" s="978" customFormat="1" ht="15.5">
      <c r="A12" s="971">
        <v>6</v>
      </c>
      <c r="B12" s="980" t="s">
        <v>2298</v>
      </c>
      <c r="C12" s="981"/>
      <c r="D12" s="971" t="s">
        <v>827</v>
      </c>
      <c r="E12" s="981">
        <v>1</v>
      </c>
      <c r="F12" s="975">
        <f t="shared" si="0"/>
        <v>1</v>
      </c>
      <c r="G12" s="976">
        <v>60000</v>
      </c>
      <c r="H12" s="976">
        <v>0</v>
      </c>
      <c r="I12" s="977">
        <f t="shared" si="1"/>
        <v>60000</v>
      </c>
      <c r="J12" s="977">
        <f t="shared" si="2"/>
        <v>0</v>
      </c>
    </row>
    <row r="13" spans="1:10" s="978" customFormat="1" ht="21">
      <c r="A13" s="982"/>
      <c r="B13" s="1510"/>
      <c r="C13" s="1510"/>
      <c r="D13" s="1510"/>
      <c r="E13" s="1510"/>
      <c r="F13" s="1510"/>
      <c r="G13" s="1510"/>
      <c r="H13" s="1510"/>
      <c r="I13" s="983">
        <f>SUM(I7:I12)</f>
        <v>1064520</v>
      </c>
      <c r="J13" s="983">
        <f>SUM(J7:J12)</f>
        <v>51240</v>
      </c>
    </row>
    <row r="14" spans="1:10" ht="18">
      <c r="A14" s="984"/>
      <c r="B14" s="985"/>
      <c r="C14" s="986"/>
      <c r="D14" s="984"/>
      <c r="E14" s="984"/>
      <c r="F14" s="984"/>
      <c r="G14" s="987"/>
      <c r="H14" s="987" t="s">
        <v>2299</v>
      </c>
      <c r="I14" s="984"/>
      <c r="J14" s="984"/>
    </row>
  </sheetData>
  <protectedRanges>
    <protectedRange sqref="A7:A12" name="Range1_18_4"/>
  </protectedRanges>
  <mergeCells count="12">
    <mergeCell ref="I5:J5"/>
    <mergeCell ref="B13:H13"/>
    <mergeCell ref="A1:C1"/>
    <mergeCell ref="A2:C2"/>
    <mergeCell ref="A4:I4"/>
    <mergeCell ref="A5:A6"/>
    <mergeCell ref="B5:B6"/>
    <mergeCell ref="C5:C6"/>
    <mergeCell ref="D5:D6"/>
    <mergeCell ref="E5:E6"/>
    <mergeCell ref="F5:F6"/>
    <mergeCell ref="G5:H5"/>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893D5-1ABC-429D-93C0-262B8BE8908B}">
  <dimension ref="A1:H36"/>
  <sheetViews>
    <sheetView view="pageBreakPreview" zoomScale="70" zoomScaleNormal="100" zoomScaleSheetLayoutView="70" workbookViewId="0">
      <selection activeCell="H9" sqref="H9"/>
    </sheetView>
  </sheetViews>
  <sheetFormatPr defaultColWidth="9.08984375" defaultRowHeight="13"/>
  <cols>
    <col min="1" max="1" width="10.6328125" style="348" customWidth="1"/>
    <col min="2" max="2" width="93.6328125" style="349" customWidth="1"/>
    <col min="3" max="3" width="8.453125" style="350" customWidth="1"/>
    <col min="4" max="4" width="6.90625" style="348" customWidth="1"/>
    <col min="5" max="5" width="10.08984375" style="351" customWidth="1"/>
    <col min="6" max="6" width="15.90625" style="351" bestFit="1" customWidth="1"/>
    <col min="7" max="7" width="13.54296875" style="329" customWidth="1"/>
    <col min="8" max="8" width="25.6328125" style="329" customWidth="1"/>
    <col min="9" max="16384" width="9.08984375" style="329"/>
  </cols>
  <sheetData>
    <row r="1" spans="1:8" s="302" customFormat="1">
      <c r="A1" s="299" t="s">
        <v>376</v>
      </c>
      <c r="B1" s="299" t="s">
        <v>1478</v>
      </c>
      <c r="C1" s="300"/>
      <c r="D1" s="301"/>
      <c r="E1" s="301"/>
      <c r="F1" s="301"/>
      <c r="G1" s="301"/>
      <c r="H1" s="301"/>
    </row>
    <row r="2" spans="1:8" s="306" customFormat="1">
      <c r="A2" s="299" t="s">
        <v>377</v>
      </c>
      <c r="B2" s="303" t="s">
        <v>1014</v>
      </c>
      <c r="C2" s="300"/>
      <c r="D2" s="304"/>
      <c r="E2" s="305"/>
      <c r="F2" s="305"/>
      <c r="G2" s="305"/>
      <c r="H2" s="305"/>
    </row>
    <row r="3" spans="1:8" s="311" customFormat="1" ht="13.5" thickBot="1">
      <c r="A3" s="299" t="s">
        <v>378</v>
      </c>
      <c r="B3" s="303" t="s">
        <v>2300</v>
      </c>
      <c r="C3" s="307"/>
      <c r="D3" s="308"/>
      <c r="E3" s="308"/>
      <c r="F3" s="309"/>
      <c r="G3" s="309"/>
      <c r="H3" s="310" t="s">
        <v>2301</v>
      </c>
    </row>
    <row r="4" spans="1:8" s="317" customFormat="1" ht="37.25" customHeight="1" thickBot="1">
      <c r="A4" s="312" t="s">
        <v>380</v>
      </c>
      <c r="B4" s="313" t="s">
        <v>2</v>
      </c>
      <c r="C4" s="314" t="s">
        <v>12</v>
      </c>
      <c r="D4" s="313" t="s">
        <v>815</v>
      </c>
      <c r="E4" s="315" t="s">
        <v>381</v>
      </c>
      <c r="F4" s="315" t="s">
        <v>382</v>
      </c>
      <c r="G4" s="315" t="s">
        <v>383</v>
      </c>
      <c r="H4" s="316" t="s">
        <v>384</v>
      </c>
    </row>
    <row r="5" spans="1:8" s="323" customFormat="1">
      <c r="A5" s="321"/>
      <c r="B5" s="1015"/>
      <c r="C5" s="1002"/>
      <c r="D5" s="994"/>
      <c r="E5" s="916"/>
      <c r="F5" s="916"/>
      <c r="G5" s="917"/>
      <c r="H5" s="322"/>
    </row>
    <row r="6" spans="1:8" s="328" customFormat="1">
      <c r="A6" s="326"/>
      <c r="B6" s="1004"/>
      <c r="C6" s="1017"/>
      <c r="D6" s="996"/>
      <c r="E6" s="920"/>
      <c r="F6" s="920"/>
      <c r="G6" s="921"/>
      <c r="H6" s="327"/>
    </row>
    <row r="7" spans="1:8" s="333" customFormat="1" ht="14.4" customHeight="1">
      <c r="A7" s="331"/>
      <c r="B7" s="1026"/>
      <c r="C7" s="1026"/>
      <c r="D7" s="997"/>
      <c r="E7" s="922"/>
      <c r="F7" s="922"/>
      <c r="G7" s="923"/>
      <c r="H7" s="332"/>
    </row>
    <row r="8" spans="1:8" s="328" customFormat="1" ht="20.399999999999999" customHeight="1">
      <c r="A8" s="326">
        <v>4</v>
      </c>
      <c r="B8" s="1016" t="s">
        <v>1089</v>
      </c>
      <c r="C8" s="1017"/>
      <c r="D8" s="996"/>
      <c r="E8" s="920"/>
      <c r="F8" s="920"/>
      <c r="G8" s="921"/>
      <c r="H8" s="327"/>
    </row>
    <row r="9" spans="1:8" s="334" customFormat="1" ht="156" customHeight="1">
      <c r="A9" s="924">
        <v>4.0999999999999996</v>
      </c>
      <c r="B9" s="1027" t="s">
        <v>1090</v>
      </c>
      <c r="C9" s="1028"/>
      <c r="D9" s="994"/>
      <c r="E9" s="924"/>
      <c r="F9" s="924"/>
      <c r="G9" s="915"/>
      <c r="H9" s="1005"/>
    </row>
    <row r="10" spans="1:8" s="334" customFormat="1">
      <c r="A10" s="924" t="s">
        <v>385</v>
      </c>
      <c r="B10" s="1029" t="s">
        <v>1091</v>
      </c>
      <c r="C10" s="1002" t="s">
        <v>31</v>
      </c>
      <c r="D10" s="993"/>
      <c r="E10" s="916">
        <v>3480</v>
      </c>
      <c r="F10" s="916">
        <v>720</v>
      </c>
      <c r="G10" s="918">
        <f t="shared" ref="G10:G17" si="0">(E10+F10)*D10</f>
        <v>0</v>
      </c>
      <c r="H10" s="1030"/>
    </row>
    <row r="11" spans="1:8" s="334" customFormat="1">
      <c r="A11" s="924" t="s">
        <v>387</v>
      </c>
      <c r="B11" s="1029" t="s">
        <v>1092</v>
      </c>
      <c r="C11" s="1002" t="s">
        <v>31</v>
      </c>
      <c r="D11" s="993">
        <v>10</v>
      </c>
      <c r="E11" s="916">
        <v>3150</v>
      </c>
      <c r="F11" s="916">
        <v>660</v>
      </c>
      <c r="G11" s="918">
        <f t="shared" si="0"/>
        <v>38100</v>
      </c>
      <c r="H11" s="1030"/>
    </row>
    <row r="12" spans="1:8" s="334" customFormat="1">
      <c r="A12" s="924" t="s">
        <v>388</v>
      </c>
      <c r="B12" s="1029" t="s">
        <v>1093</v>
      </c>
      <c r="C12" s="1002" t="s">
        <v>31</v>
      </c>
      <c r="D12" s="993"/>
      <c r="E12" s="916">
        <v>2850</v>
      </c>
      <c r="F12" s="916">
        <v>586</v>
      </c>
      <c r="G12" s="918">
        <f t="shared" si="0"/>
        <v>0</v>
      </c>
      <c r="H12" s="1030"/>
    </row>
    <row r="13" spans="1:8" s="334" customFormat="1">
      <c r="A13" s="924" t="s">
        <v>389</v>
      </c>
      <c r="B13" s="1029" t="s">
        <v>1094</v>
      </c>
      <c r="C13" s="1002" t="s">
        <v>31</v>
      </c>
      <c r="D13" s="993"/>
      <c r="E13" s="916">
        <v>1650</v>
      </c>
      <c r="F13" s="916">
        <v>390</v>
      </c>
      <c r="G13" s="918">
        <f t="shared" si="0"/>
        <v>0</v>
      </c>
      <c r="H13" s="1030"/>
    </row>
    <row r="14" spans="1:8" s="334" customFormat="1">
      <c r="A14" s="924" t="s">
        <v>390</v>
      </c>
      <c r="B14" s="1029" t="s">
        <v>1095</v>
      </c>
      <c r="C14" s="1002" t="s">
        <v>31</v>
      </c>
      <c r="D14" s="993"/>
      <c r="E14" s="916">
        <v>1426</v>
      </c>
      <c r="F14" s="916">
        <v>526</v>
      </c>
      <c r="G14" s="918">
        <f t="shared" si="0"/>
        <v>0</v>
      </c>
      <c r="H14" s="1030"/>
    </row>
    <row r="15" spans="1:8" s="334" customFormat="1">
      <c r="A15" s="924" t="s">
        <v>391</v>
      </c>
      <c r="B15" s="1029" t="s">
        <v>1096</v>
      </c>
      <c r="C15" s="1002" t="s">
        <v>31</v>
      </c>
      <c r="D15" s="993"/>
      <c r="E15" s="916">
        <v>1140</v>
      </c>
      <c r="F15" s="916">
        <v>436</v>
      </c>
      <c r="G15" s="918">
        <f t="shared" si="0"/>
        <v>0</v>
      </c>
      <c r="H15" s="1030"/>
    </row>
    <row r="16" spans="1:8" s="334" customFormat="1">
      <c r="A16" s="924" t="s">
        <v>392</v>
      </c>
      <c r="B16" s="1029" t="s">
        <v>1097</v>
      </c>
      <c r="C16" s="1002" t="s">
        <v>31</v>
      </c>
      <c r="D16" s="993">
        <v>20</v>
      </c>
      <c r="E16" s="916">
        <v>893</v>
      </c>
      <c r="F16" s="916">
        <v>286</v>
      </c>
      <c r="G16" s="918">
        <f t="shared" si="0"/>
        <v>23580</v>
      </c>
      <c r="H16" s="1030"/>
    </row>
    <row r="17" spans="1:8" s="334" customFormat="1">
      <c r="A17" s="924" t="s">
        <v>393</v>
      </c>
      <c r="B17" s="1029" t="s">
        <v>1098</v>
      </c>
      <c r="C17" s="1002" t="s">
        <v>31</v>
      </c>
      <c r="D17" s="993">
        <v>100</v>
      </c>
      <c r="E17" s="916">
        <v>676</v>
      </c>
      <c r="F17" s="916">
        <v>270</v>
      </c>
      <c r="G17" s="918">
        <f t="shared" si="0"/>
        <v>94600</v>
      </c>
      <c r="H17" s="1030"/>
    </row>
    <row r="18" spans="1:8" s="334" customFormat="1">
      <c r="A18" s="924"/>
      <c r="B18" s="1029"/>
      <c r="C18" s="1031"/>
      <c r="D18" s="994"/>
      <c r="E18" s="924"/>
      <c r="F18" s="924"/>
      <c r="G18" s="917"/>
      <c r="H18" s="1030"/>
    </row>
    <row r="19" spans="1:8" s="334" customFormat="1" ht="39">
      <c r="A19" s="924">
        <v>4.2</v>
      </c>
      <c r="B19" s="1029" t="s">
        <v>1099</v>
      </c>
      <c r="C19" s="1028"/>
      <c r="D19" s="994"/>
      <c r="E19" s="924"/>
      <c r="F19" s="924"/>
      <c r="G19" s="915"/>
      <c r="H19" s="1005"/>
    </row>
    <row r="20" spans="1:8" s="334" customFormat="1">
      <c r="A20" s="924" t="s">
        <v>385</v>
      </c>
      <c r="B20" s="1029" t="s">
        <v>1100</v>
      </c>
      <c r="C20" s="1031" t="s">
        <v>630</v>
      </c>
      <c r="D20" s="993">
        <v>312</v>
      </c>
      <c r="E20" s="916">
        <v>484</v>
      </c>
      <c r="F20" s="916">
        <v>226</v>
      </c>
      <c r="G20" s="918">
        <f>(E20+F20)*D20</f>
        <v>221520</v>
      </c>
      <c r="H20" s="1030"/>
    </row>
    <row r="21" spans="1:8" s="334" customFormat="1">
      <c r="A21" s="924" t="s">
        <v>387</v>
      </c>
      <c r="B21" s="1029" t="s">
        <v>1101</v>
      </c>
      <c r="C21" s="1031" t="s">
        <v>630</v>
      </c>
      <c r="D21" s="993">
        <v>184</v>
      </c>
      <c r="E21" s="916">
        <v>533</v>
      </c>
      <c r="F21" s="916">
        <v>226</v>
      </c>
      <c r="G21" s="918">
        <f>(E21+F21)*D21</f>
        <v>139656</v>
      </c>
      <c r="H21" s="1030"/>
    </row>
    <row r="22" spans="1:8" s="334" customFormat="1">
      <c r="A22" s="924" t="s">
        <v>388</v>
      </c>
      <c r="B22" s="1029" t="s">
        <v>1102</v>
      </c>
      <c r="C22" s="1031" t="s">
        <v>630</v>
      </c>
      <c r="D22" s="993">
        <v>35</v>
      </c>
      <c r="E22" s="916">
        <v>1560</v>
      </c>
      <c r="F22" s="916">
        <v>360</v>
      </c>
      <c r="G22" s="918">
        <f>(E22+F22)*D22</f>
        <v>67200</v>
      </c>
      <c r="H22" s="1030"/>
    </row>
    <row r="23" spans="1:8" s="334" customFormat="1" ht="26">
      <c r="A23" s="924">
        <v>4.3</v>
      </c>
      <c r="B23" s="1029" t="s">
        <v>1103</v>
      </c>
      <c r="C23" s="1031" t="s">
        <v>630</v>
      </c>
      <c r="D23" s="993">
        <f>D20+D22+100</f>
        <v>447</v>
      </c>
      <c r="E23" s="916">
        <v>3180</v>
      </c>
      <c r="F23" s="916">
        <v>150</v>
      </c>
      <c r="G23" s="918">
        <f>(E23+F23)*D23</f>
        <v>1488510</v>
      </c>
      <c r="H23" s="1030"/>
    </row>
    <row r="24" spans="1:8" s="328" customFormat="1">
      <c r="A24" s="1032"/>
      <c r="B24" s="1029"/>
      <c r="C24" s="1031"/>
      <c r="D24" s="993"/>
      <c r="E24" s="924"/>
      <c r="F24" s="924"/>
      <c r="G24" s="918"/>
      <c r="H24" s="1033"/>
    </row>
    <row r="25" spans="1:8" s="323" customFormat="1" ht="23.4" customHeight="1">
      <c r="A25" s="920">
        <v>4.4000000000000004</v>
      </c>
      <c r="B25" s="1001" t="s">
        <v>2302</v>
      </c>
      <c r="C25" s="1017"/>
      <c r="D25" s="920"/>
      <c r="E25" s="920"/>
      <c r="F25" s="920"/>
      <c r="G25" s="1034"/>
      <c r="H25" s="1034"/>
    </row>
    <row r="26" spans="1:8" s="328" customFormat="1">
      <c r="A26" s="1022"/>
      <c r="B26" s="1004" t="s">
        <v>2303</v>
      </c>
      <c r="C26" s="1031" t="s">
        <v>630</v>
      </c>
      <c r="D26" s="993">
        <v>2</v>
      </c>
      <c r="E26" s="916">
        <v>18000</v>
      </c>
      <c r="F26" s="916">
        <v>1200</v>
      </c>
      <c r="G26" s="918">
        <f t="shared" ref="G26:G31" si="1">(E26+F26)*D26</f>
        <v>38400</v>
      </c>
      <c r="H26" s="1030"/>
    </row>
    <row r="27" spans="1:8" s="328" customFormat="1">
      <c r="A27" s="1022"/>
      <c r="B27" s="1004" t="s">
        <v>2304</v>
      </c>
      <c r="C27" s="1031" t="s">
        <v>630</v>
      </c>
      <c r="D27" s="993">
        <v>0</v>
      </c>
      <c r="E27" s="916">
        <v>15000</v>
      </c>
      <c r="F27" s="916">
        <v>1200</v>
      </c>
      <c r="G27" s="918">
        <f t="shared" si="1"/>
        <v>0</v>
      </c>
      <c r="H27" s="1030"/>
    </row>
    <row r="28" spans="1:8" s="328" customFormat="1" ht="26">
      <c r="A28" s="348">
        <v>4.5</v>
      </c>
      <c r="B28" s="1004" t="s">
        <v>2305</v>
      </c>
      <c r="C28" s="1031" t="s">
        <v>630</v>
      </c>
      <c r="D28" s="993">
        <v>1</v>
      </c>
      <c r="E28" s="916">
        <v>12600</v>
      </c>
      <c r="F28" s="916">
        <v>900</v>
      </c>
      <c r="G28" s="918">
        <f t="shared" si="1"/>
        <v>13500</v>
      </c>
      <c r="H28" s="1030"/>
    </row>
    <row r="29" spans="1:8" s="325" customFormat="1" ht="18" customHeight="1">
      <c r="A29" s="326">
        <v>4.5999999999999996</v>
      </c>
      <c r="B29" s="1001" t="s">
        <v>1104</v>
      </c>
      <c r="C29" s="1031" t="s">
        <v>395</v>
      </c>
      <c r="D29" s="993">
        <v>1</v>
      </c>
      <c r="E29" s="916">
        <v>0</v>
      </c>
      <c r="F29" s="916">
        <v>240000</v>
      </c>
      <c r="G29" s="918">
        <f t="shared" si="1"/>
        <v>240000</v>
      </c>
      <c r="H29" s="322"/>
    </row>
    <row r="30" spans="1:8" s="341" customFormat="1" ht="20.399999999999999" customHeight="1">
      <c r="A30" s="1035" t="s">
        <v>2306</v>
      </c>
      <c r="B30" s="1036" t="s">
        <v>2307</v>
      </c>
      <c r="C30" s="1037" t="s">
        <v>630</v>
      </c>
      <c r="D30" s="998">
        <v>1</v>
      </c>
      <c r="E30" s="916">
        <v>0</v>
      </c>
      <c r="F30" s="916">
        <v>60000</v>
      </c>
      <c r="G30" s="1038">
        <f t="shared" si="1"/>
        <v>60000</v>
      </c>
      <c r="H30" s="1039"/>
    </row>
    <row r="31" spans="1:8" s="108" customFormat="1">
      <c r="A31" s="1040">
        <v>4.8</v>
      </c>
      <c r="B31" s="1041" t="s">
        <v>2308</v>
      </c>
      <c r="C31" s="1037" t="s">
        <v>395</v>
      </c>
      <c r="D31" s="998">
        <v>0</v>
      </c>
      <c r="E31" s="916">
        <v>0</v>
      </c>
      <c r="F31" s="916">
        <v>60000</v>
      </c>
      <c r="G31" s="1038">
        <f t="shared" si="1"/>
        <v>0</v>
      </c>
      <c r="H31" s="1039"/>
    </row>
    <row r="32" spans="1:8">
      <c r="A32" s="1042"/>
      <c r="B32" s="1001"/>
      <c r="C32" s="1031"/>
      <c r="D32" s="993"/>
      <c r="E32" s="916"/>
      <c r="F32" s="916"/>
      <c r="G32" s="918"/>
      <c r="H32" s="1011"/>
    </row>
    <row r="33" spans="1:8" ht="13.5" thickBot="1">
      <c r="A33" s="1043"/>
      <c r="B33" s="1044" t="s">
        <v>1105</v>
      </c>
      <c r="C33" s="1045"/>
      <c r="D33" s="1046"/>
      <c r="E33" s="1047"/>
      <c r="F33" s="1047"/>
      <c r="G33" s="1047">
        <f>SUM(G8:G32)</f>
        <v>2425066</v>
      </c>
      <c r="H33" s="1045"/>
    </row>
    <row r="34" spans="1:8" ht="15.5">
      <c r="A34" s="335"/>
      <c r="B34" s="336" t="s">
        <v>1106</v>
      </c>
      <c r="C34" s="337"/>
      <c r="D34" s="338"/>
      <c r="E34" s="338"/>
      <c r="F34" s="338"/>
      <c r="G34" s="339">
        <f>G33</f>
        <v>2425066</v>
      </c>
      <c r="H34" s="340"/>
    </row>
    <row r="35" spans="1:8" ht="15.5">
      <c r="A35" s="342"/>
      <c r="B35" s="1048" t="s">
        <v>375</v>
      </c>
      <c r="C35" s="925"/>
      <c r="D35" s="925"/>
      <c r="E35" s="925"/>
      <c r="F35" s="925"/>
      <c r="G35" s="926">
        <f>G34*0.18</f>
        <v>436511.88</v>
      </c>
      <c r="H35" s="343"/>
    </row>
    <row r="36" spans="1:8" ht="16" thickBot="1">
      <c r="A36" s="344"/>
      <c r="B36" s="345" t="s">
        <v>396</v>
      </c>
      <c r="C36" s="346"/>
      <c r="D36" s="346"/>
      <c r="E36" s="346"/>
      <c r="F36" s="346"/>
      <c r="G36" s="347">
        <f>G34+G35</f>
        <v>2861577.88</v>
      </c>
      <c r="H36" s="484"/>
    </row>
  </sheetData>
  <protectedRanges>
    <protectedRange sqref="G18" name="Range1_2_1_1_1_1_1_1"/>
  </protectedRanges>
  <pageMargins left="0.7" right="0.7" top="0.75" bottom="0.75" header="0.3" footer="0.3"/>
  <pageSetup scale="4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0C8EC-A8E5-47D1-AFBF-5F233EE7F856}">
  <dimension ref="A1:H73"/>
  <sheetViews>
    <sheetView topLeftCell="A52" zoomScale="60" zoomScaleNormal="60" workbookViewId="0"/>
  </sheetViews>
  <sheetFormatPr defaultColWidth="9.08984375" defaultRowHeight="13"/>
  <cols>
    <col min="1" max="1" width="10.6328125" style="348" customWidth="1"/>
    <col min="2" max="2" width="93.6328125" style="349" customWidth="1"/>
    <col min="3" max="3" width="8.453125" style="350" customWidth="1"/>
    <col min="4" max="4" width="6.90625" style="348" customWidth="1"/>
    <col min="5" max="5" width="10.08984375" style="351" customWidth="1"/>
    <col min="6" max="6" width="15.90625" style="351" bestFit="1" customWidth="1"/>
    <col min="7" max="7" width="13.54296875" style="329" customWidth="1"/>
    <col min="8" max="8" width="25.6328125" style="329" customWidth="1"/>
    <col min="9" max="16384" width="9.08984375" style="329"/>
  </cols>
  <sheetData>
    <row r="1" spans="1:8" s="302" customFormat="1">
      <c r="A1" s="299" t="s">
        <v>376</v>
      </c>
      <c r="B1" s="299" t="s">
        <v>1478</v>
      </c>
      <c r="C1" s="300"/>
      <c r="D1" s="301"/>
      <c r="E1" s="301"/>
      <c r="F1" s="301"/>
      <c r="G1" s="301"/>
      <c r="H1" s="301"/>
    </row>
    <row r="2" spans="1:8" s="306" customFormat="1">
      <c r="A2" s="299" t="s">
        <v>377</v>
      </c>
      <c r="B2" s="303" t="s">
        <v>1014</v>
      </c>
      <c r="C2" s="300"/>
      <c r="D2" s="304"/>
      <c r="E2" s="305"/>
      <c r="F2" s="305"/>
      <c r="G2" s="305"/>
      <c r="H2" s="305"/>
    </row>
    <row r="3" spans="1:8" s="311" customFormat="1" ht="13.5" thickBot="1">
      <c r="A3" s="299" t="s">
        <v>378</v>
      </c>
      <c r="B3" s="303" t="s">
        <v>2300</v>
      </c>
      <c r="C3" s="307"/>
      <c r="D3" s="308"/>
      <c r="E3" s="308"/>
      <c r="F3" s="309"/>
      <c r="G3" s="309"/>
      <c r="H3" s="310" t="s">
        <v>2301</v>
      </c>
    </row>
    <row r="4" spans="1:8" s="317" customFormat="1" ht="37.25" customHeight="1" thickBot="1">
      <c r="A4" s="312" t="s">
        <v>380</v>
      </c>
      <c r="B4" s="313" t="s">
        <v>2</v>
      </c>
      <c r="C4" s="314" t="s">
        <v>12</v>
      </c>
      <c r="D4" s="313" t="s">
        <v>815</v>
      </c>
      <c r="E4" s="315" t="s">
        <v>381</v>
      </c>
      <c r="F4" s="315" t="s">
        <v>382</v>
      </c>
      <c r="G4" s="315" t="s">
        <v>383</v>
      </c>
      <c r="H4" s="316" t="s">
        <v>384</v>
      </c>
    </row>
    <row r="5" spans="1:8" s="320" customFormat="1" ht="20" customHeight="1">
      <c r="A5" s="318" t="s">
        <v>820</v>
      </c>
      <c r="B5" s="999" t="s">
        <v>1015</v>
      </c>
      <c r="C5" s="1000"/>
      <c r="D5" s="994"/>
      <c r="E5" s="914"/>
      <c r="F5" s="914"/>
      <c r="G5" s="915"/>
      <c r="H5" s="319"/>
    </row>
    <row r="6" spans="1:8" s="323" customFormat="1" ht="26">
      <c r="A6" s="321" t="s">
        <v>826</v>
      </c>
      <c r="B6" s="1001" t="s">
        <v>1016</v>
      </c>
      <c r="C6" s="1002"/>
      <c r="D6" s="994"/>
      <c r="E6" s="916"/>
      <c r="F6" s="916"/>
      <c r="G6" s="917"/>
      <c r="H6" s="322"/>
    </row>
    <row r="7" spans="1:8" s="323" customFormat="1" ht="21" customHeight="1">
      <c r="A7" s="321" t="s">
        <v>385</v>
      </c>
      <c r="B7" s="1001" t="s">
        <v>1017</v>
      </c>
      <c r="C7" s="1002" t="s">
        <v>630</v>
      </c>
      <c r="D7" s="993">
        <v>145</v>
      </c>
      <c r="E7" s="916"/>
      <c r="F7" s="916"/>
      <c r="G7" s="918">
        <f t="shared" ref="G7:G13" si="0">(E7+F7)*D7</f>
        <v>0</v>
      </c>
      <c r="H7" s="322"/>
    </row>
    <row r="8" spans="1:8" s="323" customFormat="1" ht="21" customHeight="1">
      <c r="A8" s="321" t="s">
        <v>387</v>
      </c>
      <c r="B8" s="1001" t="s">
        <v>1018</v>
      </c>
      <c r="C8" s="1002" t="s">
        <v>630</v>
      </c>
      <c r="D8" s="993">
        <v>90</v>
      </c>
      <c r="E8" s="916"/>
      <c r="F8" s="916"/>
      <c r="G8" s="918">
        <f t="shared" si="0"/>
        <v>0</v>
      </c>
      <c r="H8" s="322"/>
    </row>
    <row r="9" spans="1:8" s="323" customFormat="1" ht="32" customHeight="1">
      <c r="A9" s="321" t="s">
        <v>1019</v>
      </c>
      <c r="B9" s="1001" t="s">
        <v>1020</v>
      </c>
      <c r="C9" s="1002" t="s">
        <v>630</v>
      </c>
      <c r="D9" s="993">
        <v>7</v>
      </c>
      <c r="E9" s="916"/>
      <c r="F9" s="916"/>
      <c r="G9" s="918">
        <f t="shared" si="0"/>
        <v>0</v>
      </c>
      <c r="H9" s="322"/>
    </row>
    <row r="10" spans="1:8" s="323" customFormat="1" ht="32" customHeight="1">
      <c r="A10" s="321" t="s">
        <v>1021</v>
      </c>
      <c r="B10" s="1001" t="s">
        <v>1022</v>
      </c>
      <c r="C10" s="1002" t="s">
        <v>630</v>
      </c>
      <c r="D10" s="993">
        <v>0</v>
      </c>
      <c r="E10" s="916"/>
      <c r="F10" s="916"/>
      <c r="G10" s="918">
        <f t="shared" si="0"/>
        <v>0</v>
      </c>
      <c r="H10" s="322"/>
    </row>
    <row r="11" spans="1:8" s="323" customFormat="1" ht="33" customHeight="1">
      <c r="A11" s="321" t="s">
        <v>1023</v>
      </c>
      <c r="B11" s="1003" t="s">
        <v>1024</v>
      </c>
      <c r="C11" s="1002" t="s">
        <v>630</v>
      </c>
      <c r="D11" s="993">
        <v>90</v>
      </c>
      <c r="E11" s="916"/>
      <c r="F11" s="916"/>
      <c r="G11" s="918">
        <f t="shared" si="0"/>
        <v>0</v>
      </c>
      <c r="H11" s="322"/>
    </row>
    <row r="12" spans="1:8" s="323" customFormat="1" ht="50" customHeight="1">
      <c r="A12" s="321" t="s">
        <v>1025</v>
      </c>
      <c r="B12" s="1004" t="s">
        <v>1026</v>
      </c>
      <c r="C12" s="1002" t="s">
        <v>630</v>
      </c>
      <c r="D12" s="993">
        <v>7</v>
      </c>
      <c r="E12" s="916"/>
      <c r="F12" s="916"/>
      <c r="G12" s="918">
        <f t="shared" si="0"/>
        <v>0</v>
      </c>
      <c r="H12" s="322"/>
    </row>
    <row r="13" spans="1:8" s="323" customFormat="1" ht="45.65" customHeight="1">
      <c r="A13" s="321" t="s">
        <v>1027</v>
      </c>
      <c r="B13" s="1003" t="s">
        <v>1028</v>
      </c>
      <c r="C13" s="1002" t="s">
        <v>630</v>
      </c>
      <c r="D13" s="993">
        <v>7</v>
      </c>
      <c r="E13" s="916"/>
      <c r="F13" s="916"/>
      <c r="G13" s="918">
        <f t="shared" si="0"/>
        <v>0</v>
      </c>
      <c r="H13" s="322"/>
    </row>
    <row r="14" spans="1:8" s="323" customFormat="1" ht="47.4" customHeight="1">
      <c r="A14" s="321" t="s">
        <v>1029</v>
      </c>
      <c r="B14" s="1004" t="s">
        <v>1030</v>
      </c>
      <c r="C14" s="1002"/>
      <c r="D14" s="993"/>
      <c r="E14" s="916"/>
      <c r="F14" s="916"/>
      <c r="G14" s="918"/>
      <c r="H14" s="322"/>
    </row>
    <row r="15" spans="1:8" s="323" customFormat="1" ht="18" customHeight="1">
      <c r="A15" s="321" t="s">
        <v>385</v>
      </c>
      <c r="B15" s="1003" t="s">
        <v>1031</v>
      </c>
      <c r="C15" s="1002" t="s">
        <v>630</v>
      </c>
      <c r="D15" s="993">
        <v>7</v>
      </c>
      <c r="E15" s="916"/>
      <c r="F15" s="916"/>
      <c r="G15" s="918">
        <f>(E15+F15)*D15</f>
        <v>0</v>
      </c>
      <c r="H15" s="322"/>
    </row>
    <row r="16" spans="1:8" s="323" customFormat="1" ht="39">
      <c r="A16" s="321" t="s">
        <v>1032</v>
      </c>
      <c r="B16" s="1005" t="s">
        <v>1033</v>
      </c>
      <c r="C16" s="1002" t="s">
        <v>630</v>
      </c>
      <c r="D16" s="993">
        <v>1</v>
      </c>
      <c r="E16" s="916"/>
      <c r="F16" s="916"/>
      <c r="G16" s="918">
        <f>(E16+F16)*D16</f>
        <v>0</v>
      </c>
      <c r="H16" s="322"/>
    </row>
    <row r="17" spans="1:8" s="323" customFormat="1" ht="39">
      <c r="A17" s="321" t="s">
        <v>1034</v>
      </c>
      <c r="B17" s="1004" t="s">
        <v>1035</v>
      </c>
      <c r="C17" s="1002"/>
      <c r="D17" s="993"/>
      <c r="E17" s="916"/>
      <c r="F17" s="916"/>
      <c r="G17" s="918"/>
      <c r="H17" s="324"/>
    </row>
    <row r="18" spans="1:8" s="323" customFormat="1" ht="17.399999999999999" customHeight="1">
      <c r="A18" s="321" t="s">
        <v>385</v>
      </c>
      <c r="B18" s="1003" t="s">
        <v>1036</v>
      </c>
      <c r="C18" s="1002" t="s">
        <v>630</v>
      </c>
      <c r="D18" s="993">
        <v>10</v>
      </c>
      <c r="E18" s="916"/>
      <c r="F18" s="916"/>
      <c r="G18" s="918">
        <f>(E18+F18)*D18</f>
        <v>0</v>
      </c>
      <c r="H18" s="322"/>
    </row>
    <row r="19" spans="1:8" s="323" customFormat="1" ht="52">
      <c r="A19" s="321" t="s">
        <v>1037</v>
      </c>
      <c r="B19" s="1004" t="s">
        <v>1038</v>
      </c>
      <c r="C19" s="1002" t="s">
        <v>630</v>
      </c>
      <c r="D19" s="993">
        <v>6</v>
      </c>
      <c r="E19" s="916"/>
      <c r="F19" s="916"/>
      <c r="G19" s="918">
        <f>(E19+F19)*D19</f>
        <v>0</v>
      </c>
      <c r="H19" s="322"/>
    </row>
    <row r="20" spans="1:8" s="323" customFormat="1" ht="57.65" customHeight="1">
      <c r="A20" s="321" t="s">
        <v>1039</v>
      </c>
      <c r="B20" s="1004" t="s">
        <v>1040</v>
      </c>
      <c r="C20" s="1002" t="s">
        <v>630</v>
      </c>
      <c r="D20" s="993">
        <v>15</v>
      </c>
      <c r="E20" s="916"/>
      <c r="F20" s="916"/>
      <c r="G20" s="918">
        <f>(E20+F20)*D20</f>
        <v>0</v>
      </c>
      <c r="H20" s="322"/>
    </row>
    <row r="21" spans="1:8" s="323" customFormat="1" ht="47.4" customHeight="1">
      <c r="A21" s="321" t="s">
        <v>1041</v>
      </c>
      <c r="B21" s="1006" t="s">
        <v>1042</v>
      </c>
      <c r="C21" s="1002" t="s">
        <v>31</v>
      </c>
      <c r="D21" s="993">
        <v>3200</v>
      </c>
      <c r="E21" s="916"/>
      <c r="F21" s="916"/>
      <c r="G21" s="918">
        <f>(E21+F21)*D21</f>
        <v>0</v>
      </c>
      <c r="H21" s="322"/>
    </row>
    <row r="22" spans="1:8" s="323" customFormat="1" ht="134.4" customHeight="1">
      <c r="A22" s="321" t="s">
        <v>1043</v>
      </c>
      <c r="B22" s="1007" t="s">
        <v>1044</v>
      </c>
      <c r="C22" s="1002"/>
      <c r="D22" s="993"/>
      <c r="E22" s="916"/>
      <c r="F22" s="916"/>
      <c r="G22" s="918"/>
      <c r="H22" s="322"/>
    </row>
    <row r="23" spans="1:8" s="323" customFormat="1" ht="19.25" customHeight="1">
      <c r="A23" s="321" t="s">
        <v>385</v>
      </c>
      <c r="B23" s="1007" t="s">
        <v>1045</v>
      </c>
      <c r="C23" s="1002" t="s">
        <v>630</v>
      </c>
      <c r="D23" s="993">
        <v>0</v>
      </c>
      <c r="E23" s="916"/>
      <c r="F23" s="916"/>
      <c r="G23" s="918">
        <f t="shared" ref="G23:G28" si="1">(E23+F23)*D23</f>
        <v>0</v>
      </c>
      <c r="H23" s="322"/>
    </row>
    <row r="24" spans="1:8" s="323" customFormat="1" ht="18.649999999999999" customHeight="1">
      <c r="A24" s="321" t="s">
        <v>387</v>
      </c>
      <c r="B24" s="1007" t="s">
        <v>1046</v>
      </c>
      <c r="C24" s="1002" t="s">
        <v>630</v>
      </c>
      <c r="D24" s="993">
        <v>1</v>
      </c>
      <c r="E24" s="916"/>
      <c r="F24" s="916"/>
      <c r="G24" s="918">
        <f t="shared" si="1"/>
        <v>0</v>
      </c>
      <c r="H24" s="322"/>
    </row>
    <row r="25" spans="1:8" s="323" customFormat="1" ht="18.649999999999999" customHeight="1">
      <c r="A25" s="321" t="s">
        <v>388</v>
      </c>
      <c r="B25" s="1007" t="s">
        <v>1047</v>
      </c>
      <c r="C25" s="1002" t="s">
        <v>630</v>
      </c>
      <c r="D25" s="993">
        <v>0</v>
      </c>
      <c r="E25" s="916"/>
      <c r="F25" s="916"/>
      <c r="G25" s="918">
        <f t="shared" si="1"/>
        <v>0</v>
      </c>
      <c r="H25" s="322"/>
    </row>
    <row r="26" spans="1:8" s="323" customFormat="1" ht="23.4" customHeight="1">
      <c r="A26" s="321" t="s">
        <v>1048</v>
      </c>
      <c r="B26" s="1008" t="s">
        <v>1049</v>
      </c>
      <c r="C26" s="1002" t="s">
        <v>630</v>
      </c>
      <c r="D26" s="993">
        <v>0</v>
      </c>
      <c r="E26" s="916"/>
      <c r="F26" s="916"/>
      <c r="G26" s="918">
        <f t="shared" si="1"/>
        <v>0</v>
      </c>
      <c r="H26" s="322"/>
    </row>
    <row r="27" spans="1:8" s="323" customFormat="1" ht="23.4" customHeight="1">
      <c r="A27" s="321" t="s">
        <v>1050</v>
      </c>
      <c r="B27" s="1008" t="s">
        <v>1051</v>
      </c>
      <c r="C27" s="1002" t="s">
        <v>630</v>
      </c>
      <c r="D27" s="993">
        <v>0</v>
      </c>
      <c r="E27" s="916"/>
      <c r="F27" s="916"/>
      <c r="G27" s="918">
        <f t="shared" si="1"/>
        <v>0</v>
      </c>
      <c r="H27" s="322"/>
    </row>
    <row r="28" spans="1:8" s="323" customFormat="1" ht="51" customHeight="1">
      <c r="A28" s="321" t="s">
        <v>1052</v>
      </c>
      <c r="B28" s="1007" t="s">
        <v>1053</v>
      </c>
      <c r="C28" s="1002" t="s">
        <v>630</v>
      </c>
      <c r="D28" s="993">
        <v>0</v>
      </c>
      <c r="E28" s="916"/>
      <c r="F28" s="916"/>
      <c r="G28" s="918">
        <f t="shared" si="1"/>
        <v>0</v>
      </c>
      <c r="H28" s="322"/>
    </row>
    <row r="29" spans="1:8" s="323" customFormat="1" ht="18.649999999999999" customHeight="1">
      <c r="A29" s="1009"/>
      <c r="B29" s="1010"/>
      <c r="C29" s="1002"/>
      <c r="D29" s="994"/>
      <c r="E29" s="916"/>
      <c r="F29" s="916"/>
      <c r="G29" s="918"/>
      <c r="H29" s="1011"/>
    </row>
    <row r="30" spans="1:8" s="325" customFormat="1" ht="26.4" customHeight="1">
      <c r="A30" s="1012"/>
      <c r="B30" s="1013" t="s">
        <v>1054</v>
      </c>
      <c r="C30" s="1014"/>
      <c r="D30" s="995"/>
      <c r="E30" s="919"/>
      <c r="F30" s="919"/>
      <c r="G30" s="919">
        <f>SUM(G5:G28)</f>
        <v>0</v>
      </c>
      <c r="H30" s="1014"/>
    </row>
    <row r="31" spans="1:8" s="323" customFormat="1">
      <c r="A31" s="321"/>
      <c r="B31" s="1015"/>
      <c r="C31" s="1002"/>
      <c r="D31" s="994"/>
      <c r="E31" s="916"/>
      <c r="F31" s="916"/>
      <c r="G31" s="917"/>
      <c r="H31" s="322"/>
    </row>
    <row r="32" spans="1:8" s="328" customFormat="1" ht="18" customHeight="1">
      <c r="A32" s="326">
        <v>2</v>
      </c>
      <c r="B32" s="1016" t="s">
        <v>2549</v>
      </c>
      <c r="C32" s="1017"/>
      <c r="D32" s="996"/>
      <c r="E32" s="920"/>
      <c r="F32" s="920"/>
      <c r="G32" s="921"/>
      <c r="H32" s="327"/>
    </row>
    <row r="33" spans="1:8" s="328" customFormat="1" ht="66.650000000000006" customHeight="1">
      <c r="A33" s="326">
        <v>2.1</v>
      </c>
      <c r="B33" s="1006" t="s">
        <v>1055</v>
      </c>
      <c r="C33" s="1002" t="s">
        <v>630</v>
      </c>
      <c r="D33" s="993">
        <v>50</v>
      </c>
      <c r="E33" s="916"/>
      <c r="F33" s="916"/>
      <c r="G33" s="918">
        <f>(E33+F33)*D33</f>
        <v>0</v>
      </c>
      <c r="H33" s="322"/>
    </row>
    <row r="34" spans="1:8" s="328" customFormat="1" ht="65">
      <c r="A34" s="326">
        <v>2.2000000000000002</v>
      </c>
      <c r="B34" s="1006" t="s">
        <v>1056</v>
      </c>
      <c r="C34" s="1002" t="s">
        <v>630</v>
      </c>
      <c r="D34" s="993">
        <v>1</v>
      </c>
      <c r="E34" s="916"/>
      <c r="F34" s="916"/>
      <c r="G34" s="918">
        <f>(E34+F34)*D34</f>
        <v>0</v>
      </c>
      <c r="H34" s="322"/>
    </row>
    <row r="35" spans="1:8" s="328" customFormat="1" ht="74.400000000000006" customHeight="1">
      <c r="A35" s="326">
        <v>2.2999999999999998</v>
      </c>
      <c r="B35" s="1018" t="s">
        <v>1057</v>
      </c>
      <c r="C35" s="1002" t="s">
        <v>630</v>
      </c>
      <c r="D35" s="993">
        <v>0</v>
      </c>
      <c r="E35" s="916"/>
      <c r="F35" s="916"/>
      <c r="G35" s="918">
        <f>(E35+F35)*D35</f>
        <v>0</v>
      </c>
      <c r="H35" s="322"/>
    </row>
    <row r="36" spans="1:8" s="328" customFormat="1" ht="74.400000000000006" customHeight="1">
      <c r="A36" s="326">
        <v>2.4</v>
      </c>
      <c r="B36" s="1019" t="s">
        <v>1058</v>
      </c>
      <c r="C36" s="1002" t="s">
        <v>630</v>
      </c>
      <c r="D36" s="993">
        <v>25</v>
      </c>
      <c r="E36" s="916"/>
      <c r="F36" s="916"/>
      <c r="G36" s="918">
        <f>(E36+F36)*D36</f>
        <v>0</v>
      </c>
      <c r="H36" s="322"/>
    </row>
    <row r="37" spans="1:8" s="328" customFormat="1" ht="19.25" customHeight="1">
      <c r="A37" s="326">
        <v>2.5</v>
      </c>
      <c r="B37" s="1016" t="s">
        <v>1059</v>
      </c>
      <c r="C37" s="1017"/>
      <c r="D37" s="993"/>
      <c r="E37" s="920"/>
      <c r="F37" s="920"/>
      <c r="G37" s="918"/>
      <c r="H37" s="327"/>
    </row>
    <row r="38" spans="1:8" s="328" customFormat="1" ht="38.4" customHeight="1">
      <c r="A38" s="326" t="s">
        <v>385</v>
      </c>
      <c r="B38" s="1020" t="s">
        <v>1060</v>
      </c>
      <c r="C38" s="1002" t="s">
        <v>630</v>
      </c>
      <c r="D38" s="993">
        <f>(D33+D34)</f>
        <v>51</v>
      </c>
      <c r="E38" s="916"/>
      <c r="F38" s="916"/>
      <c r="G38" s="918">
        <f>(E38+F38)*D38</f>
        <v>0</v>
      </c>
      <c r="H38" s="322"/>
    </row>
    <row r="39" spans="1:8" s="328" customFormat="1" ht="39.65" customHeight="1">
      <c r="A39" s="326" t="s">
        <v>387</v>
      </c>
      <c r="B39" s="1001" t="s">
        <v>1061</v>
      </c>
      <c r="C39" s="1002" t="s">
        <v>630</v>
      </c>
      <c r="D39" s="993">
        <f>5</f>
        <v>5</v>
      </c>
      <c r="E39" s="916"/>
      <c r="F39" s="916"/>
      <c r="G39" s="918">
        <f>(E39+F39)*D39</f>
        <v>0</v>
      </c>
      <c r="H39" s="322"/>
    </row>
    <row r="40" spans="1:8" s="328" customFormat="1" ht="189.65" customHeight="1">
      <c r="A40" s="326" t="s">
        <v>388</v>
      </c>
      <c r="B40" s="1021" t="s">
        <v>1062</v>
      </c>
      <c r="C40" s="1017"/>
      <c r="D40" s="993"/>
      <c r="E40" s="916"/>
      <c r="F40" s="916"/>
      <c r="G40" s="918"/>
      <c r="H40" s="327"/>
    </row>
    <row r="41" spans="1:8" s="328" customFormat="1" ht="54" customHeight="1">
      <c r="A41" s="326" t="s">
        <v>1063</v>
      </c>
      <c r="B41" s="1020" t="s">
        <v>1064</v>
      </c>
      <c r="C41" s="1002" t="s">
        <v>630</v>
      </c>
      <c r="D41" s="993">
        <f>35</f>
        <v>35</v>
      </c>
      <c r="E41" s="916"/>
      <c r="F41" s="916"/>
      <c r="G41" s="918">
        <f>(E41+F41)*D41</f>
        <v>0</v>
      </c>
      <c r="H41" s="322"/>
    </row>
    <row r="42" spans="1:8" s="328" customFormat="1" ht="36.65" customHeight="1">
      <c r="A42" s="326" t="s">
        <v>1065</v>
      </c>
      <c r="B42" s="1020" t="s">
        <v>1066</v>
      </c>
      <c r="C42" s="1002" t="s">
        <v>630</v>
      </c>
      <c r="D42" s="993">
        <f>4</f>
        <v>4</v>
      </c>
      <c r="E42" s="916"/>
      <c r="F42" s="916"/>
      <c r="G42" s="918">
        <f>(E42+F42)*D42</f>
        <v>0</v>
      </c>
      <c r="H42" s="322"/>
    </row>
    <row r="43" spans="1:8" s="328" customFormat="1" ht="14.4" customHeight="1">
      <c r="A43" s="326"/>
      <c r="B43" s="1004"/>
      <c r="C43" s="1002"/>
      <c r="D43" s="994"/>
      <c r="E43" s="916"/>
      <c r="F43" s="916"/>
      <c r="G43" s="917"/>
      <c r="H43" s="322"/>
    </row>
    <row r="44" spans="1:8" s="325" customFormat="1" ht="23" customHeight="1">
      <c r="A44" s="1012"/>
      <c r="B44" s="1013" t="s">
        <v>1067</v>
      </c>
      <c r="C44" s="1014"/>
      <c r="D44" s="995"/>
      <c r="E44" s="919"/>
      <c r="F44" s="919"/>
      <c r="G44" s="919">
        <f>SUM(G32:G43)</f>
        <v>0</v>
      </c>
      <c r="H44" s="1014"/>
    </row>
    <row r="45" spans="1:8" s="328" customFormat="1">
      <c r="A45" s="326"/>
      <c r="B45" s="1004"/>
      <c r="C45" s="1017"/>
      <c r="D45" s="996"/>
      <c r="E45" s="920"/>
      <c r="F45" s="920"/>
      <c r="G45" s="921"/>
      <c r="H45" s="327"/>
    </row>
    <row r="46" spans="1:8" s="320" customFormat="1" ht="20" customHeight="1">
      <c r="A46" s="318" t="s">
        <v>822</v>
      </c>
      <c r="B46" s="1016" t="s">
        <v>1068</v>
      </c>
      <c r="C46" s="1000"/>
      <c r="D46" s="994"/>
      <c r="E46" s="914"/>
      <c r="F46" s="914"/>
      <c r="G46" s="915"/>
      <c r="H46" s="319"/>
    </row>
    <row r="47" spans="1:8" s="328" customFormat="1" ht="27" customHeight="1">
      <c r="A47" s="326">
        <v>3.1</v>
      </c>
      <c r="B47" s="1003" t="s">
        <v>1069</v>
      </c>
      <c r="C47" s="1017"/>
      <c r="D47" s="996"/>
      <c r="E47" s="920"/>
      <c r="F47" s="920"/>
      <c r="G47" s="921"/>
      <c r="H47" s="327"/>
    </row>
    <row r="48" spans="1:8" s="328" customFormat="1" ht="17.399999999999999" customHeight="1">
      <c r="A48" s="326" t="s">
        <v>385</v>
      </c>
      <c r="B48" s="1003" t="s">
        <v>1070</v>
      </c>
      <c r="C48" s="1002" t="s">
        <v>630</v>
      </c>
      <c r="D48" s="993">
        <v>68</v>
      </c>
      <c r="E48" s="916"/>
      <c r="F48" s="916"/>
      <c r="G48" s="918">
        <f>(E48+F48)*D48</f>
        <v>0</v>
      </c>
      <c r="H48" s="322"/>
    </row>
    <row r="49" spans="1:8" s="328" customFormat="1" ht="17.399999999999999" customHeight="1">
      <c r="A49" s="326" t="s">
        <v>387</v>
      </c>
      <c r="B49" s="1003" t="s">
        <v>1071</v>
      </c>
      <c r="C49" s="1002" t="s">
        <v>630</v>
      </c>
      <c r="D49" s="993">
        <v>30</v>
      </c>
      <c r="E49" s="916"/>
      <c r="F49" s="916"/>
      <c r="G49" s="918">
        <f>(E49+F49)*D49</f>
        <v>0</v>
      </c>
      <c r="H49" s="322"/>
    </row>
    <row r="50" spans="1:8" s="328" customFormat="1" ht="17.399999999999999" customHeight="1">
      <c r="A50" s="326" t="s">
        <v>388</v>
      </c>
      <c r="B50" s="1003" t="s">
        <v>1072</v>
      </c>
      <c r="C50" s="1002" t="s">
        <v>630</v>
      </c>
      <c r="D50" s="993">
        <v>10</v>
      </c>
      <c r="E50" s="916"/>
      <c r="F50" s="916"/>
      <c r="G50" s="918">
        <f>(E50+F50)*D50</f>
        <v>0</v>
      </c>
      <c r="H50" s="322"/>
    </row>
    <row r="51" spans="1:8" ht="91">
      <c r="A51" s="1022">
        <v>3.2</v>
      </c>
      <c r="B51" s="1003" t="s">
        <v>1073</v>
      </c>
      <c r="C51" s="1023"/>
      <c r="D51" s="993"/>
      <c r="E51" s="920"/>
      <c r="F51" s="920"/>
      <c r="G51" s="918"/>
      <c r="H51" s="1024"/>
    </row>
    <row r="52" spans="1:8">
      <c r="A52" s="1022" t="s">
        <v>385</v>
      </c>
      <c r="B52" s="1003" t="s">
        <v>1074</v>
      </c>
      <c r="C52" s="1002" t="s">
        <v>630</v>
      </c>
      <c r="D52" s="993">
        <v>1</v>
      </c>
      <c r="E52" s="916"/>
      <c r="F52" s="916"/>
      <c r="G52" s="918">
        <f>(E52+F52)*D52</f>
        <v>0</v>
      </c>
      <c r="H52" s="322"/>
    </row>
    <row r="53" spans="1:8">
      <c r="A53" s="1022" t="s">
        <v>387</v>
      </c>
      <c r="B53" s="1003" t="s">
        <v>1075</v>
      </c>
      <c r="C53" s="1002" t="s">
        <v>630</v>
      </c>
      <c r="D53" s="993">
        <v>0</v>
      </c>
      <c r="E53" s="916"/>
      <c r="F53" s="916"/>
      <c r="G53" s="918">
        <f>(E53+F53)*D53</f>
        <v>0</v>
      </c>
      <c r="H53" s="322"/>
    </row>
    <row r="54" spans="1:8">
      <c r="A54" s="1022" t="s">
        <v>388</v>
      </c>
      <c r="B54" s="1003" t="s">
        <v>1076</v>
      </c>
      <c r="C54" s="1002" t="s">
        <v>630</v>
      </c>
      <c r="D54" s="993">
        <v>0</v>
      </c>
      <c r="E54" s="916"/>
      <c r="F54" s="916"/>
      <c r="G54" s="918">
        <f>(E54+F54)*D54</f>
        <v>0</v>
      </c>
      <c r="H54" s="322"/>
    </row>
    <row r="55" spans="1:8" s="328" customFormat="1" ht="26">
      <c r="A55" s="326">
        <v>3.3</v>
      </c>
      <c r="B55" s="1003" t="s">
        <v>1077</v>
      </c>
      <c r="C55" s="1002"/>
      <c r="D55" s="993"/>
      <c r="E55" s="916"/>
      <c r="F55" s="916"/>
      <c r="G55" s="918"/>
      <c r="H55" s="322"/>
    </row>
    <row r="56" spans="1:8">
      <c r="A56" s="1022" t="s">
        <v>385</v>
      </c>
      <c r="B56" s="1003" t="s">
        <v>1078</v>
      </c>
      <c r="C56" s="1002" t="s">
        <v>630</v>
      </c>
      <c r="D56" s="993">
        <v>0</v>
      </c>
      <c r="E56" s="916"/>
      <c r="F56" s="916"/>
      <c r="G56" s="918">
        <f>(E56+F56)*D56</f>
        <v>0</v>
      </c>
      <c r="H56" s="322"/>
    </row>
    <row r="57" spans="1:8">
      <c r="A57" s="1022" t="s">
        <v>387</v>
      </c>
      <c r="B57" s="1003" t="s">
        <v>1079</v>
      </c>
      <c r="C57" s="1002" t="s">
        <v>630</v>
      </c>
      <c r="D57" s="993">
        <v>0</v>
      </c>
      <c r="E57" s="916"/>
      <c r="F57" s="916"/>
      <c r="G57" s="918">
        <f>(E57+F57)*D57</f>
        <v>0</v>
      </c>
      <c r="H57" s="322"/>
    </row>
    <row r="58" spans="1:8">
      <c r="A58" s="1022" t="s">
        <v>388</v>
      </c>
      <c r="B58" s="1003" t="s">
        <v>1080</v>
      </c>
      <c r="C58" s="1002" t="s">
        <v>630</v>
      </c>
      <c r="D58" s="993">
        <v>2</v>
      </c>
      <c r="E58" s="916"/>
      <c r="F58" s="916"/>
      <c r="G58" s="918">
        <f>(E58+F58)*D58</f>
        <v>0</v>
      </c>
      <c r="H58" s="322"/>
    </row>
    <row r="59" spans="1:8" s="328" customFormat="1" ht="13.25" customHeight="1">
      <c r="A59" s="326"/>
      <c r="B59" s="1003"/>
      <c r="C59" s="1002"/>
      <c r="D59" s="993"/>
      <c r="E59" s="916"/>
      <c r="F59" s="916"/>
      <c r="G59" s="918"/>
      <c r="H59" s="322"/>
    </row>
    <row r="60" spans="1:8" s="328" customFormat="1" ht="65">
      <c r="A60" s="326">
        <v>3.4</v>
      </c>
      <c r="B60" s="1004" t="s">
        <v>1081</v>
      </c>
      <c r="C60" s="1002" t="s">
        <v>630</v>
      </c>
      <c r="D60" s="993">
        <v>1</v>
      </c>
      <c r="E60" s="916"/>
      <c r="F60" s="916"/>
      <c r="G60" s="918">
        <f>(E60+F60)*D60</f>
        <v>0</v>
      </c>
      <c r="H60" s="322"/>
    </row>
    <row r="61" spans="1:8" s="328" customFormat="1" ht="32.4" customHeight="1">
      <c r="A61" s="326">
        <v>3.5</v>
      </c>
      <c r="B61" s="1001" t="s">
        <v>1082</v>
      </c>
      <c r="C61" s="1002" t="s">
        <v>630</v>
      </c>
      <c r="D61" s="993">
        <v>1</v>
      </c>
      <c r="E61" s="916"/>
      <c r="F61" s="916"/>
      <c r="G61" s="918">
        <f>(E61+F61)*D61</f>
        <v>0</v>
      </c>
      <c r="H61" s="322"/>
    </row>
    <row r="62" spans="1:8" s="328" customFormat="1" ht="32.4" customHeight="1">
      <c r="A62" s="326">
        <v>3.6</v>
      </c>
      <c r="B62" s="1001" t="s">
        <v>1083</v>
      </c>
      <c r="C62" s="1002" t="s">
        <v>630</v>
      </c>
      <c r="D62" s="993">
        <v>1</v>
      </c>
      <c r="E62" s="916"/>
      <c r="F62" s="916"/>
      <c r="G62" s="918">
        <f>(E62+F62)*D62</f>
        <v>0</v>
      </c>
      <c r="H62" s="322"/>
    </row>
    <row r="63" spans="1:8" s="328" customFormat="1" ht="60.65" customHeight="1">
      <c r="A63" s="330">
        <v>3.7</v>
      </c>
      <c r="B63" s="1006" t="s">
        <v>1084</v>
      </c>
      <c r="C63" s="1002" t="s">
        <v>31</v>
      </c>
      <c r="D63" s="993">
        <v>1800</v>
      </c>
      <c r="E63" s="916"/>
      <c r="F63" s="916"/>
      <c r="G63" s="918">
        <f>(E63+F63)*D63</f>
        <v>0</v>
      </c>
      <c r="H63" s="322"/>
    </row>
    <row r="64" spans="1:8" s="328" customFormat="1" ht="33" customHeight="1">
      <c r="A64" s="326">
        <v>3.8</v>
      </c>
      <c r="B64" s="1025" t="s">
        <v>1085</v>
      </c>
      <c r="C64" s="1017"/>
      <c r="D64" s="996"/>
      <c r="E64" s="920"/>
      <c r="F64" s="920"/>
      <c r="G64" s="918"/>
      <c r="H64" s="327"/>
    </row>
    <row r="65" spans="1:8" s="328" customFormat="1">
      <c r="A65" s="326" t="s">
        <v>385</v>
      </c>
      <c r="B65" s="1003" t="s">
        <v>1086</v>
      </c>
      <c r="C65" s="1002" t="s">
        <v>31</v>
      </c>
      <c r="D65" s="993">
        <v>0</v>
      </c>
      <c r="E65" s="916"/>
      <c r="F65" s="916"/>
      <c r="G65" s="918">
        <f>(E65+F65)*D65</f>
        <v>0</v>
      </c>
      <c r="H65" s="322"/>
    </row>
    <row r="66" spans="1:8" s="328" customFormat="1">
      <c r="A66" s="326" t="s">
        <v>387</v>
      </c>
      <c r="B66" s="1003" t="s">
        <v>1087</v>
      </c>
      <c r="C66" s="1002" t="s">
        <v>31</v>
      </c>
      <c r="D66" s="993">
        <v>100</v>
      </c>
      <c r="E66" s="916"/>
      <c r="F66" s="916"/>
      <c r="G66" s="918">
        <f>(E66+F66)*D66</f>
        <v>0</v>
      </c>
      <c r="H66" s="322"/>
    </row>
    <row r="67" spans="1:8" s="328" customFormat="1">
      <c r="A67" s="326"/>
      <c r="B67" s="1003"/>
      <c r="C67" s="1017"/>
      <c r="D67" s="996"/>
      <c r="E67" s="920"/>
      <c r="F67" s="920"/>
      <c r="G67" s="918"/>
      <c r="H67" s="327"/>
    </row>
    <row r="68" spans="1:8" s="325" customFormat="1" ht="23" customHeight="1">
      <c r="A68" s="1012"/>
      <c r="B68" s="1013" t="s">
        <v>1088</v>
      </c>
      <c r="C68" s="1014"/>
      <c r="D68" s="995"/>
      <c r="E68" s="919"/>
      <c r="F68" s="919"/>
      <c r="G68" s="919">
        <f>SUM(G46:G67)</f>
        <v>0</v>
      </c>
      <c r="H68" s="1014"/>
    </row>
    <row r="69" spans="1:8">
      <c r="A69" s="1042"/>
      <c r="B69" s="1001"/>
      <c r="C69" s="1031"/>
      <c r="D69" s="993"/>
      <c r="E69" s="916"/>
      <c r="F69" s="916"/>
      <c r="G69" s="918"/>
      <c r="H69" s="1011"/>
    </row>
    <row r="70" spans="1:8" ht="13.5" thickBot="1">
      <c r="A70" s="1043"/>
      <c r="B70" s="1044" t="s">
        <v>1105</v>
      </c>
      <c r="C70" s="1045"/>
      <c r="D70" s="1046"/>
      <c r="E70" s="1047"/>
      <c r="F70" s="1047"/>
      <c r="G70" s="1047">
        <f>SUM(G69:G69)</f>
        <v>0</v>
      </c>
      <c r="H70" s="1045"/>
    </row>
    <row r="71" spans="1:8" ht="15.5">
      <c r="A71" s="335"/>
      <c r="B71" s="336" t="s">
        <v>1106</v>
      </c>
      <c r="C71" s="337"/>
      <c r="D71" s="338"/>
      <c r="E71" s="338"/>
      <c r="F71" s="338"/>
      <c r="G71" s="339">
        <f>G70+G68+G44+G30</f>
        <v>0</v>
      </c>
      <c r="H71" s="340"/>
    </row>
    <row r="72" spans="1:8" ht="15.5">
      <c r="A72" s="342"/>
      <c r="B72" s="1048" t="s">
        <v>375</v>
      </c>
      <c r="C72" s="925"/>
      <c r="D72" s="925"/>
      <c r="E72" s="925"/>
      <c r="F72" s="925"/>
      <c r="G72" s="926">
        <f>G71*0.18</f>
        <v>0</v>
      </c>
      <c r="H72" s="343"/>
    </row>
    <row r="73" spans="1:8" ht="16" thickBot="1">
      <c r="A73" s="344"/>
      <c r="B73" s="345" t="s">
        <v>396</v>
      </c>
      <c r="C73" s="346"/>
      <c r="D73" s="346"/>
      <c r="E73" s="346"/>
      <c r="F73" s="346"/>
      <c r="G73" s="347">
        <f>G71+G72</f>
        <v>0</v>
      </c>
      <c r="H73" s="484"/>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17809-5E6D-4CFD-95B9-A32D7F5FCE3A}">
  <dimension ref="A1:H34"/>
  <sheetViews>
    <sheetView view="pageBreakPreview" zoomScale="60" zoomScaleNormal="100" workbookViewId="0">
      <selection activeCell="B10" sqref="B10"/>
    </sheetView>
  </sheetViews>
  <sheetFormatPr defaultColWidth="9.08984375" defaultRowHeight="13"/>
  <cols>
    <col min="1" max="1" width="9" style="367" customWidth="1"/>
    <col min="2" max="2" width="90.36328125" style="372" customWidth="1"/>
    <col min="3" max="3" width="8.36328125" style="373" customWidth="1"/>
    <col min="4" max="4" width="10.453125" style="374" customWidth="1"/>
    <col min="5" max="5" width="9.6328125" style="375" customWidth="1"/>
    <col min="6" max="6" width="14" style="375" customWidth="1"/>
    <col min="7" max="7" width="12" style="375" customWidth="1"/>
    <col min="8" max="8" width="24.36328125" style="375" customWidth="1"/>
    <col min="9" max="16384" width="9.08984375" style="376"/>
  </cols>
  <sheetData>
    <row r="1" spans="1:8" s="355" customFormat="1" ht="15.5">
      <c r="A1" s="352" t="s">
        <v>376</v>
      </c>
      <c r="B1" s="352" t="s">
        <v>1478</v>
      </c>
      <c r="C1" s="353"/>
      <c r="D1" s="354"/>
      <c r="E1" s="354"/>
      <c r="F1" s="354"/>
      <c r="G1" s="354"/>
      <c r="H1" s="354"/>
    </row>
    <row r="2" spans="1:8" s="359" customFormat="1" ht="15.5">
      <c r="A2" s="352" t="s">
        <v>377</v>
      </c>
      <c r="B2" s="356" t="s">
        <v>1107</v>
      </c>
      <c r="C2" s="353"/>
      <c r="D2" s="357"/>
      <c r="E2" s="358"/>
      <c r="F2" s="358"/>
      <c r="G2" s="358"/>
      <c r="H2" s="358"/>
    </row>
    <row r="3" spans="1:8" s="364" customFormat="1" ht="16" thickBot="1">
      <c r="A3" s="352" t="s">
        <v>378</v>
      </c>
      <c r="B3" s="356" t="s">
        <v>379</v>
      </c>
      <c r="C3" s="360"/>
      <c r="D3" s="361"/>
      <c r="E3" s="361"/>
      <c r="F3" s="362"/>
      <c r="G3" s="362"/>
      <c r="H3" s="363" t="s">
        <v>1474</v>
      </c>
    </row>
    <row r="4" spans="1:8" s="317" customFormat="1" ht="37.25" customHeight="1" thickBot="1">
      <c r="A4" s="312" t="s">
        <v>380</v>
      </c>
      <c r="B4" s="313" t="s">
        <v>2</v>
      </c>
      <c r="C4" s="314" t="s">
        <v>12</v>
      </c>
      <c r="D4" s="313" t="s">
        <v>815</v>
      </c>
      <c r="E4" s="315" t="s">
        <v>381</v>
      </c>
      <c r="F4" s="315" t="s">
        <v>382</v>
      </c>
      <c r="G4" s="315" t="s">
        <v>383</v>
      </c>
      <c r="H4" s="316" t="s">
        <v>384</v>
      </c>
    </row>
    <row r="5" spans="1:8" s="366" customFormat="1" ht="16.25" customHeight="1">
      <c r="A5" s="365"/>
      <c r="B5" s="724" t="s">
        <v>2548</v>
      </c>
      <c r="C5" s="725"/>
      <c r="D5" s="726"/>
      <c r="E5" s="727"/>
      <c r="F5" s="727"/>
      <c r="G5" s="728"/>
      <c r="H5" s="729"/>
    </row>
    <row r="6" spans="1:8" s="367" customFormat="1" ht="78">
      <c r="A6" s="365">
        <v>1</v>
      </c>
      <c r="B6" s="730" t="s">
        <v>1108</v>
      </c>
      <c r="C6" s="731"/>
      <c r="D6" s="732"/>
      <c r="E6" s="733"/>
      <c r="F6" s="733"/>
      <c r="G6" s="734"/>
      <c r="H6" s="735"/>
    </row>
    <row r="7" spans="1:8" s="367" customFormat="1">
      <c r="A7" s="368" t="s">
        <v>385</v>
      </c>
      <c r="B7" s="736" t="s">
        <v>1109</v>
      </c>
      <c r="C7" s="737" t="s">
        <v>827</v>
      </c>
      <c r="D7" s="927">
        <v>1</v>
      </c>
      <c r="E7" s="720"/>
      <c r="F7" s="720"/>
      <c r="G7" s="719">
        <f t="shared" ref="G7:G8" si="0">(E7+F7)*D7</f>
        <v>0</v>
      </c>
      <c r="H7" s="735"/>
    </row>
    <row r="8" spans="1:8" s="367" customFormat="1">
      <c r="A8" s="368" t="s">
        <v>387</v>
      </c>
      <c r="B8" s="736" t="s">
        <v>1110</v>
      </c>
      <c r="C8" s="737" t="s">
        <v>827</v>
      </c>
      <c r="D8" s="927">
        <v>0</v>
      </c>
      <c r="E8" s="720"/>
      <c r="F8" s="720"/>
      <c r="G8" s="719">
        <f t="shared" si="0"/>
        <v>0</v>
      </c>
      <c r="H8" s="735"/>
    </row>
    <row r="9" spans="1:8" s="367" customFormat="1">
      <c r="A9" s="365"/>
      <c r="B9" s="730"/>
      <c r="C9" s="731"/>
      <c r="D9" s="928"/>
      <c r="E9" s="720"/>
      <c r="F9" s="720"/>
      <c r="G9" s="738"/>
      <c r="H9" s="739"/>
    </row>
    <row r="10" spans="1:8" s="367" customFormat="1" ht="26">
      <c r="A10" s="365">
        <v>2</v>
      </c>
      <c r="B10" s="740" t="s">
        <v>1111</v>
      </c>
      <c r="C10" s="741"/>
      <c r="D10" s="928"/>
      <c r="E10" s="720"/>
      <c r="F10" s="720"/>
      <c r="G10" s="738"/>
      <c r="H10" s="739"/>
    </row>
    <row r="11" spans="1:8" s="367" customFormat="1">
      <c r="A11" s="368" t="s">
        <v>385</v>
      </c>
      <c r="B11" s="742" t="s">
        <v>1112</v>
      </c>
      <c r="C11" s="737" t="s">
        <v>827</v>
      </c>
      <c r="D11" s="927">
        <v>2</v>
      </c>
      <c r="E11" s="720"/>
      <c r="F11" s="720"/>
      <c r="G11" s="719">
        <f t="shared" ref="G11:G14" si="1">(E11+F11)*D11</f>
        <v>0</v>
      </c>
      <c r="H11" s="735"/>
    </row>
    <row r="12" spans="1:8" s="367" customFormat="1">
      <c r="A12" s="368" t="s">
        <v>387</v>
      </c>
      <c r="B12" s="742" t="s">
        <v>1113</v>
      </c>
      <c r="C12" s="737" t="s">
        <v>827</v>
      </c>
      <c r="D12" s="927">
        <v>2</v>
      </c>
      <c r="E12" s="720"/>
      <c r="F12" s="720"/>
      <c r="G12" s="719">
        <f t="shared" si="1"/>
        <v>0</v>
      </c>
      <c r="H12" s="735"/>
    </row>
    <row r="13" spans="1:8" s="367" customFormat="1" ht="12" customHeight="1">
      <c r="A13" s="368" t="s">
        <v>388</v>
      </c>
      <c r="B13" s="742" t="s">
        <v>1114</v>
      </c>
      <c r="C13" s="737" t="s">
        <v>827</v>
      </c>
      <c r="D13" s="927">
        <v>1</v>
      </c>
      <c r="E13" s="720"/>
      <c r="F13" s="720"/>
      <c r="G13" s="719">
        <f t="shared" si="1"/>
        <v>0</v>
      </c>
      <c r="H13" s="735"/>
    </row>
    <row r="14" spans="1:8" s="367" customFormat="1">
      <c r="A14" s="365" t="s">
        <v>389</v>
      </c>
      <c r="B14" s="740" t="s">
        <v>1115</v>
      </c>
      <c r="C14" s="731" t="s">
        <v>827</v>
      </c>
      <c r="D14" s="927">
        <v>0</v>
      </c>
      <c r="E14" s="720"/>
      <c r="F14" s="720"/>
      <c r="G14" s="719">
        <f t="shared" si="1"/>
        <v>0</v>
      </c>
      <c r="H14" s="735"/>
    </row>
    <row r="15" spans="1:8" s="367" customFormat="1">
      <c r="A15" s="365"/>
      <c r="B15" s="740"/>
      <c r="C15" s="731"/>
      <c r="D15" s="928"/>
      <c r="E15" s="720"/>
      <c r="F15" s="720"/>
      <c r="G15" s="738"/>
      <c r="H15" s="739"/>
    </row>
    <row r="16" spans="1:8" s="367" customFormat="1">
      <c r="A16" s="365">
        <v>3</v>
      </c>
      <c r="B16" s="740" t="s">
        <v>1116</v>
      </c>
      <c r="C16" s="731" t="s">
        <v>827</v>
      </c>
      <c r="D16" s="927">
        <v>1</v>
      </c>
      <c r="E16" s="720"/>
      <c r="F16" s="720"/>
      <c r="G16" s="719">
        <f t="shared" ref="G16" si="2">(E16+F16)*D16</f>
        <v>0</v>
      </c>
      <c r="H16" s="735"/>
    </row>
    <row r="17" spans="1:8" s="367" customFormat="1">
      <c r="A17" s="365"/>
      <c r="B17" s="740"/>
      <c r="C17" s="731"/>
      <c r="D17" s="928"/>
      <c r="E17" s="720"/>
      <c r="F17" s="720"/>
      <c r="G17" s="738"/>
      <c r="H17" s="739"/>
    </row>
    <row r="18" spans="1:8" s="367" customFormat="1">
      <c r="A18" s="365">
        <v>4</v>
      </c>
      <c r="B18" s="740" t="s">
        <v>1117</v>
      </c>
      <c r="C18" s="731" t="s">
        <v>1118</v>
      </c>
      <c r="D18" s="927">
        <v>2</v>
      </c>
      <c r="E18" s="720"/>
      <c r="F18" s="720"/>
      <c r="G18" s="719">
        <f t="shared" ref="G18" si="3">(E18+F18)*D18</f>
        <v>0</v>
      </c>
      <c r="H18" s="735"/>
    </row>
    <row r="19" spans="1:8" s="367" customFormat="1">
      <c r="A19" s="365"/>
      <c r="B19" s="740"/>
      <c r="C19" s="731"/>
      <c r="D19" s="928"/>
      <c r="E19" s="720"/>
      <c r="F19" s="720"/>
      <c r="G19" s="738"/>
      <c r="H19" s="739"/>
    </row>
    <row r="20" spans="1:8" s="367" customFormat="1">
      <c r="A20" s="365">
        <v>5</v>
      </c>
      <c r="B20" s="740" t="s">
        <v>1119</v>
      </c>
      <c r="C20" s="731" t="s">
        <v>1120</v>
      </c>
      <c r="D20" s="927">
        <v>2</v>
      </c>
      <c r="E20" s="720"/>
      <c r="F20" s="720"/>
      <c r="G20" s="719">
        <f t="shared" ref="G20" si="4">(E20+F20)*D20</f>
        <v>0</v>
      </c>
      <c r="H20" s="735"/>
    </row>
    <row r="21" spans="1:8" s="367" customFormat="1">
      <c r="A21" s="365"/>
      <c r="B21" s="740"/>
      <c r="C21" s="731"/>
      <c r="D21" s="928"/>
      <c r="E21" s="718"/>
      <c r="F21" s="718"/>
      <c r="G21" s="738"/>
      <c r="H21" s="739"/>
    </row>
    <row r="22" spans="1:8" s="367" customFormat="1" ht="26">
      <c r="A22" s="365">
        <v>6</v>
      </c>
      <c r="B22" s="740" t="s">
        <v>1121</v>
      </c>
      <c r="C22" s="731"/>
      <c r="D22" s="928"/>
      <c r="E22" s="718"/>
      <c r="F22" s="718"/>
      <c r="G22" s="738"/>
      <c r="H22" s="739"/>
    </row>
    <row r="23" spans="1:8" s="367" customFormat="1">
      <c r="A23" s="365" t="s">
        <v>385</v>
      </c>
      <c r="B23" s="740" t="s">
        <v>1122</v>
      </c>
      <c r="C23" s="731" t="s">
        <v>1123</v>
      </c>
      <c r="D23" s="927">
        <v>30</v>
      </c>
      <c r="E23" s="720"/>
      <c r="F23" s="720"/>
      <c r="G23" s="719">
        <f t="shared" ref="G23" si="5">(E23+F23)*D23</f>
        <v>0</v>
      </c>
      <c r="H23" s="735"/>
    </row>
    <row r="24" spans="1:8" s="367" customFormat="1">
      <c r="A24" s="365"/>
      <c r="B24" s="740"/>
      <c r="C24" s="731"/>
      <c r="D24" s="928"/>
      <c r="E24" s="720"/>
      <c r="F24" s="720"/>
      <c r="G24" s="738"/>
      <c r="H24" s="739"/>
    </row>
    <row r="25" spans="1:8" s="367" customFormat="1" ht="26">
      <c r="A25" s="365">
        <v>7</v>
      </c>
      <c r="B25" s="740" t="s">
        <v>1124</v>
      </c>
      <c r="C25" s="731" t="s">
        <v>1123</v>
      </c>
      <c r="D25" s="927">
        <v>15</v>
      </c>
      <c r="E25" s="720"/>
      <c r="F25" s="720"/>
      <c r="G25" s="719">
        <f t="shared" ref="G25" si="6">(E25+F25)*D25</f>
        <v>0</v>
      </c>
      <c r="H25" s="735"/>
    </row>
    <row r="26" spans="1:8" s="367" customFormat="1">
      <c r="A26" s="365"/>
      <c r="B26" s="740"/>
      <c r="C26" s="731"/>
      <c r="D26" s="928"/>
      <c r="E26" s="720"/>
      <c r="F26" s="720"/>
      <c r="G26" s="738"/>
      <c r="H26" s="739"/>
    </row>
    <row r="27" spans="1:8" s="367" customFormat="1" ht="26">
      <c r="A27" s="365">
        <v>8</v>
      </c>
      <c r="B27" s="730" t="s">
        <v>1125</v>
      </c>
      <c r="C27" s="731" t="s">
        <v>1123</v>
      </c>
      <c r="D27" s="927">
        <v>0</v>
      </c>
      <c r="E27" s="720"/>
      <c r="F27" s="720"/>
      <c r="G27" s="719">
        <f t="shared" ref="G27" si="7">(E27+F27)*D27</f>
        <v>0</v>
      </c>
      <c r="H27" s="735"/>
    </row>
    <row r="28" spans="1:8" s="367" customFormat="1">
      <c r="A28" s="365"/>
      <c r="B28" s="730"/>
      <c r="C28" s="731"/>
      <c r="D28" s="928"/>
      <c r="E28" s="720"/>
      <c r="F28" s="720"/>
      <c r="G28" s="734"/>
      <c r="H28" s="735"/>
    </row>
    <row r="29" spans="1:8" s="367" customFormat="1" ht="26">
      <c r="A29" s="365">
        <v>9</v>
      </c>
      <c r="B29" s="730" t="s">
        <v>1126</v>
      </c>
      <c r="C29" s="731" t="s">
        <v>1123</v>
      </c>
      <c r="D29" s="927">
        <v>10</v>
      </c>
      <c r="E29" s="720"/>
      <c r="F29" s="720"/>
      <c r="G29" s="719">
        <f t="shared" ref="G29" si="8">(E29+F29)*D29</f>
        <v>0</v>
      </c>
      <c r="H29" s="735"/>
    </row>
    <row r="30" spans="1:8" s="367" customFormat="1">
      <c r="A30" s="365"/>
      <c r="B30" s="730"/>
      <c r="C30" s="731"/>
      <c r="D30" s="927"/>
      <c r="E30" s="720"/>
      <c r="F30" s="720"/>
      <c r="G30" s="719"/>
      <c r="H30" s="735"/>
    </row>
    <row r="31" spans="1:8" s="367" customFormat="1" ht="26.5" thickBot="1">
      <c r="A31" s="743">
        <v>9</v>
      </c>
      <c r="B31" s="744" t="s">
        <v>1127</v>
      </c>
      <c r="C31" s="745" t="s">
        <v>1123</v>
      </c>
      <c r="D31" s="1049">
        <v>10</v>
      </c>
      <c r="E31" s="720"/>
      <c r="F31" s="720"/>
      <c r="G31" s="746">
        <f t="shared" ref="G31" si="9">(E31+F31)*D31</f>
        <v>0</v>
      </c>
      <c r="H31" s="747"/>
    </row>
    <row r="32" spans="1:8" s="341" customFormat="1" ht="20.399999999999999" customHeight="1">
      <c r="A32" s="335"/>
      <c r="B32" s="336" t="s">
        <v>1128</v>
      </c>
      <c r="C32" s="337"/>
      <c r="D32" s="338"/>
      <c r="E32" s="338"/>
      <c r="F32" s="338"/>
      <c r="G32" s="339">
        <f>SUM(G5:G31)</f>
        <v>0</v>
      </c>
      <c r="H32" s="369"/>
    </row>
    <row r="33" spans="1:8" s="108" customFormat="1" ht="15.5">
      <c r="A33" s="342"/>
      <c r="B33" s="721" t="s">
        <v>375</v>
      </c>
      <c r="C33" s="722"/>
      <c r="D33" s="722"/>
      <c r="E33" s="722"/>
      <c r="F33" s="722"/>
      <c r="G33" s="723">
        <f>G32*0.18</f>
        <v>0</v>
      </c>
      <c r="H33" s="370"/>
    </row>
    <row r="34" spans="1:8" s="108" customFormat="1" ht="23.4" customHeight="1" thickBot="1">
      <c r="A34" s="344"/>
      <c r="B34" s="345" t="s">
        <v>396</v>
      </c>
      <c r="C34" s="346"/>
      <c r="D34" s="346"/>
      <c r="E34" s="346"/>
      <c r="F34" s="346"/>
      <c r="G34" s="347">
        <f>G32+G33</f>
        <v>0</v>
      </c>
      <c r="H34" s="371"/>
    </row>
  </sheetData>
  <protectedRanges>
    <protectedRange sqref="G7:G8 G11:G14 G16 G18 G20 G23 G25 G27 G29:G31" name="Range1_2_1_1_1_1"/>
  </protectedRanges>
  <pageMargins left="0.7" right="0.7" top="0.75" bottom="0.75" header="0.3" footer="0.3"/>
  <pageSetup scale="46"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CC62A-4F37-495B-8A9E-E0AFC460FD97}">
  <dimension ref="A1:H20"/>
  <sheetViews>
    <sheetView view="pageBreakPreview" zoomScale="60" zoomScaleNormal="100" workbookViewId="0">
      <selection activeCell="F16" sqref="F16"/>
    </sheetView>
  </sheetViews>
  <sheetFormatPr defaultColWidth="9.08984375" defaultRowHeight="13"/>
  <cols>
    <col min="1" max="1" width="11.36328125" style="367" customWidth="1"/>
    <col min="2" max="2" width="90.36328125" style="372" customWidth="1"/>
    <col min="3" max="3" width="8.36328125" style="373" customWidth="1"/>
    <col min="4" max="4" width="10.453125" style="374" customWidth="1"/>
    <col min="5" max="5" width="9.6328125" style="375" customWidth="1"/>
    <col min="6" max="6" width="14" style="375" customWidth="1"/>
    <col min="7" max="7" width="12" style="375" customWidth="1"/>
    <col min="8" max="8" width="25.36328125" style="375" customWidth="1"/>
    <col min="9" max="16384" width="9.08984375" style="376"/>
  </cols>
  <sheetData>
    <row r="1" spans="1:8" s="302" customFormat="1">
      <c r="A1" s="299" t="s">
        <v>376</v>
      </c>
      <c r="B1" s="299" t="s">
        <v>1478</v>
      </c>
      <c r="C1" s="300"/>
      <c r="D1" s="301"/>
      <c r="E1" s="301"/>
      <c r="F1" s="301"/>
      <c r="G1" s="301"/>
      <c r="H1" s="301"/>
    </row>
    <row r="2" spans="1:8" s="306" customFormat="1">
      <c r="A2" s="299" t="s">
        <v>377</v>
      </c>
      <c r="B2" s="303" t="s">
        <v>1129</v>
      </c>
      <c r="C2" s="300"/>
      <c r="D2" s="304"/>
      <c r="E2" s="305"/>
      <c r="F2" s="305"/>
      <c r="G2" s="305"/>
      <c r="H2" s="305"/>
    </row>
    <row r="3" spans="1:8" s="311" customFormat="1" ht="13.5" thickBot="1">
      <c r="A3" s="299" t="s">
        <v>378</v>
      </c>
      <c r="B3" s="303" t="s">
        <v>379</v>
      </c>
      <c r="C3" s="307"/>
      <c r="D3" s="308"/>
      <c r="E3" s="308"/>
      <c r="F3" s="309"/>
      <c r="G3" s="309"/>
      <c r="H3" s="310" t="s">
        <v>1474</v>
      </c>
    </row>
    <row r="4" spans="1:8" s="317" customFormat="1" ht="37.25" customHeight="1" thickBot="1">
      <c r="A4" s="312" t="s">
        <v>380</v>
      </c>
      <c r="B4" s="313" t="s">
        <v>2</v>
      </c>
      <c r="C4" s="314" t="s">
        <v>12</v>
      </c>
      <c r="D4" s="313" t="s">
        <v>815</v>
      </c>
      <c r="E4" s="315" t="s">
        <v>381</v>
      </c>
      <c r="F4" s="315" t="s">
        <v>382</v>
      </c>
      <c r="G4" s="315" t="s">
        <v>383</v>
      </c>
      <c r="H4" s="316" t="s">
        <v>384</v>
      </c>
    </row>
    <row r="5" spans="1:8" s="366" customFormat="1" ht="14" customHeight="1">
      <c r="A5" s="377"/>
      <c r="B5" s="748" t="s">
        <v>1130</v>
      </c>
      <c r="C5" s="749"/>
      <c r="D5" s="750"/>
      <c r="E5" s="751"/>
      <c r="F5" s="751"/>
      <c r="G5" s="752"/>
      <c r="H5" s="729"/>
    </row>
    <row r="6" spans="1:8" s="367" customFormat="1" ht="72" customHeight="1">
      <c r="A6" s="377">
        <v>1</v>
      </c>
      <c r="B6" s="753" t="s">
        <v>1131</v>
      </c>
      <c r="C6" s="754" t="s">
        <v>827</v>
      </c>
      <c r="D6" s="1050">
        <v>3</v>
      </c>
      <c r="E6" s="755"/>
      <c r="F6" s="755"/>
      <c r="G6" s="719">
        <f t="shared" ref="G6:G12" si="0">(E6+F6)*D6</f>
        <v>0</v>
      </c>
      <c r="H6" s="735"/>
    </row>
    <row r="7" spans="1:8" s="367" customFormat="1" ht="13.5">
      <c r="A7" s="377"/>
      <c r="B7" s="753"/>
      <c r="C7" s="754"/>
      <c r="D7" s="1050"/>
      <c r="E7" s="755"/>
      <c r="F7" s="755"/>
      <c r="G7" s="756"/>
      <c r="H7" s="735"/>
    </row>
    <row r="8" spans="1:8" s="367" customFormat="1" ht="40.5">
      <c r="A8" s="377">
        <v>2</v>
      </c>
      <c r="B8" s="753" t="s">
        <v>1132</v>
      </c>
      <c r="C8" s="754" t="s">
        <v>827</v>
      </c>
      <c r="D8" s="1050">
        <v>8</v>
      </c>
      <c r="E8" s="755"/>
      <c r="F8" s="755"/>
      <c r="G8" s="719">
        <f t="shared" si="0"/>
        <v>0</v>
      </c>
      <c r="H8" s="735"/>
    </row>
    <row r="9" spans="1:8" s="367" customFormat="1" ht="13.5">
      <c r="A9" s="377"/>
      <c r="B9" s="753"/>
      <c r="C9" s="754"/>
      <c r="D9" s="1050"/>
      <c r="E9" s="755"/>
      <c r="F9" s="755"/>
      <c r="G9" s="756"/>
      <c r="H9" s="735"/>
    </row>
    <row r="10" spans="1:8" s="367" customFormat="1" ht="40.5">
      <c r="A10" s="377">
        <v>3</v>
      </c>
      <c r="B10" s="753" t="s">
        <v>1133</v>
      </c>
      <c r="C10" s="754" t="s">
        <v>827</v>
      </c>
      <c r="D10" s="1050">
        <v>2</v>
      </c>
      <c r="E10" s="755"/>
      <c r="F10" s="755"/>
      <c r="G10" s="719">
        <f t="shared" si="0"/>
        <v>0</v>
      </c>
      <c r="H10" s="739"/>
    </row>
    <row r="11" spans="1:8" s="367" customFormat="1" ht="13.5">
      <c r="A11" s="377"/>
      <c r="B11" s="753"/>
      <c r="C11" s="754"/>
      <c r="D11" s="1050"/>
      <c r="E11" s="755"/>
      <c r="F11" s="755"/>
      <c r="G11" s="756"/>
      <c r="H11" s="739"/>
    </row>
    <row r="12" spans="1:8" s="367" customFormat="1" ht="33" customHeight="1">
      <c r="A12" s="377">
        <v>4</v>
      </c>
      <c r="B12" s="753" t="s">
        <v>1134</v>
      </c>
      <c r="C12" s="754" t="s">
        <v>31</v>
      </c>
      <c r="D12" s="1050">
        <v>150</v>
      </c>
      <c r="E12" s="755"/>
      <c r="F12" s="755"/>
      <c r="G12" s="719">
        <f t="shared" si="0"/>
        <v>0</v>
      </c>
      <c r="H12" s="735"/>
    </row>
    <row r="13" spans="1:8" s="367" customFormat="1" ht="13.5">
      <c r="A13" s="377"/>
      <c r="B13" s="753"/>
      <c r="C13" s="754"/>
      <c r="D13" s="1050"/>
      <c r="E13" s="755"/>
      <c r="F13" s="755"/>
      <c r="G13" s="756"/>
      <c r="H13" s="735"/>
    </row>
    <row r="14" spans="1:8" s="367" customFormat="1" ht="27">
      <c r="A14" s="377">
        <v>5</v>
      </c>
      <c r="B14" s="757" t="s">
        <v>1135</v>
      </c>
      <c r="C14" s="754"/>
      <c r="D14" s="1050"/>
      <c r="E14" s="755"/>
      <c r="F14" s="755"/>
      <c r="G14" s="756"/>
      <c r="H14" s="735"/>
    </row>
    <row r="15" spans="1:8" s="367" customFormat="1" ht="13.5">
      <c r="A15" s="377" t="s">
        <v>385</v>
      </c>
      <c r="B15" s="757" t="s">
        <v>1122</v>
      </c>
      <c r="C15" s="754" t="s">
        <v>1123</v>
      </c>
      <c r="D15" s="1050">
        <v>75</v>
      </c>
      <c r="E15" s="755"/>
      <c r="F15" s="755"/>
      <c r="G15" s="719">
        <f t="shared" ref="G15" si="1">(E15+F15)*D15</f>
        <v>0</v>
      </c>
      <c r="H15" s="735"/>
    </row>
    <row r="16" spans="1:8" s="367" customFormat="1" ht="13.5">
      <c r="A16" s="377"/>
      <c r="B16" s="757"/>
      <c r="C16" s="754"/>
      <c r="D16" s="1050"/>
      <c r="E16" s="758"/>
      <c r="F16" s="758"/>
      <c r="G16" s="756"/>
      <c r="H16" s="739"/>
    </row>
    <row r="17" spans="1:8" s="367" customFormat="1" ht="54.65" customHeight="1" thickBot="1">
      <c r="A17" s="759">
        <v>6</v>
      </c>
      <c r="B17" s="760" t="s">
        <v>1136</v>
      </c>
      <c r="C17" s="761" t="s">
        <v>16</v>
      </c>
      <c r="D17" s="1051">
        <v>10</v>
      </c>
      <c r="E17" s="755"/>
      <c r="F17" s="755"/>
      <c r="G17" s="746">
        <f t="shared" ref="G17" si="2">(E17+F17)*D17</f>
        <v>0</v>
      </c>
      <c r="H17" s="762"/>
    </row>
    <row r="18" spans="1:8" s="341" customFormat="1" ht="15.5">
      <c r="A18" s="335"/>
      <c r="B18" s="336" t="s">
        <v>1137</v>
      </c>
      <c r="C18" s="337"/>
      <c r="D18" s="338"/>
      <c r="E18" s="338"/>
      <c r="F18" s="338"/>
      <c r="G18" s="339">
        <f>SUM(G5:G17)</f>
        <v>0</v>
      </c>
      <c r="H18" s="369"/>
    </row>
    <row r="19" spans="1:8" s="108" customFormat="1" ht="15.5">
      <c r="A19" s="342"/>
      <c r="B19" s="721" t="s">
        <v>375</v>
      </c>
      <c r="C19" s="722"/>
      <c r="D19" s="722"/>
      <c r="E19" s="722"/>
      <c r="F19" s="722"/>
      <c r="G19" s="723">
        <f>G18*0.18</f>
        <v>0</v>
      </c>
      <c r="H19" s="370"/>
    </row>
    <row r="20" spans="1:8" s="108" customFormat="1" ht="20" customHeight="1" thickBot="1">
      <c r="A20" s="344"/>
      <c r="B20" s="345" t="s">
        <v>396</v>
      </c>
      <c r="C20" s="346"/>
      <c r="D20" s="346"/>
      <c r="E20" s="346"/>
      <c r="F20" s="346"/>
      <c r="G20" s="347">
        <f>G18+G19</f>
        <v>0</v>
      </c>
      <c r="H20" s="371"/>
    </row>
  </sheetData>
  <protectedRanges>
    <protectedRange sqref="G7 G13:G14" name="Range1_2_1_1_1"/>
    <protectedRange sqref="G6 G8 G10 G12 G15 G17" name="Range1_2_1_1_1_1_1"/>
  </protectedRanges>
  <pageMargins left="0.7" right="0.7" top="0.75" bottom="0.75" header="0.3" footer="0.3"/>
  <pageSetup scale="46"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BD36D-9E9A-459E-A4B9-09FB30D3227A}">
  <dimension ref="A1:E10"/>
  <sheetViews>
    <sheetView workbookViewId="0">
      <selection activeCell="B17" sqref="B17"/>
    </sheetView>
  </sheetViews>
  <sheetFormatPr defaultColWidth="9" defaultRowHeight="13.5"/>
  <cols>
    <col min="1" max="1" width="9" style="776"/>
    <col min="2" max="2" width="43.453125" style="776" customWidth="1"/>
    <col min="3" max="3" width="17.54296875" style="793" customWidth="1"/>
    <col min="4" max="4" width="15.453125" style="776" bestFit="1" customWidth="1"/>
    <col min="5" max="16384" width="9" style="776"/>
  </cols>
  <sheetData>
    <row r="1" spans="1:5" s="766" customFormat="1">
      <c r="A1" s="763" t="s">
        <v>1479</v>
      </c>
      <c r="B1" s="763" t="s">
        <v>1480</v>
      </c>
      <c r="C1" s="764" t="s">
        <v>1481</v>
      </c>
      <c r="D1" s="765"/>
      <c r="E1" s="765"/>
    </row>
    <row r="2" spans="1:5" s="766" customFormat="1">
      <c r="A2" s="767" t="s">
        <v>1482</v>
      </c>
      <c r="B2" s="768" t="s">
        <v>1483</v>
      </c>
      <c r="C2" s="769"/>
      <c r="D2" s="765"/>
      <c r="E2" s="765"/>
    </row>
    <row r="3" spans="1:5" s="766" customFormat="1" ht="14" thickBot="1">
      <c r="A3" s="767" t="s">
        <v>1484</v>
      </c>
      <c r="B3" s="768" t="s">
        <v>1485</v>
      </c>
      <c r="C3" s="769"/>
      <c r="D3" s="765"/>
      <c r="E3" s="765"/>
    </row>
    <row r="4" spans="1:5" s="772" customFormat="1" ht="16" thickBot="1">
      <c r="A4" s="770" t="s">
        <v>374</v>
      </c>
      <c r="B4" s="771" t="s">
        <v>2</v>
      </c>
      <c r="C4" s="770" t="s">
        <v>1486</v>
      </c>
    </row>
    <row r="5" spans="1:5">
      <c r="A5" s="773"/>
      <c r="B5" s="774"/>
      <c r="C5" s="775"/>
    </row>
    <row r="6" spans="1:5" s="780" customFormat="1">
      <c r="A6" s="777">
        <v>1</v>
      </c>
      <c r="B6" s="778" t="s">
        <v>1487</v>
      </c>
      <c r="C6" s="779">
        <f>'HVAC Lowside works- Part A'!G409</f>
        <v>10562169</v>
      </c>
    </row>
    <row r="7" spans="1:5">
      <c r="A7" s="781">
        <v>3</v>
      </c>
      <c r="B7" s="782" t="s">
        <v>1488</v>
      </c>
      <c r="C7" s="783">
        <f>'VAV Supply &amp; Install- Part-C'!G159</f>
        <v>3477824</v>
      </c>
    </row>
    <row r="8" spans="1:5" s="787" customFormat="1">
      <c r="A8" s="784"/>
      <c r="B8" s="785" t="s">
        <v>1489</v>
      </c>
      <c r="C8" s="786">
        <f>SUM(C6:C7)</f>
        <v>14039993</v>
      </c>
      <c r="D8" s="892"/>
    </row>
    <row r="9" spans="1:5">
      <c r="A9" s="788"/>
      <c r="B9" s="789" t="s">
        <v>375</v>
      </c>
      <c r="C9" s="786">
        <f>C8*0.18</f>
        <v>2527198.7399999998</v>
      </c>
    </row>
    <row r="10" spans="1:5">
      <c r="A10" s="790"/>
      <c r="B10" s="791" t="s">
        <v>1490</v>
      </c>
      <c r="C10" s="792">
        <f>C8+C9</f>
        <v>16567191.74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3704E-1E5B-45D4-9292-78C204F7E7A1}">
  <dimension ref="A1:H417"/>
  <sheetViews>
    <sheetView zoomScale="72" zoomScaleNormal="72" workbookViewId="0"/>
  </sheetViews>
  <sheetFormatPr defaultColWidth="9.08984375" defaultRowHeight="13.5"/>
  <cols>
    <col min="1" max="1" width="10.1796875" style="1228" customWidth="1"/>
    <col min="2" max="2" width="79.6328125" style="1229" customWidth="1"/>
    <col min="3" max="3" width="10.54296875" style="1222" customWidth="1"/>
    <col min="4" max="4" width="12.6328125" style="1230" customWidth="1"/>
    <col min="5" max="5" width="11.54296875" style="1231" customWidth="1"/>
    <col min="6" max="7" width="13.54296875" style="1231" customWidth="1"/>
    <col min="8" max="8" width="26.36328125" style="1222" customWidth="1"/>
    <col min="9" max="16384" width="9.08984375" style="809"/>
  </cols>
  <sheetData>
    <row r="1" spans="1:8" s="796" customFormat="1">
      <c r="A1" s="1052" t="s">
        <v>376</v>
      </c>
      <c r="B1" s="1052" t="s">
        <v>1493</v>
      </c>
      <c r="C1" s="1053"/>
      <c r="D1" s="1054"/>
      <c r="E1" s="1054"/>
      <c r="F1" s="1054"/>
      <c r="G1" s="1054"/>
      <c r="H1" s="1054"/>
    </row>
    <row r="2" spans="1:8" s="796" customFormat="1">
      <c r="A2" s="1052" t="s">
        <v>377</v>
      </c>
      <c r="B2" s="1055" t="s">
        <v>1494</v>
      </c>
      <c r="C2" s="1053"/>
      <c r="D2" s="1056"/>
      <c r="E2" s="1054"/>
      <c r="F2" s="1054"/>
      <c r="G2" s="1054"/>
      <c r="H2" s="1054"/>
    </row>
    <row r="3" spans="1:8" s="803" customFormat="1" ht="14" thickBot="1">
      <c r="A3" s="1052" t="s">
        <v>378</v>
      </c>
      <c r="B3" s="1055" t="s">
        <v>2300</v>
      </c>
      <c r="C3" s="1057"/>
      <c r="D3" s="1058"/>
      <c r="E3" s="1058"/>
      <c r="F3" s="1059"/>
      <c r="G3" s="1059"/>
      <c r="H3" s="1060" t="s">
        <v>2309</v>
      </c>
    </row>
    <row r="4" spans="1:8" s="807" customFormat="1" ht="26.5" thickBot="1">
      <c r="A4" s="1061" t="s">
        <v>380</v>
      </c>
      <c r="B4" s="1062" t="s">
        <v>2</v>
      </c>
      <c r="C4" s="1063" t="s">
        <v>12</v>
      </c>
      <c r="D4" s="1062" t="s">
        <v>1496</v>
      </c>
      <c r="E4" s="1064" t="s">
        <v>381</v>
      </c>
      <c r="F4" s="1064" t="s">
        <v>382</v>
      </c>
      <c r="G4" s="1064" t="s">
        <v>383</v>
      </c>
      <c r="H4" s="1065" t="s">
        <v>384</v>
      </c>
    </row>
    <row r="5" spans="1:8">
      <c r="A5" s="1066"/>
      <c r="B5" s="1067" t="s">
        <v>1497</v>
      </c>
      <c r="C5" s="1068"/>
      <c r="D5" s="1069"/>
      <c r="E5" s="1070"/>
      <c r="F5" s="1070"/>
      <c r="G5" s="1070"/>
      <c r="H5" s="1068"/>
    </row>
    <row r="6" spans="1:8">
      <c r="A6" s="1071"/>
      <c r="B6" s="1067" t="s">
        <v>1498</v>
      </c>
      <c r="C6" s="1068"/>
      <c r="D6" s="1069"/>
      <c r="E6" s="1070"/>
      <c r="F6" s="1070"/>
      <c r="G6" s="1070"/>
      <c r="H6" s="1068"/>
    </row>
    <row r="7" spans="1:8">
      <c r="A7" s="1066"/>
      <c r="B7" s="1072" t="s">
        <v>1499</v>
      </c>
      <c r="C7" s="1068"/>
      <c r="D7" s="1069"/>
      <c r="E7" s="1070"/>
      <c r="F7" s="1070"/>
      <c r="G7" s="1070"/>
      <c r="H7" s="1068"/>
    </row>
    <row r="8" spans="1:8">
      <c r="A8" s="1066"/>
      <c r="B8" s="1073" t="s">
        <v>1500</v>
      </c>
      <c r="C8" s="1068"/>
      <c r="D8" s="1069"/>
      <c r="E8" s="1070"/>
      <c r="F8" s="1070"/>
      <c r="G8" s="1070"/>
      <c r="H8" s="1068"/>
    </row>
    <row r="9" spans="1:8">
      <c r="A9" s="1066"/>
      <c r="B9" s="1073" t="s">
        <v>1501</v>
      </c>
      <c r="C9" s="1068"/>
      <c r="D9" s="1069"/>
      <c r="E9" s="1070"/>
      <c r="F9" s="1070"/>
      <c r="G9" s="1070"/>
      <c r="H9" s="1068"/>
    </row>
    <row r="10" spans="1:8" ht="39">
      <c r="A10" s="1066"/>
      <c r="B10" s="1074" t="s">
        <v>1502</v>
      </c>
      <c r="C10" s="1068"/>
      <c r="D10" s="1069"/>
      <c r="E10" s="1070"/>
      <c r="F10" s="1070"/>
      <c r="G10" s="1070"/>
      <c r="H10" s="1068"/>
    </row>
    <row r="11" spans="1:8">
      <c r="A11" s="1066"/>
      <c r="B11" s="1074"/>
      <c r="C11" s="1068"/>
      <c r="D11" s="1069"/>
      <c r="E11" s="1070"/>
      <c r="F11" s="1070"/>
      <c r="G11" s="1070"/>
      <c r="H11" s="1068"/>
    </row>
    <row r="12" spans="1:8">
      <c r="A12" s="1075"/>
      <c r="B12" s="1076" t="s">
        <v>1503</v>
      </c>
      <c r="C12" s="1068"/>
      <c r="D12" s="1069"/>
      <c r="E12" s="1070"/>
      <c r="F12" s="1070"/>
      <c r="G12" s="1070"/>
      <c r="H12" s="1068"/>
    </row>
    <row r="13" spans="1:8">
      <c r="A13" s="1077">
        <v>1</v>
      </c>
      <c r="B13" s="1078" t="s">
        <v>1504</v>
      </c>
      <c r="C13" s="1068"/>
      <c r="D13" s="1069"/>
      <c r="E13" s="1070"/>
      <c r="F13" s="1070"/>
      <c r="G13" s="1070"/>
      <c r="H13" s="1068"/>
    </row>
    <row r="14" spans="1:8" ht="104">
      <c r="A14" s="1079"/>
      <c r="B14" s="1072" t="s">
        <v>2310</v>
      </c>
      <c r="C14" s="1068"/>
      <c r="D14" s="1069"/>
      <c r="E14" s="1070"/>
      <c r="F14" s="1070"/>
      <c r="G14" s="1070"/>
      <c r="H14" s="1068"/>
    </row>
    <row r="15" spans="1:8" ht="91">
      <c r="A15" s="1079"/>
      <c r="B15" s="1072" t="s">
        <v>1505</v>
      </c>
      <c r="C15" s="1068"/>
      <c r="D15" s="1069"/>
      <c r="E15" s="1070"/>
      <c r="F15" s="1070"/>
      <c r="G15" s="1070"/>
      <c r="H15" s="1068"/>
    </row>
    <row r="16" spans="1:8">
      <c r="A16" s="1080">
        <v>1.1000000000000001</v>
      </c>
      <c r="B16" s="1067" t="s">
        <v>1506</v>
      </c>
      <c r="C16" s="1068"/>
      <c r="D16" s="1069"/>
      <c r="E16" s="1070"/>
      <c r="F16" s="1070"/>
      <c r="G16" s="1070"/>
      <c r="H16" s="1068"/>
    </row>
    <row r="17" spans="1:8">
      <c r="A17" s="1079"/>
      <c r="B17" s="1072" t="s">
        <v>2556</v>
      </c>
      <c r="C17" s="1068"/>
      <c r="D17" s="1069"/>
      <c r="E17" s="1070"/>
      <c r="F17" s="1070"/>
      <c r="G17" s="1070"/>
      <c r="H17" s="1068"/>
    </row>
    <row r="18" spans="1:8">
      <c r="A18" s="1079" t="s">
        <v>385</v>
      </c>
      <c r="B18" s="1072" t="s">
        <v>1507</v>
      </c>
      <c r="C18" s="1068" t="s">
        <v>386</v>
      </c>
      <c r="D18" s="1069">
        <v>1</v>
      </c>
      <c r="E18" s="1081">
        <v>104000</v>
      </c>
      <c r="F18" s="1081">
        <v>0</v>
      </c>
      <c r="G18" s="1070">
        <f>(E18+F18)*D18</f>
        <v>104000</v>
      </c>
      <c r="H18" s="1068"/>
    </row>
    <row r="19" spans="1:8">
      <c r="A19" s="1079" t="s">
        <v>387</v>
      </c>
      <c r="B19" s="1072" t="s">
        <v>1508</v>
      </c>
      <c r="C19" s="1068" t="s">
        <v>386</v>
      </c>
      <c r="D19" s="1069">
        <v>1</v>
      </c>
      <c r="E19" s="1081">
        <v>0</v>
      </c>
      <c r="F19" s="1081">
        <v>8670</v>
      </c>
      <c r="G19" s="1070">
        <f>(E19+F19)*D19</f>
        <v>8670</v>
      </c>
      <c r="H19" s="1068"/>
    </row>
    <row r="20" spans="1:8">
      <c r="A20" s="1079"/>
      <c r="B20" s="1072"/>
      <c r="C20" s="1068"/>
      <c r="D20" s="1069"/>
      <c r="E20" s="1081"/>
      <c r="F20" s="1070"/>
      <c r="G20" s="1070"/>
      <c r="H20" s="1068"/>
    </row>
    <row r="21" spans="1:8">
      <c r="A21" s="1080">
        <v>1.2</v>
      </c>
      <c r="B21" s="1067" t="s">
        <v>1509</v>
      </c>
      <c r="C21" s="1068"/>
      <c r="D21" s="1069"/>
      <c r="E21" s="1081"/>
      <c r="F21" s="1070"/>
      <c r="G21" s="1070"/>
      <c r="H21" s="1068"/>
    </row>
    <row r="22" spans="1:8">
      <c r="A22" s="1079"/>
      <c r="B22" s="1072" t="s">
        <v>2311</v>
      </c>
      <c r="C22" s="1068"/>
      <c r="D22" s="1069"/>
      <c r="E22" s="1081"/>
      <c r="F22" s="1070"/>
      <c r="G22" s="1070"/>
      <c r="H22" s="1068"/>
    </row>
    <row r="23" spans="1:8">
      <c r="A23" s="1079" t="s">
        <v>385</v>
      </c>
      <c r="B23" s="1072" t="s">
        <v>1507</v>
      </c>
      <c r="C23" s="1068" t="s">
        <v>386</v>
      </c>
      <c r="D23" s="1069">
        <v>1</v>
      </c>
      <c r="E23" s="1081">
        <v>82134</v>
      </c>
      <c r="F23" s="1081">
        <v>0</v>
      </c>
      <c r="G23" s="1070">
        <f>(E23+F23)*D23</f>
        <v>82134</v>
      </c>
      <c r="H23" s="1068"/>
    </row>
    <row r="24" spans="1:8">
      <c r="A24" s="1079" t="s">
        <v>387</v>
      </c>
      <c r="B24" s="1072" t="s">
        <v>1508</v>
      </c>
      <c r="C24" s="1068" t="s">
        <v>386</v>
      </c>
      <c r="D24" s="1069">
        <v>1</v>
      </c>
      <c r="E24" s="1081">
        <v>0</v>
      </c>
      <c r="F24" s="1081">
        <v>8670</v>
      </c>
      <c r="G24" s="1070">
        <f>(E24+F24)*D24</f>
        <v>8670</v>
      </c>
      <c r="H24" s="1068"/>
    </row>
    <row r="25" spans="1:8">
      <c r="A25" s="1082"/>
      <c r="B25" s="1072"/>
      <c r="C25" s="1068"/>
      <c r="D25" s="1069"/>
      <c r="E25" s="1081"/>
      <c r="F25" s="1070"/>
      <c r="G25" s="1070"/>
      <c r="H25" s="1068"/>
    </row>
    <row r="26" spans="1:8">
      <c r="A26" s="1080">
        <v>1.3</v>
      </c>
      <c r="B26" s="1067" t="s">
        <v>1510</v>
      </c>
      <c r="C26" s="1068"/>
      <c r="D26" s="1069"/>
      <c r="E26" s="1081"/>
      <c r="F26" s="1070"/>
      <c r="G26" s="1070"/>
      <c r="H26" s="1068"/>
    </row>
    <row r="27" spans="1:8">
      <c r="A27" s="1079"/>
      <c r="B27" s="1072" t="s">
        <v>2311</v>
      </c>
      <c r="C27" s="1068"/>
      <c r="D27" s="1069"/>
      <c r="E27" s="1081"/>
      <c r="F27" s="1070"/>
      <c r="G27" s="1070"/>
      <c r="H27" s="1068"/>
    </row>
    <row r="28" spans="1:8">
      <c r="A28" s="1079" t="s">
        <v>385</v>
      </c>
      <c r="B28" s="1072" t="s">
        <v>1507</v>
      </c>
      <c r="C28" s="1068" t="s">
        <v>386</v>
      </c>
      <c r="D28" s="1069">
        <v>1</v>
      </c>
      <c r="E28" s="1081">
        <v>82134</v>
      </c>
      <c r="F28" s="1081">
        <v>0</v>
      </c>
      <c r="G28" s="1070">
        <f>(E28+F28)*D28</f>
        <v>82134</v>
      </c>
      <c r="H28" s="1068"/>
    </row>
    <row r="29" spans="1:8">
      <c r="A29" s="1079" t="s">
        <v>387</v>
      </c>
      <c r="B29" s="1072" t="s">
        <v>1508</v>
      </c>
      <c r="C29" s="1068" t="s">
        <v>386</v>
      </c>
      <c r="D29" s="1069">
        <v>1</v>
      </c>
      <c r="E29" s="1081">
        <v>0</v>
      </c>
      <c r="F29" s="1081">
        <v>8670</v>
      </c>
      <c r="G29" s="1070">
        <f>(E29+F29)*D29</f>
        <v>8670</v>
      </c>
      <c r="H29" s="1068"/>
    </row>
    <row r="30" spans="1:8">
      <c r="A30" s="1083"/>
      <c r="B30" s="1084"/>
      <c r="C30" s="1068"/>
      <c r="D30" s="1069"/>
      <c r="E30" s="1081"/>
      <c r="F30" s="1070"/>
      <c r="G30" s="1070"/>
      <c r="H30" s="1068"/>
    </row>
    <row r="31" spans="1:8" s="813" customFormat="1">
      <c r="A31" s="1077">
        <v>2</v>
      </c>
      <c r="B31" s="1078" t="s">
        <v>1511</v>
      </c>
      <c r="C31" s="1085"/>
      <c r="D31" s="1069"/>
      <c r="E31" s="1081"/>
      <c r="F31" s="1081"/>
      <c r="G31" s="1070"/>
      <c r="H31" s="1085"/>
    </row>
    <row r="32" spans="1:8" s="813" customFormat="1" ht="117">
      <c r="A32" s="1086">
        <v>2.1</v>
      </c>
      <c r="B32" s="1087" t="s">
        <v>2312</v>
      </c>
      <c r="C32" s="1085" t="s">
        <v>1512</v>
      </c>
      <c r="D32" s="1069">
        <v>3</v>
      </c>
      <c r="E32" s="1081">
        <v>21060</v>
      </c>
      <c r="F32" s="1081">
        <v>1560</v>
      </c>
      <c r="G32" s="1441">
        <f t="shared" ref="G32:G33" si="0">(E32+F32)*D32</f>
        <v>67860</v>
      </c>
      <c r="H32" s="1085"/>
    </row>
    <row r="33" spans="1:8" s="813" customFormat="1" ht="117">
      <c r="A33" s="1086">
        <v>2.2000000000000002</v>
      </c>
      <c r="B33" s="1087" t="s">
        <v>2313</v>
      </c>
      <c r="C33" s="1085" t="s">
        <v>1512</v>
      </c>
      <c r="D33" s="1233">
        <v>3</v>
      </c>
      <c r="E33" s="1081">
        <v>28080</v>
      </c>
      <c r="F33" s="1081">
        <v>1560</v>
      </c>
      <c r="G33" s="1441">
        <f t="shared" si="0"/>
        <v>88920</v>
      </c>
      <c r="H33" s="1085"/>
    </row>
    <row r="34" spans="1:8">
      <c r="A34" s="1088"/>
      <c r="B34" s="1089" t="s">
        <v>1513</v>
      </c>
      <c r="C34" s="1090"/>
      <c r="D34" s="1091"/>
      <c r="E34" s="1092"/>
      <c r="F34" s="1092"/>
      <c r="G34" s="1092">
        <f>SUM(G13:G33)</f>
        <v>451058</v>
      </c>
      <c r="H34" s="1090"/>
    </row>
    <row r="35" spans="1:8">
      <c r="A35" s="1093"/>
      <c r="B35" s="1094"/>
      <c r="C35" s="1085"/>
      <c r="D35" s="1069"/>
      <c r="E35" s="1095"/>
      <c r="F35" s="1095"/>
      <c r="G35" s="1095"/>
      <c r="H35" s="1085"/>
    </row>
    <row r="36" spans="1:8" s="813" customFormat="1">
      <c r="A36" s="1077">
        <v>3</v>
      </c>
      <c r="B36" s="1078" t="s">
        <v>2314</v>
      </c>
      <c r="C36" s="1096"/>
      <c r="D36" s="1069"/>
      <c r="E36" s="1097"/>
      <c r="F36" s="1098"/>
      <c r="G36" s="1099"/>
      <c r="H36" s="1085"/>
    </row>
    <row r="37" spans="1:8" s="813" customFormat="1" ht="130">
      <c r="A37" s="1100"/>
      <c r="B37" s="1101" t="s">
        <v>2315</v>
      </c>
      <c r="C37" s="1096"/>
      <c r="D37" s="1069"/>
      <c r="E37" s="1097"/>
      <c r="F37" s="1098"/>
      <c r="G37" s="1099"/>
      <c r="H37" s="1085"/>
    </row>
    <row r="38" spans="1:8" s="813" customFormat="1" ht="78">
      <c r="A38" s="1100"/>
      <c r="B38" s="1101" t="s">
        <v>2316</v>
      </c>
      <c r="C38" s="1096"/>
      <c r="D38" s="1069"/>
      <c r="E38" s="1097"/>
      <c r="F38" s="1098"/>
      <c r="G38" s="1099"/>
      <c r="H38" s="1085"/>
    </row>
    <row r="39" spans="1:8" s="813" customFormat="1" ht="26">
      <c r="A39" s="1100">
        <v>3.1</v>
      </c>
      <c r="B39" s="1102" t="s">
        <v>2317</v>
      </c>
      <c r="C39" s="1085" t="s">
        <v>16</v>
      </c>
      <c r="D39" s="1069" t="s">
        <v>1198</v>
      </c>
      <c r="E39" s="1081">
        <v>105019</v>
      </c>
      <c r="F39" s="1081">
        <v>3608</v>
      </c>
      <c r="G39" s="1070"/>
      <c r="H39" s="1085"/>
    </row>
    <row r="40" spans="1:8" s="813" customFormat="1">
      <c r="A40" s="1103"/>
      <c r="B40" s="1104"/>
      <c r="C40" s="1085"/>
      <c r="D40" s="1069"/>
      <c r="E40" s="1081"/>
      <c r="F40" s="1081"/>
      <c r="G40" s="1070"/>
      <c r="H40" s="1085"/>
    </row>
    <row r="41" spans="1:8" s="813" customFormat="1" ht="26">
      <c r="A41" s="1100">
        <v>3.2</v>
      </c>
      <c r="B41" s="1102" t="s">
        <v>2318</v>
      </c>
      <c r="C41" s="1085" t="s">
        <v>16</v>
      </c>
      <c r="D41" s="1069">
        <v>2</v>
      </c>
      <c r="E41" s="1081">
        <v>99754</v>
      </c>
      <c r="F41" s="1081">
        <v>3608</v>
      </c>
      <c r="G41" s="1070">
        <f t="shared" ref="G41" si="1">(E41+F41)*D41</f>
        <v>206724</v>
      </c>
      <c r="H41" s="1085"/>
    </row>
    <row r="42" spans="1:8" s="813" customFormat="1">
      <c r="A42" s="1103"/>
      <c r="B42" s="1104"/>
      <c r="C42" s="1085"/>
      <c r="D42" s="1069"/>
      <c r="E42" s="1081"/>
      <c r="F42" s="1081"/>
      <c r="G42" s="1070"/>
      <c r="H42" s="1085"/>
    </row>
    <row r="43" spans="1:8" s="813" customFormat="1" ht="26">
      <c r="A43" s="1100">
        <v>3.3</v>
      </c>
      <c r="B43" s="1102" t="s">
        <v>2319</v>
      </c>
      <c r="C43" s="1085" t="s">
        <v>16</v>
      </c>
      <c r="D43" s="1069">
        <v>2</v>
      </c>
      <c r="E43" s="1081">
        <v>99060</v>
      </c>
      <c r="F43" s="1081">
        <v>3608</v>
      </c>
      <c r="G43" s="1070">
        <f t="shared" ref="G43" si="2">(E43+F43)*D43</f>
        <v>205336</v>
      </c>
      <c r="H43" s="1085"/>
    </row>
    <row r="44" spans="1:8" s="813" customFormat="1">
      <c r="A44" s="1100"/>
      <c r="B44" s="1104"/>
      <c r="C44" s="1085"/>
      <c r="D44" s="1069"/>
      <c r="E44" s="1081"/>
      <c r="F44" s="1081"/>
      <c r="G44" s="1070"/>
      <c r="H44" s="1085"/>
    </row>
    <row r="45" spans="1:8" s="813" customFormat="1">
      <c r="A45" s="1077">
        <v>4</v>
      </c>
      <c r="B45" s="1078" t="s">
        <v>1514</v>
      </c>
      <c r="C45" s="1085"/>
      <c r="D45" s="1069"/>
      <c r="E45" s="1081"/>
      <c r="F45" s="1081"/>
      <c r="G45" s="1070"/>
      <c r="H45" s="1085"/>
    </row>
    <row r="46" spans="1:8" s="813" customFormat="1" ht="117">
      <c r="A46" s="1086">
        <v>4.0999999999999996</v>
      </c>
      <c r="B46" s="1105" t="s">
        <v>2320</v>
      </c>
      <c r="C46" s="1085" t="s">
        <v>16</v>
      </c>
      <c r="D46" s="1069">
        <v>1</v>
      </c>
      <c r="E46" s="1081">
        <v>41570</v>
      </c>
      <c r="F46" s="1081">
        <v>2165</v>
      </c>
      <c r="G46" s="1070">
        <f t="shared" ref="G46:G48" si="3">(E46+F46)*D46</f>
        <v>43735</v>
      </c>
      <c r="H46" s="1085"/>
    </row>
    <row r="47" spans="1:8" s="813" customFormat="1">
      <c r="A47" s="1086"/>
      <c r="B47" s="1106"/>
      <c r="C47" s="1085"/>
      <c r="D47" s="1069"/>
      <c r="E47" s="1081"/>
      <c r="F47" s="1081"/>
      <c r="G47" s="1070"/>
      <c r="H47" s="1085"/>
    </row>
    <row r="48" spans="1:8" s="813" customFormat="1" ht="117">
      <c r="A48" s="1086">
        <v>4.2</v>
      </c>
      <c r="B48" s="1105" t="s">
        <v>2321</v>
      </c>
      <c r="C48" s="1085" t="s">
        <v>16</v>
      </c>
      <c r="D48" s="1069">
        <v>1</v>
      </c>
      <c r="E48" s="1081">
        <v>41570</v>
      </c>
      <c r="F48" s="1081">
        <v>2165</v>
      </c>
      <c r="G48" s="1070">
        <f t="shared" si="3"/>
        <v>43735</v>
      </c>
      <c r="H48" s="1085"/>
    </row>
    <row r="49" spans="1:8" s="813" customFormat="1">
      <c r="A49" s="1086"/>
      <c r="B49" s="1106"/>
      <c r="C49" s="1085"/>
      <c r="D49" s="1069"/>
      <c r="E49" s="1081"/>
      <c r="F49" s="1081"/>
      <c r="G49" s="1070"/>
      <c r="H49" s="1085"/>
    </row>
    <row r="50" spans="1:8" s="813" customFormat="1">
      <c r="A50" s="1077">
        <v>5</v>
      </c>
      <c r="B50" s="1078" t="s">
        <v>1515</v>
      </c>
      <c r="C50" s="1085"/>
      <c r="D50" s="1069"/>
      <c r="E50" s="1081"/>
      <c r="F50" s="1081"/>
      <c r="G50" s="1070"/>
      <c r="H50" s="1085"/>
    </row>
    <row r="51" spans="1:8" s="813" customFormat="1">
      <c r="A51" s="1100"/>
      <c r="B51" s="1107" t="s">
        <v>1516</v>
      </c>
      <c r="C51" s="1085"/>
      <c r="D51" s="1069"/>
      <c r="E51" s="1081"/>
      <c r="F51" s="1081"/>
      <c r="G51" s="1070"/>
      <c r="H51" s="1085"/>
    </row>
    <row r="52" spans="1:8" s="813" customFormat="1" ht="39">
      <c r="A52" s="1100"/>
      <c r="B52" s="1108" t="s">
        <v>1517</v>
      </c>
      <c r="C52" s="1085"/>
      <c r="D52" s="1069"/>
      <c r="E52" s="1081"/>
      <c r="F52" s="1081"/>
      <c r="G52" s="1070"/>
      <c r="H52" s="1085"/>
    </row>
    <row r="53" spans="1:8" s="813" customFormat="1">
      <c r="A53" s="1100" t="s">
        <v>385</v>
      </c>
      <c r="B53" s="1109" t="s">
        <v>2322</v>
      </c>
      <c r="C53" s="1085" t="s">
        <v>16</v>
      </c>
      <c r="D53" s="1069">
        <v>1</v>
      </c>
      <c r="E53" s="1081">
        <v>11570</v>
      </c>
      <c r="F53" s="1081">
        <v>1274</v>
      </c>
      <c r="G53" s="1070">
        <f t="shared" ref="G53" si="4">(E53+F53)*D53</f>
        <v>12844</v>
      </c>
      <c r="H53" s="1085"/>
    </row>
    <row r="54" spans="1:8" s="813" customFormat="1">
      <c r="A54" s="1100" t="s">
        <v>387</v>
      </c>
      <c r="B54" s="1109" t="s">
        <v>2323</v>
      </c>
      <c r="C54" s="1085" t="s">
        <v>16</v>
      </c>
      <c r="D54" s="1069" t="s">
        <v>1198</v>
      </c>
      <c r="E54" s="1081">
        <v>27300</v>
      </c>
      <c r="F54" s="1081">
        <v>2730</v>
      </c>
      <c r="G54" s="1070"/>
      <c r="H54" s="1085"/>
    </row>
    <row r="55" spans="1:8" s="813" customFormat="1">
      <c r="A55" s="1100" t="s">
        <v>388</v>
      </c>
      <c r="B55" s="1108" t="s">
        <v>2324</v>
      </c>
      <c r="C55" s="1085" t="s">
        <v>16</v>
      </c>
      <c r="D55" s="1069" t="s">
        <v>1198</v>
      </c>
      <c r="E55" s="1081">
        <v>5200</v>
      </c>
      <c r="F55" s="1081">
        <v>520</v>
      </c>
      <c r="G55" s="1070"/>
      <c r="H55" s="1085"/>
    </row>
    <row r="56" spans="1:8" s="813" customFormat="1">
      <c r="A56" s="1100"/>
      <c r="B56" s="1108"/>
      <c r="C56" s="1085"/>
      <c r="D56" s="1069"/>
      <c r="E56" s="1081"/>
      <c r="F56" s="1081"/>
      <c r="G56" s="1070"/>
      <c r="H56" s="1085"/>
    </row>
    <row r="57" spans="1:8" s="813" customFormat="1">
      <c r="A57" s="1077">
        <v>6</v>
      </c>
      <c r="B57" s="1078" t="s">
        <v>1518</v>
      </c>
      <c r="C57" s="1085"/>
      <c r="D57" s="1069"/>
      <c r="E57" s="1081"/>
      <c r="F57" s="1081"/>
      <c r="G57" s="1070"/>
      <c r="H57" s="1085"/>
    </row>
    <row r="58" spans="1:8" s="813" customFormat="1" ht="130">
      <c r="A58" s="1086">
        <v>6.1</v>
      </c>
      <c r="B58" s="1110" t="s">
        <v>2325</v>
      </c>
      <c r="C58" s="1085" t="s">
        <v>16</v>
      </c>
      <c r="D58" s="1069">
        <v>1</v>
      </c>
      <c r="E58" s="1081">
        <v>18233</v>
      </c>
      <c r="F58" s="1081">
        <v>1732</v>
      </c>
      <c r="G58" s="1070">
        <f t="shared" ref="G58" si="5">(E58+F58)*D58</f>
        <v>19965</v>
      </c>
      <c r="H58" s="1085"/>
    </row>
    <row r="59" spans="1:8" s="813" customFormat="1">
      <c r="A59" s="1086"/>
      <c r="B59" s="1110"/>
      <c r="C59" s="1085"/>
      <c r="D59" s="1069"/>
      <c r="E59" s="1081"/>
      <c r="F59" s="1081"/>
      <c r="G59" s="1070"/>
      <c r="H59" s="1085"/>
    </row>
    <row r="60" spans="1:8" s="813" customFormat="1" ht="26">
      <c r="A60" s="1077">
        <v>7</v>
      </c>
      <c r="B60" s="1078" t="s">
        <v>1519</v>
      </c>
      <c r="C60" s="1085"/>
      <c r="D60" s="1069"/>
      <c r="E60" s="1081"/>
      <c r="F60" s="1081"/>
      <c r="G60" s="1070"/>
      <c r="H60" s="1085"/>
    </row>
    <row r="61" spans="1:8" s="813" customFormat="1" ht="26">
      <c r="A61" s="1111"/>
      <c r="B61" s="1094" t="s">
        <v>1520</v>
      </c>
      <c r="C61" s="1085"/>
      <c r="D61" s="1069"/>
      <c r="E61" s="1081"/>
      <c r="F61" s="1081"/>
      <c r="G61" s="1070"/>
      <c r="H61" s="1085"/>
    </row>
    <row r="62" spans="1:8" s="813" customFormat="1" ht="65">
      <c r="A62" s="1111"/>
      <c r="B62" s="1094" t="s">
        <v>2326</v>
      </c>
      <c r="C62" s="1085"/>
      <c r="D62" s="1069"/>
      <c r="E62" s="1081"/>
      <c r="F62" s="1081"/>
      <c r="G62" s="1070"/>
      <c r="H62" s="1085"/>
    </row>
    <row r="63" spans="1:8" s="813" customFormat="1" ht="182">
      <c r="A63" s="1111"/>
      <c r="B63" s="1094" t="s">
        <v>2327</v>
      </c>
      <c r="C63" s="1085"/>
      <c r="D63" s="1069"/>
      <c r="E63" s="1081"/>
      <c r="F63" s="1081"/>
      <c r="G63" s="1070"/>
      <c r="H63" s="1085"/>
    </row>
    <row r="64" spans="1:8" s="813" customFormat="1" ht="26">
      <c r="A64" s="1111"/>
      <c r="B64" s="1094" t="s">
        <v>2328</v>
      </c>
      <c r="C64" s="1085"/>
      <c r="D64" s="1069"/>
      <c r="E64" s="1081"/>
      <c r="F64" s="1081"/>
      <c r="G64" s="1070"/>
      <c r="H64" s="1085"/>
    </row>
    <row r="65" spans="1:8" s="813" customFormat="1">
      <c r="A65" s="1111"/>
      <c r="B65" s="1094" t="s">
        <v>2329</v>
      </c>
      <c r="C65" s="1085"/>
      <c r="D65" s="1069"/>
      <c r="E65" s="1081"/>
      <c r="F65" s="1081"/>
      <c r="G65" s="1070"/>
      <c r="H65" s="1085"/>
    </row>
    <row r="66" spans="1:8" s="813" customFormat="1" ht="143">
      <c r="A66" s="1111"/>
      <c r="B66" s="1112" t="s">
        <v>2330</v>
      </c>
      <c r="C66" s="1085"/>
      <c r="D66" s="1069"/>
      <c r="E66" s="1081"/>
      <c r="F66" s="1081"/>
      <c r="G66" s="1070"/>
      <c r="H66" s="1085"/>
    </row>
    <row r="67" spans="1:8" s="813" customFormat="1" ht="39">
      <c r="A67" s="1111"/>
      <c r="B67" s="1112" t="s">
        <v>2331</v>
      </c>
      <c r="C67" s="1085"/>
      <c r="D67" s="1069"/>
      <c r="E67" s="1081"/>
      <c r="F67" s="1081"/>
      <c r="G67" s="1070"/>
      <c r="H67" s="1085"/>
    </row>
    <row r="68" spans="1:8" s="813" customFormat="1">
      <c r="A68" s="1111"/>
      <c r="B68" s="1087" t="s">
        <v>1521</v>
      </c>
      <c r="C68" s="1085"/>
      <c r="D68" s="1069"/>
      <c r="E68" s="1081"/>
      <c r="F68" s="1081"/>
      <c r="G68" s="1070"/>
      <c r="H68" s="1085"/>
    </row>
    <row r="69" spans="1:8" s="813" customFormat="1" ht="26">
      <c r="A69" s="1111"/>
      <c r="B69" s="1094" t="s">
        <v>1522</v>
      </c>
      <c r="C69" s="1085"/>
      <c r="D69" s="1069"/>
      <c r="E69" s="1081"/>
      <c r="F69" s="1081"/>
      <c r="G69" s="1070"/>
      <c r="H69" s="1085"/>
    </row>
    <row r="70" spans="1:8" s="813" customFormat="1" ht="26">
      <c r="A70" s="1086">
        <v>7.1</v>
      </c>
      <c r="B70" s="1113" t="s">
        <v>2332</v>
      </c>
      <c r="C70" s="1085" t="s">
        <v>16</v>
      </c>
      <c r="D70" s="1069">
        <v>1</v>
      </c>
      <c r="E70" s="1081">
        <v>232050</v>
      </c>
      <c r="F70" s="1081">
        <v>23400</v>
      </c>
      <c r="G70" s="1070">
        <f t="shared" ref="G70:G72" si="6">(E70+F70)*D70</f>
        <v>255450</v>
      </c>
      <c r="H70" s="1085"/>
    </row>
    <row r="71" spans="1:8" s="813" customFormat="1" ht="130">
      <c r="A71" s="1086">
        <v>7.2</v>
      </c>
      <c r="B71" s="1106" t="s">
        <v>2333</v>
      </c>
      <c r="C71" s="1085" t="s">
        <v>16</v>
      </c>
      <c r="D71" s="1069">
        <v>1</v>
      </c>
      <c r="E71" s="1081">
        <v>58500</v>
      </c>
      <c r="F71" s="1081">
        <v>5850</v>
      </c>
      <c r="G71" s="1070">
        <f t="shared" si="6"/>
        <v>64350</v>
      </c>
      <c r="H71" s="1085"/>
    </row>
    <row r="72" spans="1:8" s="813" customFormat="1" ht="26">
      <c r="A72" s="1086">
        <v>7.3</v>
      </c>
      <c r="B72" s="1114" t="s">
        <v>2334</v>
      </c>
      <c r="C72" s="1085" t="s">
        <v>16</v>
      </c>
      <c r="D72" s="1069">
        <v>15</v>
      </c>
      <c r="E72" s="1081">
        <v>324</v>
      </c>
      <c r="F72" s="1081">
        <v>123</v>
      </c>
      <c r="G72" s="1070">
        <f t="shared" si="6"/>
        <v>6705</v>
      </c>
      <c r="H72" s="1085"/>
    </row>
    <row r="73" spans="1:8" s="813" customFormat="1">
      <c r="A73" s="1115"/>
      <c r="B73" s="1116"/>
      <c r="C73" s="1085"/>
      <c r="D73" s="1069"/>
      <c r="E73" s="1081"/>
      <c r="F73" s="1081"/>
      <c r="G73" s="1070"/>
      <c r="H73" s="1085"/>
    </row>
    <row r="74" spans="1:8" s="816" customFormat="1" ht="13">
      <c r="A74" s="1077">
        <v>8</v>
      </c>
      <c r="B74" s="1078" t="s">
        <v>2335</v>
      </c>
      <c r="C74" s="1085"/>
      <c r="D74" s="1069"/>
      <c r="E74" s="1081"/>
      <c r="F74" s="1081"/>
      <c r="G74" s="1070"/>
      <c r="H74" s="1085"/>
    </row>
    <row r="75" spans="1:8" s="816" customFormat="1" ht="117">
      <c r="A75" s="1117"/>
      <c r="B75" s="1118" t="s">
        <v>2336</v>
      </c>
      <c r="C75" s="1085"/>
      <c r="D75" s="1069"/>
      <c r="E75" s="1081"/>
      <c r="F75" s="1081"/>
      <c r="G75" s="1070"/>
      <c r="H75" s="1085"/>
    </row>
    <row r="76" spans="1:8" s="816" customFormat="1" ht="78">
      <c r="A76" s="1119"/>
      <c r="B76" s="1120" t="s">
        <v>1523</v>
      </c>
      <c r="C76" s="1085"/>
      <c r="D76" s="1069"/>
      <c r="E76" s="1081"/>
      <c r="F76" s="1081"/>
      <c r="G76" s="1070"/>
      <c r="H76" s="1085"/>
    </row>
    <row r="77" spans="1:8" s="816" customFormat="1" ht="104">
      <c r="A77" s="1119"/>
      <c r="B77" s="1072" t="s">
        <v>1524</v>
      </c>
      <c r="C77" s="1085"/>
      <c r="D77" s="1069"/>
      <c r="E77" s="1081"/>
      <c r="F77" s="1081"/>
      <c r="G77" s="1070"/>
      <c r="H77" s="1085"/>
    </row>
    <row r="78" spans="1:8" s="816" customFormat="1" ht="39">
      <c r="A78" s="1119"/>
      <c r="B78" s="1072" t="s">
        <v>1525</v>
      </c>
      <c r="C78" s="1085"/>
      <c r="D78" s="1069"/>
      <c r="E78" s="1081"/>
      <c r="F78" s="1081"/>
      <c r="G78" s="1070"/>
      <c r="H78" s="1085"/>
    </row>
    <row r="79" spans="1:8" s="816" customFormat="1" ht="65">
      <c r="A79" s="1119"/>
      <c r="B79" s="1072" t="s">
        <v>1526</v>
      </c>
      <c r="C79" s="1085"/>
      <c r="D79" s="1069"/>
      <c r="E79" s="1081"/>
      <c r="F79" s="1081"/>
      <c r="G79" s="1070"/>
      <c r="H79" s="1085"/>
    </row>
    <row r="80" spans="1:8" s="816" customFormat="1" ht="130">
      <c r="A80" s="1119"/>
      <c r="B80" s="1072" t="s">
        <v>1527</v>
      </c>
      <c r="C80" s="1085"/>
      <c r="D80" s="1069"/>
      <c r="E80" s="1081"/>
      <c r="F80" s="1081"/>
      <c r="G80" s="1070"/>
      <c r="H80" s="1085"/>
    </row>
    <row r="81" spans="1:8" s="816" customFormat="1" ht="26">
      <c r="A81" s="1119"/>
      <c r="B81" s="1072" t="s">
        <v>1528</v>
      </c>
      <c r="C81" s="1085"/>
      <c r="D81" s="1069"/>
      <c r="E81" s="1081"/>
      <c r="F81" s="1081"/>
      <c r="G81" s="1070"/>
      <c r="H81" s="1085"/>
    </row>
    <row r="82" spans="1:8" s="816" customFormat="1" ht="26">
      <c r="A82" s="1119"/>
      <c r="B82" s="1072" t="s">
        <v>1529</v>
      </c>
      <c r="C82" s="1085"/>
      <c r="D82" s="1069"/>
      <c r="E82" s="1081"/>
      <c r="F82" s="1081"/>
      <c r="G82" s="1070"/>
      <c r="H82" s="1085"/>
    </row>
    <row r="83" spans="1:8" s="816" customFormat="1" ht="52">
      <c r="A83" s="1119"/>
      <c r="B83" s="1121" t="s">
        <v>1530</v>
      </c>
      <c r="C83" s="1085"/>
      <c r="D83" s="1069"/>
      <c r="E83" s="1081"/>
      <c r="F83" s="1081"/>
      <c r="G83" s="1070"/>
      <c r="H83" s="1085"/>
    </row>
    <row r="84" spans="1:8" s="816" customFormat="1" ht="26">
      <c r="A84" s="1119"/>
      <c r="B84" s="1067" t="s">
        <v>1531</v>
      </c>
      <c r="C84" s="1085" t="s">
        <v>16</v>
      </c>
      <c r="D84" s="1069">
        <v>1</v>
      </c>
      <c r="E84" s="1081">
        <v>278460</v>
      </c>
      <c r="F84" s="1081">
        <v>27950</v>
      </c>
      <c r="G84" s="1070">
        <f t="shared" ref="G84" si="7">(E84+F84)*D84</f>
        <v>306410</v>
      </c>
      <c r="H84" s="1085"/>
    </row>
    <row r="85" spans="1:8" s="816" customFormat="1" ht="13">
      <c r="A85" s="1119"/>
      <c r="B85" s="1067"/>
      <c r="C85" s="1085"/>
      <c r="D85" s="1069"/>
      <c r="E85" s="1081"/>
      <c r="F85" s="1081"/>
      <c r="G85" s="1070"/>
      <c r="H85" s="1085"/>
    </row>
    <row r="86" spans="1:8" s="813" customFormat="1">
      <c r="A86" s="1122">
        <v>9</v>
      </c>
      <c r="B86" s="1123" t="s">
        <v>2337</v>
      </c>
      <c r="C86" s="1085"/>
      <c r="D86" s="1069"/>
      <c r="E86" s="1081"/>
      <c r="F86" s="1081"/>
      <c r="G86" s="1070"/>
      <c r="H86" s="1085"/>
    </row>
    <row r="87" spans="1:8" s="813" customFormat="1" ht="156">
      <c r="A87" s="1117"/>
      <c r="B87" s="1087" t="s">
        <v>2338</v>
      </c>
      <c r="C87" s="1085"/>
      <c r="D87" s="1069"/>
      <c r="E87" s="1081"/>
      <c r="F87" s="1081"/>
      <c r="G87" s="1070"/>
      <c r="H87" s="1085"/>
    </row>
    <row r="88" spans="1:8" s="813" customFormat="1" ht="39">
      <c r="A88" s="1117"/>
      <c r="B88" s="1112" t="s">
        <v>2331</v>
      </c>
      <c r="C88" s="1085"/>
      <c r="D88" s="1069"/>
      <c r="E88" s="1081"/>
      <c r="F88" s="1081"/>
      <c r="G88" s="1070"/>
      <c r="H88" s="1085"/>
    </row>
    <row r="89" spans="1:8" ht="26">
      <c r="A89" s="1124"/>
      <c r="B89" s="1112" t="s">
        <v>2339</v>
      </c>
      <c r="C89" s="1085"/>
      <c r="D89" s="1069"/>
      <c r="E89" s="1081"/>
      <c r="F89" s="1081"/>
      <c r="G89" s="1070"/>
      <c r="H89" s="1085"/>
    </row>
    <row r="90" spans="1:8" ht="26">
      <c r="A90" s="1111"/>
      <c r="B90" s="1094" t="s">
        <v>1522</v>
      </c>
      <c r="C90" s="1085"/>
      <c r="D90" s="1069"/>
      <c r="E90" s="1081"/>
      <c r="F90" s="1081"/>
      <c r="G90" s="1070"/>
      <c r="H90" s="1085"/>
    </row>
    <row r="91" spans="1:8" ht="26">
      <c r="A91" s="1117">
        <v>9.1</v>
      </c>
      <c r="B91" s="1112" t="s">
        <v>2340</v>
      </c>
      <c r="C91" s="1085" t="s">
        <v>16</v>
      </c>
      <c r="D91" s="1069">
        <v>1</v>
      </c>
      <c r="E91" s="1081">
        <v>207025</v>
      </c>
      <c r="F91" s="1081">
        <v>20800</v>
      </c>
      <c r="G91" s="1070">
        <f t="shared" ref="G91:G93" si="8">(E91+F91)*D91</f>
        <v>227825</v>
      </c>
      <c r="H91" s="1085"/>
    </row>
    <row r="92" spans="1:8" ht="143">
      <c r="A92" s="1117">
        <v>9.1999999999999993</v>
      </c>
      <c r="B92" s="1106" t="s">
        <v>2341</v>
      </c>
      <c r="C92" s="1085" t="s">
        <v>16</v>
      </c>
      <c r="D92" s="1069">
        <v>1</v>
      </c>
      <c r="E92" s="1081">
        <v>58500</v>
      </c>
      <c r="F92" s="1081">
        <v>5850</v>
      </c>
      <c r="G92" s="1070">
        <f t="shared" si="8"/>
        <v>64350</v>
      </c>
      <c r="H92" s="1085"/>
    </row>
    <row r="93" spans="1:8" ht="26">
      <c r="A93" s="1117">
        <v>9.3000000000000007</v>
      </c>
      <c r="B93" s="1114" t="s">
        <v>2334</v>
      </c>
      <c r="C93" s="1085" t="s">
        <v>16</v>
      </c>
      <c r="D93" s="1069">
        <v>15</v>
      </c>
      <c r="E93" s="1081">
        <v>324</v>
      </c>
      <c r="F93" s="1081">
        <v>123</v>
      </c>
      <c r="G93" s="1070">
        <f t="shared" si="8"/>
        <v>6705</v>
      </c>
      <c r="H93" s="1085"/>
    </row>
    <row r="94" spans="1:8">
      <c r="A94" s="1125"/>
      <c r="B94" s="1116"/>
      <c r="C94" s="1085"/>
      <c r="D94" s="1069"/>
      <c r="E94" s="1081"/>
      <c r="F94" s="1081"/>
      <c r="G94" s="1070"/>
      <c r="H94" s="1085"/>
    </row>
    <row r="95" spans="1:8">
      <c r="A95" s="1077">
        <v>10</v>
      </c>
      <c r="B95" s="1078" t="s">
        <v>1532</v>
      </c>
      <c r="C95" s="1085"/>
      <c r="D95" s="1069"/>
      <c r="E95" s="1081"/>
      <c r="F95" s="1081"/>
      <c r="G95" s="1070"/>
      <c r="H95" s="1085"/>
    </row>
    <row r="96" spans="1:8" ht="39">
      <c r="A96" s="1111"/>
      <c r="B96" s="1087" t="s">
        <v>2342</v>
      </c>
      <c r="C96" s="1085" t="s">
        <v>16</v>
      </c>
      <c r="D96" s="1069" t="s">
        <v>1198</v>
      </c>
      <c r="E96" s="1081">
        <v>7150</v>
      </c>
      <c r="F96" s="1081">
        <v>650</v>
      </c>
      <c r="G96" s="1070"/>
      <c r="H96" s="1085"/>
    </row>
    <row r="97" spans="1:8">
      <c r="A97" s="1111"/>
      <c r="B97" s="1087"/>
      <c r="C97" s="1085"/>
      <c r="D97" s="1069"/>
      <c r="E97" s="1081"/>
      <c r="F97" s="1081"/>
      <c r="G97" s="1070"/>
      <c r="H97" s="1085"/>
    </row>
    <row r="98" spans="1:8">
      <c r="A98" s="1126"/>
      <c r="B98" s="1127" t="s">
        <v>1533</v>
      </c>
      <c r="C98" s="1090"/>
      <c r="D98" s="1091"/>
      <c r="E98" s="1128"/>
      <c r="F98" s="1128"/>
      <c r="G98" s="1128">
        <f>SUM(G36:G97)</f>
        <v>1464134</v>
      </c>
      <c r="H98" s="1090"/>
    </row>
    <row r="99" spans="1:8">
      <c r="A99" s="1129"/>
      <c r="B99" s="1110"/>
      <c r="C99" s="1085"/>
      <c r="D99" s="1069"/>
      <c r="E99" s="1070"/>
      <c r="F99" s="1070"/>
      <c r="G99" s="1070"/>
      <c r="H99" s="1085"/>
    </row>
    <row r="100" spans="1:8">
      <c r="A100" s="1077">
        <v>11</v>
      </c>
      <c r="B100" s="1078" t="s">
        <v>1534</v>
      </c>
      <c r="C100" s="1085"/>
      <c r="D100" s="1069"/>
      <c r="E100" s="1070"/>
      <c r="F100" s="1070"/>
      <c r="G100" s="1070"/>
      <c r="H100" s="1085"/>
    </row>
    <row r="101" spans="1:8">
      <c r="A101" s="1080">
        <v>11.1</v>
      </c>
      <c r="B101" s="1130" t="s">
        <v>1535</v>
      </c>
      <c r="C101" s="1085"/>
      <c r="D101" s="1069"/>
      <c r="E101" s="1070"/>
      <c r="F101" s="1070"/>
      <c r="G101" s="1070"/>
      <c r="H101" s="1085"/>
    </row>
    <row r="102" spans="1:8" ht="65">
      <c r="A102" s="1080"/>
      <c r="B102" s="1131" t="s">
        <v>1536</v>
      </c>
      <c r="C102" s="1085"/>
      <c r="D102" s="1069"/>
      <c r="E102" s="1081"/>
      <c r="F102" s="1081"/>
      <c r="G102" s="1070"/>
      <c r="H102" s="1085"/>
    </row>
    <row r="103" spans="1:8" ht="130">
      <c r="A103" s="1080"/>
      <c r="B103" s="1132" t="s">
        <v>2343</v>
      </c>
      <c r="C103" s="1085"/>
      <c r="D103" s="1069"/>
      <c r="E103" s="1081"/>
      <c r="F103" s="1081"/>
      <c r="G103" s="1070"/>
      <c r="H103" s="1085"/>
    </row>
    <row r="104" spans="1:8" ht="143">
      <c r="A104" s="1080"/>
      <c r="B104" s="1133" t="s">
        <v>1537</v>
      </c>
      <c r="C104" s="1085"/>
      <c r="D104" s="1069"/>
      <c r="E104" s="1081"/>
      <c r="F104" s="1081"/>
      <c r="G104" s="1070"/>
      <c r="H104" s="1085"/>
    </row>
    <row r="105" spans="1:8" ht="52">
      <c r="A105" s="1080"/>
      <c r="B105" s="1132" t="s">
        <v>1538</v>
      </c>
      <c r="C105" s="1085"/>
      <c r="D105" s="1069"/>
      <c r="E105" s="1081"/>
      <c r="F105" s="1081"/>
      <c r="G105" s="1070"/>
      <c r="H105" s="1085"/>
    </row>
    <row r="106" spans="1:8">
      <c r="A106" s="1093" t="s">
        <v>385</v>
      </c>
      <c r="B106" s="1072" t="s">
        <v>1539</v>
      </c>
      <c r="C106" s="1068" t="s">
        <v>10</v>
      </c>
      <c r="D106" s="1440">
        <v>480</v>
      </c>
      <c r="E106" s="1081">
        <v>897</v>
      </c>
      <c r="F106" s="1081">
        <v>303</v>
      </c>
      <c r="G106" s="1070">
        <f t="shared" ref="G106:G110" si="9">(E106+F106)*D106</f>
        <v>576000</v>
      </c>
      <c r="H106" s="1085"/>
    </row>
    <row r="107" spans="1:8">
      <c r="A107" s="1093" t="s">
        <v>387</v>
      </c>
      <c r="B107" s="1072" t="s">
        <v>1540</v>
      </c>
      <c r="C107" s="1068" t="s">
        <v>10</v>
      </c>
      <c r="D107" s="1440">
        <v>470</v>
      </c>
      <c r="E107" s="1081">
        <v>897</v>
      </c>
      <c r="F107" s="1081">
        <v>303</v>
      </c>
      <c r="G107" s="1070">
        <f t="shared" si="9"/>
        <v>564000</v>
      </c>
      <c r="H107" s="1085"/>
    </row>
    <row r="108" spans="1:8">
      <c r="A108" s="1093" t="s">
        <v>388</v>
      </c>
      <c r="B108" s="1072" t="s">
        <v>1541</v>
      </c>
      <c r="C108" s="1068" t="s">
        <v>10</v>
      </c>
      <c r="D108" s="1440">
        <f>100</f>
        <v>100</v>
      </c>
      <c r="E108" s="1081">
        <v>1105</v>
      </c>
      <c r="F108" s="1081">
        <v>303</v>
      </c>
      <c r="G108" s="1070">
        <f t="shared" si="9"/>
        <v>140800</v>
      </c>
      <c r="H108" s="1085"/>
    </row>
    <row r="109" spans="1:8">
      <c r="A109" s="1093" t="s">
        <v>389</v>
      </c>
      <c r="B109" s="1072" t="s">
        <v>1542</v>
      </c>
      <c r="C109" s="1068" t="s">
        <v>10</v>
      </c>
      <c r="D109" s="1440">
        <f>310</f>
        <v>310</v>
      </c>
      <c r="E109" s="1081">
        <v>1339</v>
      </c>
      <c r="F109" s="1081">
        <v>462</v>
      </c>
      <c r="G109" s="1070"/>
      <c r="H109" s="1085"/>
    </row>
    <row r="110" spans="1:8">
      <c r="A110" s="1093" t="s">
        <v>390</v>
      </c>
      <c r="B110" s="1072" t="s">
        <v>1543</v>
      </c>
      <c r="C110" s="1068" t="s">
        <v>10</v>
      </c>
      <c r="D110" s="1440">
        <v>100</v>
      </c>
      <c r="E110" s="1081">
        <v>1424</v>
      </c>
      <c r="F110" s="1081">
        <v>332</v>
      </c>
      <c r="G110" s="1070">
        <f t="shared" si="9"/>
        <v>175600</v>
      </c>
      <c r="H110" s="1085"/>
    </row>
    <row r="111" spans="1:8">
      <c r="A111" s="1129"/>
      <c r="B111" s="1110"/>
      <c r="C111" s="1085"/>
      <c r="D111" s="1069"/>
      <c r="E111" s="1070"/>
      <c r="F111" s="1070"/>
      <c r="G111" s="1070"/>
      <c r="H111" s="1085"/>
    </row>
    <row r="112" spans="1:8" ht="39">
      <c r="A112" s="1086">
        <v>11.2</v>
      </c>
      <c r="B112" s="1094" t="s">
        <v>1544</v>
      </c>
      <c r="C112" s="1134"/>
      <c r="D112" s="1069"/>
      <c r="E112" s="1135"/>
      <c r="F112" s="1135"/>
      <c r="G112" s="1136"/>
      <c r="H112" s="1085"/>
    </row>
    <row r="113" spans="1:8" ht="91">
      <c r="A113" s="1080"/>
      <c r="B113" s="1132" t="s">
        <v>2344</v>
      </c>
      <c r="C113" s="1134"/>
      <c r="D113" s="1069"/>
      <c r="E113" s="1137"/>
      <c r="F113" s="1135"/>
      <c r="G113" s="1136"/>
      <c r="H113" s="1085"/>
    </row>
    <row r="114" spans="1:8" s="813" customFormat="1" ht="91">
      <c r="A114" s="1080"/>
      <c r="B114" s="1132" t="s">
        <v>2345</v>
      </c>
      <c r="C114" s="1134"/>
      <c r="D114" s="1069"/>
      <c r="E114" s="1137"/>
      <c r="F114" s="1135"/>
      <c r="G114" s="1136"/>
      <c r="H114" s="1085"/>
    </row>
    <row r="115" spans="1:8" s="813" customFormat="1" ht="52">
      <c r="A115" s="1080"/>
      <c r="B115" s="1132" t="s">
        <v>1545</v>
      </c>
      <c r="C115" s="1134"/>
      <c r="D115" s="1069"/>
      <c r="E115" s="1137"/>
      <c r="F115" s="1135"/>
      <c r="G115" s="1136"/>
      <c r="H115" s="1085"/>
    </row>
    <row r="116" spans="1:8" s="813" customFormat="1" ht="78">
      <c r="A116" s="1080"/>
      <c r="B116" s="1132" t="s">
        <v>1546</v>
      </c>
      <c r="C116" s="1134"/>
      <c r="D116" s="1069"/>
      <c r="E116" s="1137"/>
      <c r="F116" s="1135"/>
      <c r="G116" s="1136"/>
      <c r="H116" s="1085"/>
    </row>
    <row r="117" spans="1:8" s="813" customFormat="1" ht="143">
      <c r="A117" s="1134"/>
      <c r="B117" s="1138" t="s">
        <v>2346</v>
      </c>
      <c r="C117" s="1134"/>
      <c r="D117" s="1069"/>
      <c r="E117" s="1137"/>
      <c r="F117" s="1135"/>
      <c r="G117" s="1136"/>
      <c r="H117" s="1085"/>
    </row>
    <row r="118" spans="1:8" ht="39">
      <c r="A118" s="1134"/>
      <c r="B118" s="1139" t="s">
        <v>1547</v>
      </c>
      <c r="C118" s="1134"/>
      <c r="D118" s="1069"/>
      <c r="E118" s="1137"/>
      <c r="F118" s="1135"/>
      <c r="G118" s="1136"/>
      <c r="H118" s="1085"/>
    </row>
    <row r="119" spans="1:8" ht="143">
      <c r="A119" s="1080"/>
      <c r="B119" s="1140" t="s">
        <v>2347</v>
      </c>
      <c r="C119" s="1134"/>
      <c r="D119" s="1069"/>
      <c r="E119" s="1137"/>
      <c r="F119" s="1135"/>
      <c r="G119" s="1136"/>
      <c r="H119" s="1085"/>
    </row>
    <row r="120" spans="1:8" ht="52">
      <c r="A120" s="1134"/>
      <c r="B120" s="1139" t="s">
        <v>1548</v>
      </c>
      <c r="C120" s="1134"/>
      <c r="D120" s="1069"/>
      <c r="E120" s="1137"/>
      <c r="F120" s="1135"/>
      <c r="G120" s="1136"/>
      <c r="H120" s="1085"/>
    </row>
    <row r="121" spans="1:8" ht="26">
      <c r="A121" s="1134"/>
      <c r="B121" s="1139" t="s">
        <v>1549</v>
      </c>
      <c r="C121" s="1134"/>
      <c r="D121" s="1069"/>
      <c r="E121" s="1137"/>
      <c r="F121" s="1135"/>
      <c r="G121" s="1136"/>
      <c r="H121" s="1085"/>
    </row>
    <row r="122" spans="1:8" ht="78">
      <c r="A122" s="1082"/>
      <c r="B122" s="1072" t="s">
        <v>1550</v>
      </c>
      <c r="C122" s="1085"/>
      <c r="D122" s="1069"/>
      <c r="E122" s="1070"/>
      <c r="F122" s="1070"/>
      <c r="G122" s="1070"/>
      <c r="H122" s="1085"/>
    </row>
    <row r="123" spans="1:8" ht="26">
      <c r="A123" s="1141" t="s">
        <v>385</v>
      </c>
      <c r="B123" s="1139" t="s">
        <v>2348</v>
      </c>
      <c r="C123" s="1068" t="s">
        <v>10</v>
      </c>
      <c r="D123" s="1440" t="s">
        <v>1198</v>
      </c>
      <c r="E123" s="1081">
        <v>1313</v>
      </c>
      <c r="F123" s="1081">
        <v>437</v>
      </c>
      <c r="G123" s="1070"/>
      <c r="H123" s="1085"/>
    </row>
    <row r="124" spans="1:8" ht="26">
      <c r="A124" s="1141" t="s">
        <v>387</v>
      </c>
      <c r="B124" s="1139" t="s">
        <v>2349</v>
      </c>
      <c r="C124" s="1068" t="s">
        <v>10</v>
      </c>
      <c r="D124" s="1440" t="s">
        <v>1198</v>
      </c>
      <c r="E124" s="1081">
        <v>1339</v>
      </c>
      <c r="F124" s="1081">
        <v>437</v>
      </c>
      <c r="G124" s="1070"/>
      <c r="H124" s="1085"/>
    </row>
    <row r="125" spans="1:8" ht="26">
      <c r="A125" s="1141" t="s">
        <v>388</v>
      </c>
      <c r="B125" s="1139" t="s">
        <v>2350</v>
      </c>
      <c r="C125" s="1068" t="s">
        <v>10</v>
      </c>
      <c r="D125" s="1142">
        <v>410</v>
      </c>
      <c r="E125" s="1081">
        <v>1352</v>
      </c>
      <c r="F125" s="1081">
        <v>437</v>
      </c>
      <c r="G125" s="1070">
        <f t="shared" ref="G125" si="10">(E125+F125)*D125</f>
        <v>733490</v>
      </c>
      <c r="H125" s="1085"/>
    </row>
    <row r="126" spans="1:8" ht="26">
      <c r="A126" s="1141" t="s">
        <v>389</v>
      </c>
      <c r="B126" s="1139" t="s">
        <v>2351</v>
      </c>
      <c r="C126" s="1068" t="s">
        <v>10</v>
      </c>
      <c r="D126" s="1440" t="s">
        <v>1198</v>
      </c>
      <c r="E126" s="1081">
        <v>1495</v>
      </c>
      <c r="F126" s="1081">
        <v>437</v>
      </c>
      <c r="G126" s="1070"/>
      <c r="H126" s="1085"/>
    </row>
    <row r="127" spans="1:8" ht="26">
      <c r="A127" s="1141" t="s">
        <v>390</v>
      </c>
      <c r="B127" s="1139" t="s">
        <v>2352</v>
      </c>
      <c r="C127" s="1068" t="s">
        <v>10</v>
      </c>
      <c r="D127" s="1440" t="s">
        <v>1198</v>
      </c>
      <c r="E127" s="1081">
        <v>1534</v>
      </c>
      <c r="F127" s="1081">
        <v>437</v>
      </c>
      <c r="G127" s="1070"/>
      <c r="H127" s="1085"/>
    </row>
    <row r="128" spans="1:8" ht="26">
      <c r="A128" s="1141" t="s">
        <v>391</v>
      </c>
      <c r="B128" s="1139" t="s">
        <v>2353</v>
      </c>
      <c r="C128" s="1068" t="s">
        <v>10</v>
      </c>
      <c r="D128" s="1440" t="s">
        <v>1198</v>
      </c>
      <c r="E128" s="1081">
        <v>2210</v>
      </c>
      <c r="F128" s="1081">
        <v>437</v>
      </c>
      <c r="G128" s="1070"/>
      <c r="H128" s="1085"/>
    </row>
    <row r="129" spans="1:8">
      <c r="A129" s="1126"/>
      <c r="B129" s="1127" t="s">
        <v>1551</v>
      </c>
      <c r="C129" s="1090"/>
      <c r="D129" s="1090"/>
      <c r="E129" s="1128"/>
      <c r="F129" s="1128"/>
      <c r="G129" s="1128">
        <f>SUM(G100:G128)</f>
        <v>2189890</v>
      </c>
      <c r="H129" s="1090"/>
    </row>
    <row r="130" spans="1:8">
      <c r="A130" s="1129"/>
      <c r="B130" s="1110"/>
      <c r="C130" s="1085"/>
      <c r="D130" s="1069"/>
      <c r="E130" s="1070"/>
      <c r="F130" s="1070"/>
      <c r="G130" s="1070"/>
      <c r="H130" s="1085"/>
    </row>
    <row r="131" spans="1:8">
      <c r="A131" s="1077">
        <v>12</v>
      </c>
      <c r="B131" s="1078" t="s">
        <v>1552</v>
      </c>
      <c r="C131" s="1068"/>
      <c r="D131" s="1069"/>
      <c r="E131" s="1081"/>
      <c r="F131" s="1070"/>
      <c r="G131" s="1070"/>
      <c r="H131" s="1068"/>
    </row>
    <row r="132" spans="1:8">
      <c r="A132" s="1143">
        <v>12.1</v>
      </c>
      <c r="B132" s="1144" t="s">
        <v>1553</v>
      </c>
      <c r="C132" s="1068"/>
      <c r="D132" s="1069"/>
      <c r="E132" s="1081"/>
      <c r="F132" s="1070"/>
      <c r="G132" s="1070"/>
      <c r="H132" s="1068"/>
    </row>
    <row r="133" spans="1:8" ht="130">
      <c r="A133" s="1129"/>
      <c r="B133" s="1072" t="s">
        <v>2354</v>
      </c>
      <c r="C133" s="1068"/>
      <c r="D133" s="1069"/>
      <c r="E133" s="1081"/>
      <c r="F133" s="1070"/>
      <c r="G133" s="1070"/>
      <c r="H133" s="1068"/>
    </row>
    <row r="134" spans="1:8" ht="26">
      <c r="A134" s="1129"/>
      <c r="B134" s="1072" t="s">
        <v>1554</v>
      </c>
      <c r="C134" s="1068"/>
      <c r="D134" s="1069"/>
      <c r="E134" s="1081"/>
      <c r="F134" s="1070"/>
      <c r="G134" s="1070"/>
      <c r="H134" s="1068"/>
    </row>
    <row r="135" spans="1:8" ht="65">
      <c r="A135" s="1129"/>
      <c r="B135" s="1072" t="s">
        <v>1555</v>
      </c>
      <c r="C135" s="1068"/>
      <c r="D135" s="1069"/>
      <c r="E135" s="1081"/>
      <c r="F135" s="1070"/>
      <c r="G135" s="1070"/>
      <c r="H135" s="1068"/>
    </row>
    <row r="136" spans="1:8">
      <c r="A136" s="1129" t="s">
        <v>385</v>
      </c>
      <c r="B136" s="1144" t="s">
        <v>1556</v>
      </c>
      <c r="C136" s="1068" t="s">
        <v>10</v>
      </c>
      <c r="D136" s="1440">
        <v>120</v>
      </c>
      <c r="E136" s="1081">
        <v>198</v>
      </c>
      <c r="F136" s="1081">
        <v>192</v>
      </c>
      <c r="G136" s="1070">
        <f>(E136+F136)*D136</f>
        <v>46800</v>
      </c>
      <c r="H136" s="1068"/>
    </row>
    <row r="137" spans="1:8">
      <c r="A137" s="1129" t="s">
        <v>387</v>
      </c>
      <c r="B137" s="1144" t="s">
        <v>1557</v>
      </c>
      <c r="C137" s="1068" t="s">
        <v>10</v>
      </c>
      <c r="D137" s="1440">
        <v>1172</v>
      </c>
      <c r="E137" s="1081">
        <v>290</v>
      </c>
      <c r="F137" s="1081">
        <v>202</v>
      </c>
      <c r="G137" s="1070">
        <f>(E137+F137)*D137</f>
        <v>576624</v>
      </c>
      <c r="H137" s="1068"/>
    </row>
    <row r="138" spans="1:8" s="813" customFormat="1">
      <c r="A138" s="1129" t="s">
        <v>388</v>
      </c>
      <c r="B138" s="1144" t="s">
        <v>1558</v>
      </c>
      <c r="C138" s="1068" t="s">
        <v>10</v>
      </c>
      <c r="D138" s="1440" t="s">
        <v>1198</v>
      </c>
      <c r="E138" s="1081">
        <v>715</v>
      </c>
      <c r="F138" s="1081">
        <v>202</v>
      </c>
      <c r="G138" s="1070"/>
      <c r="H138" s="1068"/>
    </row>
    <row r="139" spans="1:8">
      <c r="A139" s="1129" t="s">
        <v>389</v>
      </c>
      <c r="B139" s="1144" t="s">
        <v>1559</v>
      </c>
      <c r="C139" s="1068" t="s">
        <v>10</v>
      </c>
      <c r="D139" s="1440" t="s">
        <v>1198</v>
      </c>
      <c r="E139" s="1081">
        <v>780</v>
      </c>
      <c r="F139" s="1081">
        <v>202</v>
      </c>
      <c r="G139" s="1070"/>
      <c r="H139" s="1068"/>
    </row>
    <row r="140" spans="1:8" s="813" customFormat="1">
      <c r="A140" s="1129" t="s">
        <v>390</v>
      </c>
      <c r="B140" s="1145" t="s">
        <v>1560</v>
      </c>
      <c r="C140" s="1068" t="s">
        <v>10</v>
      </c>
      <c r="D140" s="1440" t="s">
        <v>1198</v>
      </c>
      <c r="E140" s="1081">
        <v>910</v>
      </c>
      <c r="F140" s="1081">
        <v>202</v>
      </c>
      <c r="G140" s="1070"/>
      <c r="H140" s="1068"/>
    </row>
    <row r="141" spans="1:8" s="813" customFormat="1">
      <c r="A141" s="1146"/>
      <c r="B141" s="1072"/>
      <c r="C141" s="1068"/>
      <c r="D141" s="1069"/>
      <c r="E141" s="1081"/>
      <c r="F141" s="1070"/>
      <c r="G141" s="1070"/>
      <c r="H141" s="1068"/>
    </row>
    <row r="142" spans="1:8">
      <c r="A142" s="1147">
        <v>12.2</v>
      </c>
      <c r="B142" s="1130" t="s">
        <v>1561</v>
      </c>
      <c r="C142" s="1068"/>
      <c r="D142" s="1069"/>
      <c r="E142" s="1081"/>
      <c r="F142" s="1070"/>
      <c r="G142" s="1070"/>
      <c r="H142" s="1068"/>
    </row>
    <row r="143" spans="1:8" ht="104">
      <c r="A143" s="1129"/>
      <c r="B143" s="1067" t="s">
        <v>2355</v>
      </c>
      <c r="C143" s="1068"/>
      <c r="D143" s="1069"/>
      <c r="E143" s="1081"/>
      <c r="F143" s="1070"/>
      <c r="G143" s="1070"/>
      <c r="H143" s="1068"/>
    </row>
    <row r="144" spans="1:8" ht="26">
      <c r="A144" s="1129"/>
      <c r="B144" s="1072" t="s">
        <v>1554</v>
      </c>
      <c r="C144" s="1068"/>
      <c r="D144" s="1069"/>
      <c r="E144" s="1081"/>
      <c r="F144" s="1070"/>
      <c r="G144" s="1070"/>
      <c r="H144" s="1068"/>
    </row>
    <row r="145" spans="1:8" s="813" customFormat="1" ht="65">
      <c r="A145" s="1129"/>
      <c r="B145" s="1072" t="s">
        <v>1555</v>
      </c>
      <c r="C145" s="1068"/>
      <c r="D145" s="1069"/>
      <c r="E145" s="1081"/>
      <c r="F145" s="1070"/>
      <c r="G145" s="1070"/>
      <c r="H145" s="1068"/>
    </row>
    <row r="146" spans="1:8" s="813" customFormat="1">
      <c r="A146" s="1129" t="s">
        <v>385</v>
      </c>
      <c r="B146" s="1144" t="s">
        <v>1562</v>
      </c>
      <c r="C146" s="1068" t="s">
        <v>10</v>
      </c>
      <c r="D146" s="1069">
        <v>300</v>
      </c>
      <c r="E146" s="1081">
        <v>796</v>
      </c>
      <c r="F146" s="1081">
        <v>202</v>
      </c>
      <c r="G146" s="1070">
        <f>(E146+F146)*D146</f>
        <v>299400</v>
      </c>
      <c r="H146" s="1068"/>
    </row>
    <row r="147" spans="1:8" s="766" customFormat="1">
      <c r="A147" s="1148" t="s">
        <v>387</v>
      </c>
      <c r="B147" s="1149" t="s">
        <v>1563</v>
      </c>
      <c r="C147" s="1085" t="s">
        <v>10</v>
      </c>
      <c r="D147" s="1069">
        <v>4</v>
      </c>
      <c r="E147" s="1081">
        <v>1716</v>
      </c>
      <c r="F147" s="1081">
        <v>202</v>
      </c>
      <c r="G147" s="1070">
        <f>(E147+F147)*D147</f>
        <v>7672</v>
      </c>
      <c r="H147" s="1150"/>
    </row>
    <row r="148" spans="1:8" s="766" customFormat="1">
      <c r="A148" s="1143"/>
      <c r="B148" s="1144"/>
      <c r="C148" s="1068"/>
      <c r="D148" s="1069"/>
      <c r="E148" s="1081"/>
      <c r="F148" s="1070"/>
      <c r="G148" s="1070"/>
      <c r="H148" s="1068"/>
    </row>
    <row r="149" spans="1:8" ht="26">
      <c r="A149" s="1147">
        <v>12.3</v>
      </c>
      <c r="B149" s="1130" t="s">
        <v>2356</v>
      </c>
      <c r="C149" s="1068"/>
      <c r="D149" s="1069"/>
      <c r="E149" s="1081"/>
      <c r="F149" s="1070"/>
      <c r="G149" s="1070"/>
      <c r="H149" s="1085"/>
    </row>
    <row r="150" spans="1:8" ht="117">
      <c r="A150" s="1147"/>
      <c r="B150" s="1072" t="s">
        <v>2357</v>
      </c>
      <c r="C150" s="1068" t="s">
        <v>10</v>
      </c>
      <c r="D150" s="1069">
        <v>45</v>
      </c>
      <c r="E150" s="1081">
        <v>2779</v>
      </c>
      <c r="F150" s="1081">
        <v>442</v>
      </c>
      <c r="G150" s="1070">
        <f t="shared" ref="G150" si="11">(E150+F150)*D150</f>
        <v>144945</v>
      </c>
      <c r="H150" s="1085"/>
    </row>
    <row r="151" spans="1:8">
      <c r="A151" s="1143"/>
      <c r="B151" s="1067"/>
      <c r="C151" s="1068"/>
      <c r="D151" s="1069"/>
      <c r="E151" s="1081"/>
      <c r="F151" s="1070"/>
      <c r="G151" s="1070"/>
      <c r="H151" s="1068"/>
    </row>
    <row r="152" spans="1:8">
      <c r="A152" s="1143">
        <v>12.4</v>
      </c>
      <c r="B152" s="1130" t="s">
        <v>1564</v>
      </c>
      <c r="C152" s="1068"/>
      <c r="D152" s="1069"/>
      <c r="E152" s="1070"/>
      <c r="F152" s="1070"/>
      <c r="G152" s="1070"/>
      <c r="H152" s="1068"/>
    </row>
    <row r="153" spans="1:8" s="813" customFormat="1" ht="78">
      <c r="A153" s="1143"/>
      <c r="B153" s="1067" t="s">
        <v>2358</v>
      </c>
      <c r="C153" s="1068" t="s">
        <v>10</v>
      </c>
      <c r="D153" s="1069" t="s">
        <v>1198</v>
      </c>
      <c r="E153" s="1081">
        <v>2779</v>
      </c>
      <c r="F153" s="1081">
        <v>442</v>
      </c>
      <c r="G153" s="1070"/>
      <c r="H153" s="1068"/>
    </row>
    <row r="154" spans="1:8" s="813" customFormat="1">
      <c r="A154" s="1146"/>
      <c r="B154" s="1087"/>
      <c r="C154" s="1085"/>
      <c r="D154" s="1069"/>
      <c r="E154" s="1081"/>
      <c r="F154" s="1070"/>
      <c r="G154" s="1070"/>
      <c r="H154" s="1085"/>
    </row>
    <row r="155" spans="1:8" s="813" customFormat="1">
      <c r="A155" s="1086">
        <v>12.5</v>
      </c>
      <c r="B155" s="1130" t="s">
        <v>1565</v>
      </c>
      <c r="C155" s="1068"/>
      <c r="D155" s="1069"/>
      <c r="E155" s="1081"/>
      <c r="F155" s="1081"/>
      <c r="G155" s="1070"/>
      <c r="H155" s="1151"/>
    </row>
    <row r="156" spans="1:8" s="813" customFormat="1" ht="182">
      <c r="A156" s="1152"/>
      <c r="B156" s="1153" t="s">
        <v>2359</v>
      </c>
      <c r="C156" s="1068" t="s">
        <v>10</v>
      </c>
      <c r="D156" s="1069">
        <v>50</v>
      </c>
      <c r="E156" s="1081">
        <v>2779</v>
      </c>
      <c r="F156" s="1081">
        <v>442</v>
      </c>
      <c r="G156" s="1070">
        <f t="shared" ref="G156" si="12">(E156+F156)*D156</f>
        <v>161050</v>
      </c>
      <c r="H156" s="1151"/>
    </row>
    <row r="157" spans="1:8" s="813" customFormat="1" ht="39">
      <c r="A157" s="1154"/>
      <c r="B157" s="1155" t="s">
        <v>1566</v>
      </c>
      <c r="C157" s="1068"/>
      <c r="D157" s="1069"/>
      <c r="E157" s="1081"/>
      <c r="F157" s="1081"/>
      <c r="G157" s="1070"/>
      <c r="H157" s="1151"/>
    </row>
    <row r="158" spans="1:8" s="813" customFormat="1">
      <c r="A158" s="1126"/>
      <c r="B158" s="1127" t="s">
        <v>1567</v>
      </c>
      <c r="C158" s="1090"/>
      <c r="D158" s="1091"/>
      <c r="E158" s="1128"/>
      <c r="F158" s="1128"/>
      <c r="G158" s="1128">
        <f>SUM(G131:G157)</f>
        <v>1236491</v>
      </c>
      <c r="H158" s="1090"/>
    </row>
    <row r="159" spans="1:8" s="813" customFormat="1">
      <c r="A159" s="1129"/>
      <c r="B159" s="1110"/>
      <c r="C159" s="1085"/>
      <c r="D159" s="1069"/>
      <c r="E159" s="1070"/>
      <c r="F159" s="1070"/>
      <c r="G159" s="1070"/>
      <c r="H159" s="1085"/>
    </row>
    <row r="160" spans="1:8">
      <c r="A160" s="1077">
        <v>13</v>
      </c>
      <c r="B160" s="1078" t="s">
        <v>1568</v>
      </c>
      <c r="C160" s="1068"/>
      <c r="D160" s="1156"/>
      <c r="E160" s="1156"/>
      <c r="F160" s="1150"/>
      <c r="G160" s="1070"/>
      <c r="H160" s="1151"/>
    </row>
    <row r="161" spans="1:8" s="813" customFormat="1">
      <c r="A161" s="1080">
        <v>13.1</v>
      </c>
      <c r="B161" s="1067" t="s">
        <v>1569</v>
      </c>
      <c r="C161" s="1068"/>
      <c r="D161" s="1156"/>
      <c r="E161" s="1156"/>
      <c r="F161" s="1150"/>
      <c r="G161" s="1070"/>
      <c r="H161" s="1151"/>
    </row>
    <row r="162" spans="1:8" s="813" customFormat="1" ht="52">
      <c r="A162" s="1086"/>
      <c r="B162" s="1067" t="s">
        <v>1570</v>
      </c>
      <c r="C162" s="1085"/>
      <c r="D162" s="1156"/>
      <c r="E162" s="1156"/>
      <c r="F162" s="1150"/>
      <c r="G162" s="1070"/>
      <c r="H162" s="1157"/>
    </row>
    <row r="163" spans="1:8" s="813" customFormat="1">
      <c r="A163" s="1111" t="s">
        <v>385</v>
      </c>
      <c r="B163" s="1072" t="s">
        <v>1571</v>
      </c>
      <c r="C163" s="1085" t="s">
        <v>16</v>
      </c>
      <c r="D163" s="1069" t="s">
        <v>1198</v>
      </c>
      <c r="E163" s="1081">
        <v>845</v>
      </c>
      <c r="F163" s="1081">
        <v>221</v>
      </c>
      <c r="G163" s="1070"/>
      <c r="H163" s="1157"/>
    </row>
    <row r="164" spans="1:8" s="813" customFormat="1">
      <c r="A164" s="1111" t="s">
        <v>387</v>
      </c>
      <c r="B164" s="1072" t="s">
        <v>1572</v>
      </c>
      <c r="C164" s="1085" t="s">
        <v>16</v>
      </c>
      <c r="D164" s="1069">
        <v>10</v>
      </c>
      <c r="E164" s="1081">
        <v>865</v>
      </c>
      <c r="F164" s="1081">
        <v>221</v>
      </c>
      <c r="G164" s="1070">
        <f t="shared" ref="G164:G166" si="13">(E164+F164)*D164</f>
        <v>10860</v>
      </c>
      <c r="H164" s="1157"/>
    </row>
    <row r="165" spans="1:8" s="813" customFormat="1">
      <c r="A165" s="1111" t="s">
        <v>388</v>
      </c>
      <c r="B165" s="1072" t="s">
        <v>1573</v>
      </c>
      <c r="C165" s="1085" t="s">
        <v>16</v>
      </c>
      <c r="D165" s="1069">
        <v>50</v>
      </c>
      <c r="E165" s="1081">
        <v>969</v>
      </c>
      <c r="F165" s="1081">
        <v>221</v>
      </c>
      <c r="G165" s="1070">
        <f t="shared" si="13"/>
        <v>59500</v>
      </c>
      <c r="H165" s="1157"/>
    </row>
    <row r="166" spans="1:8" s="813" customFormat="1">
      <c r="A166" s="1111" t="s">
        <v>389</v>
      </c>
      <c r="B166" s="1072" t="s">
        <v>1574</v>
      </c>
      <c r="C166" s="1085" t="s">
        <v>16</v>
      </c>
      <c r="D166" s="1069">
        <v>15</v>
      </c>
      <c r="E166" s="1081">
        <v>1092</v>
      </c>
      <c r="F166" s="1081">
        <v>221</v>
      </c>
      <c r="G166" s="1070">
        <f t="shared" si="13"/>
        <v>19695</v>
      </c>
      <c r="H166" s="1157"/>
    </row>
    <row r="167" spans="1:8" s="813" customFormat="1">
      <c r="A167" s="1111" t="s">
        <v>390</v>
      </c>
      <c r="B167" s="1072" t="s">
        <v>1575</v>
      </c>
      <c r="C167" s="1085" t="s">
        <v>16</v>
      </c>
      <c r="D167" s="1069" t="s">
        <v>1198</v>
      </c>
      <c r="E167" s="1081">
        <v>1170</v>
      </c>
      <c r="F167" s="1081">
        <v>221</v>
      </c>
      <c r="G167" s="1070"/>
      <c r="H167" s="1157"/>
    </row>
    <row r="168" spans="1:8" s="813" customFormat="1">
      <c r="A168" s="1111"/>
      <c r="B168" s="1072"/>
      <c r="C168" s="1085"/>
      <c r="D168" s="1156"/>
      <c r="E168" s="1156"/>
      <c r="F168" s="1150"/>
      <c r="G168" s="1070"/>
      <c r="H168" s="1157"/>
    </row>
    <row r="169" spans="1:8" s="813" customFormat="1">
      <c r="A169" s="1086">
        <v>12.2</v>
      </c>
      <c r="B169" s="1067" t="s">
        <v>1576</v>
      </c>
      <c r="C169" s="1085"/>
      <c r="D169" s="1156"/>
      <c r="E169" s="1156"/>
      <c r="F169" s="1150"/>
      <c r="G169" s="1070"/>
      <c r="H169" s="1151"/>
    </row>
    <row r="170" spans="1:8" s="813" customFormat="1" ht="104">
      <c r="A170" s="1111"/>
      <c r="B170" s="1121" t="s">
        <v>2360</v>
      </c>
      <c r="C170" s="1085"/>
      <c r="D170" s="1156"/>
      <c r="E170" s="1156"/>
      <c r="F170" s="1150"/>
      <c r="G170" s="1070"/>
      <c r="H170" s="1157"/>
    </row>
    <row r="171" spans="1:8" s="813" customFormat="1">
      <c r="A171" s="1111" t="s">
        <v>385</v>
      </c>
      <c r="B171" s="1072" t="s">
        <v>1571</v>
      </c>
      <c r="C171" s="1085" t="s">
        <v>31</v>
      </c>
      <c r="D171" s="1069" t="s">
        <v>1198</v>
      </c>
      <c r="E171" s="1081">
        <v>299</v>
      </c>
      <c r="F171" s="1081">
        <v>195</v>
      </c>
      <c r="G171" s="1070"/>
      <c r="H171" s="1157"/>
    </row>
    <row r="172" spans="1:8" s="813" customFormat="1">
      <c r="A172" s="1111" t="s">
        <v>387</v>
      </c>
      <c r="B172" s="1072" t="s">
        <v>1572</v>
      </c>
      <c r="C172" s="1085" t="s">
        <v>31</v>
      </c>
      <c r="D172" s="1069">
        <v>17</v>
      </c>
      <c r="E172" s="1081">
        <v>302</v>
      </c>
      <c r="F172" s="1081">
        <v>195</v>
      </c>
      <c r="G172" s="1070">
        <f t="shared" ref="G172:G174" si="14">(E172+F172)*D172</f>
        <v>8449</v>
      </c>
      <c r="H172" s="1157"/>
    </row>
    <row r="173" spans="1:8" s="813" customFormat="1">
      <c r="A173" s="1111" t="s">
        <v>388</v>
      </c>
      <c r="B173" s="1072" t="s">
        <v>1573</v>
      </c>
      <c r="C173" s="1085" t="s">
        <v>31</v>
      </c>
      <c r="D173" s="1142">
        <v>83</v>
      </c>
      <c r="E173" s="1081">
        <v>377</v>
      </c>
      <c r="F173" s="1081">
        <v>195</v>
      </c>
      <c r="G173" s="1070">
        <f t="shared" si="14"/>
        <v>47476</v>
      </c>
      <c r="H173" s="1157"/>
    </row>
    <row r="174" spans="1:8" s="813" customFormat="1">
      <c r="A174" s="1111" t="s">
        <v>389</v>
      </c>
      <c r="B174" s="1072" t="s">
        <v>1577</v>
      </c>
      <c r="C174" s="1085" t="s">
        <v>31</v>
      </c>
      <c r="D174" s="1069">
        <v>25</v>
      </c>
      <c r="E174" s="1081">
        <v>449</v>
      </c>
      <c r="F174" s="1081">
        <v>195</v>
      </c>
      <c r="G174" s="1070">
        <f t="shared" si="14"/>
        <v>16100</v>
      </c>
      <c r="H174" s="1157"/>
    </row>
    <row r="175" spans="1:8" s="813" customFormat="1">
      <c r="A175" s="1111" t="s">
        <v>390</v>
      </c>
      <c r="B175" s="1072" t="s">
        <v>1578</v>
      </c>
      <c r="C175" s="1085" t="s">
        <v>31</v>
      </c>
      <c r="D175" s="1069" t="s">
        <v>1198</v>
      </c>
      <c r="E175" s="1081">
        <v>910</v>
      </c>
      <c r="F175" s="1081">
        <v>195</v>
      </c>
      <c r="G175" s="1070"/>
      <c r="H175" s="1157"/>
    </row>
    <row r="176" spans="1:8" s="813" customFormat="1">
      <c r="A176" s="1111"/>
      <c r="B176" s="1072"/>
      <c r="C176" s="1085"/>
      <c r="D176" s="1156"/>
      <c r="E176" s="1156"/>
      <c r="F176" s="1150"/>
      <c r="G176" s="1070"/>
      <c r="H176" s="1157"/>
    </row>
    <row r="177" spans="1:8" s="813" customFormat="1">
      <c r="A177" s="1086">
        <v>12.3</v>
      </c>
      <c r="B177" s="1112" t="s">
        <v>1579</v>
      </c>
      <c r="C177" s="1085"/>
      <c r="D177" s="1158"/>
      <c r="E177" s="1156"/>
      <c r="F177" s="1150"/>
      <c r="G177" s="1070"/>
      <c r="H177" s="1157"/>
    </row>
    <row r="178" spans="1:8" ht="65">
      <c r="A178" s="1111"/>
      <c r="B178" s="1087" t="s">
        <v>2361</v>
      </c>
      <c r="C178" s="1085"/>
      <c r="D178" s="1158"/>
      <c r="E178" s="1156"/>
      <c r="F178" s="1150"/>
      <c r="G178" s="1070"/>
      <c r="H178" s="1157"/>
    </row>
    <row r="179" spans="1:8">
      <c r="A179" s="1111"/>
      <c r="B179" s="1087" t="s">
        <v>1580</v>
      </c>
      <c r="C179" s="1085"/>
      <c r="D179" s="1158"/>
      <c r="E179" s="1156"/>
      <c r="F179" s="1150"/>
      <c r="G179" s="1070"/>
      <c r="H179" s="1157"/>
    </row>
    <row r="180" spans="1:8">
      <c r="A180" s="1111" t="s">
        <v>385</v>
      </c>
      <c r="B180" s="1087" t="s">
        <v>1571</v>
      </c>
      <c r="C180" s="1085" t="s">
        <v>31</v>
      </c>
      <c r="D180" s="1069" t="s">
        <v>1198</v>
      </c>
      <c r="E180" s="1081">
        <v>585</v>
      </c>
      <c r="F180" s="1081">
        <v>195</v>
      </c>
      <c r="G180" s="1070"/>
      <c r="H180" s="1157"/>
    </row>
    <row r="181" spans="1:8">
      <c r="A181" s="1111" t="s">
        <v>387</v>
      </c>
      <c r="B181" s="1087" t="s">
        <v>1572</v>
      </c>
      <c r="C181" s="1085" t="s">
        <v>31</v>
      </c>
      <c r="D181" s="1069" t="s">
        <v>1198</v>
      </c>
      <c r="E181" s="1081">
        <v>650</v>
      </c>
      <c r="F181" s="1081">
        <v>195</v>
      </c>
      <c r="G181" s="1070"/>
      <c r="H181" s="1157"/>
    </row>
    <row r="182" spans="1:8">
      <c r="A182" s="1111"/>
      <c r="B182" s="1087"/>
      <c r="C182" s="1085"/>
      <c r="D182" s="1158"/>
      <c r="E182" s="1156"/>
      <c r="F182" s="1150"/>
      <c r="G182" s="1070"/>
      <c r="H182" s="1157"/>
    </row>
    <row r="183" spans="1:8">
      <c r="A183" s="1086">
        <v>12.4</v>
      </c>
      <c r="B183" s="1067" t="s">
        <v>1581</v>
      </c>
      <c r="C183" s="1085"/>
      <c r="D183" s="1156"/>
      <c r="E183" s="1156"/>
      <c r="F183" s="1150"/>
      <c r="G183" s="1070"/>
      <c r="H183" s="1157"/>
    </row>
    <row r="184" spans="1:8" ht="39">
      <c r="A184" s="1086"/>
      <c r="B184" s="1067" t="s">
        <v>1582</v>
      </c>
      <c r="C184" s="1085"/>
      <c r="D184" s="1156"/>
      <c r="E184" s="1156"/>
      <c r="F184" s="1150"/>
      <c r="G184" s="1070"/>
      <c r="H184" s="1157"/>
    </row>
    <row r="185" spans="1:8" s="813" customFormat="1" ht="65">
      <c r="A185" s="1086"/>
      <c r="B185" s="1072" t="s">
        <v>2362</v>
      </c>
      <c r="C185" s="1085" t="s">
        <v>10</v>
      </c>
      <c r="D185" s="1069">
        <v>120</v>
      </c>
      <c r="E185" s="1081">
        <v>1502</v>
      </c>
      <c r="F185" s="1081">
        <v>377</v>
      </c>
      <c r="G185" s="1070">
        <f t="shared" ref="G185" si="15">(E185+F185)*D185</f>
        <v>225480</v>
      </c>
      <c r="H185" s="1157"/>
    </row>
    <row r="186" spans="1:8" s="813" customFormat="1">
      <c r="A186" s="1086"/>
      <c r="B186" s="1072"/>
      <c r="C186" s="1085"/>
      <c r="D186" s="1158"/>
      <c r="E186" s="1156"/>
      <c r="F186" s="1150"/>
      <c r="G186" s="1070"/>
      <c r="H186" s="1157"/>
    </row>
    <row r="187" spans="1:8" s="813" customFormat="1">
      <c r="A187" s="1086">
        <v>12.5</v>
      </c>
      <c r="B187" s="1067" t="s">
        <v>1583</v>
      </c>
      <c r="C187" s="1068"/>
      <c r="D187" s="1156"/>
      <c r="E187" s="1156"/>
      <c r="F187" s="1150"/>
      <c r="G187" s="1070"/>
      <c r="H187" s="1151"/>
    </row>
    <row r="188" spans="1:8" s="813" customFormat="1" ht="26">
      <c r="A188" s="1159"/>
      <c r="B188" s="1106" t="s">
        <v>2363</v>
      </c>
      <c r="C188" s="1068" t="s">
        <v>10</v>
      </c>
      <c r="D188" s="1069">
        <v>12</v>
      </c>
      <c r="E188" s="1081">
        <v>12836</v>
      </c>
      <c r="F188" s="1081">
        <v>1803</v>
      </c>
      <c r="G188" s="1070">
        <f t="shared" ref="G188" si="16">(E188+F188)*D188</f>
        <v>175668</v>
      </c>
      <c r="H188" s="1151"/>
    </row>
    <row r="189" spans="1:8" s="813" customFormat="1">
      <c r="A189" s="1159"/>
      <c r="B189" s="1072"/>
      <c r="C189" s="1068"/>
      <c r="D189" s="1156"/>
      <c r="E189" s="1156"/>
      <c r="F189" s="1150"/>
      <c r="G189" s="1070"/>
      <c r="H189" s="1151"/>
    </row>
    <row r="190" spans="1:8" s="813" customFormat="1">
      <c r="A190" s="1086">
        <v>12.6</v>
      </c>
      <c r="B190" s="1067" t="s">
        <v>1584</v>
      </c>
      <c r="C190" s="1068"/>
      <c r="D190" s="1156"/>
      <c r="E190" s="1156"/>
      <c r="F190" s="1150"/>
      <c r="G190" s="1070"/>
      <c r="H190" s="1151"/>
    </row>
    <row r="191" spans="1:8" ht="39">
      <c r="A191" s="1159"/>
      <c r="B191" s="1110" t="s">
        <v>2364</v>
      </c>
      <c r="C191" s="1068" t="s">
        <v>10</v>
      </c>
      <c r="D191" s="1069">
        <v>22</v>
      </c>
      <c r="E191" s="1081">
        <v>6045</v>
      </c>
      <c r="F191" s="1081">
        <v>1803</v>
      </c>
      <c r="G191" s="1070">
        <f t="shared" ref="G191" si="17">(E191+F191)*D191</f>
        <v>172656</v>
      </c>
      <c r="H191" s="1151"/>
    </row>
    <row r="192" spans="1:8">
      <c r="A192" s="1159"/>
      <c r="B192" s="1160"/>
      <c r="C192" s="1068"/>
      <c r="D192" s="1156"/>
      <c r="E192" s="1156"/>
      <c r="F192" s="1150"/>
      <c r="G192" s="1070"/>
      <c r="H192" s="1151"/>
    </row>
    <row r="193" spans="1:8">
      <c r="A193" s="1080">
        <v>12.7</v>
      </c>
      <c r="B193" s="1067" t="s">
        <v>1585</v>
      </c>
      <c r="C193" s="1068"/>
      <c r="D193" s="1069"/>
      <c r="E193" s="1161"/>
      <c r="F193" s="1070"/>
      <c r="G193" s="1070"/>
      <c r="H193" s="1068"/>
    </row>
    <row r="194" spans="1:8" ht="104">
      <c r="A194" s="1129"/>
      <c r="B194" s="1160" t="s">
        <v>2365</v>
      </c>
      <c r="C194" s="1085" t="s">
        <v>10</v>
      </c>
      <c r="D194" s="1069" t="s">
        <v>1198</v>
      </c>
      <c r="E194" s="1081">
        <v>17550</v>
      </c>
      <c r="F194" s="1081">
        <v>1950</v>
      </c>
      <c r="G194" s="1070"/>
      <c r="H194" s="1085"/>
    </row>
    <row r="195" spans="1:8" ht="26">
      <c r="A195" s="1111" t="s">
        <v>385</v>
      </c>
      <c r="B195" s="1067" t="s">
        <v>1586</v>
      </c>
      <c r="C195" s="1085" t="s">
        <v>16</v>
      </c>
      <c r="D195" s="1069" t="s">
        <v>1198</v>
      </c>
      <c r="E195" s="1081">
        <v>18200</v>
      </c>
      <c r="F195" s="1081">
        <v>1300</v>
      </c>
      <c r="G195" s="1070"/>
      <c r="H195" s="1085"/>
    </row>
    <row r="196" spans="1:8" ht="39">
      <c r="A196" s="1086" t="s">
        <v>387</v>
      </c>
      <c r="B196" s="1144" t="s">
        <v>2366</v>
      </c>
      <c r="C196" s="1085" t="s">
        <v>16</v>
      </c>
      <c r="D196" s="1069" t="s">
        <v>1198</v>
      </c>
      <c r="E196" s="1081">
        <v>845</v>
      </c>
      <c r="F196" s="1081">
        <v>130</v>
      </c>
      <c r="G196" s="1070"/>
      <c r="H196" s="1085"/>
    </row>
    <row r="197" spans="1:8" ht="26">
      <c r="A197" s="1086" t="s">
        <v>388</v>
      </c>
      <c r="B197" s="1162" t="s">
        <v>2367</v>
      </c>
      <c r="C197" s="1085" t="s">
        <v>31</v>
      </c>
      <c r="D197" s="1069" t="s">
        <v>1198</v>
      </c>
      <c r="E197" s="1081">
        <v>195</v>
      </c>
      <c r="F197" s="1081">
        <v>85</v>
      </c>
      <c r="G197" s="1070"/>
      <c r="H197" s="1085"/>
    </row>
    <row r="198" spans="1:8" ht="39">
      <c r="A198" s="1086" t="s">
        <v>389</v>
      </c>
      <c r="B198" s="1067" t="s">
        <v>2368</v>
      </c>
      <c r="C198" s="1085" t="s">
        <v>16</v>
      </c>
      <c r="D198" s="1069" t="s">
        <v>1198</v>
      </c>
      <c r="E198" s="1081">
        <v>8450</v>
      </c>
      <c r="F198" s="1081">
        <v>650</v>
      </c>
      <c r="G198" s="1070"/>
      <c r="H198" s="1085"/>
    </row>
    <row r="199" spans="1:8">
      <c r="A199" s="1086"/>
      <c r="B199" s="1067"/>
      <c r="C199" s="1085"/>
      <c r="D199" s="1069"/>
      <c r="E199" s="1081"/>
      <c r="F199" s="1081"/>
      <c r="G199" s="1070"/>
      <c r="H199" s="1085"/>
    </row>
    <row r="200" spans="1:8">
      <c r="A200" s="1086">
        <v>12.8</v>
      </c>
      <c r="B200" s="1067" t="s">
        <v>1587</v>
      </c>
      <c r="C200" s="1068"/>
      <c r="D200" s="1156"/>
      <c r="E200" s="1156"/>
      <c r="F200" s="1150"/>
      <c r="G200" s="1070"/>
      <c r="H200" s="1151"/>
    </row>
    <row r="201" spans="1:8" ht="26">
      <c r="A201" s="1159"/>
      <c r="B201" s="1163" t="s">
        <v>2369</v>
      </c>
      <c r="C201" s="1068" t="s">
        <v>10</v>
      </c>
      <c r="D201" s="1069" t="s">
        <v>1198</v>
      </c>
      <c r="E201" s="1081">
        <v>845</v>
      </c>
      <c r="F201" s="1081">
        <v>195</v>
      </c>
      <c r="G201" s="1070"/>
      <c r="H201" s="1151"/>
    </row>
    <row r="202" spans="1:8">
      <c r="A202" s="1159"/>
      <c r="B202" s="1160"/>
      <c r="C202" s="1068"/>
      <c r="D202" s="1156"/>
      <c r="E202" s="1156"/>
      <c r="F202" s="1150"/>
      <c r="G202" s="1070"/>
      <c r="H202" s="1151"/>
    </row>
    <row r="203" spans="1:8">
      <c r="A203" s="1086">
        <v>12.9</v>
      </c>
      <c r="B203" s="1067" t="s">
        <v>1588</v>
      </c>
      <c r="C203" s="1068"/>
      <c r="D203" s="1156"/>
      <c r="E203" s="1156"/>
      <c r="F203" s="1150"/>
      <c r="G203" s="1070"/>
      <c r="H203" s="1151"/>
    </row>
    <row r="204" spans="1:8" s="813" customFormat="1" ht="39">
      <c r="A204" s="1159"/>
      <c r="B204" s="1164" t="s">
        <v>2370</v>
      </c>
      <c r="C204" s="1085" t="s">
        <v>10</v>
      </c>
      <c r="D204" s="1069">
        <v>14</v>
      </c>
      <c r="E204" s="1081">
        <v>6734</v>
      </c>
      <c r="F204" s="1081">
        <v>1333</v>
      </c>
      <c r="G204" s="1070">
        <f t="shared" ref="G204" si="18">(E204+F204)*D204</f>
        <v>112938</v>
      </c>
      <c r="H204" s="1151"/>
    </row>
    <row r="205" spans="1:8" s="813" customFormat="1">
      <c r="A205" s="1159"/>
      <c r="B205" s="1164"/>
      <c r="C205" s="1085"/>
      <c r="D205" s="1158"/>
      <c r="E205" s="1156"/>
      <c r="F205" s="1150"/>
      <c r="G205" s="1070"/>
      <c r="H205" s="1151"/>
    </row>
    <row r="206" spans="1:8" s="813" customFormat="1">
      <c r="A206" s="1093">
        <v>12.1</v>
      </c>
      <c r="B206" s="1067" t="s">
        <v>1589</v>
      </c>
      <c r="C206" s="1068"/>
      <c r="D206" s="1156"/>
      <c r="E206" s="1156"/>
      <c r="F206" s="1150"/>
      <c r="G206" s="1070"/>
      <c r="H206" s="1151"/>
    </row>
    <row r="207" spans="1:8" s="813" customFormat="1" ht="78">
      <c r="A207" s="1159"/>
      <c r="B207" s="1121" t="s">
        <v>2371</v>
      </c>
      <c r="C207" s="1068" t="s">
        <v>10</v>
      </c>
      <c r="D207" s="1069">
        <v>152</v>
      </c>
      <c r="E207" s="1081">
        <v>2756</v>
      </c>
      <c r="F207" s="1081">
        <v>481</v>
      </c>
      <c r="G207" s="1070">
        <f t="shared" ref="G207" si="19">(E207+F207)*D207</f>
        <v>492024</v>
      </c>
      <c r="H207" s="1151"/>
    </row>
    <row r="208" spans="1:8" s="813" customFormat="1">
      <c r="A208" s="1159"/>
      <c r="B208" s="1072"/>
      <c r="C208" s="1068"/>
      <c r="D208" s="1165" t="s">
        <v>1590</v>
      </c>
      <c r="E208" s="1156"/>
      <c r="F208" s="1150"/>
      <c r="G208" s="1070"/>
      <c r="H208" s="1151"/>
    </row>
    <row r="209" spans="1:8" s="813" customFormat="1">
      <c r="A209" s="1079">
        <v>12.11</v>
      </c>
      <c r="B209" s="1067" t="s">
        <v>1591</v>
      </c>
      <c r="C209" s="1068"/>
      <c r="D209" s="1156"/>
      <c r="E209" s="1156"/>
      <c r="F209" s="1150"/>
      <c r="G209" s="1070"/>
      <c r="H209" s="1151"/>
    </row>
    <row r="210" spans="1:8" s="813" customFormat="1" ht="52">
      <c r="A210" s="1166"/>
      <c r="B210" s="1167" t="s">
        <v>2372</v>
      </c>
      <c r="C210" s="1068" t="s">
        <v>10</v>
      </c>
      <c r="D210" s="1069">
        <v>2</v>
      </c>
      <c r="E210" s="1081">
        <v>12740</v>
      </c>
      <c r="F210" s="1081">
        <v>1803</v>
      </c>
      <c r="G210" s="1070">
        <f t="shared" ref="G210" si="20">(E210+F210)*D210</f>
        <v>29086</v>
      </c>
      <c r="H210" s="1157"/>
    </row>
    <row r="211" spans="1:8" s="813" customFormat="1">
      <c r="A211" s="1168"/>
      <c r="B211" s="1163"/>
      <c r="C211" s="1068"/>
      <c r="D211" s="1156"/>
      <c r="E211" s="1156"/>
      <c r="F211" s="1150"/>
      <c r="G211" s="1070"/>
      <c r="H211" s="1151"/>
    </row>
    <row r="212" spans="1:8" s="813" customFormat="1">
      <c r="A212" s="1168">
        <v>12.12</v>
      </c>
      <c r="B212" s="1163" t="s">
        <v>1592</v>
      </c>
      <c r="C212" s="1068"/>
      <c r="D212" s="1156"/>
      <c r="E212" s="1156"/>
      <c r="F212" s="1150"/>
      <c r="G212" s="1070"/>
      <c r="H212" s="1151"/>
    </row>
    <row r="213" spans="1:8" s="813" customFormat="1" ht="52">
      <c r="A213" s="1166"/>
      <c r="B213" s="1167" t="s">
        <v>2373</v>
      </c>
      <c r="C213" s="1085" t="s">
        <v>10</v>
      </c>
      <c r="D213" s="1069">
        <v>2</v>
      </c>
      <c r="E213" s="1081">
        <v>12740</v>
      </c>
      <c r="F213" s="1081">
        <v>1803</v>
      </c>
      <c r="G213" s="1070">
        <f t="shared" ref="G213" si="21">(E213+F213)*D213</f>
        <v>29086</v>
      </c>
      <c r="H213" s="1157"/>
    </row>
    <row r="214" spans="1:8" s="813" customFormat="1">
      <c r="A214" s="1129"/>
      <c r="B214" s="1167"/>
      <c r="C214" s="1085"/>
      <c r="D214" s="1158"/>
      <c r="E214" s="1156"/>
      <c r="F214" s="1150"/>
      <c r="G214" s="1070"/>
      <c r="H214" s="1157"/>
    </row>
    <row r="215" spans="1:8">
      <c r="A215" s="1129">
        <v>12.13</v>
      </c>
      <c r="B215" s="1167" t="s">
        <v>1593</v>
      </c>
      <c r="C215" s="1085"/>
      <c r="D215" s="1158"/>
      <c r="E215" s="1156"/>
      <c r="F215" s="1150"/>
      <c r="G215" s="1070"/>
      <c r="H215" s="1157"/>
    </row>
    <row r="216" spans="1:8" s="813" customFormat="1" ht="65">
      <c r="A216" s="1166"/>
      <c r="B216" s="1067" t="s">
        <v>2374</v>
      </c>
      <c r="C216" s="1085" t="s">
        <v>10</v>
      </c>
      <c r="D216" s="1069">
        <v>0</v>
      </c>
      <c r="E216" s="1081">
        <v>17550</v>
      </c>
      <c r="F216" s="1081">
        <v>780</v>
      </c>
      <c r="G216" s="1070">
        <f t="shared" ref="G216" si="22">(E216+F216)*D216</f>
        <v>0</v>
      </c>
      <c r="H216" s="1157"/>
    </row>
    <row r="217" spans="1:8">
      <c r="A217" s="1129"/>
      <c r="B217" s="1067"/>
      <c r="C217" s="1085"/>
      <c r="D217" s="1156"/>
      <c r="E217" s="1156"/>
      <c r="F217" s="1150"/>
      <c r="G217" s="1070"/>
      <c r="H217" s="1157"/>
    </row>
    <row r="218" spans="1:8" s="813" customFormat="1">
      <c r="A218" s="1129">
        <v>12.14</v>
      </c>
      <c r="B218" s="1167" t="s">
        <v>1594</v>
      </c>
      <c r="C218" s="1085"/>
      <c r="D218" s="1158"/>
      <c r="E218" s="1156"/>
      <c r="F218" s="1150"/>
      <c r="G218" s="1070"/>
      <c r="H218" s="1157"/>
    </row>
    <row r="219" spans="1:8" s="813" customFormat="1" ht="65">
      <c r="A219" s="1166"/>
      <c r="B219" s="1067" t="s">
        <v>2375</v>
      </c>
      <c r="C219" s="1085" t="s">
        <v>10</v>
      </c>
      <c r="D219" s="1069">
        <v>1.5</v>
      </c>
      <c r="E219" s="1081">
        <v>13170</v>
      </c>
      <c r="F219" s="1081">
        <v>780</v>
      </c>
      <c r="G219" s="1070">
        <f t="shared" ref="G219" si="23">(E219+F219)*D219</f>
        <v>20925</v>
      </c>
      <c r="H219" s="1157"/>
    </row>
    <row r="220" spans="1:8">
      <c r="A220" s="1166"/>
      <c r="B220" s="1067"/>
      <c r="C220" s="1085"/>
      <c r="D220" s="1158"/>
      <c r="E220" s="1156"/>
      <c r="F220" s="1150"/>
      <c r="G220" s="1070"/>
      <c r="H220" s="1157"/>
    </row>
    <row r="221" spans="1:8">
      <c r="A221" s="1166">
        <v>12.15</v>
      </c>
      <c r="B221" s="1067" t="s">
        <v>1595</v>
      </c>
      <c r="C221" s="1085"/>
      <c r="D221" s="1158"/>
      <c r="E221" s="1156"/>
      <c r="F221" s="1150"/>
      <c r="G221" s="1070"/>
      <c r="H221" s="1157"/>
    </row>
    <row r="222" spans="1:8" s="813" customFormat="1" ht="39">
      <c r="A222" s="1166"/>
      <c r="B222" s="1112" t="s">
        <v>2376</v>
      </c>
      <c r="C222" s="1085" t="s">
        <v>1596</v>
      </c>
      <c r="D222" s="1069">
        <v>0</v>
      </c>
      <c r="E222" s="1081">
        <v>1283</v>
      </c>
      <c r="F222" s="1081">
        <v>437</v>
      </c>
      <c r="G222" s="1070">
        <f t="shared" ref="G222" si="24">(E222+F222)*D222</f>
        <v>0</v>
      </c>
      <c r="H222" s="1157"/>
    </row>
    <row r="223" spans="1:8" s="813" customFormat="1">
      <c r="A223" s="1169"/>
      <c r="B223" s="1170"/>
      <c r="C223" s="1171"/>
      <c r="D223" s="1172"/>
      <c r="E223" s="1173"/>
      <c r="F223" s="1173"/>
      <c r="G223" s="1174"/>
      <c r="H223" s="1175"/>
    </row>
    <row r="224" spans="1:8" s="813" customFormat="1">
      <c r="A224" s="1176">
        <v>12.16</v>
      </c>
      <c r="B224" s="1177" t="s">
        <v>1597</v>
      </c>
      <c r="C224" s="1178"/>
      <c r="D224" s="1069"/>
      <c r="E224" s="1081"/>
      <c r="F224" s="1081"/>
      <c r="G224" s="1070"/>
      <c r="H224" s="1157"/>
    </row>
    <row r="225" spans="1:8" s="813" customFormat="1" ht="52">
      <c r="A225" s="1179"/>
      <c r="B225" s="1167" t="s">
        <v>2377</v>
      </c>
      <c r="C225" s="1085" t="s">
        <v>1596</v>
      </c>
      <c r="D225" s="1069">
        <v>25</v>
      </c>
      <c r="E225" s="1081">
        <v>3250</v>
      </c>
      <c r="F225" s="1081">
        <v>975</v>
      </c>
      <c r="G225" s="1070">
        <f t="shared" ref="G225" si="25">(E225+F225)*D225</f>
        <v>105625</v>
      </c>
      <c r="H225" s="1157"/>
    </row>
    <row r="226" spans="1:8" s="813" customFormat="1">
      <c r="A226" s="1126"/>
      <c r="B226" s="1127" t="s">
        <v>1598</v>
      </c>
      <c r="C226" s="1090"/>
      <c r="D226" s="1091"/>
      <c r="E226" s="1128"/>
      <c r="F226" s="1128"/>
      <c r="G226" s="1128">
        <f>SUM(G160:G225)</f>
        <v>1525568</v>
      </c>
      <c r="H226" s="1090"/>
    </row>
    <row r="227" spans="1:8" s="813" customFormat="1">
      <c r="A227" s="1129"/>
      <c r="B227" s="1067"/>
      <c r="C227" s="1085"/>
      <c r="D227" s="1156"/>
      <c r="E227" s="1156"/>
      <c r="F227" s="1150"/>
      <c r="G227" s="1070"/>
      <c r="H227" s="1157"/>
    </row>
    <row r="228" spans="1:8" s="813" customFormat="1">
      <c r="A228" s="1077">
        <v>13</v>
      </c>
      <c r="B228" s="1078" t="s">
        <v>1599</v>
      </c>
      <c r="C228" s="1085"/>
      <c r="D228" s="1158"/>
      <c r="E228" s="1156"/>
      <c r="F228" s="1150"/>
      <c r="G228" s="1070"/>
      <c r="H228" s="1157"/>
    </row>
    <row r="229" spans="1:8" s="813" customFormat="1">
      <c r="A229" s="1086">
        <v>13.1</v>
      </c>
      <c r="B229" s="1067" t="s">
        <v>1600</v>
      </c>
      <c r="C229" s="1068"/>
      <c r="D229" s="1156"/>
      <c r="E229" s="1156"/>
      <c r="F229" s="1150"/>
      <c r="G229" s="1070"/>
      <c r="H229" s="1151"/>
    </row>
    <row r="230" spans="1:8" s="813" customFormat="1" ht="39">
      <c r="A230" s="1086"/>
      <c r="B230" s="1067" t="s">
        <v>1601</v>
      </c>
      <c r="C230" s="1068"/>
      <c r="D230" s="1156"/>
      <c r="E230" s="1156"/>
      <c r="F230" s="1150"/>
      <c r="G230" s="1070"/>
      <c r="H230" s="1151"/>
    </row>
    <row r="231" spans="1:8" s="813" customFormat="1">
      <c r="A231" s="1111"/>
      <c r="B231" s="1112" t="s">
        <v>1602</v>
      </c>
      <c r="C231" s="1085"/>
      <c r="D231" s="1156"/>
      <c r="E231" s="1156"/>
      <c r="F231" s="1150"/>
      <c r="G231" s="1070"/>
      <c r="H231" s="1157"/>
    </row>
    <row r="232" spans="1:8" s="813" customFormat="1">
      <c r="A232" s="1111" t="s">
        <v>385</v>
      </c>
      <c r="B232" s="1072" t="s">
        <v>1603</v>
      </c>
      <c r="C232" s="1068" t="s">
        <v>16</v>
      </c>
      <c r="D232" s="1069" t="s">
        <v>1198</v>
      </c>
      <c r="E232" s="1081">
        <v>2795</v>
      </c>
      <c r="F232" s="1081">
        <v>361</v>
      </c>
      <c r="G232" s="1070"/>
      <c r="H232" s="1157"/>
    </row>
    <row r="233" spans="1:8" s="813" customFormat="1">
      <c r="A233" s="1111" t="s">
        <v>387</v>
      </c>
      <c r="B233" s="1072" t="s">
        <v>1604</v>
      </c>
      <c r="C233" s="1068" t="s">
        <v>16</v>
      </c>
      <c r="D233" s="1069">
        <v>12</v>
      </c>
      <c r="E233" s="1081">
        <v>2795</v>
      </c>
      <c r="F233" s="1081">
        <v>361</v>
      </c>
      <c r="G233" s="1070">
        <f t="shared" ref="G233:G234" si="26">(E233+F233)*D233</f>
        <v>37872</v>
      </c>
      <c r="H233" s="1157"/>
    </row>
    <row r="234" spans="1:8" s="813" customFormat="1">
      <c r="A234" s="1111" t="s">
        <v>388</v>
      </c>
      <c r="B234" s="1072" t="s">
        <v>1605</v>
      </c>
      <c r="C234" s="1068" t="s">
        <v>16</v>
      </c>
      <c r="D234" s="1069">
        <v>26</v>
      </c>
      <c r="E234" s="1081">
        <v>3046</v>
      </c>
      <c r="F234" s="1081">
        <v>361</v>
      </c>
      <c r="G234" s="1070">
        <f t="shared" si="26"/>
        <v>88582</v>
      </c>
      <c r="H234" s="1157"/>
    </row>
    <row r="235" spans="1:8" s="813" customFormat="1">
      <c r="A235" s="1111" t="s">
        <v>389</v>
      </c>
      <c r="B235" s="1072" t="s">
        <v>1606</v>
      </c>
      <c r="C235" s="1068" t="s">
        <v>16</v>
      </c>
      <c r="D235" s="1069" t="s">
        <v>1198</v>
      </c>
      <c r="E235" s="1081">
        <v>3315</v>
      </c>
      <c r="F235" s="1081">
        <v>361</v>
      </c>
      <c r="G235" s="1070"/>
      <c r="H235" s="1157"/>
    </row>
    <row r="236" spans="1:8" s="813" customFormat="1">
      <c r="A236" s="1111" t="s">
        <v>390</v>
      </c>
      <c r="B236" s="1072" t="s">
        <v>1607</v>
      </c>
      <c r="C236" s="1068" t="s">
        <v>16</v>
      </c>
      <c r="D236" s="1440" t="s">
        <v>1198</v>
      </c>
      <c r="E236" s="1081">
        <v>3354</v>
      </c>
      <c r="F236" s="1081">
        <v>361</v>
      </c>
      <c r="G236" s="1070"/>
      <c r="H236" s="1157"/>
    </row>
    <row r="237" spans="1:8" s="813" customFormat="1">
      <c r="A237" s="1111"/>
      <c r="B237" s="1072"/>
      <c r="C237" s="1068"/>
      <c r="D237" s="1156"/>
      <c r="E237" s="1156"/>
      <c r="F237" s="1150"/>
      <c r="G237" s="1070"/>
      <c r="H237" s="1157"/>
    </row>
    <row r="238" spans="1:8" s="813" customFormat="1">
      <c r="A238" s="1086">
        <v>13.2</v>
      </c>
      <c r="B238" s="1067" t="s">
        <v>1608</v>
      </c>
      <c r="C238" s="1068"/>
      <c r="D238" s="1156"/>
      <c r="E238" s="1156"/>
      <c r="F238" s="1150"/>
      <c r="G238" s="1070"/>
      <c r="H238" s="1157"/>
    </row>
    <row r="239" spans="1:8" s="813" customFormat="1" ht="39">
      <c r="A239" s="1111"/>
      <c r="B239" s="1072" t="s">
        <v>2378</v>
      </c>
      <c r="C239" s="1068"/>
      <c r="D239" s="1156"/>
      <c r="E239" s="1156"/>
      <c r="F239" s="1150"/>
      <c r="G239" s="1070"/>
      <c r="H239" s="1157"/>
    </row>
    <row r="240" spans="1:8" s="813" customFormat="1">
      <c r="A240" s="1111"/>
      <c r="B240" s="1112" t="s">
        <v>1602</v>
      </c>
      <c r="C240" s="1085"/>
      <c r="D240" s="1156"/>
      <c r="E240" s="1156"/>
      <c r="F240" s="1150"/>
      <c r="G240" s="1070"/>
      <c r="H240" s="1157"/>
    </row>
    <row r="241" spans="1:8" s="813" customFormat="1">
      <c r="A241" s="1111" t="s">
        <v>385</v>
      </c>
      <c r="B241" s="1072" t="s">
        <v>1603</v>
      </c>
      <c r="C241" s="1068" t="s">
        <v>16</v>
      </c>
      <c r="D241" s="1069" t="s">
        <v>1198</v>
      </c>
      <c r="E241" s="1081">
        <v>2574</v>
      </c>
      <c r="F241" s="1081">
        <v>361</v>
      </c>
      <c r="G241" s="1070"/>
      <c r="H241" s="1157"/>
    </row>
    <row r="242" spans="1:8" s="813" customFormat="1">
      <c r="A242" s="1111" t="s">
        <v>387</v>
      </c>
      <c r="B242" s="1072" t="s">
        <v>1604</v>
      </c>
      <c r="C242" s="1068" t="s">
        <v>16</v>
      </c>
      <c r="D242" s="1069">
        <v>10</v>
      </c>
      <c r="E242" s="1081">
        <v>2574</v>
      </c>
      <c r="F242" s="1081">
        <v>361</v>
      </c>
      <c r="G242" s="1070">
        <f t="shared" ref="G242:G243" si="27">(E242+F242)*D242</f>
        <v>29350</v>
      </c>
      <c r="H242" s="1157"/>
    </row>
    <row r="243" spans="1:8" s="813" customFormat="1">
      <c r="A243" s="1111" t="s">
        <v>388</v>
      </c>
      <c r="B243" s="1072" t="s">
        <v>1609</v>
      </c>
      <c r="C243" s="1068" t="s">
        <v>16</v>
      </c>
      <c r="D243" s="1069">
        <v>26</v>
      </c>
      <c r="E243" s="1081">
        <v>2847</v>
      </c>
      <c r="F243" s="1081">
        <v>361</v>
      </c>
      <c r="G243" s="1070">
        <f t="shared" si="27"/>
        <v>83408</v>
      </c>
      <c r="H243" s="1157"/>
    </row>
    <row r="244" spans="1:8">
      <c r="A244" s="1111" t="s">
        <v>389</v>
      </c>
      <c r="B244" s="1072" t="s">
        <v>1606</v>
      </c>
      <c r="C244" s="1068" t="s">
        <v>16</v>
      </c>
      <c r="D244" s="1069" t="s">
        <v>1198</v>
      </c>
      <c r="E244" s="1081">
        <v>3016</v>
      </c>
      <c r="F244" s="1081">
        <v>361</v>
      </c>
      <c r="G244" s="1070"/>
      <c r="H244" s="1157"/>
    </row>
    <row r="245" spans="1:8">
      <c r="A245" s="1111" t="s">
        <v>390</v>
      </c>
      <c r="B245" s="1072" t="s">
        <v>1607</v>
      </c>
      <c r="C245" s="1068" t="s">
        <v>16</v>
      </c>
      <c r="D245" s="1440" t="s">
        <v>1198</v>
      </c>
      <c r="E245" s="1081">
        <v>3042</v>
      </c>
      <c r="F245" s="1081">
        <v>361</v>
      </c>
      <c r="G245" s="1070"/>
      <c r="H245" s="1157"/>
    </row>
    <row r="246" spans="1:8" s="813" customFormat="1">
      <c r="A246" s="1111"/>
      <c r="B246" s="1072"/>
      <c r="C246" s="1068"/>
      <c r="D246" s="1156"/>
      <c r="E246" s="1156"/>
      <c r="F246" s="1150"/>
      <c r="G246" s="1070"/>
      <c r="H246" s="1157"/>
    </row>
    <row r="247" spans="1:8" s="813" customFormat="1">
      <c r="A247" s="1086">
        <v>13.3</v>
      </c>
      <c r="B247" s="1067" t="s">
        <v>1610</v>
      </c>
      <c r="C247" s="1068"/>
      <c r="D247" s="1156"/>
      <c r="E247" s="1156"/>
      <c r="F247" s="1150"/>
      <c r="G247" s="1070"/>
      <c r="H247" s="1157"/>
    </row>
    <row r="248" spans="1:8" s="813" customFormat="1" ht="39">
      <c r="A248" s="1086"/>
      <c r="B248" s="1072" t="s">
        <v>2379</v>
      </c>
      <c r="C248" s="1068"/>
      <c r="D248" s="1156"/>
      <c r="E248" s="1156"/>
      <c r="F248" s="1150"/>
      <c r="G248" s="1070"/>
      <c r="H248" s="1157"/>
    </row>
    <row r="249" spans="1:8" s="813" customFormat="1">
      <c r="A249" s="1111" t="s">
        <v>385</v>
      </c>
      <c r="B249" s="1180" t="s">
        <v>1611</v>
      </c>
      <c r="C249" s="1068" t="s">
        <v>16</v>
      </c>
      <c r="D249" s="1069" t="s">
        <v>1198</v>
      </c>
      <c r="E249" s="1081">
        <v>4550</v>
      </c>
      <c r="F249" s="1081">
        <v>325</v>
      </c>
      <c r="G249" s="1070"/>
      <c r="H249" s="1157"/>
    </row>
    <row r="250" spans="1:8" s="813" customFormat="1">
      <c r="A250" s="1111" t="s">
        <v>387</v>
      </c>
      <c r="B250" s="1180" t="s">
        <v>1612</v>
      </c>
      <c r="C250" s="1068" t="s">
        <v>16</v>
      </c>
      <c r="D250" s="1069" t="s">
        <v>1198</v>
      </c>
      <c r="E250" s="1081">
        <v>4745</v>
      </c>
      <c r="F250" s="1081">
        <v>325</v>
      </c>
      <c r="G250" s="1070"/>
      <c r="H250" s="1157"/>
    </row>
    <row r="251" spans="1:8" s="813" customFormat="1">
      <c r="A251" s="1111" t="s">
        <v>388</v>
      </c>
      <c r="B251" s="1180" t="s">
        <v>1613</v>
      </c>
      <c r="C251" s="1068" t="s">
        <v>16</v>
      </c>
      <c r="D251" s="1069" t="s">
        <v>1198</v>
      </c>
      <c r="E251" s="1081">
        <v>5005</v>
      </c>
      <c r="F251" s="1081">
        <v>325</v>
      </c>
      <c r="G251" s="1070"/>
      <c r="H251" s="1157"/>
    </row>
    <row r="252" spans="1:8" s="813" customFormat="1">
      <c r="A252" s="1111"/>
      <c r="B252" s="1072"/>
      <c r="C252" s="1068"/>
      <c r="D252" s="1156"/>
      <c r="E252" s="1156"/>
      <c r="F252" s="1150"/>
      <c r="G252" s="1070"/>
      <c r="H252" s="1157"/>
    </row>
    <row r="253" spans="1:8">
      <c r="A253" s="1086">
        <v>13.4</v>
      </c>
      <c r="B253" s="1112" t="s">
        <v>1614</v>
      </c>
      <c r="C253" s="1085"/>
      <c r="D253" s="1156"/>
      <c r="E253" s="1156"/>
      <c r="F253" s="1150"/>
      <c r="G253" s="1070"/>
      <c r="H253" s="1151"/>
    </row>
    <row r="254" spans="1:8" ht="52">
      <c r="A254" s="1086"/>
      <c r="B254" s="1181" t="s">
        <v>2380</v>
      </c>
      <c r="C254" s="1085"/>
      <c r="D254" s="1156"/>
      <c r="E254" s="1156"/>
      <c r="F254" s="1150"/>
      <c r="G254" s="1070"/>
      <c r="H254" s="1151"/>
    </row>
    <row r="255" spans="1:8">
      <c r="A255" s="1111"/>
      <c r="B255" s="1112" t="s">
        <v>1602</v>
      </c>
      <c r="C255" s="1085"/>
      <c r="D255" s="1156"/>
      <c r="E255" s="1156"/>
      <c r="F255" s="1150"/>
      <c r="G255" s="1070"/>
      <c r="H255" s="1157"/>
    </row>
    <row r="256" spans="1:8">
      <c r="A256" s="1111" t="s">
        <v>385</v>
      </c>
      <c r="B256" s="1182" t="s">
        <v>1615</v>
      </c>
      <c r="C256" s="1085" t="s">
        <v>16</v>
      </c>
      <c r="D256" s="1069" t="s">
        <v>1198</v>
      </c>
      <c r="E256" s="1081">
        <v>4225</v>
      </c>
      <c r="F256" s="1081">
        <v>325</v>
      </c>
      <c r="G256" s="1070"/>
      <c r="H256" s="1157"/>
    </row>
    <row r="257" spans="1:8">
      <c r="A257" s="1111" t="s">
        <v>387</v>
      </c>
      <c r="B257" s="1182" t="s">
        <v>1616</v>
      </c>
      <c r="C257" s="1085" t="s">
        <v>16</v>
      </c>
      <c r="D257" s="1069" t="s">
        <v>1198</v>
      </c>
      <c r="E257" s="1081">
        <v>4355</v>
      </c>
      <c r="F257" s="1081">
        <v>325</v>
      </c>
      <c r="G257" s="1070"/>
      <c r="H257" s="1157"/>
    </row>
    <row r="258" spans="1:8">
      <c r="A258" s="1111" t="s">
        <v>388</v>
      </c>
      <c r="B258" s="1182" t="s">
        <v>1605</v>
      </c>
      <c r="C258" s="1085" t="s">
        <v>16</v>
      </c>
      <c r="D258" s="1069" t="s">
        <v>1198</v>
      </c>
      <c r="E258" s="1081">
        <v>4485</v>
      </c>
      <c r="F258" s="1081">
        <v>325</v>
      </c>
      <c r="G258" s="1070"/>
      <c r="H258" s="1157"/>
    </row>
    <row r="259" spans="1:8">
      <c r="A259" s="1111" t="s">
        <v>389</v>
      </c>
      <c r="B259" s="1182" t="s">
        <v>1617</v>
      </c>
      <c r="C259" s="1085" t="s">
        <v>16</v>
      </c>
      <c r="D259" s="1069" t="s">
        <v>1198</v>
      </c>
      <c r="E259" s="1081">
        <v>4745</v>
      </c>
      <c r="F259" s="1081">
        <v>325</v>
      </c>
      <c r="G259" s="1070"/>
      <c r="H259" s="1157"/>
    </row>
    <row r="260" spans="1:8">
      <c r="A260" s="1111" t="s">
        <v>390</v>
      </c>
      <c r="B260" s="1182" t="s">
        <v>1618</v>
      </c>
      <c r="C260" s="1085" t="s">
        <v>16</v>
      </c>
      <c r="D260" s="1069" t="s">
        <v>1198</v>
      </c>
      <c r="E260" s="1081">
        <v>5005</v>
      </c>
      <c r="F260" s="1081">
        <v>325</v>
      </c>
      <c r="G260" s="1070"/>
      <c r="H260" s="1157"/>
    </row>
    <row r="261" spans="1:8">
      <c r="A261" s="1111"/>
      <c r="B261" s="1087"/>
      <c r="C261" s="1085"/>
      <c r="D261" s="1156"/>
      <c r="E261" s="1156"/>
      <c r="F261" s="1150"/>
      <c r="G261" s="1070"/>
      <c r="H261" s="1157"/>
    </row>
    <row r="262" spans="1:8">
      <c r="A262" s="1086">
        <v>13.5</v>
      </c>
      <c r="B262" s="1112" t="s">
        <v>2381</v>
      </c>
      <c r="C262" s="1085"/>
      <c r="D262" s="1156"/>
      <c r="E262" s="1156"/>
      <c r="F262" s="1150"/>
      <c r="G262" s="1070"/>
      <c r="H262" s="1151"/>
    </row>
    <row r="263" spans="1:8" ht="52">
      <c r="A263" s="1086"/>
      <c r="B263" s="1181" t="s">
        <v>2380</v>
      </c>
      <c r="C263" s="1085"/>
      <c r="D263" s="1156"/>
      <c r="E263" s="1156"/>
      <c r="F263" s="1150"/>
      <c r="G263" s="1070"/>
      <c r="H263" s="1151"/>
    </row>
    <row r="264" spans="1:8">
      <c r="A264" s="1111"/>
      <c r="B264" s="1112" t="s">
        <v>2382</v>
      </c>
      <c r="C264" s="1085"/>
      <c r="D264" s="1156"/>
      <c r="E264" s="1156"/>
      <c r="F264" s="1150"/>
      <c r="G264" s="1070"/>
      <c r="H264" s="1157"/>
    </row>
    <row r="265" spans="1:8">
      <c r="A265" s="1111" t="s">
        <v>385</v>
      </c>
      <c r="B265" s="1182" t="s">
        <v>2383</v>
      </c>
      <c r="C265" s="1085" t="s">
        <v>16</v>
      </c>
      <c r="D265" s="1069">
        <v>30</v>
      </c>
      <c r="E265" s="1081">
        <v>8450</v>
      </c>
      <c r="F265" s="1081">
        <v>325</v>
      </c>
      <c r="G265" s="1070">
        <f t="shared" ref="G265" si="28">(E265+F265)*D265</f>
        <v>263250</v>
      </c>
      <c r="H265" s="1157"/>
    </row>
    <row r="266" spans="1:8">
      <c r="A266" s="1111"/>
      <c r="B266" s="1087"/>
      <c r="C266" s="1085"/>
      <c r="D266" s="1156"/>
      <c r="E266" s="1156"/>
      <c r="F266" s="1150"/>
      <c r="G266" s="1070"/>
      <c r="H266" s="1157"/>
    </row>
    <row r="267" spans="1:8">
      <c r="A267" s="1086">
        <v>13.6</v>
      </c>
      <c r="B267" s="1067" t="s">
        <v>1619</v>
      </c>
      <c r="C267" s="1068"/>
      <c r="D267" s="1156"/>
      <c r="E267" s="1156"/>
      <c r="F267" s="1150"/>
      <c r="G267" s="1070"/>
      <c r="H267" s="1151"/>
    </row>
    <row r="268" spans="1:8" s="813" customFormat="1" ht="78">
      <c r="A268" s="1159"/>
      <c r="B268" s="1167" t="s">
        <v>2384</v>
      </c>
      <c r="C268" s="1068"/>
      <c r="D268" s="1156"/>
      <c r="E268" s="1156"/>
      <c r="F268" s="1150"/>
      <c r="G268" s="1070"/>
      <c r="H268" s="1151"/>
    </row>
    <row r="269" spans="1:8">
      <c r="A269" s="1111" t="s">
        <v>385</v>
      </c>
      <c r="B269" s="1072" t="s">
        <v>1620</v>
      </c>
      <c r="C269" s="1068" t="s">
        <v>31</v>
      </c>
      <c r="D269" s="1069" t="s">
        <v>1198</v>
      </c>
      <c r="E269" s="1081">
        <v>715</v>
      </c>
      <c r="F269" s="1081">
        <v>195</v>
      </c>
      <c r="G269" s="1070"/>
      <c r="H269" s="1151"/>
    </row>
    <row r="270" spans="1:8">
      <c r="A270" s="1111" t="s">
        <v>387</v>
      </c>
      <c r="B270" s="1072" t="s">
        <v>1621</v>
      </c>
      <c r="C270" s="1068" t="s">
        <v>31</v>
      </c>
      <c r="D270" s="1069" t="s">
        <v>1198</v>
      </c>
      <c r="E270" s="1081">
        <v>780</v>
      </c>
      <c r="F270" s="1081">
        <v>195</v>
      </c>
      <c r="G270" s="1070"/>
      <c r="H270" s="1151"/>
    </row>
    <row r="271" spans="1:8">
      <c r="A271" s="1111" t="s">
        <v>388</v>
      </c>
      <c r="B271" s="1072" t="s">
        <v>1622</v>
      </c>
      <c r="C271" s="1068" t="s">
        <v>31</v>
      </c>
      <c r="D271" s="1069" t="s">
        <v>1198</v>
      </c>
      <c r="E271" s="1081">
        <v>845</v>
      </c>
      <c r="F271" s="1081">
        <v>195</v>
      </c>
      <c r="G271" s="1070"/>
      <c r="H271" s="1151"/>
    </row>
    <row r="272" spans="1:8">
      <c r="A272" s="1159"/>
      <c r="B272" s="1072"/>
      <c r="C272" s="1068"/>
      <c r="D272" s="1156"/>
      <c r="E272" s="1156"/>
      <c r="F272" s="1150"/>
      <c r="G272" s="1070"/>
      <c r="H272" s="1151"/>
    </row>
    <row r="273" spans="1:8">
      <c r="A273" s="1147">
        <v>13.7</v>
      </c>
      <c r="B273" s="1067" t="s">
        <v>1623</v>
      </c>
      <c r="C273" s="1068"/>
      <c r="D273" s="1156"/>
      <c r="E273" s="1156"/>
      <c r="F273" s="1150"/>
      <c r="G273" s="1070"/>
      <c r="H273" s="1151"/>
    </row>
    <row r="274" spans="1:8" ht="52">
      <c r="A274" s="1143"/>
      <c r="B274" s="1163" t="s">
        <v>2385</v>
      </c>
      <c r="C274" s="1068"/>
      <c r="D274" s="1156"/>
      <c r="E274" s="1156"/>
      <c r="F274" s="1150"/>
      <c r="G274" s="1070"/>
      <c r="H274" s="1151"/>
    </row>
    <row r="275" spans="1:8">
      <c r="A275" s="1111" t="s">
        <v>385</v>
      </c>
      <c r="B275" s="1160" t="s">
        <v>1624</v>
      </c>
      <c r="C275" s="1068" t="s">
        <v>16</v>
      </c>
      <c r="D275" s="1069">
        <v>32</v>
      </c>
      <c r="E275" s="1081">
        <v>774</v>
      </c>
      <c r="F275" s="1081">
        <v>224</v>
      </c>
      <c r="G275" s="1070">
        <f t="shared" ref="G275:G280" si="29">(E275+F275)*D275</f>
        <v>31936</v>
      </c>
      <c r="H275" s="1151"/>
    </row>
    <row r="276" spans="1:8">
      <c r="A276" s="1111" t="s">
        <v>387</v>
      </c>
      <c r="B276" s="1160" t="s">
        <v>1625</v>
      </c>
      <c r="C276" s="1068" t="s">
        <v>16</v>
      </c>
      <c r="D276" s="1069" t="s">
        <v>1198</v>
      </c>
      <c r="E276" s="1081">
        <v>774</v>
      </c>
      <c r="F276" s="1081">
        <v>224</v>
      </c>
      <c r="G276" s="1070"/>
      <c r="H276" s="1151"/>
    </row>
    <row r="277" spans="1:8">
      <c r="A277" s="1075" t="s">
        <v>388</v>
      </c>
      <c r="B277" s="1160" t="s">
        <v>1626</v>
      </c>
      <c r="C277" s="1068" t="s">
        <v>16</v>
      </c>
      <c r="D277" s="1069">
        <v>2</v>
      </c>
      <c r="E277" s="1081">
        <v>774</v>
      </c>
      <c r="F277" s="1081">
        <v>224</v>
      </c>
      <c r="G277" s="1070">
        <f t="shared" si="29"/>
        <v>1996</v>
      </c>
      <c r="H277" s="1151"/>
    </row>
    <row r="278" spans="1:8">
      <c r="A278" s="1159"/>
      <c r="B278" s="1072"/>
      <c r="C278" s="1068"/>
      <c r="D278" s="1156"/>
      <c r="E278" s="1156"/>
      <c r="F278" s="1150"/>
      <c r="G278" s="1070"/>
      <c r="H278" s="1151"/>
    </row>
    <row r="279" spans="1:8">
      <c r="A279" s="1147">
        <v>13.7</v>
      </c>
      <c r="B279" s="1067" t="s">
        <v>1627</v>
      </c>
      <c r="C279" s="1068"/>
      <c r="D279" s="1156"/>
      <c r="E279" s="1156"/>
      <c r="F279" s="1150"/>
      <c r="G279" s="1070"/>
      <c r="H279" s="1151"/>
    </row>
    <row r="280" spans="1:8" ht="52">
      <c r="A280" s="1147"/>
      <c r="B280" s="1110" t="s">
        <v>2386</v>
      </c>
      <c r="C280" s="1085" t="s">
        <v>10</v>
      </c>
      <c r="D280" s="1069">
        <v>9</v>
      </c>
      <c r="E280" s="1081">
        <v>7332</v>
      </c>
      <c r="F280" s="1081">
        <v>1196</v>
      </c>
      <c r="G280" s="1070">
        <f t="shared" si="29"/>
        <v>76752</v>
      </c>
      <c r="H280" s="1151"/>
    </row>
    <row r="281" spans="1:8">
      <c r="A281" s="1166"/>
      <c r="B281" s="1110"/>
      <c r="C281" s="1085"/>
      <c r="D281" s="1158"/>
      <c r="E281" s="1156"/>
      <c r="F281" s="1150"/>
      <c r="G281" s="1070"/>
      <c r="H281" s="1151"/>
    </row>
    <row r="282" spans="1:8" ht="26">
      <c r="A282" s="1129">
        <v>13.8</v>
      </c>
      <c r="B282" s="1067" t="s">
        <v>1628</v>
      </c>
      <c r="C282" s="1085"/>
      <c r="D282" s="1156"/>
      <c r="E282" s="1156"/>
      <c r="F282" s="1150"/>
      <c r="G282" s="1070"/>
      <c r="H282" s="1157"/>
    </row>
    <row r="283" spans="1:8" ht="65">
      <c r="A283" s="1166"/>
      <c r="B283" s="1167" t="s">
        <v>2387</v>
      </c>
      <c r="C283" s="1085"/>
      <c r="D283" s="1156"/>
      <c r="E283" s="1156"/>
      <c r="F283" s="1150"/>
      <c r="G283" s="1070"/>
      <c r="H283" s="1151"/>
    </row>
    <row r="284" spans="1:8">
      <c r="A284" s="1111" t="s">
        <v>385</v>
      </c>
      <c r="B284" s="1106" t="s">
        <v>1629</v>
      </c>
      <c r="C284" s="1085" t="s">
        <v>16</v>
      </c>
      <c r="D284" s="1069">
        <v>7</v>
      </c>
      <c r="E284" s="1081">
        <v>733</v>
      </c>
      <c r="F284" s="1081">
        <v>216</v>
      </c>
      <c r="G284" s="1070">
        <f t="shared" ref="G284:G303" si="30">(E284+F284)*D284</f>
        <v>6643</v>
      </c>
      <c r="H284" s="1151"/>
    </row>
    <row r="285" spans="1:8">
      <c r="A285" s="1111" t="s">
        <v>387</v>
      </c>
      <c r="B285" s="1106" t="s">
        <v>1630</v>
      </c>
      <c r="C285" s="1085" t="s">
        <v>16</v>
      </c>
      <c r="D285" s="1069">
        <v>33</v>
      </c>
      <c r="E285" s="1081">
        <v>733</v>
      </c>
      <c r="F285" s="1081">
        <v>216</v>
      </c>
      <c r="G285" s="1070">
        <f t="shared" si="30"/>
        <v>31317</v>
      </c>
      <c r="H285" s="1151"/>
    </row>
    <row r="286" spans="1:8">
      <c r="A286" s="1111" t="s">
        <v>388</v>
      </c>
      <c r="B286" s="1106" t="s">
        <v>1631</v>
      </c>
      <c r="C286" s="1085" t="s">
        <v>16</v>
      </c>
      <c r="D286" s="1069">
        <v>0</v>
      </c>
      <c r="E286" s="1081">
        <v>733</v>
      </c>
      <c r="F286" s="1081">
        <v>216</v>
      </c>
      <c r="G286" s="1070">
        <f t="shared" si="30"/>
        <v>0</v>
      </c>
      <c r="H286" s="1151"/>
    </row>
    <row r="287" spans="1:8" s="813" customFormat="1">
      <c r="A287" s="1111" t="s">
        <v>389</v>
      </c>
      <c r="B287" s="1106" t="s">
        <v>1626</v>
      </c>
      <c r="C287" s="1085" t="s">
        <v>16</v>
      </c>
      <c r="D287" s="1069">
        <v>11</v>
      </c>
      <c r="E287" s="1081">
        <v>733</v>
      </c>
      <c r="F287" s="1081">
        <v>216</v>
      </c>
      <c r="G287" s="1070">
        <f t="shared" si="30"/>
        <v>10439</v>
      </c>
      <c r="H287" s="1151"/>
    </row>
    <row r="288" spans="1:8" s="813" customFormat="1">
      <c r="A288" s="1111" t="s">
        <v>390</v>
      </c>
      <c r="B288" s="1106" t="s">
        <v>1632</v>
      </c>
      <c r="C288" s="1085" t="s">
        <v>16</v>
      </c>
      <c r="D288" s="1069">
        <v>17</v>
      </c>
      <c r="E288" s="1081">
        <v>1430</v>
      </c>
      <c r="F288" s="1081">
        <v>422</v>
      </c>
      <c r="G288" s="1070">
        <f t="shared" si="30"/>
        <v>31484</v>
      </c>
      <c r="H288" s="1151"/>
    </row>
    <row r="289" spans="1:8" s="813" customFormat="1">
      <c r="A289" s="1111" t="s">
        <v>391</v>
      </c>
      <c r="B289" s="1106" t="s">
        <v>1633</v>
      </c>
      <c r="C289" s="1085" t="s">
        <v>16</v>
      </c>
      <c r="D289" s="1069">
        <v>15</v>
      </c>
      <c r="E289" s="1081">
        <v>2200</v>
      </c>
      <c r="F289" s="1081">
        <v>649</v>
      </c>
      <c r="G289" s="1070">
        <f t="shared" si="30"/>
        <v>42735</v>
      </c>
      <c r="H289" s="1151"/>
    </row>
    <row r="290" spans="1:8" s="1443" customFormat="1" ht="13">
      <c r="A290" s="1111" t="s">
        <v>392</v>
      </c>
      <c r="B290" s="1106" t="s">
        <v>2557</v>
      </c>
      <c r="C290" s="1439" t="s">
        <v>16</v>
      </c>
      <c r="D290" s="1440">
        <v>1</v>
      </c>
      <c r="E290" s="1081">
        <v>4550</v>
      </c>
      <c r="F290" s="1081">
        <v>195</v>
      </c>
      <c r="G290" s="1441">
        <f t="shared" si="30"/>
        <v>4745</v>
      </c>
      <c r="H290" s="1151"/>
    </row>
    <row r="291" spans="1:8" s="1443" customFormat="1" ht="13">
      <c r="A291" s="1111" t="s">
        <v>393</v>
      </c>
      <c r="B291" s="1106" t="s">
        <v>2558</v>
      </c>
      <c r="C291" s="1439" t="s">
        <v>16</v>
      </c>
      <c r="D291" s="1440">
        <v>3</v>
      </c>
      <c r="E291" s="1081">
        <v>4875</v>
      </c>
      <c r="F291" s="1081">
        <v>195</v>
      </c>
      <c r="G291" s="1441">
        <f t="shared" si="30"/>
        <v>15210</v>
      </c>
      <c r="H291" s="1151"/>
    </row>
    <row r="292" spans="1:8" s="1443" customFormat="1" ht="13">
      <c r="A292" s="1111" t="s">
        <v>394</v>
      </c>
      <c r="B292" s="1106" t="s">
        <v>2559</v>
      </c>
      <c r="C292" s="1439" t="s">
        <v>16</v>
      </c>
      <c r="D292" s="1440">
        <v>2</v>
      </c>
      <c r="E292" s="1081">
        <v>5200</v>
      </c>
      <c r="F292" s="1081">
        <v>195</v>
      </c>
      <c r="G292" s="1441">
        <f t="shared" si="30"/>
        <v>10790</v>
      </c>
      <c r="H292" s="1151"/>
    </row>
    <row r="293" spans="1:8" s="813" customFormat="1">
      <c r="A293" s="1111" t="s">
        <v>397</v>
      </c>
      <c r="B293" s="1106" t="s">
        <v>1634</v>
      </c>
      <c r="C293" s="1085" t="s">
        <v>16</v>
      </c>
      <c r="D293" s="1069">
        <v>0</v>
      </c>
      <c r="E293" s="1081">
        <v>2181</v>
      </c>
      <c r="F293" s="1081">
        <v>644</v>
      </c>
      <c r="G293" s="1070">
        <f t="shared" si="30"/>
        <v>0</v>
      </c>
      <c r="H293" s="1151"/>
    </row>
    <row r="294" spans="1:8" s="813" customFormat="1">
      <c r="A294" s="1111" t="s">
        <v>398</v>
      </c>
      <c r="B294" s="1106" t="s">
        <v>1635</v>
      </c>
      <c r="C294" s="1085" t="s">
        <v>16</v>
      </c>
      <c r="D294" s="1069">
        <v>0</v>
      </c>
      <c r="E294" s="1081">
        <v>2566</v>
      </c>
      <c r="F294" s="1081">
        <v>758</v>
      </c>
      <c r="G294" s="1070">
        <f t="shared" si="30"/>
        <v>0</v>
      </c>
      <c r="H294" s="1151"/>
    </row>
    <row r="295" spans="1:8">
      <c r="A295" s="1111" t="s">
        <v>399</v>
      </c>
      <c r="B295" s="1106" t="s">
        <v>1636</v>
      </c>
      <c r="C295" s="1085" t="s">
        <v>16</v>
      </c>
      <c r="D295" s="1069">
        <v>0</v>
      </c>
      <c r="E295" s="1081">
        <v>3208</v>
      </c>
      <c r="F295" s="1081">
        <v>947</v>
      </c>
      <c r="G295" s="1070">
        <f t="shared" si="30"/>
        <v>0</v>
      </c>
      <c r="H295" s="1151"/>
    </row>
    <row r="296" spans="1:8" s="1443" customFormat="1" ht="13">
      <c r="A296" s="1111" t="s">
        <v>401</v>
      </c>
      <c r="B296" s="1106" t="s">
        <v>2560</v>
      </c>
      <c r="C296" s="1439" t="s">
        <v>16</v>
      </c>
      <c r="D296" s="1440">
        <v>1</v>
      </c>
      <c r="E296" s="1081">
        <v>7150</v>
      </c>
      <c r="F296" s="1081">
        <v>195</v>
      </c>
      <c r="G296" s="1441">
        <f t="shared" si="30"/>
        <v>7345</v>
      </c>
      <c r="H296" s="1151"/>
    </row>
    <row r="297" spans="1:8" s="1443" customFormat="1" ht="13">
      <c r="A297" s="1111" t="s">
        <v>402</v>
      </c>
      <c r="B297" s="1106" t="s">
        <v>2561</v>
      </c>
      <c r="C297" s="1439" t="s">
        <v>16</v>
      </c>
      <c r="D297" s="1440">
        <v>1</v>
      </c>
      <c r="E297" s="1081">
        <v>7345</v>
      </c>
      <c r="F297" s="1081">
        <v>195</v>
      </c>
      <c r="G297" s="1441">
        <f t="shared" si="30"/>
        <v>7540</v>
      </c>
      <c r="H297" s="1151"/>
    </row>
    <row r="298" spans="1:8" s="1443" customFormat="1" ht="13">
      <c r="A298" s="1111" t="s">
        <v>403</v>
      </c>
      <c r="B298" s="1106" t="s">
        <v>2562</v>
      </c>
      <c r="C298" s="1439" t="s">
        <v>16</v>
      </c>
      <c r="D298" s="1440">
        <v>1</v>
      </c>
      <c r="E298" s="1081">
        <v>7605</v>
      </c>
      <c r="F298" s="1081">
        <v>195</v>
      </c>
      <c r="G298" s="1441">
        <f t="shared" si="30"/>
        <v>7800</v>
      </c>
      <c r="H298" s="1151"/>
    </row>
    <row r="299" spans="1:8" s="1443" customFormat="1" ht="13">
      <c r="A299" s="1111" t="s">
        <v>404</v>
      </c>
      <c r="B299" s="1106" t="s">
        <v>2563</v>
      </c>
      <c r="C299" s="1439" t="s">
        <v>16</v>
      </c>
      <c r="D299" s="1440">
        <v>2</v>
      </c>
      <c r="E299" s="1081">
        <v>7800</v>
      </c>
      <c r="F299" s="1081">
        <v>195</v>
      </c>
      <c r="G299" s="1441">
        <f t="shared" si="30"/>
        <v>15990</v>
      </c>
      <c r="H299" s="1151"/>
    </row>
    <row r="300" spans="1:8" s="1443" customFormat="1" ht="13">
      <c r="A300" s="1111" t="s">
        <v>405</v>
      </c>
      <c r="B300" s="1106" t="s">
        <v>2564</v>
      </c>
      <c r="C300" s="1439" t="s">
        <v>16</v>
      </c>
      <c r="D300" s="1440">
        <v>1</v>
      </c>
      <c r="E300" s="1081">
        <v>8125</v>
      </c>
      <c r="F300" s="1081">
        <v>195</v>
      </c>
      <c r="G300" s="1441">
        <f t="shared" si="30"/>
        <v>8320</v>
      </c>
      <c r="H300" s="1151"/>
    </row>
    <row r="301" spans="1:8" s="1443" customFormat="1" ht="13">
      <c r="A301" s="1111" t="s">
        <v>491</v>
      </c>
      <c r="B301" s="1106" t="s">
        <v>2565</v>
      </c>
      <c r="C301" s="1439" t="s">
        <v>16</v>
      </c>
      <c r="D301" s="1440">
        <v>1</v>
      </c>
      <c r="E301" s="1081">
        <v>8320</v>
      </c>
      <c r="F301" s="1081">
        <v>195</v>
      </c>
      <c r="G301" s="1441">
        <f t="shared" si="30"/>
        <v>8515</v>
      </c>
      <c r="H301" s="1151"/>
    </row>
    <row r="302" spans="1:8">
      <c r="A302" s="1111" t="s">
        <v>1442</v>
      </c>
      <c r="B302" s="1106" t="s">
        <v>1637</v>
      </c>
      <c r="C302" s="1085" t="s">
        <v>16</v>
      </c>
      <c r="D302" s="1069">
        <v>0</v>
      </c>
      <c r="E302" s="1081">
        <v>4583</v>
      </c>
      <c r="F302" s="1081">
        <v>1353</v>
      </c>
      <c r="G302" s="1070">
        <f t="shared" si="30"/>
        <v>0</v>
      </c>
      <c r="H302" s="1151"/>
    </row>
    <row r="303" spans="1:8">
      <c r="A303" s="1111" t="s">
        <v>1443</v>
      </c>
      <c r="B303" s="1106" t="s">
        <v>1638</v>
      </c>
      <c r="C303" s="1085" t="s">
        <v>16</v>
      </c>
      <c r="D303" s="1069">
        <v>0</v>
      </c>
      <c r="E303" s="1081">
        <v>9165</v>
      </c>
      <c r="F303" s="1081">
        <v>2706</v>
      </c>
      <c r="G303" s="1070">
        <f t="shared" si="30"/>
        <v>0</v>
      </c>
      <c r="H303" s="1151"/>
    </row>
    <row r="304" spans="1:8">
      <c r="A304" s="1075"/>
      <c r="B304" s="1106"/>
      <c r="C304" s="1085"/>
      <c r="D304" s="1158"/>
      <c r="E304" s="1156"/>
      <c r="F304" s="1150"/>
      <c r="G304" s="1070"/>
      <c r="H304" s="1151"/>
    </row>
    <row r="305" spans="1:8" ht="26">
      <c r="A305" s="1148">
        <v>13.9</v>
      </c>
      <c r="B305" s="1067" t="s">
        <v>1639</v>
      </c>
      <c r="C305" s="1085"/>
      <c r="D305" s="1156"/>
      <c r="E305" s="1156"/>
      <c r="F305" s="1150"/>
      <c r="G305" s="1070"/>
      <c r="H305" s="1151"/>
    </row>
    <row r="306" spans="1:8" ht="104">
      <c r="A306" s="1183"/>
      <c r="B306" s="1167" t="s">
        <v>2388</v>
      </c>
      <c r="C306" s="1085"/>
      <c r="D306" s="1158">
        <v>0</v>
      </c>
      <c r="E306" s="1156"/>
      <c r="F306" s="1150"/>
      <c r="G306" s="1070"/>
      <c r="H306" s="1151"/>
    </row>
    <row r="307" spans="1:8">
      <c r="A307" s="1111" t="s">
        <v>385</v>
      </c>
      <c r="B307" s="1106" t="s">
        <v>1640</v>
      </c>
      <c r="C307" s="1085" t="s">
        <v>16</v>
      </c>
      <c r="D307" s="1069">
        <v>133</v>
      </c>
      <c r="E307" s="1081">
        <v>2052</v>
      </c>
      <c r="F307" s="1081">
        <v>532</v>
      </c>
      <c r="G307" s="1070">
        <f t="shared" ref="G307:G308" si="31">(E307+F307)*D307</f>
        <v>343672</v>
      </c>
      <c r="H307" s="1151"/>
    </row>
    <row r="308" spans="1:8">
      <c r="A308" s="1111" t="s">
        <v>387</v>
      </c>
      <c r="B308" s="1106" t="s">
        <v>1626</v>
      </c>
      <c r="C308" s="1085" t="s">
        <v>16</v>
      </c>
      <c r="D308" s="1069">
        <v>32</v>
      </c>
      <c r="E308" s="1081">
        <v>2052</v>
      </c>
      <c r="F308" s="1081">
        <v>532</v>
      </c>
      <c r="G308" s="1070">
        <f t="shared" si="31"/>
        <v>82688</v>
      </c>
      <c r="H308" s="1151"/>
    </row>
    <row r="309" spans="1:8">
      <c r="A309" s="1075"/>
      <c r="B309" s="1106"/>
      <c r="C309" s="1085"/>
      <c r="D309" s="1158"/>
      <c r="E309" s="1156"/>
      <c r="F309" s="1150"/>
      <c r="G309" s="1070"/>
      <c r="H309" s="1151"/>
    </row>
    <row r="310" spans="1:8" s="813" customFormat="1">
      <c r="A310" s="1093">
        <v>13.1</v>
      </c>
      <c r="B310" s="1112" t="s">
        <v>1641</v>
      </c>
      <c r="C310" s="1085"/>
      <c r="D310" s="1158"/>
      <c r="E310" s="1156"/>
      <c r="F310" s="1150"/>
      <c r="G310" s="1070"/>
      <c r="H310" s="1157"/>
    </row>
    <row r="311" spans="1:8" s="813" customFormat="1" ht="26">
      <c r="A311" s="1111"/>
      <c r="B311" s="1087" t="s">
        <v>2389</v>
      </c>
      <c r="C311" s="1085"/>
      <c r="D311" s="1158"/>
      <c r="E311" s="1156"/>
      <c r="F311" s="1150"/>
      <c r="G311" s="1070"/>
      <c r="H311" s="1157"/>
    </row>
    <row r="312" spans="1:8" s="813" customFormat="1">
      <c r="A312" s="1111" t="s">
        <v>385</v>
      </c>
      <c r="B312" s="1087" t="s">
        <v>1642</v>
      </c>
      <c r="C312" s="1085" t="s">
        <v>16</v>
      </c>
      <c r="D312" s="1069" t="s">
        <v>1198</v>
      </c>
      <c r="E312" s="1081">
        <v>2275</v>
      </c>
      <c r="F312" s="1081">
        <v>195</v>
      </c>
      <c r="G312" s="1070"/>
      <c r="H312" s="1157"/>
    </row>
    <row r="313" spans="1:8" s="813" customFormat="1">
      <c r="A313" s="1111"/>
      <c r="B313" s="1087"/>
      <c r="C313" s="1085"/>
      <c r="D313" s="1069"/>
      <c r="E313" s="1081"/>
      <c r="F313" s="1081"/>
      <c r="G313" s="1070"/>
      <c r="H313" s="1157"/>
    </row>
    <row r="314" spans="1:8" s="813" customFormat="1">
      <c r="A314" s="1179">
        <v>13.11</v>
      </c>
      <c r="B314" s="1177" t="s">
        <v>1643</v>
      </c>
      <c r="C314" s="1085"/>
      <c r="D314" s="1069"/>
      <c r="E314" s="1081"/>
      <c r="F314" s="1081"/>
      <c r="G314" s="1070"/>
      <c r="H314" s="1157"/>
    </row>
    <row r="315" spans="1:8" s="813" customFormat="1" ht="65">
      <c r="A315" s="1184"/>
      <c r="B315" s="1185" t="s">
        <v>2390</v>
      </c>
      <c r="C315" s="1085"/>
      <c r="D315" s="1069"/>
      <c r="E315" s="1081">
        <v>0</v>
      </c>
      <c r="F315" s="1081">
        <v>0</v>
      </c>
      <c r="G315" s="1070"/>
      <c r="H315" s="1157"/>
    </row>
    <row r="316" spans="1:8" s="813" customFormat="1">
      <c r="A316" s="1186" t="s">
        <v>385</v>
      </c>
      <c r="B316" s="1109" t="s">
        <v>1644</v>
      </c>
      <c r="C316" s="1085" t="s">
        <v>16</v>
      </c>
      <c r="D316" s="1069" t="s">
        <v>1198</v>
      </c>
      <c r="E316" s="1081">
        <v>2795</v>
      </c>
      <c r="F316" s="1081">
        <v>195</v>
      </c>
      <c r="G316" s="1070"/>
      <c r="H316" s="1157"/>
    </row>
    <row r="317" spans="1:8" s="813" customFormat="1">
      <c r="A317" s="1186" t="s">
        <v>387</v>
      </c>
      <c r="B317" s="1109" t="s">
        <v>1645</v>
      </c>
      <c r="C317" s="1085" t="s">
        <v>16</v>
      </c>
      <c r="D317" s="1069" t="s">
        <v>1198</v>
      </c>
      <c r="E317" s="1081">
        <v>2925</v>
      </c>
      <c r="F317" s="1081">
        <v>195</v>
      </c>
      <c r="G317" s="1070"/>
      <c r="H317" s="1157"/>
    </row>
    <row r="318" spans="1:8" s="813" customFormat="1">
      <c r="A318" s="1187"/>
      <c r="B318" s="1109"/>
      <c r="C318" s="1085"/>
      <c r="D318" s="1069"/>
      <c r="E318" s="1081"/>
      <c r="F318" s="1081"/>
      <c r="G318" s="1070"/>
      <c r="H318" s="1157"/>
    </row>
    <row r="319" spans="1:8" s="813" customFormat="1">
      <c r="A319" s="1179">
        <v>13.12</v>
      </c>
      <c r="B319" s="1177" t="s">
        <v>1646</v>
      </c>
      <c r="C319" s="1085"/>
      <c r="D319" s="1069"/>
      <c r="E319" s="1081"/>
      <c r="F319" s="1081"/>
      <c r="G319" s="1070"/>
      <c r="H319" s="1157"/>
    </row>
    <row r="320" spans="1:8" s="813" customFormat="1" ht="52">
      <c r="A320" s="1186"/>
      <c r="B320" s="1185" t="s">
        <v>2391</v>
      </c>
      <c r="C320" s="1085"/>
      <c r="D320" s="1069"/>
      <c r="E320" s="1081"/>
      <c r="F320" s="1081"/>
      <c r="G320" s="1070"/>
      <c r="H320" s="1157"/>
    </row>
    <row r="321" spans="1:8" s="813" customFormat="1">
      <c r="A321" s="1186" t="s">
        <v>385</v>
      </c>
      <c r="B321" s="1108" t="s">
        <v>1647</v>
      </c>
      <c r="C321" s="1085" t="s">
        <v>16</v>
      </c>
      <c r="D321" s="1069">
        <v>0</v>
      </c>
      <c r="E321" s="1081">
        <v>811</v>
      </c>
      <c r="F321" s="1081">
        <v>273</v>
      </c>
      <c r="G321" s="1070">
        <f t="shared" ref="G321:G322" si="32">(E321+F321)*D321</f>
        <v>0</v>
      </c>
      <c r="H321" s="1157"/>
    </row>
    <row r="322" spans="1:8" s="813" customFormat="1">
      <c r="A322" s="1186" t="s">
        <v>387</v>
      </c>
      <c r="B322" s="1108" t="s">
        <v>1648</v>
      </c>
      <c r="C322" s="1085" t="s">
        <v>16</v>
      </c>
      <c r="D322" s="1069">
        <v>60</v>
      </c>
      <c r="E322" s="1081">
        <v>811</v>
      </c>
      <c r="F322" s="1081">
        <v>273</v>
      </c>
      <c r="G322" s="1070">
        <f t="shared" si="32"/>
        <v>65040</v>
      </c>
      <c r="H322" s="1157"/>
    </row>
    <row r="323" spans="1:8" s="813" customFormat="1">
      <c r="A323" s="1115"/>
      <c r="B323" s="1188"/>
      <c r="C323" s="1085"/>
      <c r="D323" s="1069"/>
      <c r="E323" s="1081"/>
      <c r="F323" s="1081"/>
      <c r="G323" s="1070"/>
      <c r="H323" s="1157"/>
    </row>
    <row r="324" spans="1:8" s="813" customFormat="1">
      <c r="A324" s="1168">
        <v>13.13</v>
      </c>
      <c r="B324" s="1067" t="s">
        <v>1649</v>
      </c>
      <c r="C324" s="1085"/>
      <c r="D324" s="1069"/>
      <c r="E324" s="1081"/>
      <c r="F324" s="1081"/>
      <c r="G324" s="1070"/>
      <c r="H324" s="1085"/>
    </row>
    <row r="325" spans="1:8" s="813" customFormat="1" ht="130">
      <c r="A325" s="1075"/>
      <c r="B325" s="1072" t="s">
        <v>2392</v>
      </c>
      <c r="C325" s="1085"/>
      <c r="D325" s="1069"/>
      <c r="E325" s="1081"/>
      <c r="F325" s="1081"/>
      <c r="G325" s="1070"/>
      <c r="H325" s="1085"/>
    </row>
    <row r="326" spans="1:8" s="813" customFormat="1">
      <c r="A326" s="1075" t="s">
        <v>385</v>
      </c>
      <c r="B326" s="1067" t="s">
        <v>1650</v>
      </c>
      <c r="C326" s="1085"/>
      <c r="D326" s="1069"/>
      <c r="E326" s="1081"/>
      <c r="F326" s="1081"/>
      <c r="G326" s="1070"/>
      <c r="H326" s="1085"/>
    </row>
    <row r="327" spans="1:8">
      <c r="A327" s="1075"/>
      <c r="B327" s="1112" t="s">
        <v>1651</v>
      </c>
      <c r="C327" s="1085" t="s">
        <v>31</v>
      </c>
      <c r="D327" s="1069">
        <v>15</v>
      </c>
      <c r="E327" s="1081">
        <v>1500</v>
      </c>
      <c r="F327" s="1081">
        <v>273</v>
      </c>
      <c r="G327" s="1070">
        <f t="shared" ref="G327" si="33">(E327+F327)*D327</f>
        <v>26595</v>
      </c>
      <c r="H327" s="1085"/>
    </row>
    <row r="328" spans="1:8">
      <c r="A328" s="1168"/>
      <c r="B328" s="1163"/>
      <c r="C328" s="1085"/>
      <c r="D328" s="1069"/>
      <c r="E328" s="1081"/>
      <c r="F328" s="1081"/>
      <c r="G328" s="1070"/>
      <c r="H328" s="1085"/>
    </row>
    <row r="329" spans="1:8" s="820" customFormat="1">
      <c r="A329" s="1075" t="s">
        <v>387</v>
      </c>
      <c r="B329" s="1067" t="s">
        <v>1652</v>
      </c>
      <c r="C329" s="1085"/>
      <c r="D329" s="1069"/>
      <c r="E329" s="1081"/>
      <c r="F329" s="1081"/>
      <c r="G329" s="1070"/>
      <c r="H329" s="1085"/>
    </row>
    <row r="330" spans="1:8" s="820" customFormat="1">
      <c r="A330" s="1075"/>
      <c r="B330" s="1189" t="s">
        <v>1653</v>
      </c>
      <c r="C330" s="1085" t="s">
        <v>31</v>
      </c>
      <c r="D330" s="1069">
        <v>15</v>
      </c>
      <c r="E330" s="1081">
        <v>1500</v>
      </c>
      <c r="F330" s="1081">
        <v>273</v>
      </c>
      <c r="G330" s="1070">
        <f t="shared" ref="G330" si="34">(E330+F330)*D330</f>
        <v>26595</v>
      </c>
      <c r="H330" s="1085"/>
    </row>
    <row r="331" spans="1:8" s="820" customFormat="1">
      <c r="A331" s="1168"/>
      <c r="B331" s="1163"/>
      <c r="C331" s="1085"/>
      <c r="D331" s="1069"/>
      <c r="E331" s="1081"/>
      <c r="F331" s="1081"/>
      <c r="G331" s="1070"/>
      <c r="H331" s="1085"/>
    </row>
    <row r="332" spans="1:8" s="820" customFormat="1">
      <c r="A332" s="1075" t="s">
        <v>388</v>
      </c>
      <c r="B332" s="1067" t="s">
        <v>1654</v>
      </c>
      <c r="C332" s="1085"/>
      <c r="D332" s="1069"/>
      <c r="E332" s="1081"/>
      <c r="F332" s="1081"/>
      <c r="G332" s="1070"/>
      <c r="H332" s="1085"/>
    </row>
    <row r="333" spans="1:8" s="813" customFormat="1">
      <c r="A333" s="1075"/>
      <c r="B333" s="1112" t="s">
        <v>1651</v>
      </c>
      <c r="C333" s="1085" t="s">
        <v>31</v>
      </c>
      <c r="D333" s="1069" t="s">
        <v>1198</v>
      </c>
      <c r="E333" s="1081">
        <v>2925</v>
      </c>
      <c r="F333" s="1081">
        <v>650</v>
      </c>
      <c r="G333" s="1070"/>
      <c r="H333" s="1085"/>
    </row>
    <row r="334" spans="1:8">
      <c r="A334" s="1168"/>
      <c r="B334" s="1163"/>
      <c r="C334" s="1085"/>
      <c r="D334" s="1069"/>
      <c r="E334" s="1081"/>
      <c r="F334" s="1081"/>
      <c r="G334" s="1070"/>
      <c r="H334" s="1085"/>
    </row>
    <row r="335" spans="1:8">
      <c r="A335" s="1075" t="s">
        <v>389</v>
      </c>
      <c r="B335" s="1067" t="s">
        <v>1655</v>
      </c>
      <c r="C335" s="1085"/>
      <c r="D335" s="1069"/>
      <c r="E335" s="1081"/>
      <c r="F335" s="1081"/>
      <c r="G335" s="1070"/>
      <c r="H335" s="1085"/>
    </row>
    <row r="336" spans="1:8">
      <c r="A336" s="1075"/>
      <c r="B336" s="1189" t="s">
        <v>1653</v>
      </c>
      <c r="C336" s="1085" t="s">
        <v>31</v>
      </c>
      <c r="D336" s="1069" t="s">
        <v>1198</v>
      </c>
      <c r="E336" s="1081">
        <v>2925</v>
      </c>
      <c r="F336" s="1081">
        <v>650</v>
      </c>
      <c r="G336" s="1070"/>
      <c r="H336" s="1085"/>
    </row>
    <row r="337" spans="1:8" s="813" customFormat="1">
      <c r="A337" s="1168"/>
      <c r="B337" s="1163"/>
      <c r="C337" s="1085"/>
      <c r="D337" s="1069"/>
      <c r="E337" s="1081"/>
      <c r="F337" s="1081"/>
      <c r="G337" s="1070"/>
      <c r="H337" s="1085"/>
    </row>
    <row r="338" spans="1:8">
      <c r="A338" s="1129" t="s">
        <v>390</v>
      </c>
      <c r="B338" s="1112" t="s">
        <v>1656</v>
      </c>
      <c r="C338" s="1085" t="s">
        <v>16</v>
      </c>
      <c r="D338" s="1069">
        <v>40</v>
      </c>
      <c r="E338" s="1081">
        <v>286</v>
      </c>
      <c r="F338" s="1081">
        <v>156</v>
      </c>
      <c r="G338" s="1070">
        <f t="shared" ref="G338:G339" si="35">(E338+F338)*D338</f>
        <v>17680</v>
      </c>
      <c r="H338" s="1085"/>
    </row>
    <row r="339" spans="1:8">
      <c r="A339" s="1129" t="s">
        <v>391</v>
      </c>
      <c r="B339" s="1112" t="s">
        <v>1657</v>
      </c>
      <c r="C339" s="1085" t="s">
        <v>10</v>
      </c>
      <c r="D339" s="1069">
        <v>3</v>
      </c>
      <c r="E339" s="1081">
        <v>2625</v>
      </c>
      <c r="F339" s="1081">
        <v>866</v>
      </c>
      <c r="G339" s="1070">
        <f t="shared" si="35"/>
        <v>10473</v>
      </c>
      <c r="H339" s="1085"/>
    </row>
    <row r="340" spans="1:8" s="813" customFormat="1">
      <c r="A340" s="1129"/>
      <c r="B340" s="1087"/>
      <c r="C340" s="1085"/>
      <c r="D340" s="1069"/>
      <c r="E340" s="1081"/>
      <c r="F340" s="1081"/>
      <c r="G340" s="1070"/>
      <c r="H340" s="1085"/>
    </row>
    <row r="341" spans="1:8" s="813" customFormat="1">
      <c r="A341" s="1176">
        <v>13.14</v>
      </c>
      <c r="B341" s="1190" t="s">
        <v>1658</v>
      </c>
      <c r="C341" s="1085"/>
      <c r="D341" s="1069"/>
      <c r="E341" s="1081"/>
      <c r="F341" s="1081"/>
      <c r="G341" s="1070"/>
      <c r="H341" s="1085"/>
    </row>
    <row r="342" spans="1:8" s="813" customFormat="1" ht="26">
      <c r="A342" s="1186"/>
      <c r="B342" s="1191" t="s">
        <v>2393</v>
      </c>
      <c r="C342" s="1085"/>
      <c r="D342" s="1069"/>
      <c r="E342" s="1081"/>
      <c r="F342" s="1081"/>
      <c r="G342" s="1070"/>
      <c r="H342" s="1085"/>
    </row>
    <row r="343" spans="1:8" s="813" customFormat="1">
      <c r="A343" s="1186" t="s">
        <v>385</v>
      </c>
      <c r="B343" s="1191" t="s">
        <v>1659</v>
      </c>
      <c r="C343" s="1085" t="s">
        <v>16</v>
      </c>
      <c r="D343" s="1069">
        <v>4</v>
      </c>
      <c r="E343" s="1081">
        <v>2917</v>
      </c>
      <c r="F343" s="1081">
        <v>216</v>
      </c>
      <c r="G343" s="1070">
        <f t="shared" ref="G343:G345" si="36">(E343+F343)*D343</f>
        <v>12532</v>
      </c>
      <c r="H343" s="1085"/>
    </row>
    <row r="344" spans="1:8" s="813" customFormat="1">
      <c r="A344" s="1186" t="s">
        <v>387</v>
      </c>
      <c r="B344" s="1191" t="s">
        <v>1660</v>
      </c>
      <c r="C344" s="1085" t="s">
        <v>16</v>
      </c>
      <c r="D344" s="1069">
        <v>2</v>
      </c>
      <c r="E344" s="1081">
        <v>7293</v>
      </c>
      <c r="F344" s="1081">
        <v>462</v>
      </c>
      <c r="G344" s="1070">
        <f t="shared" si="36"/>
        <v>15510</v>
      </c>
      <c r="H344" s="1085"/>
    </row>
    <row r="345" spans="1:8" s="813" customFormat="1">
      <c r="A345" s="1186" t="s">
        <v>388</v>
      </c>
      <c r="B345" s="1191" t="s">
        <v>1661</v>
      </c>
      <c r="C345" s="1085" t="s">
        <v>16</v>
      </c>
      <c r="D345" s="1069">
        <v>1</v>
      </c>
      <c r="E345" s="1081">
        <v>3250</v>
      </c>
      <c r="F345" s="1081">
        <v>390</v>
      </c>
      <c r="G345" s="1441">
        <f t="shared" si="36"/>
        <v>3640</v>
      </c>
      <c r="H345" s="1085"/>
    </row>
    <row r="346" spans="1:8" s="813" customFormat="1">
      <c r="A346" s="1192"/>
      <c r="B346" s="1193"/>
      <c r="C346" s="1085"/>
      <c r="D346" s="1069"/>
      <c r="E346" s="1081"/>
      <c r="F346" s="1081"/>
      <c r="G346" s="1070"/>
      <c r="H346" s="1085"/>
    </row>
    <row r="347" spans="1:8" s="813" customFormat="1">
      <c r="A347" s="1148">
        <v>13.15</v>
      </c>
      <c r="B347" s="1067" t="s">
        <v>1662</v>
      </c>
      <c r="C347" s="1085"/>
      <c r="D347" s="1069"/>
      <c r="E347" s="1081"/>
      <c r="F347" s="1081"/>
      <c r="G347" s="1070"/>
      <c r="H347" s="1085"/>
    </row>
    <row r="348" spans="1:8" s="813" customFormat="1" ht="52">
      <c r="A348" s="1194"/>
      <c r="B348" s="1167" t="s">
        <v>2394</v>
      </c>
      <c r="C348" s="1085"/>
      <c r="D348" s="1069"/>
      <c r="E348" s="1081"/>
      <c r="F348" s="1081"/>
      <c r="G348" s="1070"/>
      <c r="H348" s="1085"/>
    </row>
    <row r="349" spans="1:8" s="813" customFormat="1">
      <c r="A349" s="1111" t="s">
        <v>385</v>
      </c>
      <c r="B349" s="1160" t="s">
        <v>1663</v>
      </c>
      <c r="C349" s="1085" t="s">
        <v>16</v>
      </c>
      <c r="D349" s="1069" t="s">
        <v>1198</v>
      </c>
      <c r="E349" s="1081">
        <v>3370</v>
      </c>
      <c r="F349" s="1081">
        <v>433</v>
      </c>
      <c r="G349" s="1070"/>
      <c r="H349" s="1085"/>
    </row>
    <row r="350" spans="1:8" s="776" customFormat="1">
      <c r="A350" s="1111" t="s">
        <v>387</v>
      </c>
      <c r="B350" s="1160" t="s">
        <v>1664</v>
      </c>
      <c r="C350" s="1085" t="s">
        <v>16</v>
      </c>
      <c r="D350" s="1069">
        <v>29</v>
      </c>
      <c r="E350" s="1081">
        <v>3370</v>
      </c>
      <c r="F350" s="1081">
        <v>433</v>
      </c>
      <c r="G350" s="1070">
        <f t="shared" ref="G350" si="37">D350*(E350+F350)</f>
        <v>110287</v>
      </c>
      <c r="H350" s="1085"/>
    </row>
    <row r="351" spans="1:8" s="776" customFormat="1">
      <c r="A351" s="1129"/>
      <c r="B351" s="1087"/>
      <c r="C351" s="1085"/>
      <c r="D351" s="1069"/>
      <c r="E351" s="1081"/>
      <c r="F351" s="1081"/>
      <c r="G351" s="1070"/>
      <c r="H351" s="1085"/>
    </row>
    <row r="352" spans="1:8" s="776" customFormat="1">
      <c r="A352" s="1126"/>
      <c r="B352" s="1127" t="s">
        <v>1665</v>
      </c>
      <c r="C352" s="1090"/>
      <c r="D352" s="1091"/>
      <c r="E352" s="1128"/>
      <c r="F352" s="1128"/>
      <c r="G352" s="1128">
        <f>SUM(G228:G351)</f>
        <v>1536731</v>
      </c>
      <c r="H352" s="1090"/>
    </row>
    <row r="353" spans="1:8" s="776" customFormat="1">
      <c r="A353" s="1129"/>
      <c r="B353" s="1110"/>
      <c r="C353" s="1085"/>
      <c r="D353" s="1069"/>
      <c r="E353" s="1070"/>
      <c r="F353" s="1070"/>
      <c r="G353" s="1070"/>
      <c r="H353" s="1085"/>
    </row>
    <row r="354" spans="1:8" s="776" customFormat="1">
      <c r="A354" s="1077">
        <v>14</v>
      </c>
      <c r="B354" s="1078" t="s">
        <v>1666</v>
      </c>
      <c r="C354" s="1085"/>
      <c r="D354" s="1156"/>
      <c r="E354" s="1156"/>
      <c r="F354" s="1150"/>
      <c r="G354" s="1070"/>
      <c r="H354" s="1157"/>
    </row>
    <row r="355" spans="1:8" s="776" customFormat="1">
      <c r="A355" s="1111"/>
      <c r="B355" s="1112" t="s">
        <v>1667</v>
      </c>
      <c r="C355" s="1085"/>
      <c r="D355" s="1156"/>
      <c r="E355" s="1156"/>
      <c r="F355" s="1150"/>
      <c r="G355" s="1070"/>
      <c r="H355" s="1157"/>
    </row>
    <row r="356" spans="1:8" s="813" customFormat="1">
      <c r="A356" s="1111"/>
      <c r="B356" s="1067" t="s">
        <v>1668</v>
      </c>
      <c r="C356" s="1085"/>
      <c r="D356" s="1156"/>
      <c r="E356" s="1156"/>
      <c r="F356" s="1150"/>
      <c r="G356" s="1070"/>
      <c r="H356" s="1157"/>
    </row>
    <row r="357" spans="1:8" s="813" customFormat="1" ht="26">
      <c r="A357" s="1111"/>
      <c r="B357" s="1067" t="s">
        <v>1669</v>
      </c>
      <c r="C357" s="1085"/>
      <c r="D357" s="1156"/>
      <c r="E357" s="1156"/>
      <c r="F357" s="1150"/>
      <c r="G357" s="1070"/>
      <c r="H357" s="1157"/>
    </row>
    <row r="358" spans="1:8" s="813" customFormat="1" ht="39">
      <c r="A358" s="1111"/>
      <c r="B358" s="1072" t="s">
        <v>1670</v>
      </c>
      <c r="C358" s="1085"/>
      <c r="D358" s="1156"/>
      <c r="E358" s="1156"/>
      <c r="F358" s="1150"/>
      <c r="G358" s="1070"/>
      <c r="H358" s="1157"/>
    </row>
    <row r="359" spans="1:8" s="813" customFormat="1" ht="26">
      <c r="A359" s="1111"/>
      <c r="B359" s="1072" t="s">
        <v>1671</v>
      </c>
      <c r="C359" s="1085"/>
      <c r="D359" s="1156"/>
      <c r="E359" s="1156"/>
      <c r="F359" s="1150"/>
      <c r="G359" s="1070"/>
      <c r="H359" s="1157"/>
    </row>
    <row r="360" spans="1:8" s="813" customFormat="1" ht="65">
      <c r="A360" s="1111"/>
      <c r="B360" s="1072" t="s">
        <v>1672</v>
      </c>
      <c r="C360" s="1085"/>
      <c r="D360" s="1156"/>
      <c r="E360" s="1156"/>
      <c r="F360" s="1150"/>
      <c r="G360" s="1070"/>
      <c r="H360" s="1157"/>
    </row>
    <row r="361" spans="1:8">
      <c r="A361" s="1111" t="s">
        <v>385</v>
      </c>
      <c r="B361" s="1072" t="s">
        <v>1673</v>
      </c>
      <c r="C361" s="1085" t="s">
        <v>10</v>
      </c>
      <c r="D361" s="1069">
        <v>72</v>
      </c>
      <c r="E361" s="1081">
        <v>10940</v>
      </c>
      <c r="F361" s="1081">
        <v>2165</v>
      </c>
      <c r="G361" s="1070">
        <f t="shared" ref="G361" si="38">(E361+F361)*D361</f>
        <v>943560</v>
      </c>
      <c r="H361" s="1157"/>
    </row>
    <row r="362" spans="1:8">
      <c r="A362" s="1146"/>
      <c r="B362" s="1072"/>
      <c r="C362" s="1085"/>
      <c r="D362" s="1156"/>
      <c r="E362" s="1156"/>
      <c r="F362" s="1150"/>
      <c r="G362" s="1070"/>
      <c r="H362" s="1157"/>
    </row>
    <row r="363" spans="1:8">
      <c r="A363" s="1077">
        <v>15</v>
      </c>
      <c r="B363" s="1078" t="s">
        <v>1674</v>
      </c>
      <c r="C363" s="1085"/>
      <c r="D363" s="1156"/>
      <c r="E363" s="1156"/>
      <c r="F363" s="1150"/>
      <c r="G363" s="1070"/>
      <c r="H363" s="1157"/>
    </row>
    <row r="364" spans="1:8" ht="39">
      <c r="A364" s="1195">
        <v>15.1</v>
      </c>
      <c r="B364" s="1196" t="s">
        <v>2395</v>
      </c>
      <c r="C364" s="1085" t="s">
        <v>10</v>
      </c>
      <c r="D364" s="1069">
        <v>12</v>
      </c>
      <c r="E364" s="1081">
        <v>16081</v>
      </c>
      <c r="F364" s="1081">
        <v>1885</v>
      </c>
      <c r="G364" s="1070">
        <f t="shared" ref="G364:G370" si="39">(E364+F364)*D364</f>
        <v>215592</v>
      </c>
      <c r="H364" s="1157"/>
    </row>
    <row r="365" spans="1:8" s="813" customFormat="1">
      <c r="A365" s="1195">
        <v>15.2</v>
      </c>
      <c r="B365" s="1196" t="s">
        <v>2396</v>
      </c>
      <c r="C365" s="1085" t="s">
        <v>16</v>
      </c>
      <c r="D365" s="1069">
        <v>8</v>
      </c>
      <c r="E365" s="1081">
        <v>11570</v>
      </c>
      <c r="F365" s="1081">
        <v>866</v>
      </c>
      <c r="G365" s="1070">
        <f t="shared" si="39"/>
        <v>99488</v>
      </c>
      <c r="H365" s="1157"/>
    </row>
    <row r="366" spans="1:8">
      <c r="A366" s="1195">
        <v>15.3</v>
      </c>
      <c r="B366" s="1196" t="s">
        <v>2397</v>
      </c>
      <c r="C366" s="1085" t="s">
        <v>16</v>
      </c>
      <c r="D366" s="1069">
        <v>12</v>
      </c>
      <c r="E366" s="1081">
        <v>9360</v>
      </c>
      <c r="F366" s="1081">
        <v>866</v>
      </c>
      <c r="G366" s="1070">
        <f t="shared" si="39"/>
        <v>122712</v>
      </c>
      <c r="H366" s="1157"/>
    </row>
    <row r="367" spans="1:8" ht="65">
      <c r="A367" s="1195">
        <v>15.4</v>
      </c>
      <c r="B367" s="1197" t="s">
        <v>1675</v>
      </c>
      <c r="C367" s="1085" t="s">
        <v>16</v>
      </c>
      <c r="D367" s="1069">
        <v>3</v>
      </c>
      <c r="E367" s="1081">
        <v>12740</v>
      </c>
      <c r="F367" s="1081">
        <v>3094</v>
      </c>
      <c r="G367" s="1070">
        <f t="shared" si="39"/>
        <v>47502</v>
      </c>
      <c r="H367" s="1157"/>
    </row>
    <row r="368" spans="1:8" ht="52">
      <c r="A368" s="1195">
        <v>15.5</v>
      </c>
      <c r="B368" s="1197" t="s">
        <v>1676</v>
      </c>
      <c r="C368" s="1085" t="s">
        <v>16</v>
      </c>
      <c r="D368" s="1069">
        <v>1</v>
      </c>
      <c r="E368" s="1081">
        <v>9880</v>
      </c>
      <c r="F368" s="1081">
        <v>3094</v>
      </c>
      <c r="G368" s="1070">
        <f t="shared" si="39"/>
        <v>12974</v>
      </c>
      <c r="H368" s="1157"/>
    </row>
    <row r="369" spans="1:8" ht="52">
      <c r="A369" s="1195">
        <v>15.6</v>
      </c>
      <c r="B369" s="1197" t="s">
        <v>1677</v>
      </c>
      <c r="C369" s="1085" t="s">
        <v>16</v>
      </c>
      <c r="D369" s="1069">
        <v>1</v>
      </c>
      <c r="E369" s="1081">
        <v>9880</v>
      </c>
      <c r="F369" s="1081">
        <v>3094</v>
      </c>
      <c r="G369" s="1070">
        <f t="shared" si="39"/>
        <v>12974</v>
      </c>
      <c r="H369" s="1157"/>
    </row>
    <row r="370" spans="1:8" ht="39">
      <c r="A370" s="1195">
        <v>15.7</v>
      </c>
      <c r="B370" s="1197" t="s">
        <v>1678</v>
      </c>
      <c r="C370" s="1085" t="s">
        <v>31</v>
      </c>
      <c r="D370" s="1069">
        <v>500</v>
      </c>
      <c r="E370" s="1081">
        <v>413</v>
      </c>
      <c r="F370" s="1081">
        <v>232</v>
      </c>
      <c r="G370" s="1070">
        <f t="shared" si="39"/>
        <v>322500</v>
      </c>
      <c r="H370" s="1157"/>
    </row>
    <row r="371" spans="1:8" s="813" customFormat="1">
      <c r="A371" s="1086"/>
      <c r="B371" s="1112"/>
      <c r="C371" s="1085"/>
      <c r="D371" s="1156"/>
      <c r="E371" s="1156"/>
      <c r="F371" s="1150"/>
      <c r="G371" s="1070"/>
      <c r="H371" s="1157"/>
    </row>
    <row r="372" spans="1:8" s="813" customFormat="1">
      <c r="A372" s="1077">
        <v>16</v>
      </c>
      <c r="B372" s="1078" t="s">
        <v>1679</v>
      </c>
      <c r="C372" s="1085"/>
      <c r="D372" s="1156"/>
      <c r="E372" s="1156"/>
      <c r="F372" s="1150"/>
      <c r="G372" s="1070"/>
      <c r="H372" s="1157"/>
    </row>
    <row r="373" spans="1:8" s="813" customFormat="1" ht="65">
      <c r="A373" s="1111"/>
      <c r="B373" s="1138" t="s">
        <v>2398</v>
      </c>
      <c r="C373" s="1516" t="s">
        <v>10</v>
      </c>
      <c r="D373" s="1517">
        <v>1</v>
      </c>
      <c r="E373" s="1081">
        <v>21840</v>
      </c>
      <c r="F373" s="1081">
        <v>1885</v>
      </c>
      <c r="G373" s="1518">
        <f>(E373+F373)*D373</f>
        <v>23725</v>
      </c>
      <c r="H373" s="1519"/>
    </row>
    <row r="374" spans="1:8" s="813" customFormat="1" ht="26">
      <c r="A374" s="1111"/>
      <c r="B374" s="1112" t="s">
        <v>1680</v>
      </c>
      <c r="C374" s="1516"/>
      <c r="D374" s="1517"/>
      <c r="E374" s="1081">
        <v>0</v>
      </c>
      <c r="F374" s="1081">
        <v>0</v>
      </c>
      <c r="G374" s="1518"/>
      <c r="H374" s="1520"/>
    </row>
    <row r="375" spans="1:8" s="813" customFormat="1">
      <c r="A375" s="1126"/>
      <c r="B375" s="1127" t="s">
        <v>1681</v>
      </c>
      <c r="C375" s="1090"/>
      <c r="D375" s="1091"/>
      <c r="E375" s="1128"/>
      <c r="F375" s="1128"/>
      <c r="G375" s="1128">
        <f>SUM(G354:G374)</f>
        <v>1801027</v>
      </c>
      <c r="H375" s="1090"/>
    </row>
    <row r="376" spans="1:8" s="813" customFormat="1">
      <c r="A376" s="1129"/>
      <c r="B376" s="1110"/>
      <c r="C376" s="1085"/>
      <c r="D376" s="1069"/>
      <c r="E376" s="1070"/>
      <c r="F376" s="1070"/>
      <c r="G376" s="1070"/>
      <c r="H376" s="1085"/>
    </row>
    <row r="377" spans="1:8" s="813" customFormat="1">
      <c r="A377" s="1077">
        <v>17</v>
      </c>
      <c r="B377" s="1078" t="s">
        <v>74</v>
      </c>
      <c r="C377" s="1068"/>
      <c r="D377" s="1069"/>
      <c r="E377" s="1070"/>
      <c r="F377" s="1070"/>
      <c r="G377" s="1070"/>
      <c r="H377" s="1068"/>
    </row>
    <row r="378" spans="1:8">
      <c r="A378" s="1080">
        <v>17.100000000000001</v>
      </c>
      <c r="B378" s="1067" t="s">
        <v>1682</v>
      </c>
      <c r="C378" s="1068"/>
      <c r="D378" s="1069"/>
      <c r="E378" s="1070"/>
      <c r="F378" s="1070"/>
      <c r="G378" s="1070"/>
      <c r="H378" s="1068"/>
    </row>
    <row r="379" spans="1:8" ht="39">
      <c r="A379" s="1086"/>
      <c r="B379" s="1067" t="s">
        <v>2399</v>
      </c>
      <c r="C379" s="1085" t="s">
        <v>1683</v>
      </c>
      <c r="D379" s="1069">
        <v>600</v>
      </c>
      <c r="E379" s="1081">
        <v>130</v>
      </c>
      <c r="F379" s="1081">
        <v>39</v>
      </c>
      <c r="G379" s="1070">
        <f t="shared" ref="G379" si="40">(E379+F379)*D379</f>
        <v>101400</v>
      </c>
      <c r="H379" s="1085"/>
    </row>
    <row r="380" spans="1:8">
      <c r="A380" s="1080"/>
      <c r="B380" s="1067"/>
      <c r="C380" s="1068"/>
      <c r="D380" s="1069"/>
      <c r="E380" s="1070"/>
      <c r="F380" s="1198"/>
      <c r="G380" s="1070"/>
      <c r="H380" s="1068"/>
    </row>
    <row r="381" spans="1:8">
      <c r="A381" s="1080">
        <v>17.2</v>
      </c>
      <c r="B381" s="1067" t="s">
        <v>1684</v>
      </c>
      <c r="C381" s="1068"/>
      <c r="D381" s="1069"/>
      <c r="E381" s="1070"/>
      <c r="F381" s="1198"/>
      <c r="G381" s="1070"/>
      <c r="H381" s="1068"/>
    </row>
    <row r="382" spans="1:8" ht="26">
      <c r="A382" s="1080"/>
      <c r="B382" s="1067" t="s">
        <v>2400</v>
      </c>
      <c r="C382" s="1068" t="s">
        <v>10</v>
      </c>
      <c r="D382" s="1069">
        <v>15</v>
      </c>
      <c r="E382" s="1081">
        <v>420</v>
      </c>
      <c r="F382" s="1081">
        <v>700</v>
      </c>
      <c r="G382" s="1070">
        <f t="shared" ref="G382" si="41">(E382+F382)*D382</f>
        <v>16800</v>
      </c>
      <c r="H382" s="1068"/>
    </row>
    <row r="383" spans="1:8">
      <c r="A383" s="1080"/>
      <c r="B383" s="1067"/>
      <c r="C383" s="1068"/>
      <c r="D383" s="1069"/>
      <c r="E383" s="1070"/>
      <c r="F383" s="1198"/>
      <c r="G383" s="1070"/>
      <c r="H383" s="1068"/>
    </row>
    <row r="384" spans="1:8">
      <c r="A384" s="1080">
        <v>17.3</v>
      </c>
      <c r="B384" s="1130" t="s">
        <v>1685</v>
      </c>
      <c r="C384" s="1068"/>
      <c r="D384" s="1069"/>
      <c r="E384" s="1081"/>
      <c r="F384" s="1199"/>
      <c r="G384" s="1070"/>
      <c r="H384" s="1068"/>
    </row>
    <row r="385" spans="1:8" ht="26">
      <c r="A385" s="1086"/>
      <c r="B385" s="1072" t="s">
        <v>2401</v>
      </c>
      <c r="C385" s="1085" t="s">
        <v>16</v>
      </c>
      <c r="D385" s="1069">
        <v>3</v>
      </c>
      <c r="E385" s="1081">
        <v>0</v>
      </c>
      <c r="F385" s="1081">
        <v>38740</v>
      </c>
      <c r="G385" s="1070">
        <f t="shared" ref="G385" si="42">(E385+F385)*D385</f>
        <v>116220</v>
      </c>
      <c r="H385" s="1085"/>
    </row>
    <row r="386" spans="1:8" s="823" customFormat="1">
      <c r="A386" s="1080"/>
      <c r="B386" s="1072"/>
      <c r="C386" s="1085"/>
      <c r="D386" s="1069"/>
      <c r="E386" s="1081"/>
      <c r="F386" s="1198"/>
      <c r="G386" s="1070"/>
      <c r="H386" s="1085"/>
    </row>
    <row r="387" spans="1:8" s="823" customFormat="1">
      <c r="A387" s="1080">
        <v>17.399999999999999</v>
      </c>
      <c r="B387" s="1067" t="s">
        <v>1686</v>
      </c>
      <c r="C387" s="1085"/>
      <c r="D387" s="1069"/>
      <c r="E387" s="1081"/>
      <c r="F387" s="1198"/>
      <c r="G387" s="1070"/>
      <c r="H387" s="1085"/>
    </row>
    <row r="388" spans="1:8" s="823" customFormat="1" ht="117">
      <c r="A388" s="1111"/>
      <c r="B388" s="1181" t="s">
        <v>1687</v>
      </c>
      <c r="C388" s="1085"/>
      <c r="D388" s="1158"/>
      <c r="E388" s="1156"/>
      <c r="F388" s="1150"/>
      <c r="G388" s="1070"/>
      <c r="H388" s="1157"/>
    </row>
    <row r="389" spans="1:8" s="823" customFormat="1" ht="39">
      <c r="A389" s="1111"/>
      <c r="B389" s="1087" t="s">
        <v>1688</v>
      </c>
      <c r="C389" s="1085"/>
      <c r="D389" s="1158"/>
      <c r="E389" s="1156"/>
      <c r="F389" s="1150"/>
      <c r="G389" s="1070"/>
      <c r="H389" s="1157"/>
    </row>
    <row r="390" spans="1:8" s="823" customFormat="1" ht="91">
      <c r="A390" s="1111"/>
      <c r="B390" s="1200" t="s">
        <v>1689</v>
      </c>
      <c r="C390" s="1085"/>
      <c r="D390" s="1158"/>
      <c r="E390" s="1156"/>
      <c r="F390" s="1150"/>
      <c r="G390" s="1070"/>
      <c r="H390" s="1157"/>
    </row>
    <row r="391" spans="1:8" s="823" customFormat="1">
      <c r="A391" s="1080"/>
      <c r="B391" s="1072" t="s">
        <v>1690</v>
      </c>
      <c r="C391" s="1085" t="s">
        <v>395</v>
      </c>
      <c r="D391" s="1069" t="s">
        <v>1198</v>
      </c>
      <c r="E391" s="1081">
        <v>0</v>
      </c>
      <c r="F391" s="1081">
        <v>130000</v>
      </c>
      <c r="G391" s="1070"/>
      <c r="H391" s="1085"/>
    </row>
    <row r="392" spans="1:8" s="823" customFormat="1">
      <c r="A392" s="1129"/>
      <c r="B392" s="1110"/>
      <c r="C392" s="1085"/>
      <c r="D392" s="1069"/>
      <c r="E392" s="1070"/>
      <c r="F392" s="1070"/>
      <c r="G392" s="1070"/>
      <c r="H392" s="1085"/>
    </row>
    <row r="393" spans="1:8">
      <c r="A393" s="1201">
        <v>17.600000000000001</v>
      </c>
      <c r="B393" s="1130" t="s">
        <v>1691</v>
      </c>
      <c r="C393" s="1068"/>
      <c r="D393" s="1069"/>
      <c r="E393" s="1070"/>
      <c r="F393" s="1070"/>
      <c r="G393" s="1070"/>
      <c r="H393" s="1068"/>
    </row>
    <row r="394" spans="1:8" ht="65">
      <c r="A394" s="1071"/>
      <c r="B394" s="1072" t="s">
        <v>1692</v>
      </c>
      <c r="C394" s="1085" t="s">
        <v>395</v>
      </c>
      <c r="D394" s="1069">
        <v>3</v>
      </c>
      <c r="E394" s="1081">
        <v>0</v>
      </c>
      <c r="F394" s="1081">
        <v>40950</v>
      </c>
      <c r="G394" s="1070">
        <f t="shared" ref="G394" si="43">(E394+F394)*D394</f>
        <v>122850</v>
      </c>
      <c r="H394" s="1202"/>
    </row>
    <row r="395" spans="1:8" s="829" customFormat="1">
      <c r="A395" s="1071"/>
      <c r="B395" s="1072"/>
      <c r="C395" s="1085"/>
      <c r="D395" s="1069"/>
      <c r="E395" s="1081"/>
      <c r="F395" s="1081"/>
      <c r="G395" s="1070"/>
      <c r="H395" s="1202"/>
    </row>
    <row r="396" spans="1:8" s="776" customFormat="1">
      <c r="A396" s="1201">
        <v>17.7</v>
      </c>
      <c r="B396" s="1130" t="s">
        <v>1693</v>
      </c>
      <c r="C396" s="1068"/>
      <c r="D396" s="1069"/>
      <c r="E396" s="1070"/>
      <c r="F396" s="1070"/>
      <c r="G396" s="1070"/>
      <c r="H396" s="1068"/>
    </row>
    <row r="397" spans="1:8" s="776" customFormat="1" ht="39">
      <c r="A397" s="1071"/>
      <c r="B397" s="1072" t="s">
        <v>1694</v>
      </c>
      <c r="C397" s="1085" t="s">
        <v>10</v>
      </c>
      <c r="D397" s="1069" t="s">
        <v>1198</v>
      </c>
      <c r="E397" s="1081">
        <v>356</v>
      </c>
      <c r="F397" s="1081">
        <v>70</v>
      </c>
      <c r="G397" s="1070"/>
      <c r="H397" s="1202"/>
    </row>
    <row r="398" spans="1:8" s="840" customFormat="1">
      <c r="A398" s="1126"/>
      <c r="B398" s="1127" t="s">
        <v>1695</v>
      </c>
      <c r="C398" s="1090"/>
      <c r="D398" s="1091"/>
      <c r="E398" s="1128"/>
      <c r="F398" s="1128"/>
      <c r="G398" s="1128">
        <f>SUM(G377:G397)</f>
        <v>357270</v>
      </c>
      <c r="H398" s="1090"/>
    </row>
    <row r="399" spans="1:8" s="840" customFormat="1">
      <c r="A399" s="1203"/>
      <c r="B399" s="1204"/>
      <c r="C399" s="1085"/>
      <c r="D399" s="1069"/>
      <c r="E399" s="1081"/>
      <c r="F399" s="1081"/>
      <c r="G399" s="1070"/>
      <c r="H399" s="1202"/>
    </row>
    <row r="400" spans="1:8" s="842" customFormat="1">
      <c r="A400" s="1077">
        <v>18</v>
      </c>
      <c r="B400" s="1078" t="s">
        <v>1696</v>
      </c>
      <c r="C400" s="1085"/>
      <c r="D400" s="1069"/>
      <c r="E400" s="1081"/>
      <c r="F400" s="1081"/>
      <c r="G400" s="1070"/>
      <c r="H400" s="1202"/>
    </row>
    <row r="401" spans="1:8" s="842" customFormat="1" ht="39">
      <c r="A401" s="1205"/>
      <c r="B401" s="1206" t="s">
        <v>2402</v>
      </c>
      <c r="C401" s="1085"/>
      <c r="D401" s="1069"/>
      <c r="E401" s="1081"/>
      <c r="F401" s="1081"/>
      <c r="G401" s="1070"/>
      <c r="H401" s="1202"/>
    </row>
    <row r="402" spans="1:8" ht="78">
      <c r="A402" s="1205"/>
      <c r="B402" s="1072" t="s">
        <v>1697</v>
      </c>
      <c r="C402" s="1085"/>
      <c r="D402" s="1069"/>
      <c r="E402" s="1081"/>
      <c r="F402" s="1081"/>
      <c r="G402" s="1070"/>
      <c r="H402" s="1202"/>
    </row>
    <row r="403" spans="1:8" ht="65">
      <c r="A403" s="1207"/>
      <c r="B403" s="1072" t="s">
        <v>1698</v>
      </c>
      <c r="C403" s="1085"/>
      <c r="D403" s="1069"/>
      <c r="E403" s="1081"/>
      <c r="F403" s="1081"/>
      <c r="G403" s="1070"/>
      <c r="H403" s="1202"/>
    </row>
    <row r="404" spans="1:8" ht="26">
      <c r="A404" s="1205"/>
      <c r="B404" s="1208" t="s">
        <v>1699</v>
      </c>
      <c r="C404" s="1085"/>
      <c r="D404" s="1069"/>
      <c r="E404" s="1081"/>
      <c r="F404" s="1081"/>
      <c r="G404" s="1070"/>
      <c r="H404" s="1202"/>
    </row>
    <row r="405" spans="1:8">
      <c r="A405" s="1205">
        <v>2.1</v>
      </c>
      <c r="B405" s="1209" t="s">
        <v>1700</v>
      </c>
      <c r="C405" s="1085" t="s">
        <v>1701</v>
      </c>
      <c r="D405" s="1069" t="s">
        <v>1198</v>
      </c>
      <c r="E405" s="1081">
        <v>325000</v>
      </c>
      <c r="F405" s="1081">
        <v>32500</v>
      </c>
      <c r="G405" s="1070"/>
      <c r="H405" s="1202"/>
    </row>
    <row r="406" spans="1:8">
      <c r="A406" s="1205">
        <v>2.2000000000000002</v>
      </c>
      <c r="B406" s="1209" t="s">
        <v>1702</v>
      </c>
      <c r="C406" s="1085" t="s">
        <v>1701</v>
      </c>
      <c r="D406" s="1069" t="s">
        <v>1198</v>
      </c>
      <c r="E406" s="1081">
        <v>292500</v>
      </c>
      <c r="F406" s="1081">
        <v>29250</v>
      </c>
      <c r="G406" s="1070"/>
      <c r="H406" s="1202"/>
    </row>
    <row r="407" spans="1:8">
      <c r="A407" s="1126"/>
      <c r="B407" s="1127" t="s">
        <v>1703</v>
      </c>
      <c r="C407" s="1090"/>
      <c r="D407" s="1091"/>
      <c r="E407" s="1128"/>
      <c r="F407" s="1128"/>
      <c r="G407" s="1128">
        <f>SUM(G400:G406)</f>
        <v>0</v>
      </c>
      <c r="H407" s="1090"/>
    </row>
    <row r="408" spans="1:8">
      <c r="A408" s="1203"/>
      <c r="B408" s="1204"/>
      <c r="C408" s="1171"/>
      <c r="D408" s="1172"/>
      <c r="E408" s="1174"/>
      <c r="F408" s="1174"/>
      <c r="G408" s="1174"/>
      <c r="H408" s="1171"/>
    </row>
    <row r="409" spans="1:8">
      <c r="A409" s="1210"/>
      <c r="B409" s="1211" t="s">
        <v>1704</v>
      </c>
      <c r="C409" s="1212"/>
      <c r="D409" s="1213"/>
      <c r="E409" s="1213"/>
      <c r="F409" s="1213"/>
      <c r="G409" s="1214">
        <f>G398+G375+G352+G226+G158+G129+G98+G34+G407</f>
        <v>10562169</v>
      </c>
      <c r="H409" s="1214"/>
    </row>
    <row r="410" spans="1:8">
      <c r="A410" s="1215"/>
      <c r="B410" s="1216" t="s">
        <v>375</v>
      </c>
      <c r="C410" s="1217"/>
      <c r="D410" s="1217"/>
      <c r="E410" s="1217"/>
      <c r="F410" s="1217"/>
      <c r="G410" s="1214">
        <f>G409*0.18</f>
        <v>1901190.42</v>
      </c>
      <c r="H410" s="1217"/>
    </row>
    <row r="411" spans="1:8">
      <c r="A411" s="1218"/>
      <c r="B411" s="1219" t="s">
        <v>396</v>
      </c>
      <c r="C411" s="1220"/>
      <c r="D411" s="1220"/>
      <c r="E411" s="1220"/>
      <c r="F411" s="1220"/>
      <c r="G411" s="1221">
        <f>G409+G410</f>
        <v>12463359.42</v>
      </c>
      <c r="H411" s="1220"/>
    </row>
    <row r="412" spans="1:8">
      <c r="A412" s="1222">
        <v>1</v>
      </c>
      <c r="B412" s="1513" t="s">
        <v>1705</v>
      </c>
      <c r="C412" s="1513"/>
      <c r="D412" s="1223"/>
      <c r="E412" s="1224"/>
      <c r="F412" s="1224"/>
      <c r="G412" s="1224"/>
      <c r="H412" s="1225"/>
    </row>
    <row r="413" spans="1:8">
      <c r="A413" s="1222">
        <v>2</v>
      </c>
      <c r="B413" s="1514" t="s">
        <v>1706</v>
      </c>
      <c r="C413" s="1514"/>
      <c r="D413" s="1514"/>
      <c r="E413" s="1514"/>
      <c r="F413" s="1514"/>
      <c r="G413" s="1514"/>
      <c r="H413" s="1514"/>
    </row>
    <row r="414" spans="1:8">
      <c r="A414" s="1226">
        <v>3</v>
      </c>
      <c r="B414" s="1515" t="s">
        <v>1707</v>
      </c>
      <c r="C414" s="1515"/>
      <c r="D414" s="1515"/>
      <c r="E414" s="1515"/>
      <c r="F414" s="1515"/>
      <c r="G414" s="1515"/>
      <c r="H414" s="1227"/>
    </row>
    <row r="415" spans="1:8">
      <c r="A415" s="1226">
        <v>4</v>
      </c>
      <c r="B415" s="1515" t="s">
        <v>1708</v>
      </c>
      <c r="C415" s="1515"/>
      <c r="D415" s="1515"/>
      <c r="E415" s="1515"/>
      <c r="F415" s="1515"/>
      <c r="G415" s="1515"/>
      <c r="H415" s="1227"/>
    </row>
    <row r="416" spans="1:8">
      <c r="H416" s="1231"/>
    </row>
    <row r="417" spans="8:8">
      <c r="H417" s="1232"/>
    </row>
  </sheetData>
  <autoFilter ref="D1:D417" xr:uid="{4FC33CE2-04F7-4611-A2B9-D8752EC59B7B}"/>
  <mergeCells count="8">
    <mergeCell ref="B412:C412"/>
    <mergeCell ref="B413:H413"/>
    <mergeCell ref="B414:G414"/>
    <mergeCell ref="B415:G415"/>
    <mergeCell ref="C373:C374"/>
    <mergeCell ref="D373:D374"/>
    <mergeCell ref="G373:G374"/>
    <mergeCell ref="H373:H374"/>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D9A99-A957-4618-9148-77F10FF2CE4E}">
  <dimension ref="A1:H165"/>
  <sheetViews>
    <sheetView zoomScale="60" zoomScaleNormal="60" workbookViewId="0"/>
  </sheetViews>
  <sheetFormatPr defaultRowHeight="14.5"/>
  <cols>
    <col min="1" max="1" width="8.7265625" style="843"/>
    <col min="2" max="2" width="75" style="879" customWidth="1"/>
    <col min="3" max="3" width="10.54296875" style="880" customWidth="1"/>
    <col min="4" max="4" width="7.81640625" style="881" customWidth="1"/>
    <col min="5" max="5" width="10.81640625" style="882" customWidth="1"/>
    <col min="6" max="6" width="14.54296875" style="883" customWidth="1"/>
    <col min="7" max="7" width="13.7265625" style="843" bestFit="1" customWidth="1"/>
    <col min="8" max="8" width="25.90625" style="843" customWidth="1"/>
  </cols>
  <sheetData>
    <row r="1" spans="1:8">
      <c r="A1" s="780" t="s">
        <v>376</v>
      </c>
      <c r="B1" s="780" t="s">
        <v>1493</v>
      </c>
      <c r="C1" s="795"/>
      <c r="D1" s="796"/>
      <c r="E1" s="796"/>
      <c r="F1" s="796"/>
      <c r="G1" s="796"/>
      <c r="H1" s="796"/>
    </row>
    <row r="2" spans="1:8">
      <c r="A2" s="780" t="s">
        <v>377</v>
      </c>
      <c r="B2" s="797" t="s">
        <v>1712</v>
      </c>
      <c r="C2" s="795"/>
      <c r="D2" s="798"/>
      <c r="E2" s="796"/>
      <c r="F2" s="796"/>
      <c r="G2" s="796"/>
      <c r="H2" s="796"/>
    </row>
    <row r="3" spans="1:8" ht="15" thickBot="1">
      <c r="A3" s="780" t="s">
        <v>378</v>
      </c>
      <c r="B3" s="797" t="s">
        <v>379</v>
      </c>
      <c r="C3" s="799"/>
      <c r="D3" s="800"/>
      <c r="E3" s="800"/>
      <c r="F3" s="801"/>
      <c r="G3" s="801"/>
      <c r="H3" s="802" t="s">
        <v>1495</v>
      </c>
    </row>
    <row r="4" spans="1:8" ht="31.5" thickBot="1">
      <c r="A4" s="770" t="s">
        <v>380</v>
      </c>
      <c r="B4" s="771" t="s">
        <v>2</v>
      </c>
      <c r="C4" s="804" t="s">
        <v>12</v>
      </c>
      <c r="D4" s="771" t="s">
        <v>1496</v>
      </c>
      <c r="E4" s="805" t="s">
        <v>381</v>
      </c>
      <c r="F4" s="805" t="s">
        <v>382</v>
      </c>
      <c r="G4" s="805" t="s">
        <v>383</v>
      </c>
      <c r="H4" s="806" t="s">
        <v>384</v>
      </c>
    </row>
    <row r="5" spans="1:8">
      <c r="A5" s="810" t="s">
        <v>1711</v>
      </c>
      <c r="B5" s="848" t="s">
        <v>1497</v>
      </c>
      <c r="C5" s="810"/>
      <c r="D5" s="846"/>
      <c r="E5" s="849"/>
      <c r="F5" s="850"/>
      <c r="G5" s="847"/>
      <c r="H5" s="847"/>
    </row>
    <row r="6" spans="1:8">
      <c r="A6" s="851"/>
      <c r="B6" s="818" t="s">
        <v>1498</v>
      </c>
      <c r="C6" s="810"/>
      <c r="D6" s="846"/>
      <c r="E6" s="849"/>
      <c r="F6" s="850"/>
      <c r="G6" s="847"/>
      <c r="H6" s="847"/>
    </row>
    <row r="7" spans="1:8">
      <c r="A7" s="852"/>
      <c r="B7" s="818" t="s">
        <v>1499</v>
      </c>
      <c r="C7" s="810"/>
      <c r="D7" s="846"/>
      <c r="E7" s="849"/>
      <c r="F7" s="850"/>
      <c r="G7" s="847"/>
      <c r="H7" s="847"/>
    </row>
    <row r="8" spans="1:8">
      <c r="A8" s="853"/>
      <c r="B8" s="848" t="s">
        <v>1500</v>
      </c>
      <c r="C8" s="810"/>
      <c r="D8" s="846"/>
      <c r="E8" s="849"/>
      <c r="F8" s="850"/>
      <c r="G8" s="847"/>
      <c r="H8" s="847"/>
    </row>
    <row r="9" spans="1:8">
      <c r="A9" s="854"/>
      <c r="B9" s="818" t="s">
        <v>1501</v>
      </c>
      <c r="C9" s="810"/>
      <c r="D9" s="846"/>
      <c r="E9" s="855"/>
      <c r="F9" s="850"/>
      <c r="G9" s="847"/>
      <c r="H9" s="847"/>
    </row>
    <row r="10" spans="1:8" ht="40.5">
      <c r="A10" s="810"/>
      <c r="B10" s="818" t="s">
        <v>1502</v>
      </c>
      <c r="C10" s="810"/>
      <c r="D10" s="846"/>
      <c r="E10" s="849"/>
      <c r="F10" s="850"/>
      <c r="G10" s="847"/>
      <c r="H10" s="847"/>
    </row>
    <row r="11" spans="1:8">
      <c r="A11" s="856"/>
      <c r="B11" s="811"/>
      <c r="C11" s="810"/>
      <c r="D11" s="846"/>
      <c r="E11" s="849"/>
      <c r="F11" s="822"/>
      <c r="G11" s="847"/>
      <c r="H11" s="847"/>
    </row>
    <row r="12" spans="1:8">
      <c r="A12" s="810"/>
      <c r="B12" s="848" t="s">
        <v>1713</v>
      </c>
      <c r="C12" s="810"/>
      <c r="D12" s="846"/>
      <c r="E12" s="849"/>
      <c r="F12" s="822"/>
      <c r="G12" s="847"/>
      <c r="H12" s="847"/>
    </row>
    <row r="13" spans="1:8">
      <c r="A13" s="810"/>
      <c r="B13" s="848"/>
      <c r="C13" s="810"/>
      <c r="D13" s="846"/>
      <c r="E13" s="849"/>
      <c r="F13" s="822"/>
      <c r="G13" s="847"/>
      <c r="H13" s="847"/>
    </row>
    <row r="14" spans="1:8">
      <c r="A14" s="857">
        <v>1</v>
      </c>
      <c r="B14" s="858" t="s">
        <v>1714</v>
      </c>
      <c r="C14" s="810"/>
      <c r="D14" s="844"/>
      <c r="E14" s="812"/>
      <c r="F14" s="845"/>
      <c r="G14" s="859"/>
      <c r="H14" s="846"/>
    </row>
    <row r="15" spans="1:8">
      <c r="A15" s="814">
        <v>1.1000000000000001</v>
      </c>
      <c r="B15" s="815" t="s">
        <v>1715</v>
      </c>
      <c r="C15" s="810"/>
      <c r="D15" s="844"/>
      <c r="E15" s="812"/>
      <c r="F15" s="845"/>
      <c r="G15" s="859"/>
      <c r="H15" s="846"/>
    </row>
    <row r="16" spans="1:8">
      <c r="A16" s="860"/>
      <c r="B16" s="819" t="s">
        <v>1716</v>
      </c>
      <c r="C16" s="810"/>
      <c r="D16" s="844"/>
      <c r="E16" s="812"/>
      <c r="F16" s="845"/>
      <c r="G16" s="859"/>
      <c r="H16" s="846"/>
    </row>
    <row r="17" spans="1:8" ht="162">
      <c r="A17" s="860"/>
      <c r="B17" s="818" t="s">
        <v>1717</v>
      </c>
      <c r="C17" s="810"/>
      <c r="D17" s="844"/>
      <c r="E17" s="812"/>
      <c r="F17" s="845"/>
      <c r="G17" s="859"/>
      <c r="H17" s="846"/>
    </row>
    <row r="18" spans="1:8" ht="94.5">
      <c r="A18" s="860"/>
      <c r="B18" s="818" t="s">
        <v>1718</v>
      </c>
      <c r="C18" s="810"/>
      <c r="D18" s="844"/>
      <c r="E18" s="812"/>
      <c r="F18" s="845"/>
      <c r="G18" s="859"/>
      <c r="H18" s="846"/>
    </row>
    <row r="19" spans="1:8" ht="175.5">
      <c r="A19" s="860"/>
      <c r="B19" s="818" t="s">
        <v>1719</v>
      </c>
      <c r="C19" s="810"/>
      <c r="D19" s="844"/>
      <c r="E19" s="812"/>
      <c r="F19" s="845"/>
      <c r="G19" s="859"/>
      <c r="H19" s="846"/>
    </row>
    <row r="20" spans="1:8" ht="27">
      <c r="A20" s="861"/>
      <c r="B20" s="819" t="s">
        <v>1720</v>
      </c>
      <c r="C20" s="810"/>
      <c r="D20" s="844"/>
      <c r="E20" s="812"/>
      <c r="F20" s="845"/>
      <c r="G20" s="859"/>
      <c r="H20" s="846"/>
    </row>
    <row r="21" spans="1:8" ht="40.5">
      <c r="A21" s="862"/>
      <c r="B21" s="819" t="s">
        <v>1721</v>
      </c>
      <c r="C21" s="810"/>
      <c r="D21" s="844"/>
      <c r="E21" s="812"/>
      <c r="F21" s="845"/>
      <c r="G21" s="859"/>
      <c r="H21" s="846"/>
    </row>
    <row r="22" spans="1:8" ht="189">
      <c r="A22" s="861"/>
      <c r="B22" s="863" t="s">
        <v>1722</v>
      </c>
      <c r="C22" s="810"/>
      <c r="D22" s="844"/>
      <c r="E22" s="812"/>
      <c r="F22" s="845"/>
      <c r="G22" s="859"/>
      <c r="H22" s="846"/>
    </row>
    <row r="23" spans="1:8">
      <c r="A23" s="862"/>
      <c r="B23" s="819" t="s">
        <v>1723</v>
      </c>
      <c r="C23" s="810"/>
      <c r="D23" s="844"/>
      <c r="E23" s="812"/>
      <c r="F23" s="812"/>
      <c r="G23" s="859"/>
      <c r="H23" s="846"/>
    </row>
    <row r="24" spans="1:8" ht="27">
      <c r="A24" s="861"/>
      <c r="B24" s="819" t="s">
        <v>1724</v>
      </c>
      <c r="C24" s="810"/>
      <c r="D24" s="844"/>
      <c r="E24" s="812"/>
      <c r="F24" s="822"/>
      <c r="G24" s="859"/>
      <c r="H24" s="846"/>
    </row>
    <row r="25" spans="1:8" ht="27">
      <c r="A25" s="861"/>
      <c r="B25" s="819" t="s">
        <v>1725</v>
      </c>
      <c r="C25" s="810"/>
      <c r="D25" s="844"/>
      <c r="E25" s="812"/>
      <c r="F25" s="845"/>
      <c r="G25" s="859"/>
      <c r="H25" s="846"/>
    </row>
    <row r="26" spans="1:8" ht="54">
      <c r="A26" s="860"/>
      <c r="B26" s="819" t="s">
        <v>1726</v>
      </c>
      <c r="C26" s="810"/>
      <c r="D26" s="844"/>
      <c r="E26" s="812"/>
      <c r="F26" s="845"/>
      <c r="G26" s="859"/>
      <c r="H26" s="846"/>
    </row>
    <row r="27" spans="1:8">
      <c r="A27" s="864" t="s">
        <v>1727</v>
      </c>
      <c r="B27" s="865" t="s">
        <v>1728</v>
      </c>
      <c r="C27" s="810"/>
      <c r="D27" s="844"/>
      <c r="E27" s="812"/>
      <c r="F27" s="845"/>
      <c r="G27" s="859"/>
      <c r="H27" s="846"/>
    </row>
    <row r="28" spans="1:8">
      <c r="A28" s="864" t="s">
        <v>385</v>
      </c>
      <c r="B28" s="819" t="s">
        <v>1729</v>
      </c>
      <c r="C28" s="810"/>
      <c r="D28" s="844"/>
      <c r="E28" s="812"/>
      <c r="F28" s="812"/>
      <c r="G28" s="859"/>
      <c r="H28" s="846"/>
    </row>
    <row r="29" spans="1:8">
      <c r="A29" s="866"/>
      <c r="B29" s="819" t="s">
        <v>1730</v>
      </c>
      <c r="C29" s="810" t="s">
        <v>16</v>
      </c>
      <c r="D29" s="844">
        <v>13</v>
      </c>
      <c r="E29" s="812">
        <v>20250</v>
      </c>
      <c r="F29" s="812">
        <v>1665</v>
      </c>
      <c r="G29" s="929">
        <f>D29*(E29+F29)</f>
        <v>284895</v>
      </c>
      <c r="H29" s="846"/>
    </row>
    <row r="30" spans="1:8">
      <c r="A30" s="866"/>
      <c r="B30" s="819"/>
      <c r="C30" s="810"/>
      <c r="D30" s="844"/>
      <c r="E30" s="812">
        <v>0</v>
      </c>
      <c r="F30" s="812">
        <v>0</v>
      </c>
      <c r="G30" s="859"/>
      <c r="H30" s="846"/>
    </row>
    <row r="31" spans="1:8">
      <c r="A31" s="866" t="s">
        <v>387</v>
      </c>
      <c r="B31" s="819" t="s">
        <v>1731</v>
      </c>
      <c r="C31" s="810"/>
      <c r="D31" s="844"/>
      <c r="E31" s="812">
        <v>0</v>
      </c>
      <c r="F31" s="812">
        <v>0</v>
      </c>
      <c r="G31" s="859"/>
      <c r="H31" s="846"/>
    </row>
    <row r="32" spans="1:8">
      <c r="A32" s="867"/>
      <c r="B32" s="819" t="s">
        <v>1730</v>
      </c>
      <c r="C32" s="810" t="s">
        <v>16</v>
      </c>
      <c r="D32" s="844">
        <v>20</v>
      </c>
      <c r="E32" s="812">
        <v>21750</v>
      </c>
      <c r="F32" s="812">
        <v>1665</v>
      </c>
      <c r="G32" s="821">
        <f>D32*(E32+F32)</f>
        <v>468300</v>
      </c>
      <c r="H32" s="846"/>
    </row>
    <row r="33" spans="1:8">
      <c r="A33" s="867"/>
      <c r="B33" s="819"/>
      <c r="C33" s="810"/>
      <c r="D33" s="844"/>
      <c r="E33" s="812">
        <v>0</v>
      </c>
      <c r="F33" s="812">
        <v>0</v>
      </c>
      <c r="G33" s="859"/>
      <c r="H33" s="846"/>
    </row>
    <row r="34" spans="1:8">
      <c r="A34" s="810" t="s">
        <v>388</v>
      </c>
      <c r="B34" s="819" t="s">
        <v>1732</v>
      </c>
      <c r="C34" s="810"/>
      <c r="D34" s="844"/>
      <c r="E34" s="812">
        <v>0</v>
      </c>
      <c r="F34" s="812">
        <v>0</v>
      </c>
      <c r="G34" s="859"/>
      <c r="H34" s="846"/>
    </row>
    <row r="35" spans="1:8">
      <c r="A35" s="854"/>
      <c r="B35" s="819" t="s">
        <v>1730</v>
      </c>
      <c r="C35" s="810" t="s">
        <v>16</v>
      </c>
      <c r="D35" s="844">
        <v>3</v>
      </c>
      <c r="E35" s="812">
        <v>22625</v>
      </c>
      <c r="F35" s="812">
        <v>1665</v>
      </c>
      <c r="G35" s="821">
        <f>D35*(E35+F35)</f>
        <v>72870</v>
      </c>
      <c r="H35" s="846"/>
    </row>
    <row r="36" spans="1:8">
      <c r="A36" s="854"/>
      <c r="B36" s="819"/>
      <c r="C36" s="810"/>
      <c r="D36" s="844"/>
      <c r="E36" s="812">
        <v>0</v>
      </c>
      <c r="F36" s="812">
        <v>0</v>
      </c>
      <c r="G36" s="859"/>
      <c r="H36" s="846"/>
    </row>
    <row r="37" spans="1:8">
      <c r="A37" s="868" t="s">
        <v>389</v>
      </c>
      <c r="B37" s="819" t="s">
        <v>1733</v>
      </c>
      <c r="C37" s="810"/>
      <c r="D37" s="844"/>
      <c r="E37" s="812">
        <v>0</v>
      </c>
      <c r="F37" s="812">
        <v>0</v>
      </c>
      <c r="G37" s="859"/>
      <c r="H37" s="846"/>
    </row>
    <row r="38" spans="1:8">
      <c r="A38" s="854"/>
      <c r="B38" s="819" t="s">
        <v>1730</v>
      </c>
      <c r="C38" s="810" t="s">
        <v>16</v>
      </c>
      <c r="D38" s="844">
        <v>5</v>
      </c>
      <c r="E38" s="812">
        <v>23313</v>
      </c>
      <c r="F38" s="812">
        <v>1665</v>
      </c>
      <c r="G38" s="821">
        <f>D38*(E38+F38)</f>
        <v>124890</v>
      </c>
      <c r="H38" s="846"/>
    </row>
    <row r="39" spans="1:8">
      <c r="A39" s="854"/>
      <c r="B39" s="819"/>
      <c r="C39" s="810"/>
      <c r="D39" s="844"/>
      <c r="E39" s="812">
        <v>0</v>
      </c>
      <c r="F39" s="812">
        <v>0</v>
      </c>
      <c r="G39" s="859"/>
      <c r="H39" s="846"/>
    </row>
    <row r="40" spans="1:8">
      <c r="A40" s="868" t="s">
        <v>390</v>
      </c>
      <c r="B40" s="819" t="s">
        <v>1734</v>
      </c>
      <c r="C40" s="810"/>
      <c r="D40" s="844"/>
      <c r="E40" s="812">
        <v>0</v>
      </c>
      <c r="F40" s="812">
        <v>0</v>
      </c>
      <c r="G40" s="859"/>
      <c r="H40" s="846"/>
    </row>
    <row r="41" spans="1:8">
      <c r="A41" s="854"/>
      <c r="B41" s="819" t="s">
        <v>1730</v>
      </c>
      <c r="C41" s="810" t="s">
        <v>16</v>
      </c>
      <c r="D41" s="844">
        <v>6</v>
      </c>
      <c r="E41" s="812">
        <v>40000</v>
      </c>
      <c r="F41" s="812">
        <v>6250</v>
      </c>
      <c r="G41" s="910">
        <f>D41*(E41+F41)</f>
        <v>277500</v>
      </c>
      <c r="H41" s="846"/>
    </row>
    <row r="42" spans="1:8">
      <c r="A42" s="854"/>
      <c r="B42" s="819"/>
      <c r="C42" s="810"/>
      <c r="D42" s="844"/>
      <c r="E42" s="812">
        <v>0</v>
      </c>
      <c r="F42" s="812">
        <v>0</v>
      </c>
      <c r="G42" s="859"/>
      <c r="H42" s="846"/>
    </row>
    <row r="43" spans="1:8">
      <c r="A43" s="810" t="s">
        <v>391</v>
      </c>
      <c r="B43" s="819" t="s">
        <v>1735</v>
      </c>
      <c r="C43" s="810"/>
      <c r="D43" s="844"/>
      <c r="E43" s="812">
        <v>0</v>
      </c>
      <c r="F43" s="812">
        <v>0</v>
      </c>
      <c r="G43" s="859"/>
      <c r="H43" s="846"/>
    </row>
    <row r="44" spans="1:8">
      <c r="A44" s="854"/>
      <c r="B44" s="819" t="s">
        <v>1730</v>
      </c>
      <c r="C44" s="810" t="s">
        <v>16</v>
      </c>
      <c r="D44" s="844">
        <v>1</v>
      </c>
      <c r="E44" s="812">
        <v>40625</v>
      </c>
      <c r="F44" s="812">
        <v>6250</v>
      </c>
      <c r="G44" s="910">
        <f>D44*(E44+F44)</f>
        <v>46875</v>
      </c>
      <c r="H44" s="846"/>
    </row>
    <row r="45" spans="1:8">
      <c r="A45" s="854"/>
      <c r="B45" s="819"/>
      <c r="C45" s="810"/>
      <c r="D45" s="844"/>
      <c r="E45" s="812">
        <v>0</v>
      </c>
      <c r="F45" s="812">
        <v>0</v>
      </c>
      <c r="G45" s="859"/>
      <c r="H45" s="846"/>
    </row>
    <row r="46" spans="1:8">
      <c r="A46" s="810" t="s">
        <v>391</v>
      </c>
      <c r="B46" s="819" t="s">
        <v>1736</v>
      </c>
      <c r="C46" s="810"/>
      <c r="D46" s="844"/>
      <c r="E46" s="812">
        <v>0</v>
      </c>
      <c r="F46" s="812">
        <v>0</v>
      </c>
      <c r="G46" s="859"/>
      <c r="H46" s="846"/>
    </row>
    <row r="47" spans="1:8">
      <c r="A47" s="854"/>
      <c r="B47" s="819" t="s">
        <v>1730</v>
      </c>
      <c r="C47" s="810" t="s">
        <v>16</v>
      </c>
      <c r="D47" s="844">
        <v>1</v>
      </c>
      <c r="E47" s="812">
        <v>41250</v>
      </c>
      <c r="F47" s="812">
        <v>6250</v>
      </c>
      <c r="G47" s="910">
        <f>D47*(E47+F47)</f>
        <v>47500</v>
      </c>
      <c r="H47" s="846"/>
    </row>
    <row r="48" spans="1:8">
      <c r="A48" s="854"/>
      <c r="B48" s="819"/>
      <c r="C48" s="810"/>
      <c r="D48" s="844"/>
      <c r="E48" s="812">
        <v>0</v>
      </c>
      <c r="F48" s="812">
        <v>0</v>
      </c>
      <c r="G48" s="859"/>
      <c r="H48" s="846"/>
    </row>
    <row r="49" spans="1:8">
      <c r="A49" s="810" t="s">
        <v>392</v>
      </c>
      <c r="B49" s="819" t="s">
        <v>1737</v>
      </c>
      <c r="C49" s="810"/>
      <c r="D49" s="844"/>
      <c r="E49" s="812">
        <v>0</v>
      </c>
      <c r="F49" s="812">
        <v>0</v>
      </c>
      <c r="G49" s="859"/>
      <c r="H49" s="846"/>
    </row>
    <row r="50" spans="1:8">
      <c r="A50" s="854"/>
      <c r="B50" s="819" t="s">
        <v>1730</v>
      </c>
      <c r="C50" s="810" t="s">
        <v>16</v>
      </c>
      <c r="D50" s="844" t="s">
        <v>1198</v>
      </c>
      <c r="E50" s="812">
        <v>41875</v>
      </c>
      <c r="F50" s="812">
        <v>6250</v>
      </c>
      <c r="G50" s="821"/>
      <c r="H50" s="846"/>
    </row>
    <row r="51" spans="1:8">
      <c r="A51" s="854"/>
      <c r="B51" s="819"/>
      <c r="C51" s="810"/>
      <c r="D51" s="844"/>
      <c r="E51" s="812">
        <v>0</v>
      </c>
      <c r="F51" s="812">
        <v>0</v>
      </c>
      <c r="G51" s="859"/>
      <c r="H51" s="846"/>
    </row>
    <row r="52" spans="1:8">
      <c r="A52" s="810" t="s">
        <v>393</v>
      </c>
      <c r="B52" s="819" t="s">
        <v>1738</v>
      </c>
      <c r="C52" s="810"/>
      <c r="D52" s="844"/>
      <c r="E52" s="812">
        <v>0</v>
      </c>
      <c r="F52" s="812">
        <v>0</v>
      </c>
      <c r="G52" s="859"/>
      <c r="H52" s="846"/>
    </row>
    <row r="53" spans="1:8">
      <c r="A53" s="854"/>
      <c r="B53" s="819" t="s">
        <v>1730</v>
      </c>
      <c r="C53" s="810" t="s">
        <v>16</v>
      </c>
      <c r="D53" s="844" t="s">
        <v>1198</v>
      </c>
      <c r="E53" s="812">
        <v>42500</v>
      </c>
      <c r="F53" s="812">
        <v>6250</v>
      </c>
      <c r="G53" s="821"/>
      <c r="H53" s="846"/>
    </row>
    <row r="54" spans="1:8">
      <c r="A54" s="854"/>
      <c r="B54" s="819"/>
      <c r="C54" s="810"/>
      <c r="D54" s="844"/>
      <c r="E54" s="812">
        <v>0</v>
      </c>
      <c r="F54" s="812">
        <v>0</v>
      </c>
      <c r="G54" s="859"/>
      <c r="H54" s="846"/>
    </row>
    <row r="55" spans="1:8">
      <c r="A55" s="810" t="s">
        <v>394</v>
      </c>
      <c r="B55" s="819" t="s">
        <v>1739</v>
      </c>
      <c r="C55" s="810"/>
      <c r="D55" s="844"/>
      <c r="E55" s="812">
        <v>0</v>
      </c>
      <c r="F55" s="812">
        <v>0</v>
      </c>
      <c r="G55" s="859"/>
      <c r="H55" s="846"/>
    </row>
    <row r="56" spans="1:8">
      <c r="A56" s="854"/>
      <c r="B56" s="819" t="s">
        <v>1730</v>
      </c>
      <c r="C56" s="810" t="s">
        <v>16</v>
      </c>
      <c r="D56" s="844">
        <v>1</v>
      </c>
      <c r="E56" s="812">
        <v>43125</v>
      </c>
      <c r="F56" s="812">
        <v>6250</v>
      </c>
      <c r="G56" s="910">
        <f>D56*(E56+F56)</f>
        <v>49375</v>
      </c>
      <c r="H56" s="846"/>
    </row>
    <row r="57" spans="1:8">
      <c r="A57" s="854"/>
      <c r="B57" s="819"/>
      <c r="C57" s="810"/>
      <c r="D57" s="844"/>
      <c r="E57" s="812">
        <v>0</v>
      </c>
      <c r="F57" s="812">
        <v>0</v>
      </c>
      <c r="G57" s="859"/>
      <c r="H57" s="846"/>
    </row>
    <row r="58" spans="1:8">
      <c r="A58" s="810" t="s">
        <v>397</v>
      </c>
      <c r="B58" s="819" t="s">
        <v>1740</v>
      </c>
      <c r="C58" s="810"/>
      <c r="D58" s="844"/>
      <c r="E58" s="812">
        <v>0</v>
      </c>
      <c r="F58" s="812">
        <v>0</v>
      </c>
      <c r="G58" s="859"/>
      <c r="H58" s="846"/>
    </row>
    <row r="59" spans="1:8">
      <c r="A59" s="854"/>
      <c r="B59" s="819" t="s">
        <v>1730</v>
      </c>
      <c r="C59" s="810" t="s">
        <v>16</v>
      </c>
      <c r="D59" s="844" t="s">
        <v>1198</v>
      </c>
      <c r="E59" s="812">
        <v>43750</v>
      </c>
      <c r="F59" s="812">
        <v>6250</v>
      </c>
      <c r="G59" s="821"/>
      <c r="H59" s="846"/>
    </row>
    <row r="60" spans="1:8">
      <c r="A60" s="854"/>
      <c r="B60" s="819"/>
      <c r="C60" s="810"/>
      <c r="D60" s="844"/>
      <c r="E60" s="812">
        <v>0</v>
      </c>
      <c r="F60" s="812">
        <v>0</v>
      </c>
      <c r="G60" s="859"/>
      <c r="H60" s="846"/>
    </row>
    <row r="61" spans="1:8">
      <c r="A61" s="810" t="s">
        <v>398</v>
      </c>
      <c r="B61" s="819" t="s">
        <v>1741</v>
      </c>
      <c r="C61" s="810"/>
      <c r="D61" s="844"/>
      <c r="E61" s="812">
        <v>0</v>
      </c>
      <c r="F61" s="812">
        <v>0</v>
      </c>
      <c r="G61" s="859"/>
      <c r="H61" s="846"/>
    </row>
    <row r="62" spans="1:8">
      <c r="A62" s="854"/>
      <c r="B62" s="819" t="s">
        <v>1730</v>
      </c>
      <c r="C62" s="810" t="s">
        <v>16</v>
      </c>
      <c r="D62" s="844" t="s">
        <v>1198</v>
      </c>
      <c r="E62" s="812">
        <v>44375</v>
      </c>
      <c r="F62" s="812">
        <v>6250</v>
      </c>
      <c r="G62" s="821"/>
      <c r="H62" s="846"/>
    </row>
    <row r="63" spans="1:8">
      <c r="A63" s="854"/>
      <c r="B63" s="819"/>
      <c r="C63" s="810"/>
      <c r="D63" s="844"/>
      <c r="E63" s="812">
        <v>0</v>
      </c>
      <c r="F63" s="812">
        <v>0</v>
      </c>
      <c r="G63" s="859"/>
      <c r="H63" s="846"/>
    </row>
    <row r="64" spans="1:8">
      <c r="A64" s="810" t="s">
        <v>399</v>
      </c>
      <c r="B64" s="819" t="s">
        <v>1742</v>
      </c>
      <c r="C64" s="810"/>
      <c r="D64" s="844"/>
      <c r="E64" s="812">
        <v>0</v>
      </c>
      <c r="F64" s="812">
        <v>0</v>
      </c>
      <c r="G64" s="859"/>
      <c r="H64" s="846"/>
    </row>
    <row r="65" spans="1:8">
      <c r="A65" s="854"/>
      <c r="B65" s="819" t="s">
        <v>1730</v>
      </c>
      <c r="C65" s="810" t="s">
        <v>16</v>
      </c>
      <c r="D65" s="844">
        <v>1</v>
      </c>
      <c r="E65" s="812">
        <v>45000</v>
      </c>
      <c r="F65" s="812">
        <v>6250</v>
      </c>
      <c r="G65" s="910">
        <f>D65*(E65+F65)</f>
        <v>51250</v>
      </c>
      <c r="H65" s="846"/>
    </row>
    <row r="66" spans="1:8">
      <c r="A66" s="854"/>
      <c r="B66" s="819"/>
      <c r="C66" s="810"/>
      <c r="D66" s="844"/>
      <c r="E66" s="812">
        <v>0</v>
      </c>
      <c r="F66" s="812">
        <v>0</v>
      </c>
      <c r="G66" s="859"/>
      <c r="H66" s="846"/>
    </row>
    <row r="67" spans="1:8">
      <c r="A67" s="810" t="s">
        <v>401</v>
      </c>
      <c r="B67" s="819" t="s">
        <v>1743</v>
      </c>
      <c r="C67" s="810"/>
      <c r="D67" s="844"/>
      <c r="E67" s="812">
        <v>0</v>
      </c>
      <c r="F67" s="812">
        <v>0</v>
      </c>
      <c r="G67" s="859"/>
      <c r="H67" s="846"/>
    </row>
    <row r="68" spans="1:8">
      <c r="A68" s="854"/>
      <c r="B68" s="819" t="s">
        <v>1730</v>
      </c>
      <c r="C68" s="810" t="s">
        <v>16</v>
      </c>
      <c r="D68" s="844" t="s">
        <v>1198</v>
      </c>
      <c r="E68" s="812">
        <v>45625</v>
      </c>
      <c r="F68" s="812">
        <v>6250</v>
      </c>
      <c r="G68" s="821"/>
      <c r="H68" s="846"/>
    </row>
    <row r="69" spans="1:8">
      <c r="A69" s="854"/>
      <c r="B69" s="819"/>
      <c r="C69" s="810"/>
      <c r="D69" s="844"/>
      <c r="E69" s="812">
        <v>0</v>
      </c>
      <c r="F69" s="812">
        <v>0</v>
      </c>
      <c r="G69" s="859"/>
      <c r="H69" s="846"/>
    </row>
    <row r="70" spans="1:8">
      <c r="A70" s="814">
        <v>1.2</v>
      </c>
      <c r="B70" s="815" t="s">
        <v>1744</v>
      </c>
      <c r="C70" s="810"/>
      <c r="D70" s="844"/>
      <c r="E70" s="812">
        <v>0</v>
      </c>
      <c r="F70" s="812">
        <v>0</v>
      </c>
      <c r="G70" s="859"/>
      <c r="H70" s="846"/>
    </row>
    <row r="71" spans="1:8">
      <c r="A71" s="860"/>
      <c r="B71" s="819" t="s">
        <v>1716</v>
      </c>
      <c r="C71" s="810"/>
      <c r="D71" s="844"/>
      <c r="E71" s="812">
        <v>0</v>
      </c>
      <c r="F71" s="812">
        <v>0</v>
      </c>
      <c r="G71" s="859"/>
      <c r="H71" s="846"/>
    </row>
    <row r="72" spans="1:8" ht="162">
      <c r="A72" s="860"/>
      <c r="B72" s="818" t="s">
        <v>1745</v>
      </c>
      <c r="C72" s="810"/>
      <c r="D72" s="844"/>
      <c r="E72" s="812">
        <v>0</v>
      </c>
      <c r="F72" s="812">
        <v>0</v>
      </c>
      <c r="G72" s="859"/>
      <c r="H72" s="846"/>
    </row>
    <row r="73" spans="1:8" ht="135">
      <c r="A73" s="860"/>
      <c r="B73" s="818" t="s">
        <v>1746</v>
      </c>
      <c r="C73" s="810"/>
      <c r="D73" s="844"/>
      <c r="E73" s="812">
        <v>0</v>
      </c>
      <c r="F73" s="812">
        <v>0</v>
      </c>
      <c r="G73" s="859"/>
      <c r="H73" s="846"/>
    </row>
    <row r="74" spans="1:8" ht="40.5">
      <c r="A74" s="860"/>
      <c r="B74" s="848" t="s">
        <v>1747</v>
      </c>
      <c r="C74" s="810"/>
      <c r="D74" s="844"/>
      <c r="E74" s="812">
        <v>0</v>
      </c>
      <c r="F74" s="812">
        <v>0</v>
      </c>
      <c r="G74" s="859"/>
      <c r="H74" s="846"/>
    </row>
    <row r="75" spans="1:8" ht="202.5">
      <c r="A75" s="860"/>
      <c r="B75" s="817" t="s">
        <v>1748</v>
      </c>
      <c r="C75" s="810"/>
      <c r="D75" s="844"/>
      <c r="E75" s="812">
        <v>0</v>
      </c>
      <c r="F75" s="812">
        <v>0</v>
      </c>
      <c r="G75" s="859"/>
      <c r="H75" s="846"/>
    </row>
    <row r="76" spans="1:8" ht="27">
      <c r="A76" s="861"/>
      <c r="B76" s="819" t="s">
        <v>1720</v>
      </c>
      <c r="C76" s="810"/>
      <c r="D76" s="844"/>
      <c r="E76" s="812">
        <v>0</v>
      </c>
      <c r="F76" s="812">
        <v>0</v>
      </c>
      <c r="G76" s="859"/>
      <c r="H76" s="846"/>
    </row>
    <row r="77" spans="1:8" ht="40.5">
      <c r="A77" s="862"/>
      <c r="B77" s="819" t="s">
        <v>1721</v>
      </c>
      <c r="C77" s="810"/>
      <c r="D77" s="844"/>
      <c r="E77" s="812">
        <v>0</v>
      </c>
      <c r="F77" s="812">
        <v>0</v>
      </c>
      <c r="G77" s="859"/>
      <c r="H77" s="846"/>
    </row>
    <row r="78" spans="1:8" ht="189">
      <c r="A78" s="861"/>
      <c r="B78" s="863" t="s">
        <v>1722</v>
      </c>
      <c r="C78" s="810"/>
      <c r="D78" s="844"/>
      <c r="E78" s="812">
        <v>0</v>
      </c>
      <c r="F78" s="812">
        <v>0</v>
      </c>
      <c r="G78" s="859"/>
      <c r="H78" s="846"/>
    </row>
    <row r="79" spans="1:8">
      <c r="A79" s="862"/>
      <c r="B79" s="865" t="s">
        <v>1723</v>
      </c>
      <c r="C79" s="810"/>
      <c r="D79" s="844"/>
      <c r="E79" s="812">
        <v>0</v>
      </c>
      <c r="F79" s="812">
        <v>0</v>
      </c>
      <c r="G79" s="859"/>
      <c r="H79" s="846"/>
    </row>
    <row r="80" spans="1:8" ht="27">
      <c r="A80" s="861"/>
      <c r="B80" s="865" t="s">
        <v>1724</v>
      </c>
      <c r="C80" s="810"/>
      <c r="D80" s="844"/>
      <c r="E80" s="812">
        <v>0</v>
      </c>
      <c r="F80" s="812">
        <v>0</v>
      </c>
      <c r="G80" s="859"/>
      <c r="H80" s="846"/>
    </row>
    <row r="81" spans="1:8" ht="40.5">
      <c r="A81" s="861"/>
      <c r="B81" s="865" t="s">
        <v>1725</v>
      </c>
      <c r="C81" s="810"/>
      <c r="D81" s="844"/>
      <c r="E81" s="812">
        <v>0</v>
      </c>
      <c r="F81" s="812">
        <v>0</v>
      </c>
      <c r="G81" s="859"/>
      <c r="H81" s="846"/>
    </row>
    <row r="82" spans="1:8" ht="54">
      <c r="A82" s="860"/>
      <c r="B82" s="865" t="s">
        <v>1726</v>
      </c>
      <c r="C82" s="810"/>
      <c r="D82" s="844"/>
      <c r="E82" s="812">
        <v>0</v>
      </c>
      <c r="F82" s="812">
        <v>0</v>
      </c>
      <c r="G82" s="859"/>
      <c r="H82" s="846"/>
    </row>
    <row r="83" spans="1:8">
      <c r="A83" s="864" t="s">
        <v>1749</v>
      </c>
      <c r="B83" s="865" t="s">
        <v>1728</v>
      </c>
      <c r="C83" s="810"/>
      <c r="D83" s="844"/>
      <c r="E83" s="812">
        <v>0</v>
      </c>
      <c r="F83" s="812">
        <v>0</v>
      </c>
      <c r="G83" s="859"/>
      <c r="H83" s="846"/>
    </row>
    <row r="84" spans="1:8">
      <c r="A84" s="864" t="s">
        <v>385</v>
      </c>
      <c r="B84" s="819" t="s">
        <v>1729</v>
      </c>
      <c r="C84" s="810"/>
      <c r="D84" s="844"/>
      <c r="E84" s="812">
        <v>0</v>
      </c>
      <c r="F84" s="812">
        <v>0</v>
      </c>
      <c r="G84" s="859"/>
      <c r="H84" s="846"/>
    </row>
    <row r="85" spans="1:8">
      <c r="A85" s="866"/>
      <c r="B85" s="819" t="s">
        <v>1730</v>
      </c>
      <c r="C85" s="810" t="s">
        <v>16</v>
      </c>
      <c r="D85" s="844" t="s">
        <v>1198</v>
      </c>
      <c r="E85" s="812">
        <v>25875</v>
      </c>
      <c r="F85" s="812">
        <v>1665</v>
      </c>
      <c r="G85" s="859"/>
      <c r="H85" s="846"/>
    </row>
    <row r="86" spans="1:8">
      <c r="A86" s="866"/>
      <c r="B86" s="819"/>
      <c r="C86" s="810"/>
      <c r="D86" s="844"/>
      <c r="E86" s="812">
        <v>0</v>
      </c>
      <c r="F86" s="812">
        <v>0</v>
      </c>
      <c r="G86" s="859"/>
      <c r="H86" s="846"/>
    </row>
    <row r="87" spans="1:8">
      <c r="A87" s="866" t="s">
        <v>387</v>
      </c>
      <c r="B87" s="819" t="s">
        <v>1731</v>
      </c>
      <c r="C87" s="810"/>
      <c r="D87" s="844"/>
      <c r="E87" s="812">
        <v>0</v>
      </c>
      <c r="F87" s="812">
        <v>0</v>
      </c>
      <c r="G87" s="859"/>
      <c r="H87" s="846"/>
    </row>
    <row r="88" spans="1:8">
      <c r="A88" s="867"/>
      <c r="B88" s="819" t="s">
        <v>1730</v>
      </c>
      <c r="C88" s="810" t="s">
        <v>16</v>
      </c>
      <c r="D88" s="844">
        <v>6</v>
      </c>
      <c r="E88" s="812">
        <v>25875</v>
      </c>
      <c r="F88" s="812">
        <v>1665</v>
      </c>
      <c r="G88" s="910">
        <f>D88*(E88+F88)</f>
        <v>165240</v>
      </c>
      <c r="H88" s="846"/>
    </row>
    <row r="89" spans="1:8">
      <c r="A89" s="867"/>
      <c r="B89" s="819"/>
      <c r="C89" s="810"/>
      <c r="D89" s="844"/>
      <c r="E89" s="812">
        <v>0</v>
      </c>
      <c r="F89" s="812">
        <v>0</v>
      </c>
      <c r="G89" s="859"/>
      <c r="H89" s="846"/>
    </row>
    <row r="90" spans="1:8">
      <c r="A90" s="810" t="s">
        <v>388</v>
      </c>
      <c r="B90" s="819" t="s">
        <v>1732</v>
      </c>
      <c r="C90" s="810"/>
      <c r="D90" s="844"/>
      <c r="E90" s="812">
        <v>0</v>
      </c>
      <c r="F90" s="812">
        <v>0</v>
      </c>
      <c r="G90" s="859"/>
      <c r="H90" s="846"/>
    </row>
    <row r="91" spans="1:8">
      <c r="A91" s="854"/>
      <c r="B91" s="819" t="s">
        <v>1730</v>
      </c>
      <c r="C91" s="810" t="s">
        <v>16</v>
      </c>
      <c r="D91" s="844">
        <v>7</v>
      </c>
      <c r="E91" s="812">
        <v>25875</v>
      </c>
      <c r="F91" s="812">
        <v>1665</v>
      </c>
      <c r="G91" s="821">
        <f>D91*(E91+F91)</f>
        <v>192780</v>
      </c>
      <c r="H91" s="846"/>
    </row>
    <row r="92" spans="1:8">
      <c r="A92" s="854"/>
      <c r="B92" s="819"/>
      <c r="C92" s="810"/>
      <c r="D92" s="844"/>
      <c r="E92" s="812">
        <v>0</v>
      </c>
      <c r="F92" s="812">
        <v>0</v>
      </c>
      <c r="G92" s="859"/>
      <c r="H92" s="846"/>
    </row>
    <row r="93" spans="1:8">
      <c r="A93" s="868" t="s">
        <v>389</v>
      </c>
      <c r="B93" s="819" t="s">
        <v>1733</v>
      </c>
      <c r="C93" s="810"/>
      <c r="D93" s="844"/>
      <c r="E93" s="812">
        <v>0</v>
      </c>
      <c r="F93" s="812">
        <v>0</v>
      </c>
      <c r="G93" s="859"/>
      <c r="H93" s="846"/>
    </row>
    <row r="94" spans="1:8">
      <c r="A94" s="854"/>
      <c r="B94" s="819" t="s">
        <v>1730</v>
      </c>
      <c r="C94" s="810" t="s">
        <v>16</v>
      </c>
      <c r="D94" s="844">
        <v>10</v>
      </c>
      <c r="E94" s="812">
        <v>27625</v>
      </c>
      <c r="F94" s="812">
        <v>1665</v>
      </c>
      <c r="G94" s="821">
        <f>D94*(E94+F94)</f>
        <v>292900</v>
      </c>
      <c r="H94" s="846"/>
    </row>
    <row r="95" spans="1:8">
      <c r="A95" s="854"/>
      <c r="B95" s="819"/>
      <c r="C95" s="810"/>
      <c r="D95" s="844"/>
      <c r="E95" s="812">
        <v>0</v>
      </c>
      <c r="F95" s="812">
        <v>0</v>
      </c>
      <c r="G95" s="859"/>
      <c r="H95" s="846"/>
    </row>
    <row r="96" spans="1:8">
      <c r="A96" s="868" t="s">
        <v>390</v>
      </c>
      <c r="B96" s="819" t="s">
        <v>1734</v>
      </c>
      <c r="C96" s="810"/>
      <c r="D96" s="844"/>
      <c r="E96" s="812">
        <v>0</v>
      </c>
      <c r="F96" s="812">
        <v>0</v>
      </c>
      <c r="G96" s="859"/>
      <c r="H96" s="846"/>
    </row>
    <row r="97" spans="1:8">
      <c r="A97" s="854"/>
      <c r="B97" s="819" t="s">
        <v>1730</v>
      </c>
      <c r="C97" s="810" t="s">
        <v>16</v>
      </c>
      <c r="D97" s="844">
        <v>2</v>
      </c>
      <c r="E97" s="812">
        <v>28734</v>
      </c>
      <c r="F97" s="812">
        <v>1665</v>
      </c>
      <c r="G97" s="821">
        <f>D97*(E97+F97)</f>
        <v>60798</v>
      </c>
      <c r="H97" s="846"/>
    </row>
    <row r="98" spans="1:8">
      <c r="A98" s="854"/>
      <c r="B98" s="819"/>
      <c r="C98" s="810"/>
      <c r="D98" s="844"/>
      <c r="E98" s="812">
        <v>0</v>
      </c>
      <c r="F98" s="812">
        <v>0</v>
      </c>
      <c r="G98" s="859"/>
      <c r="H98" s="846"/>
    </row>
    <row r="99" spans="1:8">
      <c r="A99" s="810" t="s">
        <v>391</v>
      </c>
      <c r="B99" s="819" t="s">
        <v>1735</v>
      </c>
      <c r="C99" s="810"/>
      <c r="D99" s="844"/>
      <c r="E99" s="812">
        <v>0</v>
      </c>
      <c r="F99" s="812">
        <v>0</v>
      </c>
      <c r="G99" s="859"/>
      <c r="H99" s="846"/>
    </row>
    <row r="100" spans="1:8">
      <c r="A100" s="854"/>
      <c r="B100" s="819" t="s">
        <v>1730</v>
      </c>
      <c r="C100" s="810" t="s">
        <v>16</v>
      </c>
      <c r="D100" s="844" t="s">
        <v>1198</v>
      </c>
      <c r="E100" s="812">
        <v>31125</v>
      </c>
      <c r="F100" s="812">
        <v>1665</v>
      </c>
      <c r="G100" s="821"/>
      <c r="H100" s="846"/>
    </row>
    <row r="101" spans="1:8">
      <c r="A101" s="854"/>
      <c r="B101" s="819"/>
      <c r="C101" s="810"/>
      <c r="D101" s="844"/>
      <c r="E101" s="812">
        <v>0</v>
      </c>
      <c r="F101" s="812">
        <v>0</v>
      </c>
      <c r="G101" s="859"/>
      <c r="H101" s="846"/>
    </row>
    <row r="102" spans="1:8">
      <c r="A102" s="810" t="s">
        <v>392</v>
      </c>
      <c r="B102" s="819" t="s">
        <v>1736</v>
      </c>
      <c r="C102" s="810"/>
      <c r="D102" s="844"/>
      <c r="E102" s="812">
        <v>0</v>
      </c>
      <c r="F102" s="812">
        <v>0</v>
      </c>
      <c r="G102" s="859"/>
      <c r="H102" s="846"/>
    </row>
    <row r="103" spans="1:8">
      <c r="A103" s="854"/>
      <c r="B103" s="819" t="s">
        <v>1730</v>
      </c>
      <c r="C103" s="810" t="s">
        <v>16</v>
      </c>
      <c r="D103" s="844" t="s">
        <v>1198</v>
      </c>
      <c r="E103" s="812">
        <v>45000</v>
      </c>
      <c r="F103" s="812">
        <v>6250</v>
      </c>
      <c r="G103" s="821"/>
      <c r="H103" s="846"/>
    </row>
    <row r="104" spans="1:8">
      <c r="A104" s="854"/>
      <c r="B104" s="819"/>
      <c r="C104" s="810"/>
      <c r="D104" s="844"/>
      <c r="E104" s="812">
        <v>0</v>
      </c>
      <c r="F104" s="812">
        <v>0</v>
      </c>
      <c r="G104" s="859"/>
      <c r="H104" s="846"/>
    </row>
    <row r="105" spans="1:8">
      <c r="A105" s="810" t="s">
        <v>393</v>
      </c>
      <c r="B105" s="819" t="s">
        <v>1737</v>
      </c>
      <c r="C105" s="810"/>
      <c r="D105" s="844"/>
      <c r="E105" s="812">
        <v>0</v>
      </c>
      <c r="F105" s="812">
        <v>0</v>
      </c>
      <c r="G105" s="859"/>
      <c r="H105" s="846"/>
    </row>
    <row r="106" spans="1:8">
      <c r="A106" s="854"/>
      <c r="B106" s="819" t="s">
        <v>1730</v>
      </c>
      <c r="C106" s="810" t="s">
        <v>16</v>
      </c>
      <c r="D106" s="844" t="s">
        <v>1198</v>
      </c>
      <c r="E106" s="812">
        <v>45625</v>
      </c>
      <c r="F106" s="812">
        <v>6250</v>
      </c>
      <c r="G106" s="821"/>
      <c r="H106" s="846"/>
    </row>
    <row r="107" spans="1:8">
      <c r="A107" s="854"/>
      <c r="B107" s="819"/>
      <c r="C107" s="810"/>
      <c r="D107" s="844"/>
      <c r="E107" s="812">
        <v>0</v>
      </c>
      <c r="F107" s="812">
        <v>0</v>
      </c>
      <c r="G107" s="859"/>
      <c r="H107" s="846"/>
    </row>
    <row r="108" spans="1:8">
      <c r="A108" s="810" t="s">
        <v>394</v>
      </c>
      <c r="B108" s="819" t="s">
        <v>1738</v>
      </c>
      <c r="C108" s="810"/>
      <c r="D108" s="844"/>
      <c r="E108" s="812">
        <v>0</v>
      </c>
      <c r="F108" s="812">
        <v>0</v>
      </c>
      <c r="G108" s="859"/>
      <c r="H108" s="846"/>
    </row>
    <row r="109" spans="1:8">
      <c r="A109" s="854"/>
      <c r="B109" s="819" t="s">
        <v>1730</v>
      </c>
      <c r="C109" s="810" t="s">
        <v>16</v>
      </c>
      <c r="D109" s="844" t="s">
        <v>1198</v>
      </c>
      <c r="E109" s="812">
        <v>46250</v>
      </c>
      <c r="F109" s="812">
        <v>6250</v>
      </c>
      <c r="G109" s="821"/>
      <c r="H109" s="846"/>
    </row>
    <row r="110" spans="1:8">
      <c r="A110" s="854"/>
      <c r="B110" s="819"/>
      <c r="C110" s="810"/>
      <c r="D110" s="844"/>
      <c r="E110" s="812">
        <v>0</v>
      </c>
      <c r="F110" s="812">
        <v>0</v>
      </c>
      <c r="G110" s="859"/>
      <c r="H110" s="846"/>
    </row>
    <row r="111" spans="1:8">
      <c r="A111" s="810" t="s">
        <v>397</v>
      </c>
      <c r="B111" s="819" t="s">
        <v>1739</v>
      </c>
      <c r="C111" s="810"/>
      <c r="D111" s="844"/>
      <c r="E111" s="812">
        <v>0</v>
      </c>
      <c r="F111" s="812">
        <v>0</v>
      </c>
      <c r="G111" s="859"/>
      <c r="H111" s="846"/>
    </row>
    <row r="112" spans="1:8">
      <c r="A112" s="854"/>
      <c r="B112" s="819" t="s">
        <v>1730</v>
      </c>
      <c r="C112" s="810" t="s">
        <v>16</v>
      </c>
      <c r="D112" s="844">
        <v>1</v>
      </c>
      <c r="E112" s="812">
        <v>46875</v>
      </c>
      <c r="F112" s="812">
        <v>6250</v>
      </c>
      <c r="G112" s="910">
        <f>D112*(E112+F112)</f>
        <v>53125</v>
      </c>
      <c r="H112" s="846"/>
    </row>
    <row r="113" spans="1:8">
      <c r="A113" s="854"/>
      <c r="B113" s="819"/>
      <c r="C113" s="810"/>
      <c r="D113" s="844"/>
      <c r="E113" s="812">
        <v>0</v>
      </c>
      <c r="F113" s="812">
        <v>0</v>
      </c>
      <c r="G113" s="859"/>
      <c r="H113" s="846"/>
    </row>
    <row r="114" spans="1:8">
      <c r="A114" s="810" t="s">
        <v>398</v>
      </c>
      <c r="B114" s="819" t="s">
        <v>1740</v>
      </c>
      <c r="C114" s="810"/>
      <c r="D114" s="844"/>
      <c r="E114" s="812">
        <v>0</v>
      </c>
      <c r="F114" s="812">
        <v>0</v>
      </c>
      <c r="G114" s="859"/>
      <c r="H114" s="846"/>
    </row>
    <row r="115" spans="1:8">
      <c r="A115" s="854"/>
      <c r="B115" s="819" t="s">
        <v>1730</v>
      </c>
      <c r="C115" s="810" t="s">
        <v>16</v>
      </c>
      <c r="D115" s="844" t="s">
        <v>1198</v>
      </c>
      <c r="E115" s="812">
        <v>47500</v>
      </c>
      <c r="F115" s="812">
        <v>6250</v>
      </c>
      <c r="G115" s="821"/>
      <c r="H115" s="846"/>
    </row>
    <row r="116" spans="1:8">
      <c r="A116" s="854"/>
      <c r="B116" s="819"/>
      <c r="C116" s="810"/>
      <c r="D116" s="844"/>
      <c r="E116" s="812">
        <v>0</v>
      </c>
      <c r="F116" s="812">
        <v>0</v>
      </c>
      <c r="G116" s="859"/>
      <c r="H116" s="846"/>
    </row>
    <row r="117" spans="1:8">
      <c r="A117" s="810" t="s">
        <v>399</v>
      </c>
      <c r="B117" s="819" t="s">
        <v>1741</v>
      </c>
      <c r="C117" s="810"/>
      <c r="D117" s="844"/>
      <c r="E117" s="812">
        <v>0</v>
      </c>
      <c r="F117" s="812">
        <v>0</v>
      </c>
      <c r="G117" s="859"/>
      <c r="H117" s="846"/>
    </row>
    <row r="118" spans="1:8">
      <c r="A118" s="854"/>
      <c r="B118" s="819" t="s">
        <v>1730</v>
      </c>
      <c r="C118" s="810" t="s">
        <v>16</v>
      </c>
      <c r="D118" s="844" t="s">
        <v>1198</v>
      </c>
      <c r="E118" s="812">
        <v>48125</v>
      </c>
      <c r="F118" s="812">
        <v>6250</v>
      </c>
      <c r="G118" s="821"/>
      <c r="H118" s="846"/>
    </row>
    <row r="119" spans="1:8">
      <c r="A119" s="854"/>
      <c r="B119" s="819"/>
      <c r="C119" s="810"/>
      <c r="D119" s="844"/>
      <c r="E119" s="812">
        <v>0</v>
      </c>
      <c r="F119" s="812">
        <v>0</v>
      </c>
      <c r="G119" s="859"/>
      <c r="H119" s="846"/>
    </row>
    <row r="120" spans="1:8">
      <c r="A120" s="810" t="s">
        <v>401</v>
      </c>
      <c r="B120" s="819" t="s">
        <v>1742</v>
      </c>
      <c r="C120" s="810"/>
      <c r="D120" s="844"/>
      <c r="E120" s="812">
        <v>0</v>
      </c>
      <c r="F120" s="812">
        <v>0</v>
      </c>
      <c r="G120" s="859"/>
      <c r="H120" s="846"/>
    </row>
    <row r="121" spans="1:8">
      <c r="A121" s="854"/>
      <c r="B121" s="819" t="s">
        <v>1730</v>
      </c>
      <c r="C121" s="810" t="s">
        <v>16</v>
      </c>
      <c r="D121" s="844" t="s">
        <v>1198</v>
      </c>
      <c r="E121" s="812">
        <v>48750</v>
      </c>
      <c r="F121" s="812">
        <v>6250</v>
      </c>
      <c r="G121" s="859"/>
      <c r="H121" s="846"/>
    </row>
    <row r="122" spans="1:8">
      <c r="A122" s="854"/>
      <c r="B122" s="819"/>
      <c r="C122" s="810"/>
      <c r="D122" s="844"/>
      <c r="E122" s="812">
        <v>0</v>
      </c>
      <c r="F122" s="812">
        <v>0</v>
      </c>
      <c r="G122" s="859"/>
      <c r="H122" s="846"/>
    </row>
    <row r="123" spans="1:8">
      <c r="A123" s="810" t="s">
        <v>402</v>
      </c>
      <c r="B123" s="819" t="s">
        <v>1743</v>
      </c>
      <c r="C123" s="810"/>
      <c r="D123" s="844"/>
      <c r="E123" s="812">
        <v>0</v>
      </c>
      <c r="F123" s="812">
        <v>0</v>
      </c>
      <c r="G123" s="859"/>
      <c r="H123" s="846"/>
    </row>
    <row r="124" spans="1:8">
      <c r="A124" s="854"/>
      <c r="B124" s="819" t="s">
        <v>1730</v>
      </c>
      <c r="C124" s="810" t="s">
        <v>16</v>
      </c>
      <c r="D124" s="844" t="s">
        <v>1198</v>
      </c>
      <c r="E124" s="812">
        <v>49375</v>
      </c>
      <c r="F124" s="812">
        <v>6250</v>
      </c>
      <c r="G124" s="859"/>
      <c r="H124" s="846"/>
    </row>
    <row r="125" spans="1:8">
      <c r="A125" s="854"/>
      <c r="B125" s="819"/>
      <c r="C125" s="810"/>
      <c r="D125" s="844"/>
      <c r="E125" s="812">
        <v>0</v>
      </c>
      <c r="F125" s="812">
        <v>0</v>
      </c>
      <c r="G125" s="859"/>
      <c r="H125" s="846"/>
    </row>
    <row r="126" spans="1:8">
      <c r="A126" s="810" t="s">
        <v>403</v>
      </c>
      <c r="B126" s="819" t="s">
        <v>1750</v>
      </c>
      <c r="C126" s="810"/>
      <c r="D126" s="844"/>
      <c r="E126" s="812">
        <v>0</v>
      </c>
      <c r="F126" s="812">
        <v>0</v>
      </c>
      <c r="G126" s="859"/>
      <c r="H126" s="846"/>
    </row>
    <row r="127" spans="1:8">
      <c r="A127" s="854"/>
      <c r="B127" s="819" t="s">
        <v>1730</v>
      </c>
      <c r="C127" s="810" t="s">
        <v>16</v>
      </c>
      <c r="D127" s="844" t="s">
        <v>1198</v>
      </c>
      <c r="E127" s="812">
        <v>50000</v>
      </c>
      <c r="F127" s="812">
        <v>6250</v>
      </c>
      <c r="G127" s="821"/>
      <c r="H127" s="846"/>
    </row>
    <row r="128" spans="1:8">
      <c r="A128" s="854"/>
      <c r="B128" s="819"/>
      <c r="C128" s="810"/>
      <c r="D128" s="844"/>
      <c r="E128" s="812">
        <v>0</v>
      </c>
      <c r="F128" s="812">
        <v>0</v>
      </c>
      <c r="G128" s="859"/>
      <c r="H128" s="846"/>
    </row>
    <row r="129" spans="1:8">
      <c r="A129" s="810" t="s">
        <v>404</v>
      </c>
      <c r="B129" s="819" t="s">
        <v>1751</v>
      </c>
      <c r="C129" s="810"/>
      <c r="D129" s="844"/>
      <c r="E129" s="812">
        <v>0</v>
      </c>
      <c r="F129" s="812">
        <v>0</v>
      </c>
      <c r="G129" s="859"/>
      <c r="H129" s="846"/>
    </row>
    <row r="130" spans="1:8">
      <c r="A130" s="854"/>
      <c r="B130" s="819" t="s">
        <v>1730</v>
      </c>
      <c r="C130" s="810" t="s">
        <v>16</v>
      </c>
      <c r="D130" s="844" t="s">
        <v>1198</v>
      </c>
      <c r="E130" s="812">
        <v>50625</v>
      </c>
      <c r="F130" s="812">
        <v>6250</v>
      </c>
      <c r="G130" s="859"/>
      <c r="H130" s="846"/>
    </row>
    <row r="131" spans="1:8">
      <c r="A131" s="854"/>
      <c r="B131" s="819"/>
      <c r="C131" s="810"/>
      <c r="D131" s="844"/>
      <c r="E131" s="812">
        <v>0</v>
      </c>
      <c r="F131" s="812">
        <v>0</v>
      </c>
      <c r="G131" s="859"/>
      <c r="H131" s="846"/>
    </row>
    <row r="132" spans="1:8">
      <c r="A132" s="810" t="s">
        <v>405</v>
      </c>
      <c r="B132" s="819" t="s">
        <v>1752</v>
      </c>
      <c r="C132" s="810"/>
      <c r="D132" s="844"/>
      <c r="E132" s="812">
        <v>0</v>
      </c>
      <c r="F132" s="812">
        <v>0</v>
      </c>
      <c r="G132" s="859"/>
      <c r="H132" s="846"/>
    </row>
    <row r="133" spans="1:8">
      <c r="A133" s="854"/>
      <c r="B133" s="819" t="s">
        <v>1730</v>
      </c>
      <c r="C133" s="810" t="s">
        <v>16</v>
      </c>
      <c r="D133" s="844" t="s">
        <v>1198</v>
      </c>
      <c r="E133" s="812">
        <v>51250</v>
      </c>
      <c r="F133" s="812">
        <v>6250</v>
      </c>
      <c r="G133" s="859"/>
      <c r="H133" s="846"/>
    </row>
    <row r="134" spans="1:8">
      <c r="A134" s="854"/>
      <c r="B134" s="819"/>
      <c r="C134" s="810"/>
      <c r="D134" s="844"/>
      <c r="E134" s="812">
        <v>0</v>
      </c>
      <c r="F134" s="812">
        <v>0</v>
      </c>
      <c r="G134" s="859"/>
      <c r="H134" s="846"/>
    </row>
    <row r="135" spans="1:8">
      <c r="A135" s="857">
        <v>2</v>
      </c>
      <c r="B135" s="858" t="s">
        <v>1753</v>
      </c>
      <c r="C135" s="810"/>
      <c r="D135" s="844"/>
      <c r="E135" s="812">
        <v>0</v>
      </c>
      <c r="F135" s="812">
        <v>0</v>
      </c>
      <c r="G135" s="859"/>
      <c r="H135" s="846"/>
    </row>
    <row r="136" spans="1:8" ht="40.5">
      <c r="A136" s="810"/>
      <c r="B136" s="869" t="s">
        <v>1754</v>
      </c>
      <c r="C136" s="808" t="s">
        <v>16</v>
      </c>
      <c r="D136" s="844">
        <v>77</v>
      </c>
      <c r="E136" s="812">
        <v>3563</v>
      </c>
      <c r="F136" s="812">
        <v>400</v>
      </c>
      <c r="G136" s="821">
        <f>D136*(E136+F136)</f>
        <v>305151</v>
      </c>
      <c r="H136" s="846"/>
    </row>
    <row r="137" spans="1:8">
      <c r="A137" s="854"/>
      <c r="B137" s="819"/>
      <c r="C137" s="810"/>
      <c r="D137" s="844"/>
      <c r="E137" s="812">
        <v>0</v>
      </c>
      <c r="F137" s="812">
        <v>0</v>
      </c>
      <c r="G137" s="859"/>
      <c r="H137" s="846"/>
    </row>
    <row r="138" spans="1:8">
      <c r="A138" s="857">
        <v>3</v>
      </c>
      <c r="B138" s="858" t="s">
        <v>1755</v>
      </c>
      <c r="C138" s="810"/>
      <c r="D138" s="844"/>
      <c r="E138" s="812">
        <v>0</v>
      </c>
      <c r="F138" s="812">
        <v>0</v>
      </c>
      <c r="G138" s="859"/>
      <c r="H138" s="846"/>
    </row>
    <row r="139" spans="1:8" ht="40.5">
      <c r="A139" s="870"/>
      <c r="B139" s="869" t="s">
        <v>1756</v>
      </c>
      <c r="C139" s="808" t="s">
        <v>16</v>
      </c>
      <c r="D139" s="844" t="s">
        <v>1198</v>
      </c>
      <c r="E139" s="812">
        <v>6250</v>
      </c>
      <c r="F139" s="812">
        <v>625</v>
      </c>
      <c r="G139" s="821"/>
      <c r="H139" s="846"/>
    </row>
    <row r="140" spans="1:8">
      <c r="A140" s="871"/>
      <c r="B140" s="872"/>
      <c r="C140" s="810"/>
      <c r="D140" s="844"/>
      <c r="E140" s="812">
        <v>0</v>
      </c>
      <c r="F140" s="812">
        <v>0</v>
      </c>
      <c r="G140" s="859"/>
      <c r="H140" s="846"/>
    </row>
    <row r="141" spans="1:8">
      <c r="A141" s="857">
        <v>4</v>
      </c>
      <c r="B141" s="858" t="s">
        <v>1757</v>
      </c>
      <c r="C141" s="810"/>
      <c r="D141" s="844"/>
      <c r="E141" s="812">
        <v>0</v>
      </c>
      <c r="F141" s="812">
        <v>0</v>
      </c>
      <c r="G141" s="859"/>
      <c r="H141" s="846"/>
    </row>
    <row r="142" spans="1:8" ht="27">
      <c r="A142" s="870"/>
      <c r="B142" s="848" t="s">
        <v>1758</v>
      </c>
      <c r="C142" s="808" t="s">
        <v>31</v>
      </c>
      <c r="D142" s="844">
        <v>924</v>
      </c>
      <c r="E142" s="812">
        <v>149</v>
      </c>
      <c r="F142" s="812">
        <v>103</v>
      </c>
      <c r="G142" s="821">
        <f>D142*(E142+F142)</f>
        <v>232848</v>
      </c>
      <c r="H142" s="846"/>
    </row>
    <row r="143" spans="1:8">
      <c r="A143" s="871"/>
      <c r="B143" s="873"/>
      <c r="C143" s="810"/>
      <c r="D143" s="844"/>
      <c r="E143" s="812">
        <v>0</v>
      </c>
      <c r="F143" s="812">
        <v>0</v>
      </c>
      <c r="G143" s="821"/>
      <c r="H143" s="846"/>
    </row>
    <row r="144" spans="1:8">
      <c r="A144" s="857">
        <v>5</v>
      </c>
      <c r="B144" s="858" t="s">
        <v>1759</v>
      </c>
      <c r="C144" s="810"/>
      <c r="D144" s="844"/>
      <c r="E144" s="812">
        <v>0</v>
      </c>
      <c r="F144" s="812">
        <v>0</v>
      </c>
      <c r="G144" s="859"/>
      <c r="H144" s="846"/>
    </row>
    <row r="145" spans="1:8" ht="27">
      <c r="A145" s="870"/>
      <c r="B145" s="848" t="s">
        <v>1760</v>
      </c>
      <c r="C145" s="808" t="s">
        <v>31</v>
      </c>
      <c r="D145" s="844">
        <v>1155</v>
      </c>
      <c r="E145" s="812">
        <v>206</v>
      </c>
      <c r="F145" s="812">
        <v>106</v>
      </c>
      <c r="G145" s="821">
        <f>D145*(E145+F145)</f>
        <v>360360</v>
      </c>
      <c r="H145" s="846"/>
    </row>
    <row r="146" spans="1:8">
      <c r="A146" s="871"/>
      <c r="B146" s="873"/>
      <c r="C146" s="808"/>
      <c r="D146" s="844"/>
      <c r="E146" s="812">
        <v>0</v>
      </c>
      <c r="F146" s="812">
        <v>0</v>
      </c>
      <c r="G146" s="821"/>
      <c r="H146" s="846"/>
    </row>
    <row r="147" spans="1:8">
      <c r="A147" s="857">
        <v>6</v>
      </c>
      <c r="B147" s="858" t="s">
        <v>1761</v>
      </c>
      <c r="C147" s="808"/>
      <c r="D147" s="844"/>
      <c r="E147" s="812">
        <v>0</v>
      </c>
      <c r="F147" s="812">
        <v>0</v>
      </c>
      <c r="G147" s="821"/>
      <c r="H147" s="846"/>
    </row>
    <row r="148" spans="1:8" ht="27">
      <c r="A148" s="870"/>
      <c r="B148" s="874" t="s">
        <v>1762</v>
      </c>
      <c r="C148" s="808" t="s">
        <v>16</v>
      </c>
      <c r="D148" s="844">
        <v>9</v>
      </c>
      <c r="E148" s="812">
        <v>18125</v>
      </c>
      <c r="F148" s="812">
        <v>1788</v>
      </c>
      <c r="G148" s="821">
        <f>D148*(E148+F148)</f>
        <v>179217</v>
      </c>
      <c r="H148" s="846"/>
    </row>
    <row r="149" spans="1:8">
      <c r="A149" s="871"/>
      <c r="B149" s="874"/>
      <c r="C149" s="808"/>
      <c r="D149" s="844"/>
      <c r="E149" s="812">
        <v>0</v>
      </c>
      <c r="F149" s="812">
        <v>0</v>
      </c>
      <c r="G149" s="821"/>
      <c r="H149" s="846"/>
    </row>
    <row r="150" spans="1:8">
      <c r="A150" s="857">
        <v>7</v>
      </c>
      <c r="B150" s="858" t="s">
        <v>1763</v>
      </c>
      <c r="C150" s="808"/>
      <c r="D150" s="844"/>
      <c r="E150" s="812">
        <v>0</v>
      </c>
      <c r="F150" s="812">
        <v>0</v>
      </c>
      <c r="G150" s="821"/>
      <c r="H150" s="846"/>
    </row>
    <row r="151" spans="1:8" ht="27">
      <c r="A151" s="870"/>
      <c r="B151" s="848" t="s">
        <v>1764</v>
      </c>
      <c r="C151" s="808" t="s">
        <v>31</v>
      </c>
      <c r="D151" s="844">
        <f>75*3*3</f>
        <v>675</v>
      </c>
      <c r="E151" s="812">
        <v>198</v>
      </c>
      <c r="F151" s="812">
        <v>116</v>
      </c>
      <c r="G151" s="821">
        <f>D151*(E151+F151)</f>
        <v>211950</v>
      </c>
      <c r="H151" s="846"/>
    </row>
    <row r="152" spans="1:8">
      <c r="A152" s="870"/>
      <c r="B152" s="848"/>
      <c r="C152" s="810"/>
      <c r="D152" s="844"/>
      <c r="E152" s="812">
        <v>0</v>
      </c>
      <c r="F152" s="812">
        <v>0</v>
      </c>
      <c r="G152" s="859"/>
      <c r="H152" s="846"/>
    </row>
    <row r="153" spans="1:8">
      <c r="A153" s="857">
        <v>8</v>
      </c>
      <c r="B153" s="858" t="s">
        <v>1765</v>
      </c>
      <c r="C153" s="875"/>
      <c r="D153" s="844"/>
      <c r="E153" s="812">
        <v>0</v>
      </c>
      <c r="F153" s="812">
        <v>0</v>
      </c>
      <c r="G153" s="822"/>
      <c r="H153" s="876"/>
    </row>
    <row r="154" spans="1:8" ht="135">
      <c r="A154" s="870"/>
      <c r="B154" s="818" t="s">
        <v>1766</v>
      </c>
      <c r="C154" s="877" t="s">
        <v>395</v>
      </c>
      <c r="D154" s="844" t="s">
        <v>1198</v>
      </c>
      <c r="E154" s="812">
        <v>250000</v>
      </c>
      <c r="F154" s="812">
        <v>31250</v>
      </c>
      <c r="G154" s="821"/>
      <c r="H154" s="878"/>
    </row>
    <row r="155" spans="1:8">
      <c r="A155" s="870"/>
      <c r="B155" s="818"/>
      <c r="C155" s="877"/>
      <c r="D155" s="844"/>
      <c r="E155" s="812">
        <v>0</v>
      </c>
      <c r="F155" s="812">
        <v>0</v>
      </c>
      <c r="G155" s="821"/>
      <c r="H155" s="878"/>
    </row>
    <row r="156" spans="1:8">
      <c r="A156" s="1444">
        <v>9</v>
      </c>
      <c r="B156" s="1445" t="s">
        <v>1767</v>
      </c>
      <c r="C156" s="1446"/>
      <c r="D156" s="1447"/>
      <c r="E156" s="1448">
        <v>0</v>
      </c>
      <c r="F156" s="1448">
        <v>0</v>
      </c>
      <c r="G156" s="1449"/>
      <c r="H156" s="1450"/>
    </row>
    <row r="157" spans="1:8" ht="148.5">
      <c r="A157" s="1451"/>
      <c r="B157" s="1452" t="s">
        <v>1768</v>
      </c>
      <c r="C157" s="1446" t="s">
        <v>16</v>
      </c>
      <c r="D157" s="1447" t="s">
        <v>1198</v>
      </c>
      <c r="E157" s="1448">
        <v>375000</v>
      </c>
      <c r="F157" s="1448">
        <v>37500</v>
      </c>
      <c r="G157" s="1449"/>
      <c r="H157" s="1450"/>
    </row>
    <row r="158" spans="1:8">
      <c r="A158" s="870"/>
      <c r="B158" s="818"/>
      <c r="C158" s="877"/>
      <c r="D158" s="844"/>
      <c r="E158" s="812"/>
      <c r="F158" s="812"/>
      <c r="G158" s="821"/>
      <c r="H158" s="878"/>
    </row>
    <row r="159" spans="1:8">
      <c r="A159" s="824"/>
      <c r="B159" s="825" t="s">
        <v>1769</v>
      </c>
      <c r="C159" s="826"/>
      <c r="D159" s="827"/>
      <c r="E159" s="827"/>
      <c r="F159" s="827"/>
      <c r="G159" s="828">
        <f>SUM(G5:G157)</f>
        <v>3477824</v>
      </c>
      <c r="H159" s="828"/>
    </row>
    <row r="160" spans="1:8">
      <c r="A160" s="830"/>
      <c r="B160" s="831" t="s">
        <v>375</v>
      </c>
      <c r="C160" s="832"/>
      <c r="D160" s="832"/>
      <c r="E160" s="832"/>
      <c r="F160" s="832"/>
      <c r="G160" s="828">
        <f>G159*0.18</f>
        <v>626008.31999999995</v>
      </c>
      <c r="H160" s="832"/>
    </row>
    <row r="161" spans="1:8">
      <c r="A161" s="833"/>
      <c r="B161" s="834" t="s">
        <v>396</v>
      </c>
      <c r="C161" s="835"/>
      <c r="D161" s="835"/>
      <c r="E161" s="835"/>
      <c r="F161" s="835"/>
      <c r="G161" s="836">
        <f>G159+G160</f>
        <v>4103832.32</v>
      </c>
      <c r="H161" s="835"/>
    </row>
    <row r="162" spans="1:8">
      <c r="A162" s="837">
        <v>1</v>
      </c>
      <c r="B162" s="1521" t="s">
        <v>1705</v>
      </c>
      <c r="C162" s="1521"/>
      <c r="D162" s="838"/>
      <c r="E162" s="839"/>
      <c r="F162" s="839"/>
      <c r="G162" s="839"/>
      <c r="H162" s="840"/>
    </row>
    <row r="163" spans="1:8">
      <c r="A163" s="841">
        <v>2</v>
      </c>
      <c r="B163" s="1522" t="s">
        <v>1707</v>
      </c>
      <c r="C163" s="1522"/>
      <c r="D163" s="1522"/>
      <c r="E163" s="1522"/>
      <c r="F163" s="1522"/>
      <c r="G163" s="1522"/>
      <c r="H163" s="842"/>
    </row>
    <row r="164" spans="1:8">
      <c r="A164" s="841">
        <v>3</v>
      </c>
      <c r="B164" s="1523" t="s">
        <v>1770</v>
      </c>
      <c r="C164" s="1523"/>
      <c r="D164" s="1523"/>
      <c r="E164" s="1523"/>
      <c r="F164" s="1523"/>
      <c r="G164" s="1523"/>
      <c r="H164" s="842"/>
    </row>
    <row r="165" spans="1:8">
      <c r="A165" s="841">
        <v>4</v>
      </c>
      <c r="B165" s="1522" t="s">
        <v>1771</v>
      </c>
      <c r="C165" s="1522"/>
      <c r="D165" s="1522"/>
      <c r="E165" s="1522"/>
      <c r="F165" s="1522"/>
      <c r="G165" s="1522"/>
      <c r="H165" s="842"/>
    </row>
  </sheetData>
  <autoFilter ref="D1:D165" xr:uid="{1E4463F8-18D6-4E12-BB2C-E966B677956F}"/>
  <mergeCells count="4">
    <mergeCell ref="B162:C162"/>
    <mergeCell ref="B163:G163"/>
    <mergeCell ref="B164:G164"/>
    <mergeCell ref="B165:G165"/>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C6F6-009A-4C9C-BE68-ECF1ACD19FC5}">
  <dimension ref="A1:D13"/>
  <sheetViews>
    <sheetView view="pageBreakPreview" zoomScaleNormal="100" zoomScaleSheetLayoutView="100" workbookViewId="0">
      <selection activeCell="C6" sqref="C6"/>
    </sheetView>
  </sheetViews>
  <sheetFormatPr defaultColWidth="9" defaultRowHeight="13.5"/>
  <cols>
    <col min="1" max="1" width="9" style="776"/>
    <col min="2" max="2" width="43.453125" style="776" customWidth="1"/>
    <col min="3" max="3" width="17.54296875" style="793" customWidth="1"/>
    <col min="4" max="4" width="13.90625" style="776" bestFit="1" customWidth="1"/>
    <col min="5" max="6" width="9" style="776"/>
    <col min="7" max="7" width="13.81640625" style="776" bestFit="1" customWidth="1"/>
    <col min="8" max="16384" width="9" style="776"/>
  </cols>
  <sheetData>
    <row r="1" spans="1:4" s="780" customFormat="1">
      <c r="A1" s="763" t="s">
        <v>1479</v>
      </c>
      <c r="B1" s="763" t="s">
        <v>1480</v>
      </c>
      <c r="C1" s="884" t="s">
        <v>1481</v>
      </c>
    </row>
    <row r="2" spans="1:4" s="780" customFormat="1">
      <c r="A2" s="767" t="s">
        <v>1482</v>
      </c>
      <c r="B2" s="768" t="s">
        <v>1483</v>
      </c>
      <c r="C2" s="769"/>
    </row>
    <row r="3" spans="1:4" ht="14" thickBot="1">
      <c r="A3" s="780" t="s">
        <v>1772</v>
      </c>
      <c r="B3" s="780" t="s">
        <v>1773</v>
      </c>
      <c r="C3" s="802"/>
    </row>
    <row r="4" spans="1:4" s="772" customFormat="1" ht="14" thickBot="1">
      <c r="A4" s="885" t="s">
        <v>374</v>
      </c>
      <c r="B4" s="886" t="s">
        <v>2</v>
      </c>
      <c r="C4" s="887" t="s">
        <v>1486</v>
      </c>
    </row>
    <row r="5" spans="1:4">
      <c r="A5" s="773"/>
      <c r="B5" s="774"/>
      <c r="C5" s="775"/>
    </row>
    <row r="6" spans="1:4">
      <c r="A6" s="777">
        <v>1</v>
      </c>
      <c r="B6" s="778" t="s">
        <v>1774</v>
      </c>
      <c r="C6" s="888">
        <f>'Sanitary Fixtures &amp; CP Fittings'!I131</f>
        <v>2208705</v>
      </c>
    </row>
    <row r="7" spans="1:4">
      <c r="A7" s="781">
        <v>2</v>
      </c>
      <c r="B7" s="782" t="s">
        <v>1775</v>
      </c>
      <c r="C7" s="783">
        <f>'PHE -Internal Works'!I141</f>
        <v>1220092</v>
      </c>
    </row>
    <row r="8" spans="1:4">
      <c r="A8" s="1408"/>
      <c r="B8" s="1409"/>
      <c r="C8" s="1410"/>
    </row>
    <row r="9" spans="1:4" s="787" customFormat="1">
      <c r="A9" s="889"/>
      <c r="B9" s="890" t="s">
        <v>1489</v>
      </c>
      <c r="C9" s="891">
        <f>SUM(C6:C8)</f>
        <v>3428797</v>
      </c>
      <c r="D9" s="892"/>
    </row>
    <row r="10" spans="1:4">
      <c r="A10" s="893"/>
      <c r="B10" s="894" t="s">
        <v>375</v>
      </c>
      <c r="C10" s="891">
        <f>C9*0.18</f>
        <v>617183.46</v>
      </c>
    </row>
    <row r="11" spans="1:4">
      <c r="A11" s="895"/>
      <c r="B11" s="896" t="s">
        <v>1490</v>
      </c>
      <c r="C11" s="897">
        <f>C9+C10</f>
        <v>4045980.46</v>
      </c>
    </row>
    <row r="12" spans="1:4">
      <c r="B12" s="776" t="s">
        <v>1491</v>
      </c>
      <c r="C12" s="793">
        <v>44000</v>
      </c>
    </row>
    <row r="13" spans="1:4">
      <c r="B13" s="776" t="s">
        <v>1492</v>
      </c>
      <c r="C13" s="793">
        <f>C9/C12</f>
        <v>77.927204545454543</v>
      </c>
    </row>
  </sheetData>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92567-8F7E-4AAE-90D0-CB1FE97D24FE}">
  <dimension ref="A1:J1032"/>
  <sheetViews>
    <sheetView view="pageBreakPreview" zoomScale="70" zoomScaleNormal="100" zoomScaleSheetLayoutView="70" workbookViewId="0"/>
  </sheetViews>
  <sheetFormatPr defaultRowHeight="13.5"/>
  <cols>
    <col min="1" max="1" width="10.453125" style="1335" customWidth="1"/>
    <col min="2" max="2" width="49.453125" style="1341" customWidth="1"/>
    <col min="3" max="3" width="24.453125" style="1336" customWidth="1"/>
    <col min="4" max="4" width="26.81640625" style="1336" customWidth="1"/>
    <col min="5" max="5" width="6.54296875" style="1337" bestFit="1" customWidth="1"/>
    <col min="6" max="6" width="8.7265625" style="1338" customWidth="1"/>
    <col min="7" max="7" width="8.54296875" style="1339" customWidth="1"/>
    <col min="8" max="8" width="11.1796875" style="1339" customWidth="1"/>
    <col min="9" max="9" width="12.26953125" style="1339" customWidth="1"/>
    <col min="10" max="10" width="28.1796875" style="1342" customWidth="1"/>
    <col min="11" max="16384" width="8.7265625" style="803"/>
  </cols>
  <sheetData>
    <row r="1" spans="1:10" s="796" customFormat="1">
      <c r="A1" s="1234" t="s">
        <v>1709</v>
      </c>
      <c r="B1" s="1235" t="s">
        <v>2403</v>
      </c>
      <c r="C1" s="1236"/>
      <c r="D1" s="376"/>
      <c r="E1" s="376"/>
      <c r="F1" s="1237"/>
      <c r="G1" s="376"/>
      <c r="H1" s="376"/>
      <c r="I1" s="376"/>
      <c r="J1" s="376"/>
    </row>
    <row r="2" spans="1:10" s="796" customFormat="1">
      <c r="A2" s="1234" t="s">
        <v>2404</v>
      </c>
      <c r="B2" s="1238" t="s">
        <v>2405</v>
      </c>
      <c r="C2" s="1236"/>
      <c r="D2" s="1239"/>
      <c r="E2" s="376"/>
      <c r="F2" s="1237"/>
      <c r="G2" s="376"/>
      <c r="H2" s="376"/>
      <c r="I2" s="376"/>
      <c r="J2" s="376"/>
    </row>
    <row r="3" spans="1:10" s="898" customFormat="1" ht="14" thickBot="1">
      <c r="A3" s="1542"/>
      <c r="B3" s="1543"/>
      <c r="C3" s="1543"/>
      <c r="D3" s="1543"/>
      <c r="E3" s="1543"/>
      <c r="F3" s="1544"/>
      <c r="G3" s="1545"/>
      <c r="H3" s="1545"/>
      <c r="I3" s="1544"/>
      <c r="J3" s="1240"/>
    </row>
    <row r="4" spans="1:10" ht="26">
      <c r="A4" s="1241" t="s">
        <v>1776</v>
      </c>
      <c r="B4" s="1524" t="s">
        <v>1777</v>
      </c>
      <c r="C4" s="1524"/>
      <c r="D4" s="1524"/>
      <c r="E4" s="1242" t="s">
        <v>12</v>
      </c>
      <c r="F4" s="1242" t="s">
        <v>1710</v>
      </c>
      <c r="G4" s="1243" t="s">
        <v>1778</v>
      </c>
      <c r="H4" s="1243" t="s">
        <v>382</v>
      </c>
      <c r="I4" s="1243" t="s">
        <v>383</v>
      </c>
      <c r="J4" s="1242" t="s">
        <v>384</v>
      </c>
    </row>
    <row r="5" spans="1:10" s="899" customFormat="1">
      <c r="A5" s="1244"/>
      <c r="B5" s="1525"/>
      <c r="C5" s="1525"/>
      <c r="D5" s="1525"/>
      <c r="E5" s="1245"/>
      <c r="F5" s="1246"/>
      <c r="G5" s="1247"/>
      <c r="H5" s="1248"/>
      <c r="I5" s="1249"/>
      <c r="J5" s="1250"/>
    </row>
    <row r="6" spans="1:10">
      <c r="A6" s="1251" t="s">
        <v>406</v>
      </c>
      <c r="B6" s="1526" t="s">
        <v>1779</v>
      </c>
      <c r="C6" s="1526"/>
      <c r="D6" s="1526"/>
      <c r="E6" s="1245"/>
      <c r="F6" s="1246"/>
      <c r="G6" s="1252"/>
      <c r="H6" s="1253"/>
      <c r="I6" s="1249"/>
      <c r="J6" s="1250"/>
    </row>
    <row r="7" spans="1:10">
      <c r="A7" s="1536">
        <v>1</v>
      </c>
      <c r="B7" s="1531" t="s">
        <v>2406</v>
      </c>
      <c r="C7" s="1531"/>
      <c r="D7" s="1531"/>
      <c r="E7" s="1254"/>
      <c r="F7" s="1255"/>
      <c r="G7" s="1256"/>
      <c r="H7" s="1257"/>
      <c r="I7" s="1258"/>
      <c r="J7" s="1259"/>
    </row>
    <row r="8" spans="1:10">
      <c r="A8" s="1536"/>
      <c r="B8" s="1260" t="s">
        <v>1780</v>
      </c>
      <c r="C8" s="1260" t="s">
        <v>1781</v>
      </c>
      <c r="D8" s="1260" t="s">
        <v>1782</v>
      </c>
      <c r="E8" s="1254"/>
      <c r="F8" s="1255"/>
      <c r="G8" s="1256"/>
      <c r="H8" s="1257"/>
      <c r="I8" s="1258"/>
      <c r="J8" s="1259"/>
    </row>
    <row r="9" spans="1:10" ht="26">
      <c r="A9" s="1536"/>
      <c r="B9" s="1261" t="s">
        <v>1783</v>
      </c>
      <c r="C9" s="1262" t="s">
        <v>2407</v>
      </c>
      <c r="D9" s="1263" t="s">
        <v>1784</v>
      </c>
      <c r="E9" s="1532" t="s">
        <v>2408</v>
      </c>
      <c r="F9" s="1355">
        <v>15</v>
      </c>
      <c r="G9" s="1281">
        <v>22342</v>
      </c>
      <c r="H9" s="1282">
        <v>3900</v>
      </c>
      <c r="I9" s="1358">
        <f>F9*(G9+H9)</f>
        <v>393630</v>
      </c>
      <c r="J9" s="1528" t="s">
        <v>1786</v>
      </c>
    </row>
    <row r="10" spans="1:10">
      <c r="A10" s="1536"/>
      <c r="B10" s="1261" t="s">
        <v>1787</v>
      </c>
      <c r="C10" s="1262" t="s">
        <v>2407</v>
      </c>
      <c r="D10" s="1263" t="s">
        <v>1788</v>
      </c>
      <c r="E10" s="1537"/>
      <c r="F10" s="1357"/>
      <c r="G10" s="1343"/>
      <c r="H10" s="1344"/>
      <c r="I10" s="1359"/>
      <c r="J10" s="1529"/>
    </row>
    <row r="11" spans="1:10">
      <c r="A11" s="1536"/>
      <c r="B11" s="1261" t="s">
        <v>1789</v>
      </c>
      <c r="C11" s="1262" t="s">
        <v>2407</v>
      </c>
      <c r="D11" s="1263" t="s">
        <v>1788</v>
      </c>
      <c r="E11" s="1533"/>
      <c r="F11" s="1356"/>
      <c r="G11" s="1345"/>
      <c r="H11" s="1346"/>
      <c r="I11" s="1360"/>
      <c r="J11" s="1530"/>
    </row>
    <row r="12" spans="1:10">
      <c r="A12" s="1264"/>
      <c r="B12" s="1261"/>
      <c r="C12" s="1262"/>
      <c r="D12" s="1263"/>
      <c r="E12" s="1265"/>
      <c r="F12" s="1255"/>
      <c r="G12" s="1256"/>
      <c r="H12" s="1257"/>
      <c r="I12" s="1258"/>
      <c r="J12" s="1259"/>
    </row>
    <row r="13" spans="1:10">
      <c r="A13" s="1536">
        <v>2</v>
      </c>
      <c r="B13" s="1531" t="s">
        <v>2409</v>
      </c>
      <c r="C13" s="1531"/>
      <c r="D13" s="1531"/>
      <c r="E13" s="1254"/>
      <c r="F13" s="1255"/>
      <c r="G13" s="1256"/>
      <c r="H13" s="1257"/>
      <c r="I13" s="1258"/>
      <c r="J13" s="1259"/>
    </row>
    <row r="14" spans="1:10">
      <c r="A14" s="1536"/>
      <c r="B14" s="1260" t="s">
        <v>1780</v>
      </c>
      <c r="C14" s="1260" t="s">
        <v>1781</v>
      </c>
      <c r="D14" s="1260" t="s">
        <v>1782</v>
      </c>
      <c r="E14" s="1254"/>
      <c r="F14" s="1255"/>
      <c r="G14" s="1256"/>
      <c r="H14" s="1257"/>
      <c r="I14" s="1258"/>
      <c r="J14" s="1259"/>
    </row>
    <row r="15" spans="1:10" ht="26">
      <c r="A15" s="1536"/>
      <c r="B15" s="1261" t="s">
        <v>1783</v>
      </c>
      <c r="C15" s="1262" t="s">
        <v>2407</v>
      </c>
      <c r="D15" s="1263" t="s">
        <v>1784</v>
      </c>
      <c r="E15" s="1532" t="s">
        <v>2408</v>
      </c>
      <c r="F15" s="1355"/>
      <c r="G15" s="1281">
        <v>58500</v>
      </c>
      <c r="H15" s="1282">
        <v>6500</v>
      </c>
      <c r="I15" s="1348">
        <f>F15*(G15+H15)</f>
        <v>0</v>
      </c>
      <c r="J15" s="1528" t="s">
        <v>1786</v>
      </c>
    </row>
    <row r="16" spans="1:10">
      <c r="A16" s="1536"/>
      <c r="B16" s="1261" t="s">
        <v>1787</v>
      </c>
      <c r="C16" s="1262" t="s">
        <v>2407</v>
      </c>
      <c r="D16" s="1263" t="s">
        <v>1788</v>
      </c>
      <c r="E16" s="1537"/>
      <c r="F16" s="1357"/>
      <c r="G16" s="1343"/>
      <c r="H16" s="1344"/>
      <c r="I16" s="1350"/>
      <c r="J16" s="1529"/>
    </row>
    <row r="17" spans="1:10">
      <c r="A17" s="1536"/>
      <c r="B17" s="1261" t="s">
        <v>1789</v>
      </c>
      <c r="C17" s="1262" t="s">
        <v>2407</v>
      </c>
      <c r="D17" s="1263" t="s">
        <v>1788</v>
      </c>
      <c r="E17" s="1537"/>
      <c r="F17" s="1357"/>
      <c r="G17" s="1343"/>
      <c r="H17" s="1344"/>
      <c r="I17" s="1350"/>
      <c r="J17" s="1529"/>
    </row>
    <row r="18" spans="1:10">
      <c r="A18" s="1536"/>
      <c r="B18" s="1261" t="s">
        <v>1790</v>
      </c>
      <c r="C18" s="1262" t="s">
        <v>1791</v>
      </c>
      <c r="D18" s="1263" t="s">
        <v>1792</v>
      </c>
      <c r="E18" s="1533"/>
      <c r="F18" s="1356"/>
      <c r="G18" s="1345"/>
      <c r="H18" s="1346"/>
      <c r="I18" s="1349"/>
      <c r="J18" s="1530"/>
    </row>
    <row r="19" spans="1:10">
      <c r="A19" s="1266"/>
      <c r="B19" s="1267"/>
      <c r="C19" s="1267"/>
      <c r="D19" s="1267"/>
      <c r="E19" s="1265"/>
      <c r="F19" s="1255"/>
      <c r="G19" s="1256"/>
      <c r="H19" s="1257"/>
      <c r="I19" s="1258"/>
      <c r="J19" s="1259"/>
    </row>
    <row r="20" spans="1:10">
      <c r="A20" s="1534">
        <v>3</v>
      </c>
      <c r="B20" s="1535" t="s">
        <v>2410</v>
      </c>
      <c r="C20" s="1535"/>
      <c r="D20" s="1535"/>
      <c r="E20" s="1254"/>
      <c r="F20" s="1255"/>
      <c r="G20" s="1256"/>
      <c r="H20" s="1257"/>
      <c r="I20" s="1258"/>
      <c r="J20" s="1259"/>
    </row>
    <row r="21" spans="1:10">
      <c r="A21" s="1534"/>
      <c r="B21" s="1268" t="s">
        <v>2</v>
      </c>
      <c r="C21" s="1269" t="s">
        <v>1781</v>
      </c>
      <c r="D21" s="1269" t="s">
        <v>1782</v>
      </c>
      <c r="E21" s="1254"/>
      <c r="F21" s="1255"/>
      <c r="G21" s="1256"/>
      <c r="H21" s="1257"/>
      <c r="I21" s="1258"/>
      <c r="J21" s="1259"/>
    </row>
    <row r="22" spans="1:10" ht="26">
      <c r="A22" s="1534"/>
      <c r="B22" s="1270" t="s">
        <v>1793</v>
      </c>
      <c r="C22" s="1262" t="s">
        <v>2407</v>
      </c>
      <c r="D22" s="1271" t="s">
        <v>1794</v>
      </c>
      <c r="E22" s="1532" t="s">
        <v>2408</v>
      </c>
      <c r="F22" s="1355">
        <v>6</v>
      </c>
      <c r="G22" s="1281">
        <v>18475</v>
      </c>
      <c r="H22" s="1282">
        <v>2860</v>
      </c>
      <c r="I22" s="1348">
        <f>F22*(G22+H22)</f>
        <v>128010</v>
      </c>
      <c r="J22" s="1528" t="s">
        <v>1786</v>
      </c>
    </row>
    <row r="23" spans="1:10">
      <c r="A23" s="1534"/>
      <c r="B23" s="1272" t="s">
        <v>1795</v>
      </c>
      <c r="C23" s="1262" t="s">
        <v>2407</v>
      </c>
      <c r="D23" s="1271" t="s">
        <v>1796</v>
      </c>
      <c r="E23" s="1533"/>
      <c r="F23" s="1356"/>
      <c r="G23" s="1345"/>
      <c r="H23" s="1346"/>
      <c r="I23" s="1349"/>
      <c r="J23" s="1530"/>
    </row>
    <row r="24" spans="1:10">
      <c r="A24" s="1266"/>
      <c r="B24" s="1267"/>
      <c r="C24" s="1267"/>
      <c r="D24" s="1267"/>
      <c r="E24" s="1265"/>
      <c r="F24" s="1255"/>
      <c r="G24" s="1256"/>
      <c r="H24" s="1257"/>
      <c r="I24" s="1258"/>
      <c r="J24" s="1259"/>
    </row>
    <row r="25" spans="1:10">
      <c r="A25" s="1527">
        <v>4</v>
      </c>
      <c r="B25" s="1531" t="s">
        <v>2411</v>
      </c>
      <c r="C25" s="1531"/>
      <c r="D25" s="1531"/>
      <c r="E25" s="1254"/>
      <c r="F25" s="1255"/>
      <c r="G25" s="1256"/>
      <c r="H25" s="1257"/>
      <c r="I25" s="1258"/>
      <c r="J25" s="1259"/>
    </row>
    <row r="26" spans="1:10">
      <c r="A26" s="1527"/>
      <c r="B26" s="1260" t="s">
        <v>1797</v>
      </c>
      <c r="C26" s="1273" t="s">
        <v>1781</v>
      </c>
      <c r="D26" s="1260" t="s">
        <v>1782</v>
      </c>
      <c r="E26" s="1254"/>
      <c r="F26" s="1255"/>
      <c r="G26" s="1256"/>
      <c r="H26" s="1257"/>
      <c r="I26" s="1258"/>
      <c r="J26" s="1259"/>
    </row>
    <row r="27" spans="1:10">
      <c r="A27" s="1527"/>
      <c r="B27" s="1271" t="s">
        <v>1798</v>
      </c>
      <c r="C27" s="1262" t="s">
        <v>2407</v>
      </c>
      <c r="D27" s="1274" t="s">
        <v>1799</v>
      </c>
      <c r="E27" s="1532" t="s">
        <v>2408</v>
      </c>
      <c r="F27" s="1353">
        <f>+F9</f>
        <v>15</v>
      </c>
      <c r="G27" s="1281">
        <v>2460</v>
      </c>
      <c r="H27" s="1282">
        <v>585</v>
      </c>
      <c r="I27" s="1351">
        <f>F27*(G27+H27)</f>
        <v>45675</v>
      </c>
      <c r="J27" s="1528" t="s">
        <v>1800</v>
      </c>
    </row>
    <row r="28" spans="1:10">
      <c r="A28" s="1527"/>
      <c r="B28" s="1261" t="s">
        <v>1801</v>
      </c>
      <c r="C28" s="1262" t="s">
        <v>2407</v>
      </c>
      <c r="D28" s="1274" t="s">
        <v>1802</v>
      </c>
      <c r="E28" s="1533"/>
      <c r="F28" s="1354"/>
      <c r="G28" s="1346"/>
      <c r="H28" s="1346"/>
      <c r="I28" s="1352"/>
      <c r="J28" s="1530"/>
    </row>
    <row r="29" spans="1:10">
      <c r="A29" s="1275"/>
      <c r="B29" s="1261"/>
      <c r="C29" s="1262"/>
      <c r="D29" s="1263"/>
      <c r="E29" s="1276"/>
      <c r="F29" s="1255"/>
      <c r="G29" s="1256"/>
      <c r="H29" s="1257"/>
      <c r="I29" s="1258"/>
      <c r="J29" s="1259"/>
    </row>
    <row r="30" spans="1:10">
      <c r="A30" s="1538">
        <v>5</v>
      </c>
      <c r="B30" s="1546" t="s">
        <v>2412</v>
      </c>
      <c r="C30" s="1546"/>
      <c r="D30" s="1546"/>
      <c r="E30" s="1254"/>
      <c r="F30" s="1255"/>
      <c r="G30" s="1256"/>
      <c r="H30" s="1257"/>
      <c r="I30" s="1258"/>
      <c r="J30" s="1259"/>
    </row>
    <row r="31" spans="1:10">
      <c r="A31" s="1538"/>
      <c r="B31" s="1260" t="s">
        <v>1803</v>
      </c>
      <c r="C31" s="1277" t="s">
        <v>1781</v>
      </c>
      <c r="D31" s="1277" t="s">
        <v>1804</v>
      </c>
      <c r="E31" s="1254"/>
      <c r="F31" s="1255"/>
      <c r="G31" s="1256"/>
      <c r="H31" s="1257"/>
      <c r="I31" s="1258"/>
      <c r="J31" s="1259"/>
    </row>
    <row r="32" spans="1:10" ht="39">
      <c r="A32" s="1538"/>
      <c r="B32" s="1278" t="s">
        <v>1805</v>
      </c>
      <c r="C32" s="1262" t="s">
        <v>2407</v>
      </c>
      <c r="D32" s="1274" t="s">
        <v>1806</v>
      </c>
      <c r="E32" s="1532" t="s">
        <v>2408</v>
      </c>
      <c r="F32" s="1279">
        <v>16</v>
      </c>
      <c r="G32" s="1281">
        <v>22285</v>
      </c>
      <c r="H32" s="1282">
        <v>2340</v>
      </c>
      <c r="I32" s="1258">
        <f>F32*(G32+H32)</f>
        <v>394000</v>
      </c>
      <c r="J32" s="1280" t="s">
        <v>1800</v>
      </c>
    </row>
    <row r="33" spans="1:10" ht="39">
      <c r="A33" s="1538"/>
      <c r="B33" s="1261" t="s">
        <v>1801</v>
      </c>
      <c r="C33" s="1262" t="s">
        <v>2407</v>
      </c>
      <c r="D33" s="1274" t="s">
        <v>1802</v>
      </c>
      <c r="E33" s="1537"/>
      <c r="F33" s="1279"/>
      <c r="G33" s="1281"/>
      <c r="H33" s="1282"/>
      <c r="I33" s="1258">
        <f>F33*(G33+H33)</f>
        <v>0</v>
      </c>
      <c r="J33" s="1280" t="s">
        <v>1800</v>
      </c>
    </row>
    <row r="34" spans="1:10" ht="39">
      <c r="A34" s="1538"/>
      <c r="B34" s="1261" t="s">
        <v>1807</v>
      </c>
      <c r="C34" s="1262" t="s">
        <v>2407</v>
      </c>
      <c r="D34" s="1274" t="s">
        <v>1808</v>
      </c>
      <c r="E34" s="1537"/>
      <c r="F34" s="1279"/>
      <c r="G34" s="1281"/>
      <c r="H34" s="1282"/>
      <c r="I34" s="1258">
        <f>F34*(G34+H34)</f>
        <v>0</v>
      </c>
      <c r="J34" s="1280" t="s">
        <v>1800</v>
      </c>
    </row>
    <row r="35" spans="1:10" ht="39">
      <c r="A35" s="1538"/>
      <c r="B35" s="1261" t="s">
        <v>1809</v>
      </c>
      <c r="C35" s="1262" t="s">
        <v>2407</v>
      </c>
      <c r="D35" s="1274" t="s">
        <v>1810</v>
      </c>
      <c r="E35" s="1537"/>
      <c r="F35" s="1279"/>
      <c r="G35" s="1281"/>
      <c r="H35" s="1282"/>
      <c r="I35" s="1258">
        <f>F35*(G35+H35)</f>
        <v>0</v>
      </c>
      <c r="J35" s="1280" t="s">
        <v>1800</v>
      </c>
    </row>
    <row r="36" spans="1:10" ht="39">
      <c r="A36" s="1538"/>
      <c r="B36" s="1261" t="s">
        <v>1811</v>
      </c>
      <c r="C36" s="1262" t="s">
        <v>1812</v>
      </c>
      <c r="D36" s="1283"/>
      <c r="E36" s="1533"/>
      <c r="F36" s="1279"/>
      <c r="G36" s="1256"/>
      <c r="H36" s="1282"/>
      <c r="I36" s="1258">
        <f>F36*(G36+H36)</f>
        <v>0</v>
      </c>
      <c r="J36" s="1280" t="s">
        <v>1800</v>
      </c>
    </row>
    <row r="37" spans="1:10">
      <c r="A37" s="1284"/>
      <c r="B37" s="1261"/>
      <c r="C37" s="1262"/>
      <c r="D37" s="1263"/>
      <c r="E37" s="1265"/>
      <c r="F37" s="1279"/>
      <c r="G37" s="1256"/>
      <c r="H37" s="1257"/>
      <c r="I37" s="1258"/>
      <c r="J37" s="1259"/>
    </row>
    <row r="38" spans="1:10">
      <c r="A38" s="1553">
        <v>6</v>
      </c>
      <c r="B38" s="1556" t="s">
        <v>2413</v>
      </c>
      <c r="C38" s="1557"/>
      <c r="D38" s="1558"/>
      <c r="E38" s="1254"/>
      <c r="F38" s="1279"/>
      <c r="G38" s="1256"/>
      <c r="H38" s="1257"/>
      <c r="I38" s="1258"/>
      <c r="J38" s="1259"/>
    </row>
    <row r="39" spans="1:10">
      <c r="A39" s="1554"/>
      <c r="B39" s="1285" t="s">
        <v>1803</v>
      </c>
      <c r="C39" s="1286" t="s">
        <v>1781</v>
      </c>
      <c r="D39" s="1286" t="s">
        <v>1804</v>
      </c>
      <c r="E39" s="1254"/>
      <c r="F39" s="1255"/>
      <c r="G39" s="1256"/>
      <c r="H39" s="1257"/>
      <c r="I39" s="1258"/>
      <c r="J39" s="1259"/>
    </row>
    <row r="40" spans="1:10" ht="39">
      <c r="A40" s="1554"/>
      <c r="B40" s="1287" t="s">
        <v>1805</v>
      </c>
      <c r="C40" s="1262" t="s">
        <v>2407</v>
      </c>
      <c r="D40" s="1288" t="s">
        <v>1813</v>
      </c>
      <c r="E40" s="1532" t="s">
        <v>1893</v>
      </c>
      <c r="F40" s="1279">
        <v>6</v>
      </c>
      <c r="G40" s="1281">
        <v>21021</v>
      </c>
      <c r="H40" s="1282">
        <v>2340</v>
      </c>
      <c r="I40" s="1258">
        <f>F40*(G40+H40)</f>
        <v>140166</v>
      </c>
      <c r="J40" s="1280" t="s">
        <v>1800</v>
      </c>
    </row>
    <row r="41" spans="1:10" ht="39">
      <c r="A41" s="1554"/>
      <c r="B41" s="1289" t="s">
        <v>1801</v>
      </c>
      <c r="C41" s="1262" t="s">
        <v>2407</v>
      </c>
      <c r="D41" s="1274" t="s">
        <v>1802</v>
      </c>
      <c r="E41" s="1537"/>
      <c r="F41" s="1279"/>
      <c r="G41" s="1281"/>
      <c r="H41" s="1282"/>
      <c r="I41" s="1258">
        <f>F41*(G41+H41)</f>
        <v>0</v>
      </c>
      <c r="J41" s="1280" t="s">
        <v>1800</v>
      </c>
    </row>
    <row r="42" spans="1:10" ht="39">
      <c r="A42" s="1554"/>
      <c r="B42" s="1289" t="s">
        <v>1807</v>
      </c>
      <c r="C42" s="1262" t="s">
        <v>2407</v>
      </c>
      <c r="D42" s="1274" t="s">
        <v>1808</v>
      </c>
      <c r="E42" s="1537"/>
      <c r="F42" s="1279"/>
      <c r="G42" s="1281"/>
      <c r="H42" s="1282"/>
      <c r="I42" s="1258">
        <f>F42*(G42+H42)</f>
        <v>0</v>
      </c>
      <c r="J42" s="1280" t="s">
        <v>1800</v>
      </c>
    </row>
    <row r="43" spans="1:10" ht="39">
      <c r="A43" s="1554"/>
      <c r="B43" s="1289" t="s">
        <v>1809</v>
      </c>
      <c r="C43" s="1262" t="s">
        <v>2407</v>
      </c>
      <c r="D43" s="1274" t="s">
        <v>1810</v>
      </c>
      <c r="E43" s="1537"/>
      <c r="F43" s="1279"/>
      <c r="G43" s="1281"/>
      <c r="H43" s="1282"/>
      <c r="I43" s="1258">
        <f>F43*(G43+H43)</f>
        <v>0</v>
      </c>
      <c r="J43" s="1280" t="s">
        <v>1800</v>
      </c>
    </row>
    <row r="44" spans="1:10" ht="39">
      <c r="A44" s="1555"/>
      <c r="B44" s="1289" t="s">
        <v>1811</v>
      </c>
      <c r="C44" s="1262" t="s">
        <v>1812</v>
      </c>
      <c r="D44" s="1290"/>
      <c r="E44" s="1533"/>
      <c r="F44" s="1279"/>
      <c r="G44" s="1256"/>
      <c r="H44" s="1282"/>
      <c r="I44" s="1258">
        <f>F44*(G44+H44)</f>
        <v>0</v>
      </c>
      <c r="J44" s="1280" t="s">
        <v>1800</v>
      </c>
    </row>
    <row r="45" spans="1:10">
      <c r="A45" s="1284"/>
      <c r="B45" s="1261"/>
      <c r="C45" s="1262"/>
      <c r="D45" s="1263"/>
      <c r="E45" s="1265"/>
      <c r="F45" s="1279"/>
      <c r="G45" s="1256"/>
      <c r="H45" s="1257"/>
      <c r="I45" s="1258"/>
      <c r="J45" s="1259"/>
    </row>
    <row r="46" spans="1:10">
      <c r="A46" s="1538">
        <v>7</v>
      </c>
      <c r="B46" s="1531" t="s">
        <v>2414</v>
      </c>
      <c r="C46" s="1531"/>
      <c r="D46" s="1531"/>
      <c r="E46" s="1254"/>
      <c r="F46" s="1255"/>
      <c r="G46" s="1256"/>
      <c r="H46" s="1257"/>
      <c r="I46" s="1258"/>
      <c r="J46" s="1259"/>
    </row>
    <row r="47" spans="1:10">
      <c r="A47" s="1538"/>
      <c r="B47" s="1291" t="s">
        <v>2</v>
      </c>
      <c r="C47" s="1273" t="s">
        <v>1781</v>
      </c>
      <c r="D47" s="1273" t="s">
        <v>1782</v>
      </c>
      <c r="E47" s="1254"/>
      <c r="F47" s="1255"/>
      <c r="G47" s="1256"/>
      <c r="H47" s="1257"/>
      <c r="I47" s="1258"/>
      <c r="J47" s="1259"/>
    </row>
    <row r="48" spans="1:10" ht="39">
      <c r="A48" s="1538"/>
      <c r="B48" s="1261" t="s">
        <v>1814</v>
      </c>
      <c r="C48" s="1262" t="s">
        <v>1815</v>
      </c>
      <c r="D48" s="1274" t="s">
        <v>1816</v>
      </c>
      <c r="E48" s="1532" t="s">
        <v>1893</v>
      </c>
      <c r="F48" s="1279">
        <v>2</v>
      </c>
      <c r="G48" s="1281">
        <v>34765</v>
      </c>
      <c r="H48" s="1282">
        <v>3250</v>
      </c>
      <c r="I48" s="1258">
        <f>F48*(G48+H48)</f>
        <v>76030</v>
      </c>
      <c r="J48" s="1280" t="s">
        <v>1800</v>
      </c>
    </row>
    <row r="49" spans="1:10" ht="39">
      <c r="A49" s="1538"/>
      <c r="B49" s="1261" t="s">
        <v>1817</v>
      </c>
      <c r="C49" s="1262" t="s">
        <v>1791</v>
      </c>
      <c r="D49" s="1261"/>
      <c r="E49" s="1537"/>
      <c r="F49" s="1279"/>
      <c r="G49" s="1281"/>
      <c r="H49" s="1257"/>
      <c r="I49" s="1258">
        <f>F49*(G49+H49)</f>
        <v>0</v>
      </c>
      <c r="J49" s="1280" t="s">
        <v>1800</v>
      </c>
    </row>
    <row r="50" spans="1:10" ht="39">
      <c r="A50" s="1538"/>
      <c r="B50" s="1261" t="s">
        <v>1801</v>
      </c>
      <c r="C50" s="1262" t="s">
        <v>2407</v>
      </c>
      <c r="D50" s="1274" t="s">
        <v>1802</v>
      </c>
      <c r="E50" s="1537"/>
      <c r="F50" s="1279"/>
      <c r="G50" s="1281"/>
      <c r="H50" s="1282"/>
      <c r="I50" s="1258">
        <f>F50*(G50+H50)</f>
        <v>0</v>
      </c>
      <c r="J50" s="1280" t="s">
        <v>1800</v>
      </c>
    </row>
    <row r="51" spans="1:10" ht="39">
      <c r="A51" s="1538"/>
      <c r="B51" s="1261" t="s">
        <v>1807</v>
      </c>
      <c r="C51" s="1262" t="s">
        <v>2407</v>
      </c>
      <c r="D51" s="1274" t="s">
        <v>1808</v>
      </c>
      <c r="E51" s="1537"/>
      <c r="F51" s="1279"/>
      <c r="G51" s="1281"/>
      <c r="H51" s="1282"/>
      <c r="I51" s="1258">
        <f>F51*(G51+H51)</f>
        <v>0</v>
      </c>
      <c r="J51" s="1280" t="s">
        <v>1800</v>
      </c>
    </row>
    <row r="52" spans="1:10" ht="39">
      <c r="A52" s="1538"/>
      <c r="B52" s="1261" t="s">
        <v>1809</v>
      </c>
      <c r="C52" s="1262" t="s">
        <v>2407</v>
      </c>
      <c r="D52" s="1274" t="s">
        <v>1810</v>
      </c>
      <c r="E52" s="1533"/>
      <c r="F52" s="1279"/>
      <c r="G52" s="1281"/>
      <c r="H52" s="1282"/>
      <c r="I52" s="1258">
        <f>F52*(G52+H52)</f>
        <v>0</v>
      </c>
      <c r="J52" s="1280" t="s">
        <v>1800</v>
      </c>
    </row>
    <row r="53" spans="1:10">
      <c r="A53" s="1275"/>
      <c r="B53" s="1261"/>
      <c r="C53" s="1292"/>
      <c r="D53" s="1292"/>
      <c r="E53" s="1265"/>
      <c r="F53" s="1255"/>
      <c r="G53" s="1256"/>
      <c r="H53" s="1257"/>
      <c r="I53" s="1258"/>
      <c r="J53" s="1259"/>
    </row>
    <row r="54" spans="1:10">
      <c r="A54" s="1293"/>
      <c r="B54" s="1261"/>
      <c r="C54" s="1262"/>
      <c r="D54" s="1261"/>
      <c r="E54" s="1265"/>
      <c r="F54" s="1255"/>
      <c r="G54" s="1256"/>
      <c r="H54" s="1257"/>
      <c r="I54" s="1258"/>
      <c r="J54" s="1259"/>
    </row>
    <row r="55" spans="1:10">
      <c r="A55" s="1538">
        <v>8</v>
      </c>
      <c r="B55" s="1531" t="s">
        <v>2415</v>
      </c>
      <c r="C55" s="1531"/>
      <c r="D55" s="1531"/>
      <c r="E55" s="1254"/>
      <c r="F55" s="1255"/>
      <c r="G55" s="1256"/>
      <c r="H55" s="1257"/>
      <c r="I55" s="1258"/>
      <c r="J55" s="1259"/>
    </row>
    <row r="56" spans="1:10">
      <c r="A56" s="1538"/>
      <c r="B56" s="1291" t="s">
        <v>2</v>
      </c>
      <c r="C56" s="1273" t="s">
        <v>1781</v>
      </c>
      <c r="D56" s="1273" t="s">
        <v>1782</v>
      </c>
      <c r="E56" s="1254"/>
      <c r="F56" s="1255"/>
      <c r="G56" s="1256"/>
      <c r="H56" s="1257"/>
      <c r="I56" s="1258"/>
      <c r="J56" s="1259"/>
    </row>
    <row r="57" spans="1:10" ht="39">
      <c r="A57" s="1538"/>
      <c r="B57" s="1261" t="s">
        <v>1819</v>
      </c>
      <c r="C57" s="1262" t="s">
        <v>1815</v>
      </c>
      <c r="D57" s="1274" t="s">
        <v>1820</v>
      </c>
      <c r="E57" s="1532" t="s">
        <v>1785</v>
      </c>
      <c r="F57" s="1279">
        <v>0</v>
      </c>
      <c r="G57" s="1281">
        <v>34765</v>
      </c>
      <c r="H57" s="1282">
        <v>2340</v>
      </c>
      <c r="I57" s="1258">
        <f>F57*(G57+H57)</f>
        <v>0</v>
      </c>
      <c r="J57" s="1280" t="s">
        <v>1800</v>
      </c>
    </row>
    <row r="58" spans="1:10" ht="39">
      <c r="A58" s="1538"/>
      <c r="B58" s="1261" t="s">
        <v>1818</v>
      </c>
      <c r="C58" s="1262" t="s">
        <v>1791</v>
      </c>
      <c r="D58" s="1261"/>
      <c r="E58" s="1537"/>
      <c r="F58" s="1279"/>
      <c r="G58" s="1281"/>
      <c r="H58" s="1282"/>
      <c r="I58" s="1258">
        <f t="shared" ref="I58:I61" si="0">F58*(G58+H58)</f>
        <v>0</v>
      </c>
      <c r="J58" s="1280" t="s">
        <v>1800</v>
      </c>
    </row>
    <row r="59" spans="1:10" ht="39">
      <c r="A59" s="1538"/>
      <c r="B59" s="1261" t="s">
        <v>1801</v>
      </c>
      <c r="C59" s="1262" t="s">
        <v>2407</v>
      </c>
      <c r="D59" s="1274" t="s">
        <v>1802</v>
      </c>
      <c r="E59" s="1537"/>
      <c r="F59" s="1279"/>
      <c r="G59" s="1281"/>
      <c r="H59" s="1282"/>
      <c r="I59" s="1258">
        <f t="shared" si="0"/>
        <v>0</v>
      </c>
      <c r="J59" s="1280" t="s">
        <v>1800</v>
      </c>
    </row>
    <row r="60" spans="1:10" ht="39">
      <c r="A60" s="1538"/>
      <c r="B60" s="1261" t="s">
        <v>1807</v>
      </c>
      <c r="C60" s="1262" t="s">
        <v>2407</v>
      </c>
      <c r="D60" s="1274" t="s">
        <v>1808</v>
      </c>
      <c r="E60" s="1537"/>
      <c r="F60" s="1279"/>
      <c r="G60" s="1281"/>
      <c r="H60" s="1282"/>
      <c r="I60" s="1258">
        <f t="shared" si="0"/>
        <v>0</v>
      </c>
      <c r="J60" s="1280" t="s">
        <v>1800</v>
      </c>
    </row>
    <row r="61" spans="1:10" ht="39">
      <c r="A61" s="1538"/>
      <c r="B61" s="1261" t="s">
        <v>1809</v>
      </c>
      <c r="C61" s="1262" t="s">
        <v>2407</v>
      </c>
      <c r="D61" s="1274" t="s">
        <v>1810</v>
      </c>
      <c r="E61" s="1533"/>
      <c r="F61" s="1279"/>
      <c r="G61" s="1281"/>
      <c r="H61" s="1282"/>
      <c r="I61" s="1258">
        <f t="shared" si="0"/>
        <v>0</v>
      </c>
      <c r="J61" s="1280" t="s">
        <v>1800</v>
      </c>
    </row>
    <row r="62" spans="1:10">
      <c r="A62" s="1284"/>
      <c r="B62" s="1261"/>
      <c r="C62" s="1262"/>
      <c r="D62" s="1274"/>
      <c r="E62" s="1265"/>
      <c r="F62" s="1279"/>
      <c r="G62" s="1281"/>
      <c r="H62" s="1282"/>
      <c r="I62" s="1258"/>
      <c r="J62" s="1259"/>
    </row>
    <row r="63" spans="1:10">
      <c r="A63" s="1538">
        <v>9</v>
      </c>
      <c r="B63" s="1531" t="s">
        <v>2416</v>
      </c>
      <c r="C63" s="1531"/>
      <c r="D63" s="1531"/>
      <c r="E63" s="1254"/>
      <c r="F63" s="1255"/>
      <c r="G63" s="1256"/>
      <c r="H63" s="1257"/>
      <c r="I63" s="1258"/>
      <c r="J63" s="1259" t="s">
        <v>2417</v>
      </c>
    </row>
    <row r="64" spans="1:10">
      <c r="A64" s="1538"/>
      <c r="B64" s="1273" t="s">
        <v>1821</v>
      </c>
      <c r="C64" s="1273" t="s">
        <v>1781</v>
      </c>
      <c r="D64" s="1273" t="s">
        <v>1804</v>
      </c>
      <c r="E64" s="1254"/>
      <c r="F64" s="1255"/>
      <c r="G64" s="1256"/>
      <c r="H64" s="1257"/>
      <c r="I64" s="1258"/>
      <c r="J64" s="1259"/>
    </row>
    <row r="65" spans="1:10">
      <c r="A65" s="1538"/>
      <c r="B65" s="1261" t="s">
        <v>1822</v>
      </c>
      <c r="C65" s="1539" t="s">
        <v>2418</v>
      </c>
      <c r="D65" s="1539" t="s">
        <v>1823</v>
      </c>
      <c r="E65" s="1532" t="s">
        <v>1785</v>
      </c>
      <c r="F65" s="1355"/>
      <c r="G65" s="1281">
        <v>0</v>
      </c>
      <c r="H65" s="1282">
        <v>3250</v>
      </c>
      <c r="I65" s="1348">
        <f>F65*(G65+H65)</f>
        <v>0</v>
      </c>
      <c r="J65" s="1528" t="s">
        <v>1786</v>
      </c>
    </row>
    <row r="66" spans="1:10">
      <c r="A66" s="1538"/>
      <c r="B66" s="1261" t="s">
        <v>1824</v>
      </c>
      <c r="C66" s="1540"/>
      <c r="D66" s="1540"/>
      <c r="E66" s="1537"/>
      <c r="F66" s="1357"/>
      <c r="G66" s="1343"/>
      <c r="H66" s="1344"/>
      <c r="I66" s="1350"/>
      <c r="J66" s="1529"/>
    </row>
    <row r="67" spans="1:10">
      <c r="A67" s="1538"/>
      <c r="B67" s="1261" t="s">
        <v>1825</v>
      </c>
      <c r="C67" s="1540"/>
      <c r="D67" s="1540"/>
      <c r="E67" s="1537"/>
      <c r="F67" s="1357"/>
      <c r="G67" s="1343"/>
      <c r="H67" s="1344"/>
      <c r="I67" s="1350"/>
      <c r="J67" s="1529"/>
    </row>
    <row r="68" spans="1:10">
      <c r="A68" s="1538"/>
      <c r="B68" s="1261" t="s">
        <v>1826</v>
      </c>
      <c r="C68" s="1541"/>
      <c r="D68" s="1541"/>
      <c r="E68" s="1533"/>
      <c r="F68" s="1356"/>
      <c r="G68" s="1345"/>
      <c r="H68" s="1346"/>
      <c r="I68" s="1349"/>
      <c r="J68" s="1530"/>
    </row>
    <row r="69" spans="1:10">
      <c r="A69" s="1293"/>
      <c r="B69" s="1261"/>
      <c r="C69" s="1262"/>
      <c r="D69" s="1261"/>
      <c r="E69" s="1265"/>
      <c r="F69" s="1255"/>
      <c r="G69" s="1256"/>
      <c r="H69" s="1257"/>
      <c r="I69" s="1258"/>
      <c r="J69" s="1259"/>
    </row>
    <row r="70" spans="1:10">
      <c r="A70" s="1536">
        <v>10</v>
      </c>
      <c r="B70" s="1531" t="s">
        <v>2419</v>
      </c>
      <c r="C70" s="1531"/>
      <c r="D70" s="1531"/>
      <c r="E70" s="1265"/>
      <c r="F70" s="1255"/>
      <c r="G70" s="1256"/>
      <c r="H70" s="1257"/>
      <c r="I70" s="1258"/>
      <c r="J70" s="1259"/>
    </row>
    <row r="71" spans="1:10">
      <c r="A71" s="1536"/>
      <c r="B71" s="1273" t="s">
        <v>1821</v>
      </c>
      <c r="C71" s="1273" t="s">
        <v>1781</v>
      </c>
      <c r="D71" s="1273" t="s">
        <v>1827</v>
      </c>
      <c r="E71" s="1265"/>
      <c r="F71" s="1255"/>
      <c r="G71" s="1256"/>
      <c r="H71" s="1257"/>
      <c r="I71" s="1258"/>
      <c r="J71" s="1259"/>
    </row>
    <row r="72" spans="1:10" ht="39">
      <c r="A72" s="1536"/>
      <c r="B72" s="1294" t="s">
        <v>1828</v>
      </c>
      <c r="C72" s="1262" t="s">
        <v>2407</v>
      </c>
      <c r="D72" s="1274" t="s">
        <v>1829</v>
      </c>
      <c r="E72" s="1265" t="s">
        <v>1785</v>
      </c>
      <c r="F72" s="1279">
        <f>+F9</f>
        <v>15</v>
      </c>
      <c r="G72" s="1281">
        <v>1482</v>
      </c>
      <c r="H72" s="1282">
        <v>455</v>
      </c>
      <c r="I72" s="1258">
        <f>F72*(G72+H72)</f>
        <v>29055</v>
      </c>
      <c r="J72" s="1280" t="s">
        <v>1800</v>
      </c>
    </row>
    <row r="73" spans="1:10">
      <c r="A73" s="1295"/>
      <c r="B73" s="1261"/>
      <c r="C73" s="1296"/>
      <c r="D73" s="1261"/>
      <c r="E73" s="1265"/>
      <c r="F73" s="1255"/>
      <c r="G73" s="1256"/>
      <c r="H73" s="1257"/>
      <c r="I73" s="1258"/>
      <c r="J73" s="1259"/>
    </row>
    <row r="74" spans="1:10">
      <c r="A74" s="1550">
        <v>11</v>
      </c>
      <c r="B74" s="1531" t="s">
        <v>2420</v>
      </c>
      <c r="C74" s="1531"/>
      <c r="D74" s="1531"/>
      <c r="E74" s="1265"/>
      <c r="F74" s="1255"/>
      <c r="G74" s="1256"/>
      <c r="H74" s="1257"/>
      <c r="I74" s="1258"/>
      <c r="J74" s="1259"/>
    </row>
    <row r="75" spans="1:10">
      <c r="A75" s="1551"/>
      <c r="B75" s="1273" t="s">
        <v>1821</v>
      </c>
      <c r="C75" s="1273" t="s">
        <v>1781</v>
      </c>
      <c r="D75" s="1273" t="s">
        <v>1782</v>
      </c>
      <c r="E75" s="1265"/>
      <c r="F75" s="1255"/>
      <c r="G75" s="1256"/>
      <c r="H75" s="1257"/>
      <c r="I75" s="1258"/>
      <c r="J75" s="1259"/>
    </row>
    <row r="76" spans="1:10" ht="39">
      <c r="A76" s="1552"/>
      <c r="B76" s="1294" t="s">
        <v>1830</v>
      </c>
      <c r="C76" s="1262" t="s">
        <v>2407</v>
      </c>
      <c r="D76" s="1274" t="s">
        <v>1831</v>
      </c>
      <c r="E76" s="1265" t="s">
        <v>1785</v>
      </c>
      <c r="F76" s="1279">
        <f>+F72</f>
        <v>15</v>
      </c>
      <c r="G76" s="1281">
        <v>1482</v>
      </c>
      <c r="H76" s="1282">
        <v>195</v>
      </c>
      <c r="I76" s="1258">
        <f>F76*(G76+H76)</f>
        <v>25155</v>
      </c>
      <c r="J76" s="1280" t="s">
        <v>1800</v>
      </c>
    </row>
    <row r="77" spans="1:10">
      <c r="A77" s="1295"/>
      <c r="B77" s="1261"/>
      <c r="C77" s="1296"/>
      <c r="D77" s="1261"/>
      <c r="E77" s="1265"/>
      <c r="F77" s="1255"/>
      <c r="G77" s="1256"/>
      <c r="H77" s="1257"/>
      <c r="I77" s="1258"/>
      <c r="J77" s="1259"/>
    </row>
    <row r="78" spans="1:10">
      <c r="A78" s="1550">
        <v>12</v>
      </c>
      <c r="B78" s="1531" t="s">
        <v>2421</v>
      </c>
      <c r="C78" s="1531"/>
      <c r="D78" s="1531"/>
      <c r="E78" s="1265"/>
      <c r="F78" s="1255"/>
      <c r="G78" s="1256"/>
      <c r="H78" s="1257"/>
      <c r="I78" s="1258"/>
      <c r="J78" s="1259"/>
    </row>
    <row r="79" spans="1:10">
      <c r="A79" s="1551"/>
      <c r="B79" s="1273" t="s">
        <v>1821</v>
      </c>
      <c r="C79" s="1273" t="s">
        <v>1781</v>
      </c>
      <c r="D79" s="1273" t="s">
        <v>1827</v>
      </c>
      <c r="E79" s="1265"/>
      <c r="F79" s="1255"/>
      <c r="G79" s="1256"/>
      <c r="H79" s="1257"/>
      <c r="I79" s="1258"/>
      <c r="J79" s="1259"/>
    </row>
    <row r="80" spans="1:10" ht="39">
      <c r="A80" s="1552"/>
      <c r="B80" s="1294" t="s">
        <v>1832</v>
      </c>
      <c r="C80" s="1262" t="s">
        <v>2407</v>
      </c>
      <c r="D80" s="1274" t="s">
        <v>1833</v>
      </c>
      <c r="E80" s="1265" t="s">
        <v>1785</v>
      </c>
      <c r="F80" s="1279">
        <f>+F40+F32</f>
        <v>22</v>
      </c>
      <c r="G80" s="1281">
        <v>8190</v>
      </c>
      <c r="H80" s="1282">
        <v>195</v>
      </c>
      <c r="I80" s="1258">
        <f>F80*(G80+H80)</f>
        <v>184470</v>
      </c>
      <c r="J80" s="1280" t="s">
        <v>1786</v>
      </c>
    </row>
    <row r="81" spans="1:10">
      <c r="A81" s="1295"/>
      <c r="B81" s="1261"/>
      <c r="C81" s="1296"/>
      <c r="D81" s="1261"/>
      <c r="E81" s="1265"/>
      <c r="F81" s="1255"/>
      <c r="G81" s="1256"/>
      <c r="H81" s="1257"/>
      <c r="I81" s="1258"/>
      <c r="J81" s="1259"/>
    </row>
    <row r="82" spans="1:10">
      <c r="A82" s="1550">
        <v>13</v>
      </c>
      <c r="B82" s="1531" t="s">
        <v>2422</v>
      </c>
      <c r="C82" s="1531"/>
      <c r="D82" s="1531"/>
      <c r="E82" s="1265"/>
      <c r="F82" s="1255"/>
      <c r="G82" s="1256"/>
      <c r="H82" s="1257"/>
      <c r="I82" s="1258"/>
      <c r="J82" s="1259"/>
    </row>
    <row r="83" spans="1:10">
      <c r="A83" s="1551"/>
      <c r="B83" s="1273" t="s">
        <v>1821</v>
      </c>
      <c r="C83" s="1273" t="s">
        <v>1781</v>
      </c>
      <c r="D83" s="1273" t="s">
        <v>1827</v>
      </c>
      <c r="E83" s="1265"/>
      <c r="F83" s="1255"/>
      <c r="G83" s="1256"/>
      <c r="H83" s="1257"/>
      <c r="I83" s="1258"/>
      <c r="J83" s="1259"/>
    </row>
    <row r="84" spans="1:10" ht="39">
      <c r="A84" s="1552"/>
      <c r="B84" s="1294" t="s">
        <v>1835</v>
      </c>
      <c r="C84" s="1262" t="s">
        <v>1834</v>
      </c>
      <c r="D84" s="1274" t="s">
        <v>2423</v>
      </c>
      <c r="E84" s="1265" t="s">
        <v>1785</v>
      </c>
      <c r="F84" s="1279">
        <f>2+2</f>
        <v>4</v>
      </c>
      <c r="G84" s="1281">
        <v>65000</v>
      </c>
      <c r="H84" s="1282">
        <v>975</v>
      </c>
      <c r="I84" s="1258">
        <f>F84*(G84+H84)</f>
        <v>263900</v>
      </c>
      <c r="J84" s="1280" t="s">
        <v>1800</v>
      </c>
    </row>
    <row r="85" spans="1:10">
      <c r="A85" s="1295"/>
      <c r="B85" s="1261"/>
      <c r="C85" s="1296"/>
      <c r="D85" s="1261"/>
      <c r="E85" s="1265"/>
      <c r="F85" s="1255"/>
      <c r="G85" s="1256"/>
      <c r="H85" s="1257"/>
      <c r="I85" s="1258"/>
      <c r="J85" s="1259"/>
    </row>
    <row r="86" spans="1:10">
      <c r="A86" s="1295"/>
      <c r="B86" s="1261"/>
      <c r="C86" s="1296"/>
      <c r="D86" s="1261"/>
      <c r="E86" s="1265"/>
      <c r="F86" s="1255"/>
      <c r="G86" s="1256"/>
      <c r="H86" s="1257"/>
      <c r="I86" s="1258"/>
      <c r="J86" s="1259"/>
    </row>
    <row r="87" spans="1:10">
      <c r="A87" s="1550">
        <v>14</v>
      </c>
      <c r="B87" s="1531" t="s">
        <v>2424</v>
      </c>
      <c r="C87" s="1531"/>
      <c r="D87" s="1531"/>
      <c r="E87" s="1265"/>
      <c r="F87" s="1255"/>
      <c r="G87" s="1256"/>
      <c r="H87" s="1257"/>
      <c r="I87" s="1258"/>
      <c r="J87" s="1259"/>
    </row>
    <row r="88" spans="1:10">
      <c r="A88" s="1551"/>
      <c r="B88" s="1273" t="s">
        <v>1821</v>
      </c>
      <c r="C88" s="1273" t="s">
        <v>1781</v>
      </c>
      <c r="D88" s="1273" t="s">
        <v>1827</v>
      </c>
      <c r="E88" s="1265"/>
      <c r="F88" s="1255"/>
      <c r="G88" s="1256"/>
      <c r="H88" s="1282"/>
      <c r="I88" s="1258"/>
      <c r="J88" s="1259"/>
    </row>
    <row r="89" spans="1:10" ht="39">
      <c r="A89" s="1552"/>
      <c r="B89" s="1297" t="s">
        <v>1836</v>
      </c>
      <c r="C89" s="1262" t="s">
        <v>1837</v>
      </c>
      <c r="D89" s="1274" t="s">
        <v>1838</v>
      </c>
      <c r="E89" s="1265" t="s">
        <v>1785</v>
      </c>
      <c r="F89" s="1279">
        <f>+F80</f>
        <v>22</v>
      </c>
      <c r="G89" s="1281">
        <v>7800</v>
      </c>
      <c r="H89" s="1282">
        <v>325</v>
      </c>
      <c r="I89" s="1258">
        <f>F89*(G89+H89)</f>
        <v>178750</v>
      </c>
      <c r="J89" s="1280" t="s">
        <v>1800</v>
      </c>
    </row>
    <row r="90" spans="1:10">
      <c r="A90" s="1293"/>
      <c r="B90" s="1261"/>
      <c r="C90" s="1262"/>
      <c r="D90" s="1261"/>
      <c r="E90" s="1265"/>
      <c r="F90" s="1255"/>
      <c r="G90" s="1298"/>
      <c r="H90" s="1299"/>
      <c r="I90" s="1258"/>
      <c r="J90" s="1259"/>
    </row>
    <row r="91" spans="1:10">
      <c r="A91" s="1536">
        <v>15</v>
      </c>
      <c r="B91" s="1531" t="s">
        <v>2425</v>
      </c>
      <c r="C91" s="1531"/>
      <c r="D91" s="1531"/>
      <c r="E91" s="1559" t="s">
        <v>1785</v>
      </c>
      <c r="F91" s="1347">
        <v>3</v>
      </c>
      <c r="G91" s="1281">
        <v>1625</v>
      </c>
      <c r="H91" s="1282">
        <v>195</v>
      </c>
      <c r="I91" s="1348">
        <f>+(F91*(G91+H91))</f>
        <v>5460</v>
      </c>
      <c r="J91" s="1560" t="s">
        <v>1800</v>
      </c>
    </row>
    <row r="92" spans="1:10">
      <c r="A92" s="1536"/>
      <c r="B92" s="1260" t="s">
        <v>1821</v>
      </c>
      <c r="C92" s="1277" t="s">
        <v>1781</v>
      </c>
      <c r="D92" s="1277" t="s">
        <v>1827</v>
      </c>
      <c r="E92" s="1559"/>
      <c r="F92" s="1347"/>
      <c r="G92" s="1343"/>
      <c r="H92" s="1344"/>
      <c r="I92" s="1350"/>
      <c r="J92" s="1560"/>
    </row>
    <row r="93" spans="1:10">
      <c r="A93" s="1536"/>
      <c r="B93" s="1261" t="s">
        <v>1839</v>
      </c>
      <c r="C93" s="1262" t="s">
        <v>1834</v>
      </c>
      <c r="D93" s="1274" t="s">
        <v>1840</v>
      </c>
      <c r="E93" s="1559"/>
      <c r="F93" s="1347"/>
      <c r="G93" s="1345"/>
      <c r="H93" s="1346"/>
      <c r="I93" s="1349"/>
      <c r="J93" s="1560"/>
    </row>
    <row r="94" spans="1:10">
      <c r="A94" s="1275"/>
      <c r="B94" s="1300"/>
      <c r="C94" s="1300"/>
      <c r="D94" s="1300"/>
      <c r="E94" s="1265"/>
      <c r="F94" s="1255"/>
      <c r="G94" s="1256"/>
      <c r="H94" s="1257"/>
      <c r="I94" s="1258"/>
      <c r="J94" s="1301"/>
    </row>
    <row r="95" spans="1:10">
      <c r="A95" s="1536">
        <v>16</v>
      </c>
      <c r="B95" s="1531" t="s">
        <v>2426</v>
      </c>
      <c r="C95" s="1531"/>
      <c r="D95" s="1531"/>
      <c r="E95" s="1559" t="s">
        <v>1785</v>
      </c>
      <c r="F95" s="1347">
        <v>1</v>
      </c>
      <c r="G95" s="1281">
        <v>26000</v>
      </c>
      <c r="H95" s="1282">
        <v>3250</v>
      </c>
      <c r="I95" s="1348">
        <f>+(F95*(G95+H95))</f>
        <v>29250</v>
      </c>
      <c r="J95" s="1560" t="s">
        <v>1800</v>
      </c>
    </row>
    <row r="96" spans="1:10">
      <c r="A96" s="1536"/>
      <c r="B96" s="1302" t="s">
        <v>1870</v>
      </c>
      <c r="C96" s="1302" t="s">
        <v>1781</v>
      </c>
      <c r="D96" s="1302" t="s">
        <v>1827</v>
      </c>
      <c r="E96" s="1559"/>
      <c r="F96" s="1347"/>
      <c r="G96" s="1343"/>
      <c r="H96" s="1344"/>
      <c r="I96" s="1350"/>
      <c r="J96" s="1560"/>
    </row>
    <row r="97" spans="1:10">
      <c r="A97" s="1536"/>
      <c r="B97" s="1292" t="s">
        <v>2427</v>
      </c>
      <c r="C97" s="1292" t="s">
        <v>1871</v>
      </c>
      <c r="D97" s="1292"/>
      <c r="E97" s="1559"/>
      <c r="F97" s="1347"/>
      <c r="G97" s="1343"/>
      <c r="H97" s="1344"/>
      <c r="I97" s="1350"/>
      <c r="J97" s="1560"/>
    </row>
    <row r="98" spans="1:10">
      <c r="A98" s="1536"/>
      <c r="B98" s="1292" t="s">
        <v>1872</v>
      </c>
      <c r="C98" s="1303" t="s">
        <v>1873</v>
      </c>
      <c r="D98" s="1274" t="s">
        <v>1874</v>
      </c>
      <c r="E98" s="1559"/>
      <c r="F98" s="1347"/>
      <c r="G98" s="1343"/>
      <c r="H98" s="1344"/>
      <c r="I98" s="1350"/>
      <c r="J98" s="1560"/>
    </row>
    <row r="99" spans="1:10">
      <c r="A99" s="1275"/>
      <c r="B99" s="1300"/>
      <c r="C99" s="1300"/>
      <c r="D99" s="1300"/>
      <c r="E99" s="1265"/>
      <c r="F99" s="1255"/>
      <c r="G99" s="1256"/>
      <c r="H99" s="1257"/>
      <c r="I99" s="1258"/>
      <c r="J99" s="1301"/>
    </row>
    <row r="100" spans="1:10">
      <c r="A100" s="1536">
        <v>17</v>
      </c>
      <c r="B100" s="1546" t="s">
        <v>2428</v>
      </c>
      <c r="C100" s="1546"/>
      <c r="D100" s="1546"/>
      <c r="E100" s="1559" t="s">
        <v>1785</v>
      </c>
      <c r="F100" s="1347">
        <v>3</v>
      </c>
      <c r="G100" s="1281">
        <v>1950</v>
      </c>
      <c r="H100" s="1282">
        <v>195</v>
      </c>
      <c r="I100" s="1348">
        <f>F100*(G100+H100)</f>
        <v>6435</v>
      </c>
      <c r="J100" s="1560" t="s">
        <v>1800</v>
      </c>
    </row>
    <row r="101" spans="1:10">
      <c r="A101" s="1536"/>
      <c r="B101" s="1548" t="s">
        <v>2429</v>
      </c>
      <c r="C101" s="1548"/>
      <c r="D101" s="1548"/>
      <c r="E101" s="1559"/>
      <c r="F101" s="1347"/>
      <c r="G101" s="1345"/>
      <c r="H101" s="1346"/>
      <c r="I101" s="1349"/>
      <c r="J101" s="1560"/>
    </row>
    <row r="102" spans="1:10">
      <c r="A102" s="1304"/>
      <c r="B102" s="1561"/>
      <c r="C102" s="1561"/>
      <c r="D102" s="1561"/>
      <c r="E102" s="1265"/>
      <c r="F102" s="1255"/>
      <c r="G102" s="1256"/>
      <c r="H102" s="1257"/>
      <c r="I102" s="1258"/>
      <c r="J102" s="1301"/>
    </row>
    <row r="103" spans="1:10" ht="39">
      <c r="A103" s="1536">
        <v>18</v>
      </c>
      <c r="B103" s="1546" t="s">
        <v>2430</v>
      </c>
      <c r="C103" s="1546"/>
      <c r="D103" s="1546"/>
      <c r="E103" s="1559" t="s">
        <v>1785</v>
      </c>
      <c r="F103" s="1347">
        <v>32</v>
      </c>
      <c r="G103" s="1281">
        <v>1950</v>
      </c>
      <c r="H103" s="1282">
        <v>195</v>
      </c>
      <c r="I103" s="1348">
        <f>F103*(G103+H103)</f>
        <v>68640</v>
      </c>
      <c r="J103" s="1280" t="s">
        <v>1800</v>
      </c>
    </row>
    <row r="104" spans="1:10">
      <c r="A104" s="1536"/>
      <c r="B104" s="1548" t="s">
        <v>2431</v>
      </c>
      <c r="C104" s="1548"/>
      <c r="D104" s="1548"/>
      <c r="E104" s="1559"/>
      <c r="F104" s="1347"/>
      <c r="G104" s="1345"/>
      <c r="H104" s="1346"/>
      <c r="I104" s="1349"/>
      <c r="J104" s="1259"/>
    </row>
    <row r="105" spans="1:10">
      <c r="A105" s="1304"/>
      <c r="B105" s="1549"/>
      <c r="C105" s="1549"/>
      <c r="D105" s="1549"/>
      <c r="E105" s="1245"/>
      <c r="F105" s="1255"/>
      <c r="G105" s="1305"/>
      <c r="H105" s="1306"/>
      <c r="I105" s="1258"/>
      <c r="J105" s="1307"/>
    </row>
    <row r="106" spans="1:10" ht="39">
      <c r="A106" s="1536">
        <v>19</v>
      </c>
      <c r="B106" s="1546" t="s">
        <v>2432</v>
      </c>
      <c r="C106" s="1546"/>
      <c r="D106" s="1546"/>
      <c r="E106" s="1547" t="s">
        <v>1785</v>
      </c>
      <c r="F106" s="1347">
        <v>3</v>
      </c>
      <c r="G106" s="1281">
        <v>1950</v>
      </c>
      <c r="H106" s="1282">
        <v>163</v>
      </c>
      <c r="I106" s="1348">
        <f>F106*(G106+H106)</f>
        <v>6339</v>
      </c>
      <c r="J106" s="1280" t="s">
        <v>1786</v>
      </c>
    </row>
    <row r="107" spans="1:10">
      <c r="A107" s="1536"/>
      <c r="B107" s="1548" t="s">
        <v>2431</v>
      </c>
      <c r="C107" s="1548"/>
      <c r="D107" s="1548"/>
      <c r="E107" s="1547"/>
      <c r="F107" s="1347"/>
      <c r="G107" s="1345"/>
      <c r="H107" s="1346"/>
      <c r="I107" s="1349"/>
      <c r="J107" s="1259"/>
    </row>
    <row r="108" spans="1:10">
      <c r="A108" s="1309"/>
      <c r="B108" s="1310"/>
      <c r="C108" s="1310"/>
      <c r="D108" s="1310"/>
      <c r="E108" s="1311"/>
      <c r="F108" s="1255"/>
      <c r="G108" s="1305"/>
      <c r="H108" s="1306"/>
      <c r="I108" s="1258"/>
      <c r="J108" s="1312"/>
    </row>
    <row r="109" spans="1:10">
      <c r="A109" s="1309"/>
      <c r="B109" s="1310"/>
      <c r="C109" s="1310"/>
      <c r="D109" s="1310"/>
      <c r="E109" s="1311"/>
      <c r="F109" s="1255"/>
      <c r="G109" s="1305"/>
      <c r="H109" s="1306"/>
      <c r="I109" s="1258"/>
      <c r="J109" s="1312"/>
    </row>
    <row r="110" spans="1:10" ht="39">
      <c r="A110" s="1536">
        <v>20</v>
      </c>
      <c r="B110" s="1546" t="s">
        <v>2433</v>
      </c>
      <c r="C110" s="1546"/>
      <c r="D110" s="1546"/>
      <c r="E110" s="1547" t="s">
        <v>1785</v>
      </c>
      <c r="F110" s="1347">
        <v>0</v>
      </c>
      <c r="G110" s="1281">
        <v>19500</v>
      </c>
      <c r="H110" s="1282">
        <v>650</v>
      </c>
      <c r="I110" s="1348">
        <f>F110*(G110+H110)</f>
        <v>0</v>
      </c>
      <c r="J110" s="1280" t="s">
        <v>1786</v>
      </c>
    </row>
    <row r="111" spans="1:10">
      <c r="A111" s="1536"/>
      <c r="B111" s="1548"/>
      <c r="C111" s="1548"/>
      <c r="D111" s="1548"/>
      <c r="E111" s="1547"/>
      <c r="F111" s="1347"/>
      <c r="G111" s="1345"/>
      <c r="H111" s="1346"/>
      <c r="I111" s="1349"/>
      <c r="J111" s="1259"/>
    </row>
    <row r="112" spans="1:10">
      <c r="A112" s="1309"/>
      <c r="B112" s="1310"/>
      <c r="C112" s="1310"/>
      <c r="D112" s="1310"/>
      <c r="E112" s="1311"/>
      <c r="F112" s="1255"/>
      <c r="G112" s="1305"/>
      <c r="H112" s="1306"/>
      <c r="I112" s="1258"/>
      <c r="J112" s="1312"/>
    </row>
    <row r="113" spans="1:10">
      <c r="A113" s="1538">
        <v>21</v>
      </c>
      <c r="B113" s="1531" t="s">
        <v>2434</v>
      </c>
      <c r="C113" s="1531"/>
      <c r="D113" s="1531"/>
      <c r="E113" s="1254"/>
      <c r="F113" s="1255"/>
      <c r="G113" s="1256"/>
      <c r="H113" s="1257"/>
      <c r="I113" s="1258"/>
      <c r="J113" s="1259"/>
    </row>
    <row r="114" spans="1:10" s="899" customFormat="1">
      <c r="A114" s="1538"/>
      <c r="B114" s="1291" t="s">
        <v>2</v>
      </c>
      <c r="C114" s="1273" t="s">
        <v>1781</v>
      </c>
      <c r="D114" s="1273" t="s">
        <v>1782</v>
      </c>
      <c r="E114" s="1254"/>
      <c r="F114" s="1255"/>
      <c r="G114" s="1256"/>
      <c r="H114" s="1257"/>
      <c r="I114" s="1258"/>
      <c r="J114" s="1259"/>
    </row>
    <row r="115" spans="1:10" s="899" customFormat="1" ht="39">
      <c r="A115" s="1538"/>
      <c r="B115" s="1261" t="s">
        <v>2435</v>
      </c>
      <c r="C115" s="1262" t="s">
        <v>1815</v>
      </c>
      <c r="D115" s="1274"/>
      <c r="E115" s="1532" t="s">
        <v>1893</v>
      </c>
      <c r="F115" s="1279">
        <v>0</v>
      </c>
      <c r="G115" s="1281">
        <v>84500</v>
      </c>
      <c r="H115" s="1282">
        <v>3900</v>
      </c>
      <c r="I115" s="1258">
        <f>F115*(G115+H115)</f>
        <v>0</v>
      </c>
      <c r="J115" s="1280" t="s">
        <v>1800</v>
      </c>
    </row>
    <row r="116" spans="1:10" s="899" customFormat="1" ht="39">
      <c r="A116" s="1538"/>
      <c r="B116" s="1261" t="s">
        <v>1817</v>
      </c>
      <c r="C116" s="1262" t="s">
        <v>1791</v>
      </c>
      <c r="D116" s="1261"/>
      <c r="E116" s="1537"/>
      <c r="F116" s="1279"/>
      <c r="G116" s="1281"/>
      <c r="H116" s="1257"/>
      <c r="I116" s="1258">
        <f>F116*(G116+H116)</f>
        <v>0</v>
      </c>
      <c r="J116" s="1280" t="s">
        <v>1800</v>
      </c>
    </row>
    <row r="117" spans="1:10" s="829" customFormat="1" ht="39">
      <c r="A117" s="1538"/>
      <c r="B117" s="1261" t="s">
        <v>1801</v>
      </c>
      <c r="C117" s="1262" t="s">
        <v>2407</v>
      </c>
      <c r="D117" s="1274" t="s">
        <v>1802</v>
      </c>
      <c r="E117" s="1537"/>
      <c r="F117" s="1279"/>
      <c r="G117" s="1281"/>
      <c r="H117" s="1282"/>
      <c r="I117" s="1258">
        <f>F117*(G117+H117)</f>
        <v>0</v>
      </c>
      <c r="J117" s="1280" t="s">
        <v>1800</v>
      </c>
    </row>
    <row r="118" spans="1:10" s="776" customFormat="1" ht="39">
      <c r="A118" s="1538"/>
      <c r="B118" s="1261" t="s">
        <v>1807</v>
      </c>
      <c r="C118" s="1262" t="s">
        <v>2407</v>
      </c>
      <c r="D118" s="1274" t="s">
        <v>1808</v>
      </c>
      <c r="E118" s="1537"/>
      <c r="F118" s="1279"/>
      <c r="G118" s="1281"/>
      <c r="H118" s="1282"/>
      <c r="I118" s="1258">
        <f>F118*(G118+H118)</f>
        <v>0</v>
      </c>
      <c r="J118" s="1280" t="s">
        <v>1800</v>
      </c>
    </row>
    <row r="119" spans="1:10" s="776" customFormat="1" ht="39">
      <c r="A119" s="1538"/>
      <c r="B119" s="1261" t="s">
        <v>1809</v>
      </c>
      <c r="C119" s="1262" t="s">
        <v>2407</v>
      </c>
      <c r="D119" s="1274" t="s">
        <v>1810</v>
      </c>
      <c r="E119" s="1533"/>
      <c r="F119" s="1279"/>
      <c r="G119" s="1281"/>
      <c r="H119" s="1282"/>
      <c r="I119" s="1258">
        <f>F119*(G119+H119)</f>
        <v>0</v>
      </c>
      <c r="J119" s="1280" t="s">
        <v>1800</v>
      </c>
    </row>
    <row r="120" spans="1:10" s="899" customFormat="1">
      <c r="A120" s="1275"/>
      <c r="B120" s="1261"/>
      <c r="C120" s="1292"/>
      <c r="D120" s="1292"/>
      <c r="E120" s="1265"/>
      <c r="F120" s="1255"/>
      <c r="G120" s="1256"/>
      <c r="H120" s="1257"/>
      <c r="I120" s="1258"/>
      <c r="J120" s="1259"/>
    </row>
    <row r="121" spans="1:10" s="899" customFormat="1" ht="39">
      <c r="A121" s="1536">
        <v>22</v>
      </c>
      <c r="B121" s="1546" t="s">
        <v>2436</v>
      </c>
      <c r="C121" s="1546"/>
      <c r="D121" s="1546"/>
      <c r="E121" s="1547" t="s">
        <v>1785</v>
      </c>
      <c r="F121" s="1347">
        <v>1</v>
      </c>
      <c r="G121" s="1281">
        <v>3250</v>
      </c>
      <c r="H121" s="1282">
        <v>650</v>
      </c>
      <c r="I121" s="1348">
        <f>F121*(G121+H121)</f>
        <v>3900</v>
      </c>
      <c r="J121" s="1280" t="s">
        <v>1786</v>
      </c>
    </row>
    <row r="122" spans="1:10" s="899" customFormat="1">
      <c r="A122" s="1536"/>
      <c r="B122" s="1548" t="s">
        <v>2437</v>
      </c>
      <c r="C122" s="1548"/>
      <c r="D122" s="1548"/>
      <c r="E122" s="1547"/>
      <c r="F122" s="1347"/>
      <c r="G122" s="1345"/>
      <c r="H122" s="1346"/>
      <c r="I122" s="1349"/>
      <c r="J122" s="1259"/>
    </row>
    <row r="123" spans="1:10" s="899" customFormat="1">
      <c r="A123" s="1295"/>
      <c r="B123" s="1310"/>
      <c r="C123" s="1310"/>
      <c r="D123" s="1310"/>
      <c r="E123" s="1308"/>
      <c r="F123" s="1347"/>
      <c r="G123" s="1345"/>
      <c r="H123" s="1346"/>
      <c r="I123" s="1349"/>
      <c r="J123" s="1259"/>
    </row>
    <row r="124" spans="1:10" s="899" customFormat="1">
      <c r="A124" s="1295">
        <v>23</v>
      </c>
      <c r="B124" s="1310" t="s">
        <v>2512</v>
      </c>
      <c r="C124" s="1310"/>
      <c r="D124" s="1310"/>
      <c r="E124" s="1308" t="s">
        <v>1785</v>
      </c>
      <c r="F124" s="1347">
        <v>15</v>
      </c>
      <c r="G124" s="1281">
        <v>5850</v>
      </c>
      <c r="H124" s="1281">
        <v>130</v>
      </c>
      <c r="I124" s="1348">
        <f>F124*(G124+H124)</f>
        <v>89700</v>
      </c>
      <c r="J124" s="1259"/>
    </row>
    <row r="125" spans="1:10" s="899" customFormat="1">
      <c r="A125" s="1295"/>
      <c r="B125" s="1310"/>
      <c r="C125" s="1310"/>
      <c r="D125" s="1310"/>
      <c r="E125" s="1308"/>
      <c r="F125" s="1347"/>
      <c r="G125" s="1281"/>
      <c r="H125" s="1282"/>
      <c r="I125" s="1348"/>
      <c r="J125" s="1259"/>
    </row>
    <row r="126" spans="1:10" s="899" customFormat="1">
      <c r="A126" s="1295">
        <v>24</v>
      </c>
      <c r="B126" s="1310" t="s">
        <v>2566</v>
      </c>
      <c r="C126" s="1310"/>
      <c r="D126" s="1310"/>
      <c r="E126" s="1308" t="s">
        <v>16</v>
      </c>
      <c r="F126" s="1347">
        <v>10</v>
      </c>
      <c r="G126" s="1281">
        <v>9100</v>
      </c>
      <c r="H126" s="1281">
        <v>195</v>
      </c>
      <c r="I126" s="1348">
        <f>F126*(G126+H126)</f>
        <v>92950</v>
      </c>
      <c r="J126" s="1259"/>
    </row>
    <row r="127" spans="1:10" s="899" customFormat="1">
      <c r="A127" s="1295"/>
      <c r="B127" s="1310"/>
      <c r="C127" s="1310"/>
      <c r="D127" s="1310"/>
      <c r="E127" s="1308"/>
      <c r="F127" s="1347"/>
      <c r="G127" s="1281"/>
      <c r="H127" s="1282"/>
      <c r="I127" s="1348"/>
      <c r="J127" s="1259"/>
    </row>
    <row r="128" spans="1:10" s="899" customFormat="1">
      <c r="A128" s="1295">
        <v>25</v>
      </c>
      <c r="B128" s="1310" t="s">
        <v>2513</v>
      </c>
      <c r="C128" s="1310"/>
      <c r="D128" s="1310"/>
      <c r="E128" s="1308" t="s">
        <v>16</v>
      </c>
      <c r="F128" s="1347">
        <v>2</v>
      </c>
      <c r="G128" s="1281">
        <v>23400</v>
      </c>
      <c r="H128" s="1281">
        <v>195</v>
      </c>
      <c r="I128" s="1348">
        <f>F128*(G128+H128)</f>
        <v>47190</v>
      </c>
      <c r="J128" s="1259"/>
    </row>
    <row r="129" spans="1:10" s="899" customFormat="1">
      <c r="A129" s="1295"/>
      <c r="B129" s="1310"/>
      <c r="C129" s="1310"/>
      <c r="D129" s="1310"/>
      <c r="E129" s="1308"/>
      <c r="F129" s="1347"/>
      <c r="G129" s="1281"/>
      <c r="H129" s="1282"/>
      <c r="I129" s="1348"/>
      <c r="J129" s="1259"/>
    </row>
    <row r="130" spans="1:10">
      <c r="A130" s="1309"/>
      <c r="B130" s="1310"/>
      <c r="C130" s="1310"/>
      <c r="D130" s="1310"/>
      <c r="E130" s="1311"/>
      <c r="F130" s="1255"/>
      <c r="G130" s="1305"/>
      <c r="H130" s="1306"/>
      <c r="I130" s="1258"/>
      <c r="J130" s="1312"/>
    </row>
    <row r="131" spans="1:10">
      <c r="A131" s="1313"/>
      <c r="B131" s="1562" t="s">
        <v>170</v>
      </c>
      <c r="C131" s="1562"/>
      <c r="D131" s="1562"/>
      <c r="E131" s="1314"/>
      <c r="F131" s="1315"/>
      <c r="G131" s="1316"/>
      <c r="H131" s="1317"/>
      <c r="I131" s="1318">
        <f>SUM(I5:I130)</f>
        <v>2208705</v>
      </c>
      <c r="J131" s="1319"/>
    </row>
    <row r="132" spans="1:10">
      <c r="A132" s="1320"/>
      <c r="B132" s="1563" t="s">
        <v>1841</v>
      </c>
      <c r="C132" s="1564"/>
      <c r="D132" s="1564"/>
      <c r="E132" s="1565"/>
      <c r="F132" s="1321"/>
      <c r="G132" s="1322"/>
      <c r="H132" s="1322"/>
      <c r="I132" s="1322"/>
      <c r="J132" s="1323"/>
    </row>
    <row r="133" spans="1:10">
      <c r="A133" s="1324">
        <v>1</v>
      </c>
      <c r="B133" s="1566" t="s">
        <v>1842</v>
      </c>
      <c r="C133" s="1567"/>
      <c r="D133" s="1567"/>
      <c r="E133" s="1567"/>
      <c r="F133" s="1567"/>
      <c r="G133" s="1567"/>
      <c r="H133" s="1567"/>
      <c r="I133" s="1567"/>
      <c r="J133" s="1567"/>
    </row>
    <row r="134" spans="1:10">
      <c r="A134" s="1325"/>
      <c r="B134" s="1326"/>
      <c r="C134" s="1326"/>
      <c r="D134" s="1326"/>
      <c r="E134" s="1327"/>
      <c r="F134" s="1321"/>
      <c r="G134" s="1322"/>
      <c r="H134" s="1322"/>
      <c r="I134" s="1322"/>
      <c r="J134" s="1323"/>
    </row>
    <row r="135" spans="1:10">
      <c r="A135" s="1325"/>
      <c r="B135" s="1326"/>
      <c r="C135" s="1326"/>
      <c r="D135" s="1326"/>
      <c r="E135" s="1327"/>
      <c r="F135" s="1321"/>
      <c r="G135" s="1322"/>
      <c r="H135" s="1322"/>
      <c r="I135" s="1322"/>
      <c r="J135" s="1323"/>
    </row>
    <row r="136" spans="1:10">
      <c r="A136" s="1328"/>
      <c r="B136" s="1329"/>
      <c r="C136" s="1330"/>
      <c r="D136" s="1330"/>
      <c r="E136" s="1331"/>
      <c r="F136" s="1321"/>
      <c r="G136" s="1322"/>
      <c r="H136" s="1322"/>
      <c r="I136" s="1322"/>
      <c r="J136" s="1332"/>
    </row>
    <row r="137" spans="1:10">
      <c r="A137" s="1328"/>
      <c r="B137" s="1329"/>
      <c r="C137" s="1330"/>
      <c r="D137" s="1330"/>
      <c r="E137" s="1331"/>
      <c r="F137" s="1321"/>
      <c r="G137" s="1322"/>
      <c r="H137" s="1322"/>
      <c r="I137" s="1322"/>
      <c r="J137" s="1332"/>
    </row>
    <row r="138" spans="1:10">
      <c r="A138" s="1328"/>
      <c r="B138" s="1330"/>
      <c r="C138" s="1330"/>
      <c r="D138" s="1330"/>
      <c r="E138" s="1333"/>
      <c r="F138" s="1321"/>
      <c r="G138" s="1322"/>
      <c r="H138" s="1322"/>
      <c r="I138" s="1322"/>
      <c r="J138" s="1334"/>
    </row>
    <row r="139" spans="1:10">
      <c r="A139" s="1328"/>
      <c r="B139" s="1330"/>
      <c r="C139" s="1330"/>
      <c r="D139" s="1330"/>
      <c r="E139" s="1328"/>
      <c r="F139" s="1321"/>
      <c r="G139" s="1322"/>
      <c r="H139" s="1322"/>
      <c r="I139" s="1322"/>
      <c r="J139" s="1334"/>
    </row>
    <row r="140" spans="1:10">
      <c r="A140" s="1328"/>
      <c r="B140" s="1330"/>
      <c r="C140" s="1330"/>
      <c r="D140" s="1330"/>
      <c r="E140" s="1328"/>
      <c r="F140" s="1321"/>
      <c r="G140" s="1322"/>
      <c r="H140" s="1322"/>
      <c r="I140" s="1322"/>
      <c r="J140" s="1334"/>
    </row>
    <row r="141" spans="1:10">
      <c r="A141" s="1328"/>
      <c r="B141" s="1330"/>
      <c r="C141" s="1330"/>
      <c r="D141" s="1330"/>
      <c r="E141" s="1328"/>
      <c r="F141" s="1321"/>
      <c r="G141" s="1322"/>
      <c r="H141" s="1322"/>
      <c r="I141" s="1322"/>
      <c r="J141" s="1334"/>
    </row>
    <row r="142" spans="1:10">
      <c r="A142" s="1328"/>
      <c r="B142" s="1330"/>
      <c r="C142" s="1330"/>
      <c r="D142" s="1330"/>
      <c r="E142" s="1328"/>
      <c r="F142" s="1321"/>
      <c r="G142" s="1322"/>
      <c r="H142" s="1322"/>
      <c r="I142" s="1322"/>
      <c r="J142" s="1334"/>
    </row>
    <row r="143" spans="1:10">
      <c r="A143" s="1328"/>
      <c r="B143" s="1330"/>
      <c r="C143" s="1330"/>
      <c r="D143" s="1330"/>
      <c r="E143" s="1328"/>
      <c r="F143" s="1321"/>
      <c r="G143" s="1322"/>
      <c r="H143" s="1322"/>
      <c r="I143" s="1322"/>
      <c r="J143" s="1334"/>
    </row>
    <row r="144" spans="1:10">
      <c r="A144" s="1328"/>
      <c r="B144" s="1330"/>
      <c r="C144" s="1330"/>
      <c r="D144" s="1330"/>
      <c r="E144" s="1328"/>
      <c r="F144" s="1321"/>
      <c r="G144" s="1322"/>
      <c r="H144" s="1322"/>
      <c r="I144" s="1322"/>
      <c r="J144" s="1334"/>
    </row>
    <row r="145" spans="1:10">
      <c r="A145" s="1328"/>
      <c r="B145" s="1330"/>
      <c r="C145" s="1330"/>
      <c r="D145" s="1330"/>
      <c r="E145" s="1328"/>
      <c r="F145" s="1321"/>
      <c r="G145" s="1322"/>
      <c r="H145" s="1322"/>
      <c r="I145" s="1322"/>
      <c r="J145" s="1334"/>
    </row>
    <row r="146" spans="1:10">
      <c r="A146" s="1328"/>
      <c r="B146" s="1330"/>
      <c r="C146" s="1330"/>
      <c r="D146" s="1330"/>
      <c r="E146" s="1328"/>
      <c r="F146" s="1321"/>
      <c r="G146" s="1322"/>
      <c r="H146" s="1322"/>
      <c r="I146" s="1322"/>
      <c r="J146" s="1334"/>
    </row>
    <row r="147" spans="1:10">
      <c r="A147" s="1328"/>
      <c r="B147" s="1330"/>
      <c r="C147" s="1330"/>
      <c r="D147" s="1330"/>
      <c r="E147" s="1328"/>
      <c r="F147" s="1321"/>
      <c r="G147" s="1322"/>
      <c r="H147" s="1322"/>
      <c r="I147" s="1322"/>
      <c r="J147" s="1334"/>
    </row>
    <row r="148" spans="1:10">
      <c r="A148" s="1328"/>
      <c r="B148" s="1330"/>
      <c r="C148" s="1330"/>
      <c r="D148" s="1330"/>
      <c r="E148" s="1328"/>
      <c r="F148" s="1321"/>
      <c r="G148" s="1322"/>
      <c r="H148" s="1322"/>
      <c r="I148" s="1322"/>
      <c r="J148" s="1334"/>
    </row>
    <row r="149" spans="1:10">
      <c r="A149" s="1328"/>
      <c r="B149" s="1330"/>
      <c r="C149" s="1330"/>
      <c r="D149" s="1330"/>
      <c r="E149" s="1328"/>
      <c r="F149" s="1321"/>
      <c r="G149" s="1322"/>
      <c r="H149" s="1322"/>
      <c r="I149" s="1322"/>
      <c r="J149" s="1334"/>
    </row>
    <row r="150" spans="1:10">
      <c r="A150" s="1328"/>
      <c r="B150" s="1330"/>
      <c r="C150" s="1330"/>
      <c r="D150" s="1330"/>
      <c r="E150" s="1331"/>
      <c r="F150" s="1321"/>
      <c r="G150" s="1322"/>
      <c r="H150" s="1322"/>
      <c r="I150" s="1322"/>
      <c r="J150" s="1334"/>
    </row>
    <row r="151" spans="1:10">
      <c r="A151" s="1328"/>
      <c r="B151" s="1330"/>
      <c r="C151" s="1330"/>
      <c r="D151" s="1330"/>
      <c r="E151" s="1331"/>
      <c r="F151" s="1321"/>
      <c r="G151" s="1322"/>
      <c r="H151" s="1322"/>
      <c r="I151" s="1322"/>
      <c r="J151" s="1334"/>
    </row>
    <row r="152" spans="1:10">
      <c r="A152" s="1328"/>
      <c r="B152" s="1330"/>
      <c r="C152" s="1330"/>
      <c r="D152" s="1330"/>
      <c r="E152" s="1331"/>
      <c r="F152" s="1321"/>
      <c r="G152" s="1322"/>
      <c r="H152" s="1322"/>
      <c r="I152" s="1322"/>
      <c r="J152" s="1334"/>
    </row>
    <row r="153" spans="1:10">
      <c r="B153" s="1336"/>
      <c r="J153" s="1340"/>
    </row>
    <row r="154" spans="1:10">
      <c r="B154" s="1336"/>
      <c r="J154" s="1340"/>
    </row>
    <row r="155" spans="1:10">
      <c r="B155" s="1336"/>
      <c r="J155" s="1340"/>
    </row>
    <row r="156" spans="1:10">
      <c r="B156" s="1336"/>
      <c r="E156" s="1335"/>
      <c r="J156" s="1340"/>
    </row>
    <row r="157" spans="1:10">
      <c r="B157" s="1336"/>
      <c r="E157" s="1335"/>
      <c r="J157" s="1340"/>
    </row>
    <row r="158" spans="1:10">
      <c r="B158" s="1336"/>
      <c r="E158" s="1335"/>
      <c r="J158" s="1340"/>
    </row>
    <row r="159" spans="1:10">
      <c r="B159" s="1336"/>
      <c r="E159" s="1335"/>
      <c r="J159" s="1340"/>
    </row>
    <row r="160" spans="1:10">
      <c r="B160" s="1336"/>
      <c r="E160" s="1335"/>
      <c r="J160" s="1340"/>
    </row>
    <row r="161" spans="2:10">
      <c r="B161" s="1336"/>
      <c r="E161" s="1335"/>
      <c r="J161" s="1340"/>
    </row>
    <row r="162" spans="2:10">
      <c r="B162" s="1336"/>
      <c r="E162" s="1335"/>
      <c r="J162" s="1340"/>
    </row>
    <row r="163" spans="2:10">
      <c r="B163" s="1336"/>
      <c r="E163" s="1335"/>
      <c r="J163" s="1340"/>
    </row>
    <row r="164" spans="2:10">
      <c r="B164" s="1336"/>
      <c r="E164" s="1335"/>
      <c r="J164" s="1340"/>
    </row>
    <row r="165" spans="2:10">
      <c r="B165" s="1336"/>
      <c r="E165" s="1335"/>
      <c r="J165" s="1340"/>
    </row>
    <row r="166" spans="2:10">
      <c r="B166" s="1336"/>
      <c r="E166" s="1335"/>
      <c r="J166" s="1340"/>
    </row>
    <row r="167" spans="2:10">
      <c r="B167" s="1336"/>
      <c r="E167" s="1335"/>
      <c r="J167" s="1340"/>
    </row>
    <row r="168" spans="2:10">
      <c r="B168" s="1336"/>
      <c r="E168" s="1335"/>
      <c r="J168" s="1340"/>
    </row>
    <row r="169" spans="2:10">
      <c r="B169" s="1336"/>
      <c r="E169" s="1335"/>
      <c r="J169" s="1340"/>
    </row>
    <row r="170" spans="2:10">
      <c r="B170" s="1336"/>
      <c r="E170" s="1335"/>
      <c r="J170" s="1340"/>
    </row>
    <row r="171" spans="2:10">
      <c r="B171" s="1336"/>
      <c r="E171" s="1335"/>
      <c r="J171" s="1340"/>
    </row>
    <row r="172" spans="2:10">
      <c r="B172" s="1336"/>
      <c r="E172" s="1335"/>
      <c r="J172" s="1340"/>
    </row>
    <row r="173" spans="2:10">
      <c r="B173" s="1336"/>
      <c r="E173" s="1335"/>
      <c r="J173" s="1340"/>
    </row>
    <row r="174" spans="2:10">
      <c r="B174" s="1336"/>
      <c r="E174" s="1335"/>
      <c r="J174" s="1340"/>
    </row>
    <row r="175" spans="2:10">
      <c r="B175" s="1336"/>
      <c r="E175" s="1335"/>
      <c r="J175" s="1340"/>
    </row>
    <row r="176" spans="2:10">
      <c r="B176" s="1336"/>
      <c r="E176" s="1335"/>
      <c r="J176" s="1340"/>
    </row>
    <row r="177" spans="2:10">
      <c r="B177" s="1336"/>
      <c r="E177" s="1335"/>
      <c r="J177" s="1340"/>
    </row>
    <row r="178" spans="2:10">
      <c r="B178" s="1336"/>
      <c r="E178" s="1335"/>
      <c r="J178" s="1340"/>
    </row>
    <row r="179" spans="2:10">
      <c r="B179" s="1336"/>
      <c r="E179" s="1335"/>
      <c r="J179" s="1340"/>
    </row>
    <row r="180" spans="2:10">
      <c r="B180" s="1336"/>
      <c r="E180" s="1335"/>
      <c r="J180" s="1340"/>
    </row>
    <row r="181" spans="2:10">
      <c r="B181" s="1336"/>
      <c r="E181" s="1335"/>
      <c r="J181" s="1340"/>
    </row>
    <row r="182" spans="2:10">
      <c r="B182" s="1336"/>
      <c r="E182" s="1335"/>
      <c r="J182" s="1340"/>
    </row>
    <row r="183" spans="2:10">
      <c r="B183" s="1336"/>
      <c r="E183" s="1335"/>
      <c r="J183" s="1340"/>
    </row>
    <row r="184" spans="2:10">
      <c r="B184" s="1336"/>
      <c r="E184" s="1335"/>
      <c r="J184" s="1340"/>
    </row>
    <row r="185" spans="2:10">
      <c r="B185" s="1336"/>
      <c r="E185" s="1335"/>
      <c r="J185" s="1340"/>
    </row>
    <row r="186" spans="2:10">
      <c r="B186" s="1336"/>
      <c r="E186" s="1335"/>
      <c r="J186" s="1340"/>
    </row>
    <row r="187" spans="2:10">
      <c r="B187" s="1336"/>
      <c r="E187" s="1335"/>
      <c r="J187" s="1340"/>
    </row>
    <row r="188" spans="2:10">
      <c r="B188" s="1336"/>
      <c r="E188" s="1335"/>
      <c r="J188" s="1340"/>
    </row>
    <row r="189" spans="2:10">
      <c r="B189" s="1336"/>
      <c r="E189" s="1335"/>
      <c r="J189" s="1340"/>
    </row>
    <row r="190" spans="2:10">
      <c r="B190" s="1336"/>
      <c r="E190" s="1335"/>
      <c r="J190" s="1340"/>
    </row>
    <row r="191" spans="2:10">
      <c r="B191" s="1336"/>
      <c r="E191" s="1335"/>
      <c r="J191" s="1340"/>
    </row>
    <row r="192" spans="2:10">
      <c r="B192" s="1336"/>
      <c r="E192" s="1335"/>
      <c r="J192" s="1340"/>
    </row>
    <row r="193" spans="2:10">
      <c r="B193" s="1336"/>
      <c r="E193" s="1335"/>
      <c r="J193" s="1340"/>
    </row>
    <row r="194" spans="2:10">
      <c r="B194" s="1336"/>
      <c r="E194" s="1335"/>
      <c r="J194" s="1340"/>
    </row>
    <row r="195" spans="2:10">
      <c r="B195" s="1336"/>
      <c r="E195" s="1335"/>
      <c r="J195" s="1340"/>
    </row>
    <row r="196" spans="2:10">
      <c r="B196" s="1336"/>
      <c r="E196" s="1335"/>
      <c r="J196" s="1340"/>
    </row>
    <row r="197" spans="2:10">
      <c r="B197" s="1336"/>
      <c r="E197" s="1335"/>
      <c r="J197" s="1340"/>
    </row>
    <row r="198" spans="2:10">
      <c r="B198" s="1336"/>
      <c r="E198" s="1335"/>
      <c r="J198" s="1340"/>
    </row>
    <row r="199" spans="2:10">
      <c r="B199" s="1336"/>
      <c r="E199" s="1335"/>
      <c r="J199" s="1340"/>
    </row>
    <row r="200" spans="2:10">
      <c r="B200" s="1336"/>
      <c r="E200" s="1335"/>
      <c r="J200" s="1340"/>
    </row>
    <row r="201" spans="2:10">
      <c r="B201" s="1336"/>
      <c r="E201" s="1335"/>
      <c r="J201" s="1340"/>
    </row>
    <row r="202" spans="2:10">
      <c r="B202" s="1336"/>
      <c r="E202" s="1335"/>
      <c r="J202" s="1340"/>
    </row>
    <row r="203" spans="2:10">
      <c r="B203" s="1336"/>
      <c r="E203" s="1335"/>
      <c r="J203" s="1340"/>
    </row>
    <row r="204" spans="2:10">
      <c r="B204" s="1336"/>
      <c r="E204" s="1335"/>
      <c r="J204" s="1340"/>
    </row>
    <row r="205" spans="2:10">
      <c r="B205" s="1336"/>
      <c r="E205" s="1335"/>
      <c r="J205" s="1340"/>
    </row>
    <row r="206" spans="2:10">
      <c r="B206" s="1336"/>
      <c r="E206" s="1335"/>
      <c r="J206" s="1340"/>
    </row>
    <row r="207" spans="2:10">
      <c r="B207" s="1336"/>
      <c r="E207" s="1335"/>
      <c r="J207" s="1340"/>
    </row>
    <row r="208" spans="2:10">
      <c r="B208" s="1336"/>
      <c r="E208" s="1335"/>
      <c r="J208" s="1340"/>
    </row>
    <row r="209" spans="2:10">
      <c r="B209" s="1336"/>
      <c r="E209" s="1335"/>
      <c r="J209" s="1340"/>
    </row>
    <row r="210" spans="2:10">
      <c r="B210" s="1336"/>
      <c r="E210" s="1335"/>
      <c r="J210" s="1340"/>
    </row>
    <row r="211" spans="2:10">
      <c r="B211" s="1336"/>
      <c r="E211" s="1335"/>
      <c r="J211" s="1340"/>
    </row>
    <row r="212" spans="2:10">
      <c r="B212" s="1336"/>
      <c r="E212" s="1335"/>
      <c r="J212" s="1340"/>
    </row>
    <row r="213" spans="2:10">
      <c r="B213" s="1336"/>
      <c r="E213" s="1335"/>
      <c r="J213" s="1340"/>
    </row>
    <row r="214" spans="2:10">
      <c r="B214" s="1336"/>
      <c r="E214" s="1335"/>
      <c r="J214" s="1340"/>
    </row>
    <row r="215" spans="2:10">
      <c r="B215" s="1336"/>
      <c r="E215" s="1335"/>
      <c r="J215" s="1340"/>
    </row>
    <row r="216" spans="2:10">
      <c r="B216" s="1336"/>
      <c r="E216" s="1335"/>
      <c r="J216" s="1340"/>
    </row>
    <row r="217" spans="2:10">
      <c r="B217" s="1336"/>
      <c r="E217" s="1335"/>
      <c r="J217" s="1340"/>
    </row>
    <row r="218" spans="2:10">
      <c r="B218" s="1336"/>
      <c r="E218" s="1335"/>
      <c r="J218" s="1340"/>
    </row>
    <row r="219" spans="2:10">
      <c r="B219" s="1336"/>
      <c r="E219" s="1335"/>
      <c r="J219" s="1340"/>
    </row>
    <row r="220" spans="2:10">
      <c r="B220" s="1336"/>
      <c r="E220" s="1335"/>
      <c r="J220" s="1340"/>
    </row>
    <row r="221" spans="2:10">
      <c r="B221" s="1336"/>
      <c r="E221" s="1335"/>
      <c r="J221" s="1340"/>
    </row>
    <row r="222" spans="2:10">
      <c r="B222" s="1336"/>
      <c r="E222" s="1335"/>
      <c r="J222" s="1340"/>
    </row>
    <row r="223" spans="2:10">
      <c r="B223" s="1336"/>
      <c r="E223" s="1335"/>
      <c r="J223" s="1340"/>
    </row>
    <row r="224" spans="2:10">
      <c r="B224" s="1336"/>
      <c r="E224" s="1335"/>
      <c r="J224" s="1340"/>
    </row>
    <row r="225" spans="2:10">
      <c r="B225" s="1336"/>
      <c r="E225" s="1335"/>
      <c r="J225" s="1340"/>
    </row>
    <row r="226" spans="2:10">
      <c r="B226" s="1336"/>
      <c r="E226" s="1335"/>
      <c r="J226" s="1340"/>
    </row>
    <row r="227" spans="2:10">
      <c r="B227" s="1336"/>
      <c r="E227" s="1335"/>
      <c r="J227" s="1340"/>
    </row>
    <row r="228" spans="2:10">
      <c r="B228" s="1336"/>
      <c r="E228" s="1335"/>
      <c r="J228" s="1340"/>
    </row>
    <row r="229" spans="2:10">
      <c r="B229" s="1336"/>
      <c r="E229" s="1335"/>
      <c r="J229" s="1340"/>
    </row>
    <row r="230" spans="2:10">
      <c r="B230" s="1336"/>
      <c r="E230" s="1335"/>
      <c r="J230" s="1340"/>
    </row>
    <row r="231" spans="2:10">
      <c r="B231" s="1336"/>
      <c r="E231" s="1335"/>
      <c r="J231" s="1340"/>
    </row>
    <row r="232" spans="2:10">
      <c r="B232" s="1336"/>
      <c r="E232" s="1335"/>
      <c r="J232" s="1340"/>
    </row>
    <row r="233" spans="2:10">
      <c r="B233" s="1336"/>
      <c r="E233" s="1335"/>
      <c r="J233" s="1340"/>
    </row>
    <row r="234" spans="2:10">
      <c r="B234" s="1336"/>
      <c r="E234" s="1335"/>
      <c r="J234" s="1340"/>
    </row>
    <row r="235" spans="2:10">
      <c r="B235" s="1336"/>
      <c r="E235" s="1335"/>
      <c r="J235" s="1340"/>
    </row>
    <row r="236" spans="2:10">
      <c r="B236" s="1336"/>
      <c r="E236" s="1335"/>
      <c r="J236" s="1340"/>
    </row>
    <row r="237" spans="2:10">
      <c r="B237" s="1336"/>
      <c r="E237" s="1335"/>
      <c r="J237" s="1340"/>
    </row>
    <row r="238" spans="2:10">
      <c r="B238" s="1336"/>
      <c r="E238" s="1335"/>
      <c r="J238" s="1340"/>
    </row>
    <row r="239" spans="2:10">
      <c r="B239" s="1336"/>
      <c r="E239" s="1335"/>
      <c r="J239" s="1340"/>
    </row>
    <row r="240" spans="2:10">
      <c r="B240" s="1336"/>
      <c r="E240" s="1335"/>
      <c r="J240" s="1340"/>
    </row>
    <row r="241" spans="2:10">
      <c r="B241" s="1336"/>
      <c r="E241" s="1335"/>
      <c r="J241" s="1340"/>
    </row>
    <row r="242" spans="2:10">
      <c r="B242" s="1336"/>
      <c r="E242" s="1335"/>
      <c r="J242" s="1340"/>
    </row>
    <row r="243" spans="2:10">
      <c r="B243" s="1336"/>
      <c r="E243" s="1335"/>
      <c r="J243" s="1340"/>
    </row>
    <row r="244" spans="2:10">
      <c r="B244" s="1336"/>
      <c r="E244" s="1335"/>
      <c r="J244" s="1340"/>
    </row>
    <row r="245" spans="2:10">
      <c r="B245" s="1336"/>
      <c r="E245" s="1335"/>
      <c r="J245" s="1340"/>
    </row>
    <row r="246" spans="2:10">
      <c r="B246" s="1336"/>
      <c r="E246" s="1335"/>
      <c r="J246" s="1340"/>
    </row>
    <row r="247" spans="2:10">
      <c r="B247" s="1336"/>
      <c r="E247" s="1335"/>
      <c r="J247" s="1340"/>
    </row>
    <row r="248" spans="2:10">
      <c r="B248" s="1336"/>
      <c r="E248" s="1335"/>
      <c r="J248" s="1340"/>
    </row>
    <row r="249" spans="2:10">
      <c r="B249" s="1336"/>
      <c r="E249" s="1335"/>
      <c r="J249" s="1340"/>
    </row>
    <row r="250" spans="2:10">
      <c r="B250" s="1336"/>
      <c r="E250" s="1335"/>
      <c r="J250" s="1340"/>
    </row>
    <row r="251" spans="2:10">
      <c r="B251" s="1336"/>
      <c r="E251" s="1335"/>
      <c r="J251" s="1340"/>
    </row>
    <row r="252" spans="2:10">
      <c r="B252" s="1336"/>
      <c r="E252" s="1335"/>
      <c r="J252" s="1340"/>
    </row>
    <row r="253" spans="2:10">
      <c r="B253" s="1336"/>
      <c r="E253" s="1335"/>
      <c r="J253" s="1340"/>
    </row>
    <row r="254" spans="2:10">
      <c r="B254" s="1336"/>
      <c r="E254" s="1335"/>
      <c r="J254" s="1340"/>
    </row>
    <row r="255" spans="2:10">
      <c r="B255" s="1336"/>
      <c r="E255" s="1335"/>
      <c r="J255" s="1340"/>
    </row>
    <row r="256" spans="2:10">
      <c r="B256" s="1336"/>
      <c r="E256" s="1335"/>
      <c r="J256" s="1340"/>
    </row>
    <row r="257" spans="2:10">
      <c r="B257" s="1336"/>
      <c r="E257" s="1335"/>
      <c r="J257" s="1340"/>
    </row>
    <row r="258" spans="2:10">
      <c r="B258" s="1336"/>
      <c r="E258" s="1335"/>
      <c r="J258" s="1340"/>
    </row>
    <row r="259" spans="2:10">
      <c r="B259" s="1336"/>
      <c r="E259" s="1335"/>
      <c r="J259" s="1340"/>
    </row>
    <row r="260" spans="2:10">
      <c r="B260" s="1336"/>
      <c r="E260" s="1335"/>
      <c r="J260" s="1340"/>
    </row>
    <row r="261" spans="2:10">
      <c r="B261" s="1336"/>
      <c r="E261" s="1335"/>
      <c r="J261" s="1340"/>
    </row>
    <row r="262" spans="2:10">
      <c r="B262" s="1336"/>
      <c r="E262" s="1335"/>
      <c r="J262" s="1340"/>
    </row>
    <row r="263" spans="2:10">
      <c r="B263" s="1336"/>
      <c r="E263" s="1335"/>
      <c r="J263" s="1340"/>
    </row>
    <row r="264" spans="2:10">
      <c r="B264" s="1336"/>
      <c r="E264" s="1335"/>
      <c r="J264" s="1340"/>
    </row>
    <row r="265" spans="2:10">
      <c r="B265" s="1336"/>
      <c r="E265" s="1335"/>
      <c r="J265" s="1340"/>
    </row>
    <row r="266" spans="2:10">
      <c r="B266" s="1336"/>
      <c r="E266" s="1335"/>
      <c r="J266" s="1340"/>
    </row>
    <row r="267" spans="2:10">
      <c r="B267" s="1336"/>
      <c r="E267" s="1335"/>
      <c r="J267" s="1340"/>
    </row>
    <row r="268" spans="2:10">
      <c r="B268" s="1336"/>
      <c r="E268" s="1335"/>
      <c r="J268" s="1340"/>
    </row>
    <row r="269" spans="2:10">
      <c r="B269" s="1336"/>
      <c r="E269" s="1335"/>
      <c r="J269" s="1340"/>
    </row>
    <row r="270" spans="2:10">
      <c r="B270" s="1336"/>
      <c r="E270" s="1335"/>
      <c r="J270" s="1340"/>
    </row>
    <row r="271" spans="2:10">
      <c r="B271" s="1336"/>
      <c r="E271" s="1335"/>
      <c r="J271" s="1340"/>
    </row>
    <row r="272" spans="2:10">
      <c r="B272" s="1336"/>
      <c r="E272" s="1335"/>
      <c r="J272" s="1340"/>
    </row>
    <row r="273" spans="2:10">
      <c r="B273" s="1336"/>
      <c r="E273" s="1335"/>
      <c r="J273" s="1340"/>
    </row>
    <row r="274" spans="2:10">
      <c r="B274" s="1336"/>
      <c r="E274" s="1335"/>
      <c r="J274" s="1340"/>
    </row>
    <row r="275" spans="2:10">
      <c r="B275" s="1336"/>
      <c r="E275" s="1335"/>
      <c r="J275" s="1340"/>
    </row>
    <row r="276" spans="2:10">
      <c r="B276" s="1336"/>
      <c r="E276" s="1335"/>
      <c r="J276" s="1340"/>
    </row>
    <row r="277" spans="2:10">
      <c r="B277" s="1336"/>
      <c r="E277" s="1335"/>
      <c r="J277" s="1340"/>
    </row>
    <row r="278" spans="2:10">
      <c r="B278" s="1336"/>
      <c r="E278" s="1335"/>
      <c r="J278" s="1340"/>
    </row>
    <row r="279" spans="2:10">
      <c r="B279" s="1336"/>
      <c r="E279" s="1335"/>
      <c r="J279" s="1340"/>
    </row>
    <row r="280" spans="2:10">
      <c r="B280" s="1336"/>
      <c r="E280" s="1335"/>
      <c r="J280" s="1340"/>
    </row>
    <row r="281" spans="2:10">
      <c r="B281" s="1336"/>
      <c r="E281" s="1335"/>
      <c r="J281" s="1340"/>
    </row>
    <row r="282" spans="2:10">
      <c r="B282" s="1336"/>
      <c r="E282" s="1335"/>
      <c r="J282" s="1340"/>
    </row>
    <row r="283" spans="2:10">
      <c r="B283" s="1336"/>
      <c r="E283" s="1335"/>
      <c r="J283" s="1340"/>
    </row>
    <row r="284" spans="2:10">
      <c r="B284" s="1336"/>
      <c r="E284" s="1335"/>
      <c r="J284" s="1340"/>
    </row>
    <row r="285" spans="2:10">
      <c r="B285" s="1336"/>
      <c r="E285" s="1335"/>
      <c r="J285" s="1340"/>
    </row>
    <row r="286" spans="2:10">
      <c r="B286" s="1336"/>
      <c r="E286" s="1335"/>
      <c r="J286" s="1340"/>
    </row>
    <row r="287" spans="2:10">
      <c r="B287" s="1336"/>
      <c r="E287" s="1335"/>
      <c r="J287" s="1340"/>
    </row>
    <row r="288" spans="2:10">
      <c r="B288" s="1336"/>
      <c r="E288" s="1335"/>
      <c r="J288" s="1340"/>
    </row>
    <row r="289" spans="2:10">
      <c r="B289" s="1336"/>
      <c r="E289" s="1335"/>
      <c r="J289" s="1340"/>
    </row>
    <row r="290" spans="2:10">
      <c r="B290" s="1336"/>
      <c r="E290" s="1335"/>
      <c r="J290" s="1340"/>
    </row>
    <row r="291" spans="2:10">
      <c r="B291" s="1336"/>
      <c r="E291" s="1335"/>
      <c r="J291" s="1340"/>
    </row>
    <row r="292" spans="2:10">
      <c r="B292" s="1336"/>
      <c r="E292" s="1335"/>
      <c r="J292" s="1340"/>
    </row>
    <row r="293" spans="2:10">
      <c r="B293" s="1336"/>
      <c r="E293" s="1335"/>
      <c r="J293" s="1340"/>
    </row>
    <row r="294" spans="2:10">
      <c r="B294" s="1336"/>
      <c r="E294" s="1335"/>
      <c r="J294" s="1340"/>
    </row>
    <row r="295" spans="2:10">
      <c r="B295" s="1336"/>
      <c r="E295" s="1335"/>
      <c r="J295" s="1340"/>
    </row>
    <row r="296" spans="2:10">
      <c r="B296" s="1336"/>
      <c r="E296" s="1335"/>
      <c r="J296" s="1340"/>
    </row>
    <row r="297" spans="2:10">
      <c r="B297" s="1336"/>
      <c r="E297" s="1335"/>
      <c r="J297" s="1340"/>
    </row>
    <row r="298" spans="2:10">
      <c r="B298" s="1336"/>
      <c r="E298" s="1335"/>
      <c r="J298" s="1340"/>
    </row>
    <row r="299" spans="2:10">
      <c r="B299" s="1336"/>
      <c r="E299" s="1335"/>
      <c r="J299" s="1340"/>
    </row>
    <row r="300" spans="2:10">
      <c r="B300" s="1336"/>
      <c r="E300" s="1335"/>
      <c r="J300" s="1340"/>
    </row>
    <row r="301" spans="2:10">
      <c r="B301" s="1336"/>
      <c r="E301" s="1335"/>
      <c r="J301" s="1340"/>
    </row>
    <row r="302" spans="2:10">
      <c r="B302" s="1336"/>
      <c r="E302" s="1335"/>
      <c r="J302" s="1340"/>
    </row>
    <row r="303" spans="2:10">
      <c r="B303" s="1336"/>
      <c r="E303" s="1335"/>
      <c r="J303" s="1340"/>
    </row>
    <row r="304" spans="2:10">
      <c r="B304" s="1336"/>
      <c r="E304" s="1335"/>
      <c r="J304" s="1340"/>
    </row>
    <row r="305" spans="2:10">
      <c r="B305" s="1336"/>
      <c r="E305" s="1335"/>
      <c r="J305" s="1340"/>
    </row>
    <row r="306" spans="2:10">
      <c r="B306" s="1336"/>
      <c r="E306" s="1335"/>
      <c r="J306" s="1340"/>
    </row>
    <row r="307" spans="2:10">
      <c r="B307" s="1336"/>
      <c r="E307" s="1335"/>
      <c r="J307" s="1340"/>
    </row>
    <row r="308" spans="2:10">
      <c r="B308" s="1336"/>
      <c r="E308" s="1335"/>
      <c r="J308" s="1340"/>
    </row>
    <row r="309" spans="2:10">
      <c r="B309" s="1336"/>
      <c r="E309" s="1335"/>
      <c r="J309" s="1340"/>
    </row>
    <row r="310" spans="2:10">
      <c r="B310" s="1336"/>
      <c r="E310" s="1335"/>
      <c r="J310" s="1340"/>
    </row>
    <row r="311" spans="2:10">
      <c r="B311" s="1336"/>
      <c r="E311" s="1335"/>
      <c r="J311" s="1340"/>
    </row>
    <row r="312" spans="2:10">
      <c r="B312" s="1336"/>
      <c r="E312" s="1335"/>
      <c r="J312" s="1340"/>
    </row>
    <row r="313" spans="2:10">
      <c r="B313" s="1336"/>
      <c r="E313" s="1335"/>
      <c r="J313" s="1340"/>
    </row>
    <row r="314" spans="2:10">
      <c r="B314" s="1336"/>
      <c r="E314" s="1335"/>
      <c r="J314" s="1340"/>
    </row>
    <row r="315" spans="2:10">
      <c r="B315" s="1336"/>
      <c r="E315" s="1335"/>
      <c r="J315" s="1340"/>
    </row>
    <row r="316" spans="2:10">
      <c r="B316" s="1336"/>
      <c r="E316" s="1335"/>
      <c r="J316" s="1340"/>
    </row>
    <row r="317" spans="2:10">
      <c r="B317" s="1336"/>
      <c r="E317" s="1335"/>
      <c r="J317" s="1340"/>
    </row>
    <row r="318" spans="2:10">
      <c r="B318" s="1336"/>
      <c r="E318" s="1335"/>
      <c r="J318" s="1340"/>
    </row>
    <row r="319" spans="2:10">
      <c r="B319" s="1336"/>
      <c r="E319" s="1335"/>
      <c r="J319" s="1340"/>
    </row>
    <row r="320" spans="2:10">
      <c r="B320" s="1336"/>
      <c r="E320" s="1335"/>
      <c r="J320" s="1340"/>
    </row>
    <row r="321" spans="2:10">
      <c r="B321" s="1336"/>
      <c r="E321" s="1335"/>
      <c r="J321" s="1340"/>
    </row>
    <row r="322" spans="2:10">
      <c r="B322" s="1336"/>
      <c r="E322" s="1335"/>
      <c r="J322" s="1340"/>
    </row>
    <row r="323" spans="2:10">
      <c r="B323" s="1336"/>
      <c r="E323" s="1335"/>
      <c r="J323" s="1340"/>
    </row>
    <row r="324" spans="2:10">
      <c r="B324" s="1336"/>
      <c r="E324" s="1335"/>
      <c r="J324" s="1340"/>
    </row>
    <row r="325" spans="2:10">
      <c r="B325" s="1336"/>
      <c r="E325" s="1335"/>
      <c r="J325" s="1340"/>
    </row>
    <row r="326" spans="2:10">
      <c r="B326" s="1336"/>
      <c r="E326" s="1335"/>
      <c r="J326" s="1340"/>
    </row>
    <row r="327" spans="2:10">
      <c r="B327" s="1336"/>
      <c r="E327" s="1335"/>
      <c r="J327" s="1340"/>
    </row>
    <row r="328" spans="2:10">
      <c r="B328" s="1336"/>
      <c r="E328" s="1335"/>
      <c r="J328" s="1340"/>
    </row>
    <row r="329" spans="2:10">
      <c r="B329" s="1336"/>
      <c r="E329" s="1335"/>
      <c r="J329" s="1340"/>
    </row>
    <row r="330" spans="2:10">
      <c r="B330" s="1336"/>
      <c r="E330" s="1335"/>
      <c r="J330" s="1340"/>
    </row>
    <row r="331" spans="2:10">
      <c r="B331" s="1336"/>
      <c r="E331" s="1335"/>
      <c r="J331" s="1340"/>
    </row>
    <row r="332" spans="2:10">
      <c r="B332" s="1336"/>
      <c r="E332" s="1335"/>
      <c r="J332" s="1340"/>
    </row>
    <row r="333" spans="2:10">
      <c r="B333" s="1336"/>
      <c r="E333" s="1335"/>
      <c r="J333" s="1340"/>
    </row>
    <row r="334" spans="2:10">
      <c r="B334" s="1336"/>
      <c r="E334" s="1335"/>
      <c r="J334" s="1340"/>
    </row>
    <row r="335" spans="2:10">
      <c r="B335" s="1336"/>
      <c r="E335" s="1335"/>
      <c r="J335" s="1340"/>
    </row>
    <row r="336" spans="2:10">
      <c r="B336" s="1336"/>
      <c r="E336" s="1335"/>
      <c r="J336" s="1340"/>
    </row>
    <row r="337" spans="2:10">
      <c r="B337" s="1336"/>
      <c r="E337" s="1335"/>
      <c r="J337" s="1340"/>
    </row>
    <row r="338" spans="2:10">
      <c r="B338" s="1336"/>
      <c r="E338" s="1335"/>
      <c r="J338" s="1340"/>
    </row>
    <row r="339" spans="2:10">
      <c r="B339" s="1336"/>
      <c r="E339" s="1335"/>
      <c r="J339" s="1340"/>
    </row>
    <row r="340" spans="2:10">
      <c r="B340" s="1336"/>
      <c r="E340" s="1335"/>
      <c r="J340" s="1340"/>
    </row>
    <row r="341" spans="2:10">
      <c r="B341" s="1336"/>
      <c r="E341" s="1335"/>
      <c r="J341" s="1340"/>
    </row>
    <row r="342" spans="2:10">
      <c r="B342" s="1336"/>
      <c r="E342" s="1335"/>
      <c r="J342" s="1340"/>
    </row>
    <row r="343" spans="2:10">
      <c r="B343" s="1336"/>
      <c r="E343" s="1335"/>
      <c r="J343" s="1340"/>
    </row>
    <row r="344" spans="2:10">
      <c r="B344" s="1336"/>
      <c r="E344" s="1335"/>
      <c r="J344" s="1340"/>
    </row>
    <row r="345" spans="2:10">
      <c r="B345" s="1336"/>
      <c r="E345" s="1335"/>
      <c r="J345" s="1340"/>
    </row>
    <row r="346" spans="2:10">
      <c r="B346" s="1336"/>
      <c r="E346" s="1335"/>
      <c r="J346" s="1340"/>
    </row>
    <row r="347" spans="2:10">
      <c r="B347" s="1336"/>
      <c r="E347" s="1335"/>
      <c r="J347" s="1340"/>
    </row>
    <row r="348" spans="2:10">
      <c r="B348" s="1336"/>
      <c r="E348" s="1335"/>
      <c r="J348" s="1340"/>
    </row>
    <row r="349" spans="2:10">
      <c r="B349" s="1336"/>
      <c r="E349" s="1335"/>
      <c r="J349" s="1340"/>
    </row>
    <row r="350" spans="2:10">
      <c r="B350" s="1336"/>
      <c r="E350" s="1335"/>
      <c r="J350" s="1340"/>
    </row>
    <row r="351" spans="2:10">
      <c r="B351" s="1336"/>
      <c r="E351" s="1335"/>
      <c r="J351" s="1340"/>
    </row>
    <row r="352" spans="2:10">
      <c r="B352" s="1336"/>
      <c r="E352" s="1335"/>
      <c r="J352" s="1340"/>
    </row>
    <row r="353" spans="2:10">
      <c r="B353" s="1336"/>
      <c r="E353" s="1335"/>
      <c r="J353" s="1340"/>
    </row>
    <row r="354" spans="2:10">
      <c r="B354" s="1336"/>
      <c r="E354" s="1335"/>
      <c r="J354" s="1340"/>
    </row>
    <row r="355" spans="2:10">
      <c r="B355" s="1336"/>
      <c r="E355" s="1335"/>
      <c r="J355" s="1340"/>
    </row>
    <row r="356" spans="2:10">
      <c r="B356" s="1336"/>
      <c r="E356" s="1335"/>
      <c r="J356" s="1340"/>
    </row>
    <row r="357" spans="2:10">
      <c r="B357" s="1336"/>
      <c r="E357" s="1335"/>
      <c r="J357" s="1340"/>
    </row>
    <row r="358" spans="2:10">
      <c r="B358" s="1336"/>
      <c r="E358" s="1335"/>
      <c r="J358" s="1340"/>
    </row>
    <row r="359" spans="2:10">
      <c r="B359" s="1336"/>
      <c r="E359" s="1335"/>
      <c r="J359" s="1340"/>
    </row>
    <row r="360" spans="2:10">
      <c r="B360" s="1336"/>
      <c r="E360" s="1335"/>
      <c r="J360" s="1340"/>
    </row>
    <row r="361" spans="2:10">
      <c r="B361" s="1336"/>
      <c r="E361" s="1335"/>
      <c r="J361" s="1340"/>
    </row>
    <row r="362" spans="2:10">
      <c r="B362" s="1336"/>
      <c r="E362" s="1335"/>
      <c r="J362" s="1340"/>
    </row>
    <row r="363" spans="2:10">
      <c r="B363" s="1336"/>
      <c r="E363" s="1335"/>
      <c r="J363" s="1340"/>
    </row>
    <row r="364" spans="2:10">
      <c r="B364" s="1336"/>
      <c r="E364" s="1335"/>
      <c r="J364" s="1340"/>
    </row>
    <row r="365" spans="2:10">
      <c r="B365" s="1336"/>
      <c r="E365" s="1335"/>
      <c r="J365" s="1340"/>
    </row>
    <row r="366" spans="2:10">
      <c r="B366" s="1336"/>
      <c r="E366" s="1335"/>
      <c r="J366" s="1340"/>
    </row>
    <row r="367" spans="2:10">
      <c r="B367" s="1336"/>
      <c r="E367" s="1335"/>
      <c r="J367" s="1340"/>
    </row>
    <row r="368" spans="2:10">
      <c r="B368" s="1336"/>
      <c r="E368" s="1335"/>
      <c r="J368" s="1340"/>
    </row>
    <row r="369" spans="2:10">
      <c r="B369" s="1336"/>
      <c r="E369" s="1335"/>
      <c r="J369" s="1340"/>
    </row>
    <row r="370" spans="2:10">
      <c r="B370" s="1336"/>
      <c r="E370" s="1335"/>
      <c r="J370" s="1340"/>
    </row>
    <row r="371" spans="2:10">
      <c r="B371" s="1336"/>
      <c r="E371" s="1335"/>
      <c r="J371" s="1340"/>
    </row>
    <row r="372" spans="2:10">
      <c r="B372" s="1336"/>
      <c r="E372" s="1335"/>
      <c r="J372" s="1340"/>
    </row>
    <row r="373" spans="2:10">
      <c r="B373" s="1336"/>
      <c r="E373" s="1335"/>
      <c r="J373" s="1340"/>
    </row>
    <row r="374" spans="2:10">
      <c r="B374" s="1336"/>
      <c r="E374" s="1335"/>
      <c r="J374" s="1340"/>
    </row>
    <row r="375" spans="2:10">
      <c r="B375" s="1336"/>
      <c r="E375" s="1335"/>
      <c r="J375" s="1340"/>
    </row>
    <row r="376" spans="2:10">
      <c r="B376" s="1336"/>
      <c r="E376" s="1335"/>
      <c r="J376" s="1340"/>
    </row>
    <row r="377" spans="2:10">
      <c r="B377" s="1336"/>
      <c r="E377" s="1335"/>
      <c r="J377" s="1340"/>
    </row>
    <row r="378" spans="2:10">
      <c r="B378" s="1336"/>
      <c r="E378" s="1335"/>
      <c r="J378" s="1340"/>
    </row>
    <row r="379" spans="2:10">
      <c r="B379" s="1336"/>
      <c r="E379" s="1335"/>
      <c r="J379" s="1340"/>
    </row>
    <row r="380" spans="2:10">
      <c r="B380" s="1336"/>
      <c r="E380" s="1335"/>
      <c r="J380" s="1340"/>
    </row>
    <row r="381" spans="2:10">
      <c r="B381" s="1336"/>
      <c r="E381" s="1335"/>
      <c r="J381" s="1340"/>
    </row>
    <row r="382" spans="2:10">
      <c r="B382" s="1336"/>
      <c r="E382" s="1335"/>
      <c r="J382" s="1340"/>
    </row>
    <row r="383" spans="2:10">
      <c r="B383" s="1336"/>
      <c r="E383" s="1335"/>
      <c r="J383" s="1340"/>
    </row>
    <row r="384" spans="2:10">
      <c r="B384" s="1336"/>
      <c r="E384" s="1335"/>
      <c r="J384" s="1340"/>
    </row>
    <row r="385" spans="2:10">
      <c r="B385" s="1336"/>
      <c r="E385" s="1335"/>
      <c r="J385" s="1340"/>
    </row>
    <row r="386" spans="2:10">
      <c r="B386" s="1336"/>
      <c r="E386" s="1335"/>
      <c r="J386" s="1340"/>
    </row>
    <row r="387" spans="2:10">
      <c r="B387" s="1336"/>
      <c r="E387" s="1335"/>
      <c r="J387" s="1340"/>
    </row>
    <row r="388" spans="2:10">
      <c r="B388" s="1336"/>
      <c r="E388" s="1335"/>
      <c r="J388" s="1340"/>
    </row>
    <row r="389" spans="2:10">
      <c r="B389" s="1336"/>
      <c r="E389" s="1335"/>
      <c r="J389" s="1340"/>
    </row>
    <row r="390" spans="2:10">
      <c r="B390" s="1336"/>
      <c r="E390" s="1335"/>
      <c r="J390" s="1340"/>
    </row>
    <row r="391" spans="2:10">
      <c r="B391" s="1336"/>
      <c r="E391" s="1335"/>
      <c r="J391" s="1340"/>
    </row>
    <row r="392" spans="2:10">
      <c r="B392" s="1336"/>
      <c r="E392" s="1335"/>
      <c r="J392" s="1340"/>
    </row>
    <row r="393" spans="2:10">
      <c r="B393" s="1336"/>
      <c r="E393" s="1335"/>
      <c r="J393" s="1340"/>
    </row>
    <row r="394" spans="2:10">
      <c r="B394" s="1336"/>
      <c r="E394" s="1335"/>
      <c r="J394" s="1340"/>
    </row>
    <row r="395" spans="2:10">
      <c r="B395" s="1336"/>
      <c r="E395" s="1335"/>
      <c r="J395" s="1340"/>
    </row>
    <row r="396" spans="2:10">
      <c r="B396" s="1336"/>
      <c r="E396" s="1335"/>
      <c r="J396" s="1340"/>
    </row>
    <row r="397" spans="2:10">
      <c r="B397" s="1336"/>
      <c r="E397" s="1335"/>
      <c r="J397" s="1340"/>
    </row>
    <row r="398" spans="2:10">
      <c r="B398" s="1336"/>
      <c r="E398" s="1335"/>
      <c r="J398" s="1340"/>
    </row>
    <row r="399" spans="2:10">
      <c r="B399" s="1336"/>
      <c r="E399" s="1335"/>
      <c r="J399" s="1340"/>
    </row>
    <row r="400" spans="2:10">
      <c r="B400" s="1336"/>
      <c r="E400" s="1335"/>
      <c r="J400" s="1340"/>
    </row>
    <row r="401" spans="2:10">
      <c r="B401" s="1336"/>
      <c r="E401" s="1335"/>
      <c r="J401" s="1340"/>
    </row>
    <row r="402" spans="2:10">
      <c r="B402" s="1336"/>
      <c r="E402" s="1335"/>
      <c r="J402" s="1340"/>
    </row>
    <row r="403" spans="2:10">
      <c r="B403" s="1336"/>
      <c r="E403" s="1335"/>
      <c r="J403" s="1340"/>
    </row>
    <row r="404" spans="2:10">
      <c r="B404" s="1336"/>
      <c r="E404" s="1335"/>
      <c r="J404" s="1340"/>
    </row>
    <row r="405" spans="2:10">
      <c r="B405" s="1336"/>
      <c r="E405" s="1335"/>
      <c r="J405" s="1340"/>
    </row>
    <row r="406" spans="2:10">
      <c r="B406" s="1336"/>
      <c r="E406" s="1335"/>
      <c r="J406" s="1340"/>
    </row>
    <row r="407" spans="2:10">
      <c r="B407" s="1336"/>
      <c r="E407" s="1335"/>
      <c r="J407" s="1340"/>
    </row>
    <row r="408" spans="2:10">
      <c r="B408" s="1336"/>
      <c r="E408" s="1335"/>
      <c r="J408" s="1340"/>
    </row>
    <row r="409" spans="2:10">
      <c r="B409" s="1336"/>
      <c r="E409" s="1335"/>
      <c r="J409" s="1340"/>
    </row>
    <row r="410" spans="2:10">
      <c r="B410" s="1336"/>
      <c r="E410" s="1335"/>
      <c r="J410" s="1340"/>
    </row>
    <row r="411" spans="2:10">
      <c r="B411" s="1336"/>
      <c r="E411" s="1335"/>
      <c r="J411" s="1340"/>
    </row>
    <row r="412" spans="2:10">
      <c r="B412" s="1336"/>
      <c r="E412" s="1335"/>
      <c r="J412" s="1340"/>
    </row>
    <row r="413" spans="2:10">
      <c r="B413" s="1336"/>
      <c r="E413" s="1335"/>
      <c r="J413" s="1340"/>
    </row>
    <row r="414" spans="2:10">
      <c r="B414" s="1336"/>
      <c r="E414" s="1335"/>
      <c r="J414" s="1340"/>
    </row>
    <row r="415" spans="2:10">
      <c r="B415" s="1336"/>
      <c r="E415" s="1335"/>
      <c r="J415" s="1340"/>
    </row>
    <row r="416" spans="2:10">
      <c r="B416" s="1336"/>
      <c r="E416" s="1335"/>
      <c r="J416" s="1340"/>
    </row>
    <row r="417" spans="2:10">
      <c r="B417" s="1336"/>
      <c r="E417" s="1335"/>
      <c r="J417" s="1340"/>
    </row>
    <row r="418" spans="2:10">
      <c r="B418" s="1336"/>
      <c r="E418" s="1335"/>
      <c r="J418" s="1340"/>
    </row>
    <row r="419" spans="2:10">
      <c r="B419" s="1336"/>
      <c r="E419" s="1335"/>
      <c r="J419" s="1340"/>
    </row>
    <row r="420" spans="2:10">
      <c r="B420" s="1336"/>
      <c r="E420" s="1335"/>
      <c r="J420" s="1340"/>
    </row>
    <row r="421" spans="2:10">
      <c r="B421" s="1336"/>
      <c r="E421" s="1335"/>
      <c r="J421" s="1340"/>
    </row>
    <row r="422" spans="2:10">
      <c r="B422" s="1336"/>
      <c r="E422" s="1335"/>
      <c r="J422" s="1340"/>
    </row>
    <row r="423" spans="2:10">
      <c r="B423" s="1336"/>
      <c r="E423" s="1335"/>
      <c r="J423" s="1340"/>
    </row>
    <row r="424" spans="2:10">
      <c r="B424" s="1336"/>
      <c r="E424" s="1335"/>
      <c r="J424" s="1340"/>
    </row>
    <row r="425" spans="2:10">
      <c r="B425" s="1336"/>
      <c r="E425" s="1335"/>
      <c r="J425" s="1340"/>
    </row>
    <row r="426" spans="2:10">
      <c r="B426" s="1336"/>
      <c r="E426" s="1335"/>
      <c r="J426" s="1340"/>
    </row>
    <row r="427" spans="2:10">
      <c r="B427" s="1336"/>
      <c r="E427" s="1335"/>
      <c r="J427" s="1340"/>
    </row>
    <row r="428" spans="2:10">
      <c r="B428" s="1336"/>
      <c r="E428" s="1335"/>
      <c r="J428" s="1340"/>
    </row>
    <row r="429" spans="2:10">
      <c r="B429" s="1336"/>
      <c r="E429" s="1335"/>
      <c r="J429" s="1340"/>
    </row>
    <row r="430" spans="2:10">
      <c r="B430" s="1336"/>
      <c r="E430" s="1335"/>
      <c r="J430" s="1340"/>
    </row>
    <row r="431" spans="2:10">
      <c r="B431" s="1336"/>
      <c r="E431" s="1335"/>
      <c r="J431" s="1340"/>
    </row>
    <row r="432" spans="2:10">
      <c r="B432" s="1336"/>
      <c r="E432" s="1335"/>
      <c r="J432" s="1340"/>
    </row>
    <row r="433" spans="2:10">
      <c r="B433" s="1336"/>
      <c r="E433" s="1335"/>
      <c r="J433" s="1340"/>
    </row>
    <row r="434" spans="2:10">
      <c r="B434" s="1336"/>
      <c r="E434" s="1335"/>
      <c r="J434" s="1340"/>
    </row>
    <row r="435" spans="2:10">
      <c r="B435" s="1336"/>
      <c r="E435" s="1335"/>
      <c r="J435" s="1340"/>
    </row>
    <row r="436" spans="2:10">
      <c r="B436" s="1336"/>
      <c r="E436" s="1335"/>
      <c r="J436" s="1340"/>
    </row>
    <row r="437" spans="2:10">
      <c r="B437" s="1336"/>
      <c r="E437" s="1335"/>
      <c r="J437" s="1340"/>
    </row>
    <row r="438" spans="2:10">
      <c r="B438" s="1336"/>
      <c r="E438" s="1335"/>
      <c r="J438" s="1340"/>
    </row>
    <row r="439" spans="2:10">
      <c r="B439" s="1336"/>
      <c r="E439" s="1335"/>
      <c r="J439" s="1340"/>
    </row>
    <row r="440" spans="2:10">
      <c r="B440" s="1336"/>
      <c r="E440" s="1335"/>
      <c r="J440" s="1340"/>
    </row>
    <row r="441" spans="2:10">
      <c r="B441" s="1336"/>
      <c r="E441" s="1335"/>
      <c r="J441" s="1340"/>
    </row>
    <row r="442" spans="2:10">
      <c r="B442" s="1336"/>
      <c r="E442" s="1335"/>
      <c r="J442" s="1340"/>
    </row>
    <row r="443" spans="2:10">
      <c r="B443" s="1336"/>
      <c r="E443" s="1335"/>
      <c r="J443" s="1340"/>
    </row>
    <row r="444" spans="2:10">
      <c r="B444" s="1336"/>
      <c r="E444" s="1335"/>
      <c r="J444" s="1340"/>
    </row>
    <row r="445" spans="2:10">
      <c r="B445" s="1336"/>
      <c r="E445" s="1335"/>
      <c r="J445" s="1340"/>
    </row>
    <row r="446" spans="2:10">
      <c r="B446" s="1336"/>
      <c r="E446" s="1335"/>
      <c r="J446" s="1340"/>
    </row>
    <row r="447" spans="2:10">
      <c r="B447" s="1336"/>
      <c r="E447" s="1335"/>
      <c r="J447" s="1340"/>
    </row>
    <row r="448" spans="2:10">
      <c r="B448" s="1336"/>
      <c r="E448" s="1335"/>
      <c r="J448" s="1340"/>
    </row>
    <row r="449" spans="2:10">
      <c r="B449" s="1336"/>
      <c r="E449" s="1335"/>
      <c r="J449" s="1340"/>
    </row>
    <row r="450" spans="2:10">
      <c r="B450" s="1336"/>
      <c r="E450" s="1335"/>
      <c r="J450" s="1340"/>
    </row>
    <row r="451" spans="2:10">
      <c r="B451" s="1336"/>
      <c r="E451" s="1335"/>
      <c r="J451" s="1340"/>
    </row>
    <row r="452" spans="2:10">
      <c r="B452" s="1336"/>
      <c r="E452" s="1335"/>
      <c r="J452" s="1340"/>
    </row>
    <row r="453" spans="2:10">
      <c r="B453" s="1336"/>
      <c r="E453" s="1335"/>
      <c r="J453" s="1340"/>
    </row>
    <row r="454" spans="2:10">
      <c r="B454" s="1336"/>
      <c r="E454" s="1335"/>
      <c r="J454" s="1340"/>
    </row>
    <row r="455" spans="2:10">
      <c r="B455" s="1336"/>
      <c r="E455" s="1335"/>
      <c r="J455" s="1340"/>
    </row>
    <row r="456" spans="2:10">
      <c r="B456" s="1336"/>
      <c r="E456" s="1335"/>
      <c r="J456" s="1340"/>
    </row>
    <row r="457" spans="2:10">
      <c r="B457" s="1336"/>
      <c r="E457" s="1335"/>
      <c r="J457" s="1340"/>
    </row>
    <row r="458" spans="2:10">
      <c r="B458" s="1336"/>
      <c r="E458" s="1335"/>
      <c r="J458" s="1340"/>
    </row>
    <row r="459" spans="2:10">
      <c r="B459" s="1336"/>
      <c r="E459" s="1335"/>
      <c r="J459" s="1340"/>
    </row>
    <row r="460" spans="2:10">
      <c r="B460" s="1336"/>
      <c r="E460" s="1335"/>
      <c r="J460" s="1340"/>
    </row>
    <row r="461" spans="2:10">
      <c r="B461" s="1336"/>
      <c r="E461" s="1335"/>
      <c r="J461" s="1340"/>
    </row>
    <row r="462" spans="2:10">
      <c r="B462" s="1336"/>
      <c r="E462" s="1335"/>
      <c r="J462" s="1340"/>
    </row>
    <row r="463" spans="2:10">
      <c r="B463" s="1336"/>
      <c r="E463" s="1335"/>
      <c r="J463" s="1340"/>
    </row>
    <row r="464" spans="2:10">
      <c r="B464" s="1336"/>
      <c r="E464" s="1335"/>
      <c r="J464" s="1340"/>
    </row>
    <row r="465" spans="2:10">
      <c r="B465" s="1336"/>
      <c r="E465" s="1335"/>
      <c r="J465" s="1340"/>
    </row>
    <row r="466" spans="2:10">
      <c r="B466" s="1336"/>
      <c r="E466" s="1335"/>
      <c r="J466" s="1340"/>
    </row>
    <row r="467" spans="2:10">
      <c r="B467" s="1336"/>
      <c r="E467" s="1335"/>
      <c r="J467" s="1340"/>
    </row>
    <row r="468" spans="2:10">
      <c r="B468" s="1336"/>
      <c r="E468" s="1335"/>
      <c r="J468" s="1340"/>
    </row>
    <row r="469" spans="2:10">
      <c r="B469" s="1336"/>
      <c r="E469" s="1335"/>
      <c r="J469" s="1340"/>
    </row>
    <row r="470" spans="2:10">
      <c r="B470" s="1336"/>
      <c r="E470" s="1335"/>
      <c r="J470" s="1340"/>
    </row>
    <row r="471" spans="2:10">
      <c r="B471" s="1336"/>
      <c r="E471" s="1335"/>
      <c r="J471" s="1340"/>
    </row>
    <row r="472" spans="2:10">
      <c r="B472" s="1336"/>
      <c r="E472" s="1335"/>
      <c r="J472" s="1340"/>
    </row>
    <row r="473" spans="2:10">
      <c r="B473" s="1336"/>
      <c r="E473" s="1335"/>
      <c r="J473" s="1340"/>
    </row>
    <row r="474" spans="2:10">
      <c r="B474" s="1336"/>
      <c r="E474" s="1335"/>
      <c r="J474" s="1340"/>
    </row>
    <row r="475" spans="2:10">
      <c r="B475" s="1336"/>
      <c r="E475" s="1335"/>
      <c r="J475" s="1340"/>
    </row>
    <row r="476" spans="2:10">
      <c r="B476" s="1336"/>
      <c r="E476" s="1335"/>
      <c r="J476" s="1340"/>
    </row>
    <row r="477" spans="2:10">
      <c r="B477" s="1336"/>
      <c r="E477" s="1335"/>
      <c r="J477" s="1340"/>
    </row>
    <row r="478" spans="2:10">
      <c r="B478" s="1336"/>
      <c r="E478" s="1335"/>
      <c r="J478" s="1340"/>
    </row>
    <row r="479" spans="2:10">
      <c r="B479" s="1336"/>
      <c r="E479" s="1335"/>
      <c r="J479" s="1340"/>
    </row>
    <row r="480" spans="2:10">
      <c r="B480" s="1336"/>
      <c r="E480" s="1335"/>
      <c r="J480" s="1340"/>
    </row>
    <row r="481" spans="2:10">
      <c r="B481" s="1336"/>
      <c r="E481" s="1335"/>
      <c r="J481" s="1340"/>
    </row>
    <row r="482" spans="2:10">
      <c r="B482" s="1336"/>
      <c r="E482" s="1335"/>
      <c r="J482" s="1340"/>
    </row>
    <row r="483" spans="2:10">
      <c r="B483" s="1336"/>
      <c r="E483" s="1335"/>
      <c r="J483" s="1340"/>
    </row>
    <row r="484" spans="2:10">
      <c r="B484" s="1336"/>
      <c r="E484" s="1335"/>
      <c r="J484" s="1340"/>
    </row>
    <row r="485" spans="2:10">
      <c r="B485" s="1336"/>
      <c r="E485" s="1335"/>
      <c r="J485" s="1340"/>
    </row>
    <row r="486" spans="2:10">
      <c r="B486" s="1336"/>
      <c r="E486" s="1335"/>
      <c r="J486" s="1340"/>
    </row>
    <row r="487" spans="2:10">
      <c r="B487" s="1336"/>
      <c r="E487" s="1335"/>
      <c r="J487" s="1340"/>
    </row>
    <row r="488" spans="2:10">
      <c r="B488" s="1336"/>
      <c r="E488" s="1335"/>
      <c r="J488" s="1340"/>
    </row>
    <row r="489" spans="2:10">
      <c r="B489" s="1336"/>
      <c r="E489" s="1335"/>
      <c r="J489" s="1340"/>
    </row>
    <row r="490" spans="2:10">
      <c r="B490" s="1336"/>
      <c r="E490" s="1335"/>
      <c r="J490" s="1340"/>
    </row>
    <row r="491" spans="2:10">
      <c r="B491" s="1336"/>
      <c r="E491" s="1335"/>
      <c r="J491" s="1340"/>
    </row>
    <row r="492" spans="2:10">
      <c r="B492" s="1336"/>
      <c r="E492" s="1335"/>
      <c r="J492" s="1340"/>
    </row>
    <row r="493" spans="2:10">
      <c r="B493" s="1336"/>
      <c r="E493" s="1335"/>
      <c r="J493" s="1340"/>
    </row>
    <row r="494" spans="2:10">
      <c r="B494" s="1336"/>
      <c r="E494" s="1335"/>
      <c r="J494" s="1340"/>
    </row>
    <row r="495" spans="2:10">
      <c r="B495" s="1336"/>
      <c r="E495" s="1335"/>
      <c r="J495" s="1340"/>
    </row>
    <row r="496" spans="2:10">
      <c r="B496" s="1336"/>
      <c r="E496" s="1335"/>
      <c r="J496" s="1340"/>
    </row>
    <row r="497" spans="2:10">
      <c r="B497" s="1336"/>
      <c r="E497" s="1335"/>
      <c r="J497" s="1340"/>
    </row>
    <row r="498" spans="2:10">
      <c r="B498" s="1336"/>
      <c r="E498" s="1335"/>
      <c r="J498" s="1340"/>
    </row>
    <row r="499" spans="2:10">
      <c r="B499" s="1336"/>
      <c r="E499" s="1335"/>
      <c r="J499" s="1340"/>
    </row>
    <row r="500" spans="2:10">
      <c r="B500" s="1336"/>
      <c r="E500" s="1335"/>
      <c r="J500" s="1340"/>
    </row>
    <row r="501" spans="2:10">
      <c r="B501" s="1336"/>
      <c r="E501" s="1335"/>
      <c r="J501" s="1340"/>
    </row>
    <row r="502" spans="2:10">
      <c r="B502" s="1336"/>
      <c r="E502" s="1335"/>
      <c r="J502" s="1340"/>
    </row>
    <row r="503" spans="2:10">
      <c r="B503" s="1336"/>
      <c r="E503" s="1335"/>
      <c r="J503" s="1340"/>
    </row>
    <row r="504" spans="2:10">
      <c r="B504" s="1336"/>
      <c r="E504" s="1335"/>
      <c r="J504" s="1340"/>
    </row>
    <row r="505" spans="2:10">
      <c r="B505" s="1336"/>
      <c r="E505" s="1335"/>
      <c r="J505" s="1340"/>
    </row>
    <row r="506" spans="2:10">
      <c r="B506" s="1336"/>
      <c r="E506" s="1335"/>
      <c r="J506" s="1340"/>
    </row>
    <row r="507" spans="2:10">
      <c r="B507" s="1336"/>
      <c r="E507" s="1335"/>
      <c r="J507" s="1340"/>
    </row>
    <row r="508" spans="2:10">
      <c r="B508" s="1336"/>
      <c r="E508" s="1335"/>
      <c r="J508" s="1340"/>
    </row>
    <row r="509" spans="2:10">
      <c r="B509" s="1336"/>
      <c r="E509" s="1335"/>
      <c r="J509" s="1340"/>
    </row>
    <row r="510" spans="2:10">
      <c r="B510" s="1336"/>
      <c r="E510" s="1335"/>
      <c r="J510" s="1340"/>
    </row>
    <row r="511" spans="2:10">
      <c r="B511" s="1336"/>
      <c r="E511" s="1335"/>
      <c r="J511" s="1340"/>
    </row>
    <row r="512" spans="2:10">
      <c r="B512" s="1336"/>
      <c r="E512" s="1335"/>
      <c r="J512" s="1340"/>
    </row>
    <row r="513" spans="2:10">
      <c r="B513" s="1336"/>
      <c r="E513" s="1335"/>
      <c r="J513" s="1340"/>
    </row>
    <row r="514" spans="2:10">
      <c r="B514" s="1336"/>
      <c r="E514" s="1335"/>
      <c r="J514" s="1340"/>
    </row>
    <row r="515" spans="2:10">
      <c r="B515" s="1336"/>
      <c r="E515" s="1335"/>
      <c r="J515" s="1340"/>
    </row>
    <row r="516" spans="2:10">
      <c r="B516" s="1336"/>
      <c r="E516" s="1335"/>
      <c r="J516" s="1340"/>
    </row>
    <row r="517" spans="2:10">
      <c r="B517" s="1336"/>
      <c r="E517" s="1335"/>
      <c r="J517" s="1340"/>
    </row>
    <row r="518" spans="2:10">
      <c r="B518" s="1336"/>
      <c r="E518" s="1335"/>
      <c r="J518" s="1340"/>
    </row>
    <row r="519" spans="2:10">
      <c r="B519" s="1336"/>
      <c r="E519" s="1335"/>
      <c r="J519" s="1340"/>
    </row>
    <row r="520" spans="2:10">
      <c r="B520" s="1336"/>
      <c r="E520" s="1335"/>
      <c r="J520" s="1340"/>
    </row>
    <row r="521" spans="2:10">
      <c r="B521" s="1336"/>
      <c r="E521" s="1335"/>
      <c r="J521" s="1340"/>
    </row>
    <row r="522" spans="2:10">
      <c r="B522" s="1336"/>
      <c r="E522" s="1335"/>
      <c r="J522" s="1340"/>
    </row>
    <row r="523" spans="2:10">
      <c r="B523" s="1336"/>
      <c r="E523" s="1335"/>
      <c r="J523" s="1340"/>
    </row>
    <row r="524" spans="2:10">
      <c r="B524" s="1336"/>
      <c r="E524" s="1335"/>
      <c r="J524" s="1340"/>
    </row>
    <row r="525" spans="2:10">
      <c r="B525" s="1336"/>
      <c r="E525" s="1335"/>
      <c r="J525" s="1340"/>
    </row>
    <row r="526" spans="2:10">
      <c r="B526" s="1336"/>
      <c r="E526" s="1335"/>
      <c r="J526" s="1340"/>
    </row>
    <row r="527" spans="2:10">
      <c r="B527" s="1336"/>
      <c r="E527" s="1335"/>
      <c r="J527" s="1340"/>
    </row>
    <row r="528" spans="2:10">
      <c r="B528" s="1336"/>
      <c r="E528" s="1335"/>
      <c r="J528" s="1340"/>
    </row>
    <row r="529" spans="2:10">
      <c r="B529" s="1336"/>
      <c r="E529" s="1335"/>
      <c r="J529" s="1340"/>
    </row>
    <row r="530" spans="2:10">
      <c r="B530" s="1336"/>
      <c r="E530" s="1335"/>
      <c r="J530" s="1340"/>
    </row>
    <row r="531" spans="2:10">
      <c r="B531" s="1336"/>
      <c r="E531" s="1335"/>
      <c r="J531" s="1340"/>
    </row>
    <row r="532" spans="2:10">
      <c r="B532" s="1336"/>
      <c r="E532" s="1335"/>
      <c r="J532" s="1340"/>
    </row>
    <row r="533" spans="2:10">
      <c r="B533" s="1336"/>
      <c r="E533" s="1335"/>
      <c r="J533" s="1340"/>
    </row>
    <row r="534" spans="2:10">
      <c r="B534" s="1336"/>
      <c r="E534" s="1335"/>
      <c r="J534" s="1340"/>
    </row>
    <row r="535" spans="2:10">
      <c r="B535" s="1336"/>
      <c r="E535" s="1335"/>
      <c r="J535" s="1340"/>
    </row>
    <row r="536" spans="2:10">
      <c r="B536" s="1336"/>
      <c r="E536" s="1335"/>
      <c r="J536" s="1340"/>
    </row>
    <row r="537" spans="2:10">
      <c r="B537" s="1336"/>
      <c r="E537" s="1335"/>
      <c r="J537" s="1340"/>
    </row>
    <row r="538" spans="2:10">
      <c r="B538" s="1336"/>
      <c r="E538" s="1335"/>
      <c r="J538" s="1340"/>
    </row>
    <row r="539" spans="2:10">
      <c r="B539" s="1336"/>
      <c r="E539" s="1335"/>
      <c r="J539" s="1340"/>
    </row>
    <row r="540" spans="2:10">
      <c r="B540" s="1336"/>
      <c r="E540" s="1335"/>
      <c r="J540" s="1340"/>
    </row>
    <row r="541" spans="2:10">
      <c r="B541" s="1336"/>
      <c r="E541" s="1335"/>
      <c r="J541" s="1340"/>
    </row>
    <row r="542" spans="2:10">
      <c r="B542" s="1336"/>
      <c r="E542" s="1335"/>
      <c r="J542" s="1340"/>
    </row>
    <row r="543" spans="2:10">
      <c r="B543" s="1336"/>
      <c r="E543" s="1335"/>
      <c r="J543" s="1340"/>
    </row>
    <row r="544" spans="2:10">
      <c r="B544" s="1336"/>
      <c r="E544" s="1335"/>
      <c r="J544" s="1340"/>
    </row>
    <row r="545" spans="2:10">
      <c r="B545" s="1336"/>
      <c r="E545" s="1335"/>
      <c r="J545" s="1340"/>
    </row>
    <row r="546" spans="2:10">
      <c r="B546" s="1336"/>
      <c r="E546" s="1335"/>
      <c r="J546" s="1340"/>
    </row>
    <row r="547" spans="2:10">
      <c r="B547" s="1336"/>
      <c r="E547" s="1335"/>
      <c r="J547" s="1340"/>
    </row>
    <row r="548" spans="2:10">
      <c r="B548" s="1336"/>
      <c r="E548" s="1335"/>
      <c r="J548" s="1340"/>
    </row>
    <row r="549" spans="2:10">
      <c r="B549" s="1336"/>
      <c r="E549" s="1335"/>
      <c r="J549" s="1340"/>
    </row>
    <row r="550" spans="2:10">
      <c r="B550" s="1336"/>
      <c r="E550" s="1335"/>
      <c r="J550" s="1340"/>
    </row>
    <row r="551" spans="2:10">
      <c r="B551" s="1336"/>
      <c r="E551" s="1335"/>
      <c r="J551" s="1340"/>
    </row>
    <row r="552" spans="2:10">
      <c r="B552" s="1336"/>
      <c r="E552" s="1335"/>
      <c r="J552" s="1340"/>
    </row>
    <row r="553" spans="2:10">
      <c r="B553" s="1336"/>
      <c r="E553" s="1335"/>
      <c r="J553" s="1340"/>
    </row>
    <row r="554" spans="2:10">
      <c r="B554" s="1336"/>
      <c r="E554" s="1335"/>
      <c r="J554" s="1340"/>
    </row>
    <row r="555" spans="2:10">
      <c r="B555" s="1336"/>
      <c r="E555" s="1335"/>
      <c r="J555" s="1340"/>
    </row>
    <row r="556" spans="2:10">
      <c r="B556" s="1336"/>
      <c r="E556" s="1335"/>
      <c r="J556" s="1340"/>
    </row>
    <row r="557" spans="2:10">
      <c r="B557" s="1336"/>
      <c r="E557" s="1335"/>
      <c r="J557" s="1340"/>
    </row>
    <row r="558" spans="2:10">
      <c r="B558" s="1336"/>
      <c r="E558" s="1335"/>
      <c r="J558" s="1340"/>
    </row>
    <row r="559" spans="2:10">
      <c r="B559" s="1336"/>
      <c r="E559" s="1335"/>
      <c r="J559" s="1340"/>
    </row>
    <row r="560" spans="2:10">
      <c r="B560" s="1336"/>
      <c r="E560" s="1335"/>
      <c r="J560" s="1340"/>
    </row>
    <row r="561" spans="2:10">
      <c r="B561" s="1336"/>
      <c r="E561" s="1335"/>
      <c r="J561" s="1340"/>
    </row>
    <row r="562" spans="2:10">
      <c r="B562" s="1336"/>
      <c r="E562" s="1335"/>
      <c r="J562" s="1340"/>
    </row>
    <row r="563" spans="2:10">
      <c r="B563" s="1336"/>
      <c r="E563" s="1335"/>
      <c r="J563" s="1340"/>
    </row>
    <row r="564" spans="2:10">
      <c r="B564" s="1336"/>
      <c r="E564" s="1335"/>
      <c r="J564" s="1340"/>
    </row>
    <row r="565" spans="2:10">
      <c r="B565" s="1336"/>
      <c r="E565" s="1335"/>
      <c r="J565" s="1340"/>
    </row>
    <row r="566" spans="2:10">
      <c r="B566" s="1336"/>
      <c r="E566" s="1335"/>
      <c r="J566" s="1340"/>
    </row>
    <row r="567" spans="2:10">
      <c r="B567" s="1336"/>
      <c r="E567" s="1335"/>
      <c r="J567" s="1340"/>
    </row>
    <row r="568" spans="2:10">
      <c r="B568" s="1336"/>
      <c r="E568" s="1335"/>
      <c r="J568" s="1340"/>
    </row>
    <row r="569" spans="2:10">
      <c r="B569" s="1336"/>
      <c r="E569" s="1335"/>
      <c r="J569" s="1340"/>
    </row>
    <row r="570" spans="2:10">
      <c r="B570" s="1336"/>
      <c r="E570" s="1335"/>
      <c r="J570" s="1340"/>
    </row>
    <row r="571" spans="2:10">
      <c r="B571" s="1336"/>
      <c r="E571" s="1335"/>
      <c r="J571" s="1340"/>
    </row>
    <row r="572" spans="2:10">
      <c r="B572" s="1336"/>
      <c r="E572" s="1335"/>
      <c r="J572" s="1340"/>
    </row>
    <row r="573" spans="2:10">
      <c r="B573" s="1336"/>
      <c r="E573" s="1335"/>
      <c r="J573" s="1340"/>
    </row>
    <row r="574" spans="2:10">
      <c r="B574" s="1336"/>
      <c r="E574" s="1335"/>
      <c r="J574" s="1340"/>
    </row>
    <row r="575" spans="2:10">
      <c r="B575" s="1336"/>
      <c r="E575" s="1335"/>
      <c r="J575" s="1340"/>
    </row>
    <row r="576" spans="2:10">
      <c r="B576" s="1336"/>
      <c r="E576" s="1335"/>
      <c r="J576" s="1340"/>
    </row>
    <row r="577" spans="2:10">
      <c r="B577" s="1336"/>
      <c r="E577" s="1335"/>
      <c r="J577" s="1340"/>
    </row>
    <row r="578" spans="2:10">
      <c r="B578" s="1336"/>
      <c r="E578" s="1335"/>
      <c r="J578" s="1340"/>
    </row>
    <row r="579" spans="2:10">
      <c r="B579" s="1336"/>
      <c r="E579" s="1335"/>
      <c r="J579" s="1340"/>
    </row>
    <row r="580" spans="2:10">
      <c r="B580" s="1336"/>
      <c r="E580" s="1335"/>
      <c r="J580" s="1340"/>
    </row>
    <row r="581" spans="2:10">
      <c r="B581" s="1336"/>
      <c r="E581" s="1335"/>
      <c r="J581" s="1340"/>
    </row>
    <row r="582" spans="2:10">
      <c r="B582" s="1336"/>
      <c r="E582" s="1335"/>
      <c r="J582" s="1340"/>
    </row>
    <row r="583" spans="2:10">
      <c r="B583" s="1336"/>
      <c r="E583" s="1335"/>
      <c r="J583" s="1340"/>
    </row>
    <row r="584" spans="2:10">
      <c r="B584" s="1336"/>
      <c r="E584" s="1335"/>
      <c r="J584" s="1340"/>
    </row>
    <row r="585" spans="2:10">
      <c r="B585" s="1336"/>
      <c r="E585" s="1335"/>
      <c r="J585" s="1340"/>
    </row>
    <row r="586" spans="2:10">
      <c r="B586" s="1336"/>
      <c r="E586" s="1335"/>
      <c r="J586" s="1340"/>
    </row>
    <row r="587" spans="2:10">
      <c r="B587" s="1336"/>
      <c r="E587" s="1335"/>
      <c r="J587" s="1340"/>
    </row>
    <row r="588" spans="2:10">
      <c r="B588" s="1336"/>
      <c r="E588" s="1335"/>
      <c r="J588" s="1340"/>
    </row>
    <row r="589" spans="2:10">
      <c r="B589" s="1336"/>
      <c r="E589" s="1335"/>
      <c r="J589" s="1340"/>
    </row>
    <row r="590" spans="2:10">
      <c r="B590" s="1336"/>
      <c r="E590" s="1335"/>
      <c r="J590" s="1340"/>
    </row>
    <row r="591" spans="2:10">
      <c r="B591" s="1336"/>
      <c r="E591" s="1335"/>
      <c r="J591" s="1340"/>
    </row>
    <row r="592" spans="2:10">
      <c r="B592" s="1336"/>
      <c r="E592" s="1335"/>
      <c r="J592" s="1340"/>
    </row>
    <row r="593" spans="2:10">
      <c r="B593" s="1336"/>
      <c r="E593" s="1335"/>
      <c r="J593" s="1340"/>
    </row>
    <row r="594" spans="2:10">
      <c r="B594" s="1336"/>
      <c r="E594" s="1335"/>
      <c r="J594" s="1340"/>
    </row>
    <row r="595" spans="2:10">
      <c r="B595" s="1336"/>
      <c r="E595" s="1335"/>
      <c r="J595" s="1340"/>
    </row>
    <row r="596" spans="2:10">
      <c r="B596" s="1336"/>
      <c r="E596" s="1335"/>
      <c r="J596" s="1340"/>
    </row>
    <row r="597" spans="2:10">
      <c r="B597" s="1336"/>
      <c r="E597" s="1335"/>
      <c r="J597" s="1340"/>
    </row>
    <row r="598" spans="2:10">
      <c r="B598" s="1336"/>
      <c r="E598" s="1335"/>
      <c r="J598" s="1340"/>
    </row>
    <row r="599" spans="2:10">
      <c r="B599" s="1336"/>
      <c r="E599" s="1335"/>
      <c r="J599" s="1340"/>
    </row>
    <row r="600" spans="2:10">
      <c r="B600" s="1336"/>
      <c r="E600" s="1335"/>
      <c r="J600" s="1340"/>
    </row>
    <row r="601" spans="2:10">
      <c r="B601" s="1336"/>
      <c r="E601" s="1335"/>
      <c r="J601" s="1340"/>
    </row>
    <row r="602" spans="2:10">
      <c r="B602" s="1336"/>
      <c r="E602" s="1335"/>
      <c r="J602" s="1340"/>
    </row>
    <row r="603" spans="2:10">
      <c r="B603" s="1336"/>
      <c r="E603" s="1335"/>
      <c r="J603" s="1340"/>
    </row>
    <row r="604" spans="2:10">
      <c r="B604" s="1336"/>
      <c r="E604" s="1335"/>
      <c r="J604" s="1340"/>
    </row>
    <row r="605" spans="2:10">
      <c r="B605" s="1336"/>
      <c r="E605" s="1335"/>
      <c r="J605" s="1340"/>
    </row>
    <row r="606" spans="2:10">
      <c r="B606" s="1336"/>
      <c r="E606" s="1335"/>
      <c r="J606" s="1340"/>
    </row>
    <row r="607" spans="2:10">
      <c r="B607" s="1336"/>
      <c r="E607" s="1335"/>
      <c r="J607" s="1340"/>
    </row>
    <row r="608" spans="2:10">
      <c r="B608" s="1336"/>
      <c r="E608" s="1335"/>
      <c r="J608" s="1340"/>
    </row>
    <row r="609" spans="2:10">
      <c r="B609" s="1336"/>
      <c r="E609" s="1335"/>
      <c r="J609" s="1340"/>
    </row>
    <row r="610" spans="2:10">
      <c r="B610" s="1336"/>
      <c r="E610" s="1335"/>
      <c r="J610" s="1340"/>
    </row>
    <row r="611" spans="2:10">
      <c r="B611" s="1336"/>
      <c r="E611" s="1335"/>
      <c r="J611" s="1340"/>
    </row>
    <row r="612" spans="2:10">
      <c r="B612" s="1336"/>
      <c r="E612" s="1335"/>
      <c r="J612" s="1340"/>
    </row>
    <row r="613" spans="2:10">
      <c r="B613" s="1336"/>
      <c r="E613" s="1335"/>
      <c r="J613" s="1340"/>
    </row>
    <row r="614" spans="2:10">
      <c r="B614" s="1336"/>
      <c r="E614" s="1335"/>
      <c r="J614" s="1340"/>
    </row>
    <row r="615" spans="2:10">
      <c r="B615" s="1336"/>
      <c r="E615" s="1335"/>
      <c r="J615" s="1340"/>
    </row>
    <row r="616" spans="2:10">
      <c r="B616" s="1336"/>
      <c r="E616" s="1335"/>
      <c r="J616" s="1340"/>
    </row>
    <row r="617" spans="2:10">
      <c r="B617" s="1336"/>
      <c r="E617" s="1335"/>
      <c r="J617" s="1340"/>
    </row>
    <row r="618" spans="2:10">
      <c r="B618" s="1336"/>
      <c r="E618" s="1335"/>
      <c r="J618" s="1340"/>
    </row>
    <row r="619" spans="2:10">
      <c r="B619" s="1336"/>
      <c r="E619" s="1335"/>
      <c r="J619" s="1340"/>
    </row>
    <row r="620" spans="2:10">
      <c r="B620" s="1336"/>
      <c r="E620" s="1335"/>
      <c r="J620" s="1340"/>
    </row>
    <row r="621" spans="2:10">
      <c r="B621" s="1336"/>
      <c r="E621" s="1335"/>
      <c r="J621" s="1340"/>
    </row>
    <row r="622" spans="2:10">
      <c r="B622" s="1336"/>
      <c r="E622" s="1335"/>
      <c r="J622" s="1340"/>
    </row>
    <row r="623" spans="2:10">
      <c r="B623" s="1336"/>
      <c r="E623" s="1335"/>
      <c r="J623" s="1340"/>
    </row>
    <row r="624" spans="2:10">
      <c r="B624" s="1336"/>
      <c r="E624" s="1335"/>
      <c r="J624" s="1340"/>
    </row>
    <row r="625" spans="2:10">
      <c r="B625" s="1336"/>
      <c r="E625" s="1335"/>
      <c r="J625" s="1340"/>
    </row>
    <row r="626" spans="2:10">
      <c r="B626" s="1336"/>
      <c r="E626" s="1335"/>
      <c r="J626" s="1340"/>
    </row>
    <row r="627" spans="2:10">
      <c r="B627" s="1336"/>
      <c r="E627" s="1335"/>
      <c r="J627" s="1340"/>
    </row>
    <row r="628" spans="2:10">
      <c r="B628" s="1336"/>
      <c r="E628" s="1335"/>
      <c r="J628" s="1340"/>
    </row>
    <row r="629" spans="2:10">
      <c r="B629" s="1336"/>
      <c r="E629" s="1335"/>
      <c r="J629" s="1340"/>
    </row>
    <row r="630" spans="2:10">
      <c r="B630" s="1336"/>
      <c r="E630" s="1335"/>
      <c r="J630" s="1340"/>
    </row>
    <row r="631" spans="2:10">
      <c r="B631" s="1336"/>
      <c r="E631" s="1335"/>
      <c r="J631" s="1340"/>
    </row>
    <row r="632" spans="2:10">
      <c r="B632" s="1336"/>
      <c r="E632" s="1335"/>
      <c r="J632" s="1340"/>
    </row>
    <row r="633" spans="2:10">
      <c r="B633" s="1336"/>
      <c r="E633" s="1335"/>
      <c r="J633" s="1340"/>
    </row>
    <row r="634" spans="2:10">
      <c r="B634" s="1336"/>
      <c r="E634" s="1335"/>
      <c r="J634" s="1340"/>
    </row>
    <row r="635" spans="2:10">
      <c r="B635" s="1336"/>
      <c r="E635" s="1335"/>
      <c r="J635" s="1340"/>
    </row>
    <row r="636" spans="2:10">
      <c r="B636" s="1336"/>
      <c r="E636" s="1335"/>
      <c r="J636" s="1340"/>
    </row>
    <row r="637" spans="2:10">
      <c r="B637" s="1336"/>
      <c r="E637" s="1335"/>
      <c r="J637" s="1340"/>
    </row>
    <row r="638" spans="2:10">
      <c r="B638" s="1336"/>
      <c r="E638" s="1335"/>
      <c r="J638" s="1340"/>
    </row>
    <row r="639" spans="2:10">
      <c r="B639" s="1336"/>
      <c r="E639" s="1335"/>
      <c r="J639" s="1340"/>
    </row>
    <row r="640" spans="2:10">
      <c r="B640" s="1336"/>
      <c r="E640" s="1335"/>
      <c r="J640" s="1340"/>
    </row>
    <row r="641" spans="2:10">
      <c r="B641" s="1336"/>
      <c r="E641" s="1335"/>
      <c r="J641" s="1340"/>
    </row>
    <row r="642" spans="2:10">
      <c r="B642" s="1336"/>
      <c r="E642" s="1335"/>
      <c r="J642" s="1340"/>
    </row>
    <row r="643" spans="2:10">
      <c r="B643" s="1336"/>
      <c r="E643" s="1335"/>
      <c r="J643" s="1340"/>
    </row>
    <row r="644" spans="2:10">
      <c r="B644" s="1336"/>
      <c r="E644" s="1335"/>
      <c r="J644" s="1340"/>
    </row>
    <row r="645" spans="2:10">
      <c r="B645" s="1336"/>
      <c r="E645" s="1335"/>
      <c r="J645" s="1340"/>
    </row>
    <row r="646" spans="2:10">
      <c r="B646" s="1336"/>
      <c r="E646" s="1335"/>
      <c r="J646" s="1340"/>
    </row>
    <row r="647" spans="2:10">
      <c r="B647" s="1336"/>
      <c r="E647" s="1335"/>
      <c r="J647" s="1340"/>
    </row>
    <row r="648" spans="2:10">
      <c r="B648" s="1336"/>
      <c r="E648" s="1335"/>
      <c r="J648" s="1340"/>
    </row>
    <row r="649" spans="2:10">
      <c r="B649" s="1336"/>
      <c r="E649" s="1335"/>
      <c r="J649" s="1340"/>
    </row>
    <row r="650" spans="2:10">
      <c r="B650" s="1336"/>
      <c r="E650" s="1335"/>
      <c r="J650" s="1340"/>
    </row>
    <row r="651" spans="2:10">
      <c r="B651" s="1336"/>
      <c r="E651" s="1335"/>
      <c r="J651" s="1340"/>
    </row>
    <row r="652" spans="2:10">
      <c r="B652" s="1336"/>
      <c r="E652" s="1335"/>
      <c r="J652" s="1340"/>
    </row>
    <row r="653" spans="2:10">
      <c r="B653" s="1336"/>
      <c r="E653" s="1335"/>
      <c r="J653" s="1340"/>
    </row>
    <row r="654" spans="2:10">
      <c r="B654" s="1336"/>
      <c r="E654" s="1335"/>
      <c r="J654" s="1340"/>
    </row>
    <row r="655" spans="2:10">
      <c r="B655" s="1336"/>
      <c r="E655" s="1335"/>
      <c r="J655" s="1340"/>
    </row>
    <row r="656" spans="2:10">
      <c r="B656" s="1336"/>
      <c r="E656" s="1335"/>
      <c r="J656" s="1340"/>
    </row>
    <row r="657" spans="2:10">
      <c r="B657" s="1336"/>
      <c r="E657" s="1335"/>
      <c r="J657" s="1340"/>
    </row>
    <row r="658" spans="2:10">
      <c r="B658" s="1336"/>
      <c r="E658" s="1335"/>
      <c r="J658" s="1340"/>
    </row>
    <row r="659" spans="2:10">
      <c r="B659" s="1336"/>
      <c r="E659" s="1335"/>
      <c r="J659" s="1340"/>
    </row>
    <row r="660" spans="2:10">
      <c r="B660" s="1336"/>
      <c r="E660" s="1335"/>
      <c r="J660" s="1340"/>
    </row>
    <row r="661" spans="2:10">
      <c r="B661" s="1336"/>
      <c r="E661" s="1335"/>
      <c r="J661" s="1340"/>
    </row>
    <row r="662" spans="2:10">
      <c r="B662" s="1336"/>
      <c r="E662" s="1335"/>
      <c r="J662" s="1340"/>
    </row>
    <row r="663" spans="2:10">
      <c r="B663" s="1336"/>
      <c r="E663" s="1335"/>
      <c r="J663" s="1340"/>
    </row>
    <row r="664" spans="2:10">
      <c r="B664" s="1336"/>
      <c r="E664" s="1335"/>
      <c r="J664" s="1340"/>
    </row>
    <row r="665" spans="2:10">
      <c r="B665" s="1336"/>
      <c r="E665" s="1335"/>
      <c r="J665" s="1340"/>
    </row>
    <row r="666" spans="2:10">
      <c r="B666" s="1336"/>
      <c r="E666" s="1335"/>
      <c r="J666" s="1340"/>
    </row>
    <row r="667" spans="2:10">
      <c r="B667" s="1336"/>
      <c r="E667" s="1335"/>
      <c r="J667" s="1340"/>
    </row>
    <row r="668" spans="2:10">
      <c r="B668" s="1336"/>
      <c r="E668" s="1335"/>
      <c r="J668" s="1340"/>
    </row>
    <row r="669" spans="2:10">
      <c r="B669" s="1336"/>
      <c r="E669" s="1335"/>
      <c r="J669" s="1340"/>
    </row>
    <row r="670" spans="2:10">
      <c r="B670" s="1336"/>
      <c r="E670" s="1335"/>
      <c r="J670" s="1340"/>
    </row>
    <row r="671" spans="2:10">
      <c r="B671" s="1336"/>
      <c r="E671" s="1335"/>
      <c r="J671" s="1340"/>
    </row>
    <row r="672" spans="2:10">
      <c r="B672" s="1336"/>
      <c r="E672" s="1335"/>
      <c r="J672" s="1340"/>
    </row>
    <row r="673" spans="2:10">
      <c r="B673" s="1336"/>
      <c r="E673" s="1335"/>
      <c r="J673" s="1340"/>
    </row>
    <row r="674" spans="2:10">
      <c r="B674" s="1336"/>
      <c r="E674" s="1335"/>
      <c r="J674" s="1340"/>
    </row>
    <row r="675" spans="2:10">
      <c r="B675" s="1336"/>
      <c r="E675" s="1335"/>
      <c r="J675" s="1340"/>
    </row>
    <row r="676" spans="2:10">
      <c r="B676" s="1336"/>
      <c r="E676" s="1335"/>
      <c r="J676" s="1340"/>
    </row>
    <row r="677" spans="2:10">
      <c r="B677" s="1336"/>
      <c r="E677" s="1335"/>
      <c r="J677" s="1340"/>
    </row>
    <row r="678" spans="2:10">
      <c r="B678" s="1336"/>
      <c r="E678" s="1335"/>
      <c r="J678" s="1340"/>
    </row>
    <row r="679" spans="2:10">
      <c r="B679" s="1336"/>
      <c r="E679" s="1335"/>
      <c r="J679" s="1340"/>
    </row>
    <row r="680" spans="2:10">
      <c r="B680" s="1336"/>
      <c r="E680" s="1335"/>
      <c r="J680" s="1340"/>
    </row>
    <row r="681" spans="2:10">
      <c r="B681" s="1336"/>
      <c r="E681" s="1335"/>
      <c r="J681" s="1340"/>
    </row>
    <row r="682" spans="2:10">
      <c r="B682" s="1336"/>
      <c r="E682" s="1335"/>
      <c r="J682" s="1340"/>
    </row>
    <row r="683" spans="2:10">
      <c r="B683" s="1336"/>
      <c r="E683" s="1335"/>
      <c r="J683" s="1340"/>
    </row>
    <row r="684" spans="2:10">
      <c r="B684" s="1336"/>
      <c r="E684" s="1335"/>
      <c r="J684" s="1340"/>
    </row>
    <row r="685" spans="2:10">
      <c r="B685" s="1336"/>
      <c r="E685" s="1335"/>
      <c r="J685" s="1340"/>
    </row>
    <row r="686" spans="2:10">
      <c r="B686" s="1336"/>
      <c r="E686" s="1335"/>
      <c r="J686" s="1340"/>
    </row>
    <row r="687" spans="2:10">
      <c r="B687" s="1336"/>
      <c r="E687" s="1335"/>
      <c r="J687" s="1340"/>
    </row>
    <row r="688" spans="2:10">
      <c r="B688" s="1336"/>
      <c r="E688" s="1335"/>
      <c r="J688" s="1340"/>
    </row>
    <row r="689" spans="2:10">
      <c r="B689" s="1336"/>
      <c r="E689" s="1335"/>
      <c r="J689" s="1340"/>
    </row>
    <row r="690" spans="2:10">
      <c r="B690" s="1336"/>
      <c r="E690" s="1335"/>
      <c r="J690" s="1340"/>
    </row>
    <row r="691" spans="2:10">
      <c r="B691" s="1336"/>
      <c r="E691" s="1335"/>
      <c r="J691" s="1340"/>
    </row>
    <row r="692" spans="2:10">
      <c r="B692" s="1336"/>
      <c r="E692" s="1335"/>
      <c r="J692" s="1340"/>
    </row>
    <row r="693" spans="2:10">
      <c r="B693" s="1336"/>
      <c r="E693" s="1335"/>
      <c r="J693" s="1340"/>
    </row>
    <row r="694" spans="2:10">
      <c r="B694" s="1336"/>
      <c r="E694" s="1335"/>
      <c r="J694" s="1340"/>
    </row>
    <row r="695" spans="2:10">
      <c r="B695" s="1336"/>
      <c r="E695" s="1335"/>
      <c r="J695" s="1340"/>
    </row>
    <row r="696" spans="2:10">
      <c r="B696" s="1336"/>
      <c r="E696" s="1335"/>
      <c r="J696" s="1340"/>
    </row>
    <row r="697" spans="2:10">
      <c r="B697" s="1336"/>
      <c r="E697" s="1335"/>
      <c r="J697" s="1340"/>
    </row>
    <row r="698" spans="2:10">
      <c r="B698" s="1336"/>
      <c r="E698" s="1335"/>
      <c r="J698" s="1340"/>
    </row>
    <row r="699" spans="2:10">
      <c r="B699" s="1336"/>
      <c r="E699" s="1335"/>
      <c r="J699" s="1340"/>
    </row>
    <row r="700" spans="2:10">
      <c r="B700" s="1336"/>
      <c r="E700" s="1335"/>
      <c r="J700" s="1340"/>
    </row>
    <row r="701" spans="2:10">
      <c r="B701" s="1336"/>
      <c r="E701" s="1335"/>
      <c r="J701" s="1340"/>
    </row>
    <row r="702" spans="2:10">
      <c r="B702" s="1336"/>
      <c r="E702" s="1335"/>
      <c r="J702" s="1340"/>
    </row>
    <row r="703" spans="2:10">
      <c r="B703" s="1336"/>
      <c r="E703" s="1335"/>
      <c r="J703" s="1340"/>
    </row>
    <row r="704" spans="2:10">
      <c r="B704" s="1336"/>
      <c r="E704" s="1335"/>
      <c r="J704" s="1340"/>
    </row>
    <row r="705" spans="2:10">
      <c r="B705" s="1336"/>
      <c r="E705" s="1335"/>
      <c r="J705" s="1340"/>
    </row>
    <row r="706" spans="2:10">
      <c r="B706" s="1336"/>
      <c r="E706" s="1335"/>
      <c r="J706" s="1340"/>
    </row>
    <row r="707" spans="2:10">
      <c r="B707" s="1336"/>
      <c r="E707" s="1335"/>
      <c r="J707" s="1340"/>
    </row>
    <row r="708" spans="2:10">
      <c r="B708" s="1336"/>
      <c r="E708" s="1335"/>
      <c r="J708" s="1340"/>
    </row>
    <row r="709" spans="2:10">
      <c r="B709" s="1336"/>
      <c r="E709" s="1335"/>
      <c r="J709" s="1340"/>
    </row>
    <row r="710" spans="2:10">
      <c r="B710" s="1336"/>
      <c r="E710" s="1335"/>
      <c r="J710" s="1340"/>
    </row>
    <row r="711" spans="2:10">
      <c r="B711" s="1336"/>
      <c r="E711" s="1335"/>
      <c r="J711" s="1340"/>
    </row>
    <row r="712" spans="2:10">
      <c r="B712" s="1336"/>
      <c r="E712" s="1335"/>
      <c r="J712" s="1340"/>
    </row>
    <row r="713" spans="2:10">
      <c r="B713" s="1336"/>
      <c r="E713" s="1335"/>
      <c r="J713" s="1340"/>
    </row>
    <row r="714" spans="2:10">
      <c r="B714" s="1336"/>
      <c r="E714" s="1335"/>
      <c r="J714" s="1340"/>
    </row>
    <row r="715" spans="2:10">
      <c r="B715" s="1336"/>
      <c r="E715" s="1335"/>
      <c r="J715" s="1340"/>
    </row>
    <row r="716" spans="2:10">
      <c r="B716" s="1336"/>
      <c r="E716" s="1335"/>
      <c r="J716" s="1340"/>
    </row>
    <row r="717" spans="2:10">
      <c r="B717" s="1336"/>
      <c r="E717" s="1335"/>
      <c r="J717" s="1340"/>
    </row>
    <row r="718" spans="2:10">
      <c r="B718" s="1336"/>
      <c r="E718" s="1335"/>
      <c r="J718" s="1340"/>
    </row>
    <row r="719" spans="2:10">
      <c r="B719" s="1336"/>
      <c r="E719" s="1335"/>
      <c r="J719" s="1340"/>
    </row>
    <row r="720" spans="2:10">
      <c r="B720" s="1336"/>
      <c r="E720" s="1335"/>
      <c r="J720" s="1340"/>
    </row>
    <row r="721" spans="2:10">
      <c r="B721" s="1336"/>
      <c r="E721" s="1335"/>
      <c r="J721" s="1340"/>
    </row>
    <row r="722" spans="2:10">
      <c r="B722" s="1336"/>
      <c r="E722" s="1335"/>
      <c r="J722" s="1340"/>
    </row>
    <row r="723" spans="2:10">
      <c r="B723" s="1336"/>
      <c r="E723" s="1335"/>
      <c r="J723" s="1340"/>
    </row>
    <row r="724" spans="2:10">
      <c r="B724" s="1336"/>
      <c r="E724" s="1335"/>
      <c r="J724" s="1340"/>
    </row>
    <row r="725" spans="2:10">
      <c r="B725" s="1336"/>
      <c r="E725" s="1335"/>
      <c r="J725" s="1340"/>
    </row>
    <row r="726" spans="2:10">
      <c r="B726" s="1336"/>
      <c r="E726" s="1335"/>
      <c r="J726" s="1340"/>
    </row>
    <row r="727" spans="2:10">
      <c r="B727" s="1336"/>
      <c r="E727" s="1335"/>
      <c r="J727" s="1340"/>
    </row>
    <row r="728" spans="2:10">
      <c r="B728" s="1336"/>
      <c r="E728" s="1335"/>
      <c r="J728" s="1340"/>
    </row>
    <row r="729" spans="2:10">
      <c r="B729" s="1336"/>
      <c r="E729" s="1335"/>
      <c r="J729" s="1340"/>
    </row>
    <row r="730" spans="2:10">
      <c r="B730" s="1336"/>
      <c r="E730" s="1335"/>
      <c r="J730" s="1340"/>
    </row>
    <row r="731" spans="2:10">
      <c r="B731" s="1336"/>
      <c r="E731" s="1335"/>
      <c r="J731" s="1340"/>
    </row>
    <row r="732" spans="2:10">
      <c r="B732" s="1336"/>
      <c r="E732" s="1335"/>
      <c r="J732" s="1340"/>
    </row>
    <row r="733" spans="2:10">
      <c r="B733" s="1336"/>
      <c r="E733" s="1335"/>
      <c r="J733" s="1340"/>
    </row>
    <row r="734" spans="2:10">
      <c r="B734" s="1336"/>
      <c r="E734" s="1335"/>
      <c r="J734" s="1340"/>
    </row>
    <row r="735" spans="2:10">
      <c r="B735" s="1336"/>
      <c r="E735" s="1335"/>
      <c r="J735" s="1340"/>
    </row>
    <row r="736" spans="2:10">
      <c r="B736" s="1336"/>
      <c r="E736" s="1335"/>
      <c r="J736" s="1340"/>
    </row>
    <row r="737" spans="2:10">
      <c r="B737" s="1336"/>
      <c r="E737" s="1335"/>
      <c r="J737" s="1340"/>
    </row>
    <row r="738" spans="2:10">
      <c r="B738" s="1336"/>
      <c r="E738" s="1335"/>
      <c r="J738" s="1340"/>
    </row>
    <row r="739" spans="2:10">
      <c r="B739" s="1336"/>
      <c r="E739" s="1335"/>
      <c r="J739" s="1340"/>
    </row>
    <row r="740" spans="2:10">
      <c r="B740" s="1336"/>
      <c r="E740" s="1335"/>
      <c r="J740" s="1340"/>
    </row>
    <row r="741" spans="2:10">
      <c r="B741" s="1336"/>
      <c r="E741" s="1335"/>
      <c r="J741" s="1340"/>
    </row>
    <row r="742" spans="2:10">
      <c r="B742" s="1336"/>
      <c r="E742" s="1335"/>
      <c r="J742" s="1340"/>
    </row>
    <row r="743" spans="2:10">
      <c r="B743" s="1336"/>
      <c r="E743" s="1335"/>
      <c r="J743" s="1340"/>
    </row>
    <row r="744" spans="2:10">
      <c r="B744" s="1336"/>
      <c r="E744" s="1335"/>
      <c r="J744" s="1340"/>
    </row>
    <row r="745" spans="2:10">
      <c r="B745" s="1336"/>
      <c r="E745" s="1335"/>
      <c r="J745" s="1340"/>
    </row>
    <row r="746" spans="2:10">
      <c r="B746" s="1336"/>
      <c r="E746" s="1335"/>
      <c r="J746" s="1340"/>
    </row>
    <row r="747" spans="2:10">
      <c r="B747" s="1336"/>
      <c r="E747" s="1335"/>
      <c r="J747" s="1340"/>
    </row>
    <row r="748" spans="2:10">
      <c r="B748" s="1336"/>
      <c r="E748" s="1335"/>
      <c r="J748" s="1340"/>
    </row>
    <row r="749" spans="2:10">
      <c r="B749" s="1336"/>
      <c r="E749" s="1335"/>
      <c r="J749" s="1340"/>
    </row>
    <row r="750" spans="2:10">
      <c r="B750" s="1336"/>
      <c r="E750" s="1335"/>
      <c r="J750" s="1340"/>
    </row>
    <row r="751" spans="2:10">
      <c r="B751" s="1336"/>
      <c r="E751" s="1335"/>
      <c r="J751" s="1340"/>
    </row>
    <row r="752" spans="2:10">
      <c r="B752" s="1336"/>
      <c r="E752" s="1335"/>
      <c r="J752" s="1340"/>
    </row>
    <row r="753" spans="2:10">
      <c r="B753" s="1336"/>
      <c r="E753" s="1335"/>
      <c r="J753" s="1340"/>
    </row>
    <row r="754" spans="2:10">
      <c r="B754" s="1336"/>
      <c r="E754" s="1335"/>
      <c r="J754" s="1340"/>
    </row>
    <row r="755" spans="2:10">
      <c r="B755" s="1336"/>
      <c r="E755" s="1335"/>
      <c r="J755" s="1340"/>
    </row>
    <row r="756" spans="2:10">
      <c r="B756" s="1336"/>
      <c r="E756" s="1335"/>
      <c r="J756" s="1340"/>
    </row>
    <row r="757" spans="2:10">
      <c r="B757" s="1336"/>
      <c r="E757" s="1335"/>
      <c r="J757" s="1340"/>
    </row>
    <row r="758" spans="2:10">
      <c r="B758" s="1336"/>
      <c r="E758" s="1335"/>
      <c r="J758" s="1340"/>
    </row>
    <row r="759" spans="2:10">
      <c r="B759" s="1336"/>
      <c r="E759" s="1335"/>
      <c r="J759" s="1340"/>
    </row>
    <row r="760" spans="2:10">
      <c r="B760" s="1336"/>
      <c r="E760" s="1335"/>
      <c r="J760" s="1340"/>
    </row>
    <row r="761" spans="2:10">
      <c r="B761" s="1336"/>
      <c r="E761" s="1335"/>
      <c r="J761" s="1340"/>
    </row>
    <row r="762" spans="2:10">
      <c r="B762" s="1336"/>
      <c r="E762" s="1335"/>
      <c r="J762" s="1340"/>
    </row>
    <row r="763" spans="2:10">
      <c r="B763" s="1336"/>
      <c r="E763" s="1335"/>
      <c r="J763" s="1340"/>
    </row>
    <row r="764" spans="2:10">
      <c r="B764" s="1336"/>
      <c r="E764" s="1335"/>
      <c r="J764" s="1340"/>
    </row>
    <row r="765" spans="2:10">
      <c r="B765" s="1336"/>
      <c r="E765" s="1335"/>
      <c r="J765" s="1340"/>
    </row>
    <row r="766" spans="2:10">
      <c r="B766" s="1336"/>
      <c r="E766" s="1335"/>
      <c r="J766" s="1340"/>
    </row>
    <row r="767" spans="2:10">
      <c r="B767" s="1336"/>
      <c r="E767" s="1335"/>
      <c r="J767" s="1340"/>
    </row>
    <row r="768" spans="2:10">
      <c r="B768" s="1336"/>
      <c r="E768" s="1335"/>
      <c r="J768" s="1340"/>
    </row>
    <row r="769" spans="2:10">
      <c r="B769" s="1336"/>
      <c r="E769" s="1335"/>
      <c r="J769" s="1340"/>
    </row>
    <row r="770" spans="2:10">
      <c r="B770" s="1336"/>
      <c r="E770" s="1335"/>
      <c r="J770" s="1340"/>
    </row>
    <row r="771" spans="2:10">
      <c r="B771" s="1336"/>
      <c r="E771" s="1335"/>
      <c r="J771" s="1340"/>
    </row>
    <row r="772" spans="2:10">
      <c r="B772" s="1336"/>
      <c r="E772" s="1335"/>
      <c r="J772" s="1340"/>
    </row>
    <row r="773" spans="2:10">
      <c r="B773" s="1336"/>
      <c r="E773" s="1335"/>
      <c r="J773" s="1340"/>
    </row>
    <row r="774" spans="2:10">
      <c r="B774" s="1336"/>
      <c r="E774" s="1335"/>
      <c r="J774" s="1340"/>
    </row>
    <row r="775" spans="2:10">
      <c r="B775" s="1336"/>
      <c r="E775" s="1335"/>
      <c r="J775" s="1340"/>
    </row>
    <row r="776" spans="2:10">
      <c r="B776" s="1336"/>
      <c r="E776" s="1335"/>
      <c r="J776" s="1340"/>
    </row>
    <row r="777" spans="2:10">
      <c r="B777" s="1336"/>
      <c r="E777" s="1335"/>
      <c r="J777" s="1340"/>
    </row>
    <row r="778" spans="2:10">
      <c r="B778" s="1336"/>
      <c r="E778" s="1335"/>
      <c r="J778" s="1340"/>
    </row>
    <row r="779" spans="2:10">
      <c r="B779" s="1336"/>
      <c r="E779" s="1335"/>
      <c r="J779" s="1340"/>
    </row>
    <row r="780" spans="2:10">
      <c r="B780" s="1336"/>
      <c r="E780" s="1335"/>
      <c r="J780" s="1340"/>
    </row>
    <row r="781" spans="2:10">
      <c r="B781" s="1336"/>
      <c r="E781" s="1335"/>
      <c r="J781" s="1340"/>
    </row>
    <row r="782" spans="2:10">
      <c r="B782" s="1336"/>
      <c r="E782" s="1335"/>
      <c r="J782" s="1340"/>
    </row>
    <row r="783" spans="2:10">
      <c r="B783" s="1336"/>
      <c r="E783" s="1335"/>
      <c r="J783" s="1340"/>
    </row>
    <row r="784" spans="2:10">
      <c r="B784" s="1336"/>
      <c r="E784" s="1335"/>
      <c r="J784" s="1340"/>
    </row>
    <row r="785" spans="2:10">
      <c r="B785" s="1336"/>
      <c r="E785" s="1335"/>
      <c r="J785" s="1340"/>
    </row>
    <row r="786" spans="2:10">
      <c r="B786" s="1336"/>
      <c r="E786" s="1335"/>
      <c r="J786" s="1340"/>
    </row>
    <row r="787" spans="2:10">
      <c r="B787" s="1336"/>
      <c r="E787" s="1335"/>
      <c r="J787" s="1340"/>
    </row>
    <row r="788" spans="2:10">
      <c r="B788" s="1336"/>
      <c r="E788" s="1335"/>
      <c r="J788" s="1340"/>
    </row>
    <row r="789" spans="2:10">
      <c r="B789" s="1336"/>
      <c r="E789" s="1335"/>
      <c r="J789" s="1340"/>
    </row>
    <row r="790" spans="2:10">
      <c r="B790" s="1336"/>
      <c r="E790" s="1335"/>
      <c r="J790" s="1340"/>
    </row>
    <row r="791" spans="2:10">
      <c r="B791" s="1336"/>
      <c r="E791" s="1335"/>
      <c r="J791" s="1340"/>
    </row>
    <row r="792" spans="2:10">
      <c r="B792" s="1336"/>
      <c r="E792" s="1335"/>
      <c r="J792" s="1340"/>
    </row>
    <row r="793" spans="2:10">
      <c r="B793" s="1336"/>
      <c r="E793" s="1335"/>
      <c r="J793" s="1340"/>
    </row>
    <row r="794" spans="2:10">
      <c r="B794" s="1336"/>
      <c r="E794" s="1335"/>
      <c r="J794" s="1340"/>
    </row>
    <row r="795" spans="2:10">
      <c r="B795" s="1336"/>
      <c r="E795" s="1335"/>
      <c r="J795" s="1340"/>
    </row>
    <row r="796" spans="2:10">
      <c r="B796" s="1336"/>
      <c r="E796" s="1335"/>
      <c r="J796" s="1340"/>
    </row>
    <row r="797" spans="2:10">
      <c r="B797" s="1336"/>
      <c r="E797" s="1335"/>
      <c r="J797" s="1340"/>
    </row>
    <row r="798" spans="2:10">
      <c r="B798" s="1336"/>
      <c r="E798" s="1335"/>
      <c r="J798" s="1340"/>
    </row>
    <row r="799" spans="2:10">
      <c r="B799" s="1336"/>
      <c r="E799" s="1335"/>
      <c r="J799" s="1340"/>
    </row>
    <row r="800" spans="2:10">
      <c r="B800" s="1336"/>
      <c r="E800" s="1335"/>
      <c r="J800" s="1340"/>
    </row>
    <row r="801" spans="2:10">
      <c r="B801" s="1336"/>
      <c r="E801" s="1335"/>
      <c r="J801" s="1340"/>
    </row>
    <row r="802" spans="2:10">
      <c r="B802" s="1336"/>
      <c r="E802" s="1335"/>
      <c r="J802" s="1340"/>
    </row>
    <row r="803" spans="2:10">
      <c r="B803" s="1336"/>
      <c r="E803" s="1335"/>
      <c r="J803" s="1340"/>
    </row>
    <row r="804" spans="2:10">
      <c r="B804" s="1336"/>
      <c r="E804" s="1335"/>
      <c r="J804" s="1340"/>
    </row>
    <row r="805" spans="2:10">
      <c r="B805" s="1336"/>
      <c r="E805" s="1335"/>
      <c r="J805" s="1340"/>
    </row>
    <row r="806" spans="2:10">
      <c r="B806" s="1336"/>
      <c r="E806" s="1335"/>
      <c r="J806" s="1340"/>
    </row>
    <row r="807" spans="2:10">
      <c r="B807" s="1336"/>
      <c r="E807" s="1335"/>
      <c r="J807" s="1340"/>
    </row>
    <row r="808" spans="2:10">
      <c r="B808" s="1336"/>
      <c r="E808" s="1335"/>
      <c r="J808" s="1340"/>
    </row>
    <row r="809" spans="2:10">
      <c r="B809" s="1336"/>
      <c r="E809" s="1335"/>
      <c r="J809" s="1340"/>
    </row>
    <row r="810" spans="2:10">
      <c r="B810" s="1336"/>
      <c r="E810" s="1335"/>
      <c r="J810" s="1340"/>
    </row>
    <row r="811" spans="2:10">
      <c r="B811" s="1336"/>
      <c r="E811" s="1335"/>
      <c r="J811" s="1340"/>
    </row>
    <row r="812" spans="2:10">
      <c r="B812" s="1336"/>
      <c r="E812" s="1335"/>
      <c r="J812" s="1340"/>
    </row>
    <row r="813" spans="2:10">
      <c r="B813" s="1336"/>
      <c r="E813" s="1335"/>
      <c r="J813" s="1340"/>
    </row>
    <row r="814" spans="2:10">
      <c r="B814" s="1336"/>
      <c r="E814" s="1335"/>
      <c r="J814" s="1340"/>
    </row>
    <row r="815" spans="2:10">
      <c r="B815" s="1336"/>
      <c r="E815" s="1335"/>
      <c r="J815" s="1340"/>
    </row>
    <row r="816" spans="2:10">
      <c r="B816" s="1336"/>
      <c r="E816" s="1335"/>
      <c r="J816" s="1340"/>
    </row>
    <row r="817" spans="2:10">
      <c r="B817" s="1336"/>
      <c r="E817" s="1335"/>
      <c r="J817" s="1340"/>
    </row>
    <row r="818" spans="2:10">
      <c r="B818" s="1336"/>
      <c r="E818" s="1335"/>
      <c r="J818" s="1340"/>
    </row>
    <row r="819" spans="2:10">
      <c r="B819" s="1336"/>
      <c r="E819" s="1335"/>
      <c r="J819" s="1340"/>
    </row>
    <row r="820" spans="2:10">
      <c r="B820" s="1336"/>
      <c r="E820" s="1335"/>
      <c r="J820" s="1340"/>
    </row>
    <row r="821" spans="2:10">
      <c r="B821" s="1336"/>
      <c r="E821" s="1335"/>
      <c r="J821" s="1340"/>
    </row>
    <row r="822" spans="2:10">
      <c r="B822" s="1336"/>
      <c r="E822" s="1335"/>
      <c r="J822" s="1340"/>
    </row>
    <row r="823" spans="2:10">
      <c r="B823" s="1336"/>
      <c r="E823" s="1335"/>
      <c r="J823" s="1340"/>
    </row>
    <row r="824" spans="2:10">
      <c r="B824" s="1336"/>
      <c r="E824" s="1335"/>
      <c r="J824" s="1340"/>
    </row>
    <row r="825" spans="2:10">
      <c r="B825" s="1336"/>
      <c r="E825" s="1335"/>
      <c r="J825" s="1340"/>
    </row>
    <row r="826" spans="2:10">
      <c r="B826" s="1336"/>
      <c r="E826" s="1335"/>
      <c r="J826" s="1340"/>
    </row>
    <row r="827" spans="2:10">
      <c r="B827" s="1336"/>
      <c r="E827" s="1335"/>
      <c r="J827" s="1340"/>
    </row>
    <row r="828" spans="2:10">
      <c r="B828" s="1336"/>
      <c r="E828" s="1335"/>
      <c r="J828" s="1340"/>
    </row>
    <row r="829" spans="2:10">
      <c r="B829" s="1336"/>
      <c r="E829" s="1335"/>
      <c r="J829" s="1340"/>
    </row>
    <row r="830" spans="2:10">
      <c r="B830" s="1336"/>
      <c r="E830" s="1335"/>
      <c r="J830" s="1340"/>
    </row>
    <row r="831" spans="2:10">
      <c r="B831" s="1336"/>
      <c r="E831" s="1335"/>
      <c r="J831" s="1340"/>
    </row>
    <row r="832" spans="2:10">
      <c r="B832" s="1336"/>
      <c r="E832" s="1335"/>
      <c r="J832" s="1340"/>
    </row>
    <row r="833" spans="2:10">
      <c r="B833" s="1336"/>
      <c r="E833" s="1335"/>
      <c r="J833" s="1340"/>
    </row>
    <row r="834" spans="2:10">
      <c r="B834" s="1336"/>
      <c r="E834" s="1335"/>
      <c r="J834" s="1340"/>
    </row>
    <row r="835" spans="2:10">
      <c r="B835" s="1336"/>
      <c r="E835" s="1335"/>
      <c r="J835" s="1340"/>
    </row>
    <row r="836" spans="2:10">
      <c r="B836" s="1336"/>
      <c r="E836" s="1335"/>
      <c r="J836" s="1340"/>
    </row>
    <row r="837" spans="2:10">
      <c r="B837" s="1336"/>
      <c r="E837" s="1335"/>
      <c r="J837" s="1340"/>
    </row>
    <row r="838" spans="2:10">
      <c r="B838" s="1336"/>
      <c r="E838" s="1335"/>
      <c r="J838" s="1340"/>
    </row>
    <row r="839" spans="2:10">
      <c r="B839" s="1336"/>
      <c r="E839" s="1335"/>
      <c r="J839" s="1340"/>
    </row>
    <row r="840" spans="2:10">
      <c r="B840" s="1336"/>
      <c r="E840" s="1335"/>
      <c r="J840" s="1340"/>
    </row>
    <row r="841" spans="2:10">
      <c r="B841" s="1336"/>
      <c r="E841" s="1335"/>
      <c r="J841" s="1340"/>
    </row>
    <row r="842" spans="2:10">
      <c r="B842" s="1336"/>
      <c r="E842" s="1335"/>
      <c r="J842" s="1340"/>
    </row>
    <row r="843" spans="2:10">
      <c r="B843" s="1336"/>
      <c r="E843" s="1335"/>
      <c r="J843" s="1340"/>
    </row>
    <row r="844" spans="2:10">
      <c r="B844" s="1336"/>
      <c r="E844" s="1335"/>
      <c r="J844" s="1340"/>
    </row>
    <row r="845" spans="2:10">
      <c r="B845" s="1336"/>
      <c r="E845" s="1335"/>
      <c r="J845" s="1340"/>
    </row>
    <row r="846" spans="2:10">
      <c r="B846" s="1336"/>
      <c r="E846" s="1335"/>
      <c r="J846" s="1340"/>
    </row>
    <row r="847" spans="2:10">
      <c r="B847" s="1336"/>
      <c r="E847" s="1335"/>
      <c r="J847" s="1340"/>
    </row>
    <row r="848" spans="2:10">
      <c r="B848" s="1336"/>
      <c r="E848" s="1335"/>
      <c r="J848" s="1340"/>
    </row>
    <row r="849" spans="2:10">
      <c r="B849" s="1336"/>
      <c r="E849" s="1335"/>
      <c r="J849" s="1340"/>
    </row>
    <row r="850" spans="2:10">
      <c r="B850" s="1336"/>
      <c r="E850" s="1335"/>
      <c r="J850" s="1340"/>
    </row>
    <row r="851" spans="2:10">
      <c r="B851" s="1336"/>
      <c r="E851" s="1335"/>
      <c r="J851" s="1340"/>
    </row>
    <row r="852" spans="2:10">
      <c r="B852" s="1336"/>
      <c r="E852" s="1335"/>
      <c r="J852" s="1340"/>
    </row>
    <row r="853" spans="2:10">
      <c r="B853" s="1336"/>
      <c r="E853" s="1335"/>
      <c r="J853" s="1340"/>
    </row>
    <row r="854" spans="2:10">
      <c r="B854" s="1336"/>
      <c r="E854" s="1335"/>
      <c r="J854" s="1340"/>
    </row>
    <row r="855" spans="2:10">
      <c r="B855" s="1336"/>
      <c r="E855" s="1335"/>
      <c r="J855" s="1340"/>
    </row>
    <row r="856" spans="2:10">
      <c r="B856" s="1336"/>
      <c r="E856" s="1335"/>
      <c r="J856" s="1340"/>
    </row>
    <row r="857" spans="2:10">
      <c r="B857" s="1336"/>
      <c r="E857" s="1335"/>
      <c r="J857" s="1340"/>
    </row>
    <row r="858" spans="2:10">
      <c r="B858" s="1336"/>
      <c r="E858" s="1335"/>
      <c r="J858" s="1340"/>
    </row>
    <row r="859" spans="2:10">
      <c r="B859" s="1336"/>
      <c r="E859" s="1335"/>
      <c r="J859" s="1340"/>
    </row>
    <row r="860" spans="2:10">
      <c r="B860" s="1336"/>
      <c r="E860" s="1335"/>
      <c r="J860" s="1340"/>
    </row>
    <row r="861" spans="2:10">
      <c r="B861" s="1336"/>
      <c r="E861" s="1335"/>
      <c r="J861" s="1340"/>
    </row>
    <row r="862" spans="2:10">
      <c r="B862" s="1336"/>
      <c r="E862" s="1335"/>
      <c r="J862" s="1340"/>
    </row>
    <row r="863" spans="2:10">
      <c r="B863" s="1336"/>
      <c r="E863" s="1335"/>
      <c r="J863" s="1340"/>
    </row>
    <row r="864" spans="2:10">
      <c r="B864" s="1336"/>
      <c r="E864" s="1335"/>
      <c r="J864" s="1340"/>
    </row>
    <row r="865" spans="2:10">
      <c r="B865" s="1336"/>
      <c r="E865" s="1335"/>
      <c r="J865" s="1340"/>
    </row>
    <row r="866" spans="2:10">
      <c r="B866" s="1336"/>
      <c r="E866" s="1335"/>
      <c r="J866" s="1340"/>
    </row>
    <row r="867" spans="2:10">
      <c r="B867" s="1336"/>
      <c r="E867" s="1335"/>
      <c r="J867" s="1340"/>
    </row>
    <row r="868" spans="2:10">
      <c r="B868" s="1336"/>
      <c r="E868" s="1335"/>
      <c r="J868" s="1340"/>
    </row>
    <row r="869" spans="2:10">
      <c r="B869" s="1336"/>
      <c r="E869" s="1335"/>
      <c r="J869" s="1340"/>
    </row>
    <row r="870" spans="2:10">
      <c r="B870" s="1336"/>
      <c r="E870" s="1335"/>
      <c r="J870" s="1340"/>
    </row>
    <row r="871" spans="2:10">
      <c r="B871" s="1336"/>
      <c r="E871" s="1335"/>
      <c r="J871" s="1340"/>
    </row>
    <row r="872" spans="2:10">
      <c r="B872" s="1336"/>
      <c r="E872" s="1335"/>
      <c r="J872" s="1340"/>
    </row>
    <row r="873" spans="2:10">
      <c r="B873" s="1336"/>
      <c r="E873" s="1335"/>
      <c r="J873" s="1340"/>
    </row>
    <row r="874" spans="2:10">
      <c r="B874" s="1336"/>
      <c r="E874" s="1335"/>
      <c r="J874" s="1340"/>
    </row>
    <row r="875" spans="2:10">
      <c r="B875" s="1336"/>
      <c r="E875" s="1335"/>
      <c r="J875" s="1340"/>
    </row>
    <row r="876" spans="2:10">
      <c r="B876" s="1336"/>
      <c r="E876" s="1335"/>
      <c r="J876" s="1340"/>
    </row>
    <row r="877" spans="2:10">
      <c r="B877" s="1336"/>
      <c r="E877" s="1335"/>
      <c r="J877" s="1340"/>
    </row>
    <row r="878" spans="2:10">
      <c r="B878" s="1336"/>
      <c r="E878" s="1335"/>
      <c r="J878" s="1340"/>
    </row>
    <row r="879" spans="2:10">
      <c r="B879" s="1336"/>
      <c r="E879" s="1335"/>
      <c r="J879" s="1340"/>
    </row>
    <row r="880" spans="2:10">
      <c r="B880" s="1336"/>
      <c r="E880" s="1335"/>
      <c r="J880" s="1340"/>
    </row>
    <row r="881" spans="2:10">
      <c r="B881" s="1336"/>
      <c r="E881" s="1335"/>
      <c r="J881" s="1340"/>
    </row>
    <row r="882" spans="2:10">
      <c r="B882" s="1336"/>
      <c r="E882" s="1335"/>
      <c r="J882" s="1340"/>
    </row>
    <row r="883" spans="2:10">
      <c r="B883" s="1336"/>
      <c r="E883" s="1335"/>
      <c r="J883" s="1340"/>
    </row>
    <row r="884" spans="2:10">
      <c r="B884" s="1336"/>
      <c r="E884" s="1335"/>
      <c r="J884" s="1340"/>
    </row>
    <row r="885" spans="2:10">
      <c r="B885" s="1336"/>
      <c r="E885" s="1335"/>
      <c r="J885" s="1340"/>
    </row>
    <row r="886" spans="2:10">
      <c r="B886" s="1336"/>
      <c r="E886" s="1335"/>
      <c r="J886" s="1340"/>
    </row>
    <row r="887" spans="2:10">
      <c r="B887" s="1336"/>
      <c r="E887" s="1335"/>
      <c r="J887" s="1340"/>
    </row>
    <row r="888" spans="2:10">
      <c r="B888" s="1336"/>
      <c r="E888" s="1335"/>
      <c r="J888" s="1340"/>
    </row>
    <row r="889" spans="2:10">
      <c r="B889" s="1336"/>
      <c r="E889" s="1335"/>
      <c r="J889" s="1340"/>
    </row>
    <row r="890" spans="2:10">
      <c r="B890" s="1336"/>
      <c r="E890" s="1335"/>
      <c r="J890" s="1340"/>
    </row>
    <row r="891" spans="2:10">
      <c r="B891" s="1336"/>
      <c r="E891" s="1335"/>
      <c r="J891" s="1340"/>
    </row>
    <row r="892" spans="2:10">
      <c r="B892" s="1336"/>
      <c r="E892" s="1335"/>
      <c r="J892" s="1340"/>
    </row>
    <row r="893" spans="2:10">
      <c r="B893" s="1336"/>
      <c r="E893" s="1335"/>
      <c r="J893" s="1340"/>
    </row>
    <row r="894" spans="2:10">
      <c r="B894" s="1336"/>
      <c r="E894" s="1335"/>
      <c r="J894" s="1340"/>
    </row>
    <row r="895" spans="2:10">
      <c r="B895" s="1336"/>
      <c r="E895" s="1335"/>
      <c r="J895" s="1340"/>
    </row>
    <row r="896" spans="2:10">
      <c r="B896" s="1336"/>
      <c r="E896" s="1335"/>
      <c r="J896" s="1340"/>
    </row>
    <row r="897" spans="2:10">
      <c r="B897" s="1336"/>
      <c r="E897" s="1335"/>
      <c r="J897" s="1340"/>
    </row>
    <row r="898" spans="2:10">
      <c r="B898" s="1336"/>
      <c r="E898" s="1335"/>
      <c r="J898" s="1340"/>
    </row>
    <row r="899" spans="2:10">
      <c r="B899" s="1336"/>
      <c r="E899" s="1335"/>
      <c r="J899" s="1340"/>
    </row>
    <row r="900" spans="2:10">
      <c r="B900" s="1336"/>
      <c r="E900" s="1335"/>
      <c r="J900" s="1340"/>
    </row>
    <row r="901" spans="2:10">
      <c r="B901" s="1336"/>
      <c r="E901" s="1335"/>
      <c r="J901" s="1340"/>
    </row>
    <row r="902" spans="2:10">
      <c r="B902" s="1336"/>
      <c r="E902" s="1335"/>
      <c r="J902" s="1340"/>
    </row>
    <row r="903" spans="2:10">
      <c r="B903" s="1336"/>
      <c r="E903" s="1335"/>
      <c r="J903" s="1340"/>
    </row>
    <row r="904" spans="2:10">
      <c r="B904" s="1336"/>
      <c r="E904" s="1335"/>
      <c r="J904" s="1340"/>
    </row>
    <row r="905" spans="2:10">
      <c r="B905" s="1336"/>
      <c r="E905" s="1335"/>
      <c r="J905" s="1340"/>
    </row>
    <row r="906" spans="2:10">
      <c r="B906" s="1336"/>
      <c r="E906" s="1335"/>
      <c r="J906" s="1340"/>
    </row>
    <row r="907" spans="2:10">
      <c r="B907" s="1336"/>
      <c r="E907" s="1335"/>
      <c r="J907" s="1340"/>
    </row>
    <row r="908" spans="2:10">
      <c r="B908" s="1336"/>
      <c r="E908" s="1335"/>
      <c r="J908" s="1340"/>
    </row>
    <row r="909" spans="2:10">
      <c r="B909" s="1336"/>
      <c r="E909" s="1335"/>
      <c r="J909" s="1340"/>
    </row>
    <row r="910" spans="2:10">
      <c r="B910" s="1336"/>
      <c r="E910" s="1335"/>
      <c r="J910" s="1340"/>
    </row>
    <row r="911" spans="2:10">
      <c r="B911" s="1336"/>
      <c r="E911" s="1335"/>
      <c r="J911" s="1340"/>
    </row>
    <row r="912" spans="2:10">
      <c r="B912" s="1336"/>
      <c r="E912" s="1335"/>
      <c r="J912" s="1340"/>
    </row>
    <row r="913" spans="2:10">
      <c r="B913" s="1336"/>
      <c r="E913" s="1335"/>
      <c r="J913" s="1340"/>
    </row>
    <row r="914" spans="2:10">
      <c r="B914" s="1336"/>
      <c r="E914" s="1335"/>
      <c r="J914" s="1340"/>
    </row>
    <row r="915" spans="2:10">
      <c r="B915" s="1336"/>
      <c r="E915" s="1335"/>
      <c r="J915" s="1340"/>
    </row>
    <row r="916" spans="2:10">
      <c r="B916" s="1336"/>
      <c r="E916" s="1335"/>
      <c r="J916" s="1340"/>
    </row>
    <row r="917" spans="2:10">
      <c r="B917" s="1336"/>
      <c r="E917" s="1335"/>
      <c r="J917" s="1340"/>
    </row>
    <row r="918" spans="2:10">
      <c r="B918" s="1336"/>
      <c r="E918" s="1335"/>
      <c r="J918" s="1340"/>
    </row>
    <row r="919" spans="2:10">
      <c r="B919" s="1336"/>
      <c r="E919" s="1335"/>
      <c r="J919" s="1340"/>
    </row>
    <row r="920" spans="2:10">
      <c r="B920" s="1336"/>
      <c r="E920" s="1335"/>
      <c r="J920" s="1340"/>
    </row>
    <row r="921" spans="2:10">
      <c r="B921" s="1336"/>
      <c r="E921" s="1335"/>
      <c r="J921" s="1340"/>
    </row>
    <row r="922" spans="2:10">
      <c r="B922" s="1336"/>
      <c r="E922" s="1335"/>
      <c r="J922" s="1340"/>
    </row>
    <row r="923" spans="2:10">
      <c r="B923" s="1336"/>
      <c r="E923" s="1335"/>
      <c r="J923" s="1340"/>
    </row>
    <row r="924" spans="2:10">
      <c r="B924" s="1336"/>
      <c r="E924" s="1335"/>
      <c r="J924" s="1340"/>
    </row>
    <row r="925" spans="2:10">
      <c r="B925" s="1336"/>
      <c r="E925" s="1335"/>
      <c r="J925" s="1340"/>
    </row>
    <row r="926" spans="2:10">
      <c r="B926" s="1336"/>
      <c r="E926" s="1335"/>
      <c r="J926" s="1340"/>
    </row>
    <row r="927" spans="2:10">
      <c r="B927" s="1336"/>
      <c r="E927" s="1335"/>
      <c r="J927" s="1340"/>
    </row>
    <row r="928" spans="2:10">
      <c r="B928" s="1336"/>
      <c r="E928" s="1335"/>
      <c r="J928" s="1340"/>
    </row>
    <row r="929" spans="2:10">
      <c r="B929" s="1336"/>
      <c r="E929" s="1335"/>
      <c r="J929" s="1340"/>
    </row>
    <row r="930" spans="2:10">
      <c r="B930" s="1336"/>
      <c r="E930" s="1335"/>
      <c r="J930" s="1340"/>
    </row>
    <row r="931" spans="2:10">
      <c r="B931" s="1336"/>
      <c r="E931" s="1335"/>
      <c r="J931" s="1340"/>
    </row>
    <row r="932" spans="2:10">
      <c r="B932" s="1336"/>
      <c r="E932" s="1335"/>
      <c r="J932" s="1340"/>
    </row>
    <row r="933" spans="2:10">
      <c r="B933" s="1336"/>
      <c r="E933" s="1335"/>
      <c r="J933" s="1340"/>
    </row>
    <row r="934" spans="2:10">
      <c r="B934" s="1336"/>
      <c r="E934" s="1335"/>
      <c r="J934" s="1340"/>
    </row>
    <row r="935" spans="2:10">
      <c r="B935" s="1336"/>
      <c r="E935" s="1335"/>
      <c r="J935" s="1340"/>
    </row>
    <row r="936" spans="2:10">
      <c r="B936" s="1336"/>
      <c r="E936" s="1335"/>
      <c r="J936" s="1340"/>
    </row>
    <row r="937" spans="2:10">
      <c r="B937" s="1336"/>
      <c r="E937" s="1335"/>
      <c r="J937" s="1340"/>
    </row>
    <row r="938" spans="2:10">
      <c r="B938" s="1336"/>
      <c r="E938" s="1335"/>
      <c r="J938" s="1340"/>
    </row>
    <row r="939" spans="2:10">
      <c r="B939" s="1336"/>
      <c r="E939" s="1335"/>
      <c r="J939" s="1340"/>
    </row>
    <row r="940" spans="2:10">
      <c r="B940" s="1336"/>
      <c r="E940" s="1335"/>
      <c r="J940" s="1340"/>
    </row>
    <row r="941" spans="2:10">
      <c r="B941" s="1336"/>
      <c r="E941" s="1335"/>
      <c r="J941" s="1340"/>
    </row>
    <row r="942" spans="2:10">
      <c r="B942" s="1336"/>
      <c r="E942" s="1335"/>
      <c r="J942" s="1340"/>
    </row>
    <row r="943" spans="2:10">
      <c r="B943" s="1336"/>
      <c r="E943" s="1335"/>
      <c r="J943" s="1340"/>
    </row>
    <row r="944" spans="2:10">
      <c r="B944" s="1336"/>
      <c r="E944" s="1335"/>
      <c r="J944" s="1340"/>
    </row>
    <row r="945" spans="2:10">
      <c r="B945" s="1336"/>
      <c r="E945" s="1335"/>
      <c r="J945" s="1340"/>
    </row>
    <row r="946" spans="2:10">
      <c r="B946" s="1336"/>
      <c r="E946" s="1335"/>
      <c r="J946" s="1340"/>
    </row>
    <row r="947" spans="2:10">
      <c r="B947" s="1336"/>
      <c r="E947" s="1335"/>
      <c r="J947" s="1340"/>
    </row>
    <row r="948" spans="2:10">
      <c r="B948" s="1336"/>
      <c r="E948" s="1335"/>
      <c r="J948" s="1340"/>
    </row>
    <row r="949" spans="2:10">
      <c r="B949" s="1336"/>
      <c r="E949" s="1335"/>
      <c r="J949" s="1340"/>
    </row>
    <row r="950" spans="2:10">
      <c r="B950" s="1336"/>
      <c r="E950" s="1335"/>
      <c r="J950" s="1340"/>
    </row>
    <row r="951" spans="2:10">
      <c r="B951" s="1336"/>
      <c r="E951" s="1335"/>
      <c r="J951" s="1340"/>
    </row>
    <row r="952" spans="2:10">
      <c r="B952" s="1336"/>
      <c r="E952" s="1335"/>
      <c r="J952" s="1340"/>
    </row>
    <row r="953" spans="2:10">
      <c r="B953" s="1336"/>
      <c r="E953" s="1335"/>
      <c r="J953" s="1340"/>
    </row>
    <row r="954" spans="2:10">
      <c r="B954" s="1336"/>
      <c r="E954" s="1335"/>
      <c r="J954" s="1340"/>
    </row>
    <row r="955" spans="2:10">
      <c r="B955" s="1336"/>
      <c r="E955" s="1335"/>
      <c r="J955" s="1340"/>
    </row>
    <row r="956" spans="2:10">
      <c r="B956" s="1336"/>
      <c r="E956" s="1335"/>
      <c r="J956" s="1340"/>
    </row>
    <row r="957" spans="2:10">
      <c r="B957" s="1336"/>
      <c r="E957" s="1335"/>
      <c r="J957" s="1340"/>
    </row>
    <row r="958" spans="2:10">
      <c r="B958" s="1336"/>
      <c r="E958" s="1335"/>
      <c r="J958" s="1340"/>
    </row>
    <row r="959" spans="2:10">
      <c r="B959" s="1336"/>
      <c r="E959" s="1335"/>
      <c r="J959" s="1340"/>
    </row>
    <row r="960" spans="2:10">
      <c r="B960" s="1336"/>
      <c r="E960" s="1335"/>
      <c r="J960" s="1340"/>
    </row>
    <row r="961" spans="2:10">
      <c r="B961" s="1336"/>
      <c r="E961" s="1335"/>
      <c r="J961" s="1340"/>
    </row>
    <row r="962" spans="2:10">
      <c r="B962" s="1336"/>
      <c r="E962" s="1335"/>
      <c r="J962" s="1340"/>
    </row>
    <row r="963" spans="2:10">
      <c r="B963" s="1336"/>
      <c r="E963" s="1335"/>
      <c r="J963" s="1340"/>
    </row>
    <row r="964" spans="2:10">
      <c r="B964" s="1336"/>
      <c r="E964" s="1335"/>
      <c r="J964" s="1340"/>
    </row>
    <row r="965" spans="2:10">
      <c r="B965" s="1336"/>
      <c r="E965" s="1335"/>
      <c r="J965" s="1340"/>
    </row>
    <row r="966" spans="2:10">
      <c r="B966" s="1336"/>
      <c r="E966" s="1335"/>
      <c r="J966" s="1340"/>
    </row>
    <row r="967" spans="2:10">
      <c r="B967" s="1336"/>
      <c r="E967" s="1335"/>
      <c r="J967" s="1340"/>
    </row>
    <row r="968" spans="2:10">
      <c r="B968" s="1336"/>
      <c r="E968" s="1335"/>
      <c r="J968" s="1340"/>
    </row>
    <row r="969" spans="2:10">
      <c r="B969" s="1336"/>
      <c r="E969" s="1335"/>
      <c r="J969" s="1340"/>
    </row>
    <row r="970" spans="2:10">
      <c r="B970" s="1336"/>
      <c r="E970" s="1335"/>
      <c r="J970" s="1340"/>
    </row>
    <row r="971" spans="2:10">
      <c r="B971" s="1336"/>
      <c r="E971" s="1335"/>
      <c r="J971" s="1340"/>
    </row>
    <row r="972" spans="2:10">
      <c r="B972" s="1336"/>
      <c r="E972" s="1335"/>
      <c r="J972" s="1340"/>
    </row>
    <row r="973" spans="2:10">
      <c r="B973" s="1336"/>
      <c r="E973" s="1335"/>
      <c r="J973" s="1340"/>
    </row>
    <row r="974" spans="2:10">
      <c r="B974" s="1336"/>
      <c r="E974" s="1335"/>
      <c r="J974" s="1340"/>
    </row>
    <row r="975" spans="2:10">
      <c r="B975" s="1336"/>
      <c r="E975" s="1335"/>
      <c r="J975" s="1340"/>
    </row>
    <row r="976" spans="2:10">
      <c r="B976" s="1336"/>
      <c r="E976" s="1335"/>
      <c r="J976" s="1340"/>
    </row>
    <row r="977" spans="2:10">
      <c r="B977" s="1336"/>
      <c r="E977" s="1335"/>
      <c r="J977" s="1340"/>
    </row>
    <row r="978" spans="2:10">
      <c r="B978" s="1336"/>
      <c r="E978" s="1335"/>
      <c r="J978" s="1340"/>
    </row>
    <row r="979" spans="2:10">
      <c r="B979" s="1336"/>
      <c r="E979" s="1335"/>
      <c r="J979" s="1340"/>
    </row>
    <row r="980" spans="2:10">
      <c r="B980" s="1336"/>
      <c r="E980" s="1335"/>
      <c r="J980" s="1340"/>
    </row>
    <row r="981" spans="2:10">
      <c r="B981" s="1336"/>
      <c r="E981" s="1335"/>
      <c r="J981" s="1340"/>
    </row>
    <row r="982" spans="2:10">
      <c r="B982" s="1336"/>
      <c r="E982" s="1335"/>
      <c r="J982" s="1340"/>
    </row>
    <row r="983" spans="2:10">
      <c r="B983" s="1336"/>
      <c r="E983" s="1335"/>
      <c r="J983" s="1340"/>
    </row>
    <row r="984" spans="2:10">
      <c r="B984" s="1336"/>
      <c r="E984" s="1335"/>
      <c r="J984" s="1340"/>
    </row>
    <row r="985" spans="2:10">
      <c r="B985" s="1336"/>
      <c r="E985" s="1335"/>
      <c r="J985" s="1340"/>
    </row>
    <row r="986" spans="2:10">
      <c r="B986" s="1336"/>
      <c r="E986" s="1335"/>
      <c r="J986" s="1340"/>
    </row>
    <row r="987" spans="2:10">
      <c r="B987" s="1336"/>
      <c r="E987" s="1335"/>
      <c r="J987" s="1340"/>
    </row>
    <row r="988" spans="2:10">
      <c r="B988" s="1336"/>
      <c r="E988" s="1335"/>
      <c r="J988" s="1340"/>
    </row>
    <row r="989" spans="2:10">
      <c r="B989" s="1336"/>
      <c r="E989" s="1335"/>
      <c r="J989" s="1340"/>
    </row>
    <row r="990" spans="2:10">
      <c r="B990" s="1336"/>
      <c r="E990" s="1335"/>
      <c r="J990" s="1340"/>
    </row>
    <row r="991" spans="2:10">
      <c r="B991" s="1336"/>
      <c r="E991" s="1335"/>
      <c r="J991" s="1340"/>
    </row>
    <row r="992" spans="2:10">
      <c r="B992" s="1336"/>
      <c r="E992" s="1335"/>
      <c r="J992" s="1340"/>
    </row>
    <row r="993" spans="2:10">
      <c r="B993" s="1336"/>
      <c r="E993" s="1335"/>
      <c r="J993" s="1340"/>
    </row>
    <row r="994" spans="2:10">
      <c r="B994" s="1336"/>
      <c r="E994" s="1335"/>
      <c r="J994" s="1340"/>
    </row>
    <row r="995" spans="2:10">
      <c r="B995" s="1336"/>
      <c r="E995" s="1335"/>
      <c r="J995" s="1340"/>
    </row>
    <row r="996" spans="2:10">
      <c r="B996" s="1336"/>
      <c r="E996" s="1335"/>
      <c r="J996" s="1340"/>
    </row>
    <row r="997" spans="2:10">
      <c r="B997" s="1336"/>
      <c r="E997" s="1335"/>
      <c r="J997" s="1340"/>
    </row>
    <row r="998" spans="2:10">
      <c r="B998" s="1336"/>
      <c r="E998" s="1335"/>
      <c r="J998" s="1340"/>
    </row>
    <row r="999" spans="2:10">
      <c r="B999" s="1336"/>
      <c r="E999" s="1335"/>
      <c r="J999" s="1340"/>
    </row>
    <row r="1000" spans="2:10">
      <c r="B1000" s="1336"/>
      <c r="E1000" s="1335"/>
      <c r="J1000" s="1340"/>
    </row>
    <row r="1001" spans="2:10">
      <c r="B1001" s="1336"/>
      <c r="E1001" s="1335"/>
      <c r="J1001" s="1340"/>
    </row>
    <row r="1002" spans="2:10">
      <c r="B1002" s="1336"/>
      <c r="E1002" s="1335"/>
      <c r="J1002" s="1340"/>
    </row>
    <row r="1003" spans="2:10">
      <c r="B1003" s="1336"/>
      <c r="E1003" s="1335"/>
      <c r="J1003" s="1340"/>
    </row>
    <row r="1004" spans="2:10">
      <c r="B1004" s="1336"/>
      <c r="E1004" s="1335"/>
      <c r="J1004" s="1340"/>
    </row>
    <row r="1005" spans="2:10">
      <c r="B1005" s="1336"/>
      <c r="E1005" s="1335"/>
      <c r="J1005" s="1340"/>
    </row>
    <row r="1006" spans="2:10">
      <c r="B1006" s="1336"/>
      <c r="E1006" s="1335"/>
      <c r="J1006" s="1340"/>
    </row>
    <row r="1007" spans="2:10">
      <c r="B1007" s="1336"/>
      <c r="E1007" s="1335"/>
      <c r="J1007" s="1340"/>
    </row>
    <row r="1008" spans="2:10">
      <c r="B1008" s="1336"/>
      <c r="E1008" s="1335"/>
      <c r="J1008" s="1340"/>
    </row>
    <row r="1009" spans="2:10">
      <c r="B1009" s="1336"/>
      <c r="E1009" s="1335"/>
      <c r="J1009" s="1340"/>
    </row>
    <row r="1010" spans="2:10">
      <c r="B1010" s="1336"/>
      <c r="E1010" s="1335"/>
      <c r="J1010" s="1340"/>
    </row>
    <row r="1011" spans="2:10">
      <c r="B1011" s="1336"/>
      <c r="E1011" s="1335"/>
      <c r="J1011" s="1340"/>
    </row>
    <row r="1012" spans="2:10">
      <c r="B1012" s="1336"/>
      <c r="E1012" s="1335"/>
      <c r="J1012" s="1340"/>
    </row>
    <row r="1013" spans="2:10">
      <c r="B1013" s="1336"/>
      <c r="E1013" s="1335"/>
      <c r="J1013" s="1340"/>
    </row>
    <row r="1014" spans="2:10">
      <c r="B1014" s="1336"/>
      <c r="E1014" s="1335"/>
      <c r="J1014" s="1340"/>
    </row>
    <row r="1015" spans="2:10">
      <c r="B1015" s="1336"/>
      <c r="E1015" s="1335"/>
      <c r="J1015" s="1340"/>
    </row>
    <row r="1016" spans="2:10">
      <c r="B1016" s="1336"/>
      <c r="E1016" s="1335"/>
      <c r="J1016" s="1340"/>
    </row>
    <row r="1017" spans="2:10">
      <c r="B1017" s="1336"/>
      <c r="E1017" s="1335"/>
      <c r="J1017" s="1340"/>
    </row>
    <row r="1018" spans="2:10">
      <c r="B1018" s="1336"/>
      <c r="E1018" s="1335"/>
      <c r="J1018" s="1340"/>
    </row>
    <row r="1019" spans="2:10">
      <c r="B1019" s="1336"/>
      <c r="E1019" s="1335"/>
      <c r="J1019" s="1340"/>
    </row>
    <row r="1020" spans="2:10">
      <c r="B1020" s="1336"/>
      <c r="E1020" s="1335"/>
      <c r="J1020" s="1340"/>
    </row>
    <row r="1021" spans="2:10">
      <c r="B1021" s="1336"/>
      <c r="E1021" s="1335"/>
      <c r="J1021" s="1340"/>
    </row>
    <row r="1022" spans="2:10">
      <c r="B1022" s="1336"/>
      <c r="E1022" s="1335"/>
      <c r="J1022" s="1340"/>
    </row>
    <row r="1023" spans="2:10">
      <c r="B1023" s="1336"/>
      <c r="E1023" s="1335"/>
      <c r="J1023" s="1340"/>
    </row>
    <row r="1024" spans="2:10">
      <c r="B1024" s="1336"/>
      <c r="E1024" s="1335"/>
      <c r="J1024" s="1340"/>
    </row>
    <row r="1025" spans="2:10">
      <c r="B1025" s="1336"/>
      <c r="E1025" s="1335"/>
      <c r="J1025" s="1340"/>
    </row>
    <row r="1026" spans="2:10">
      <c r="B1026" s="1336"/>
      <c r="E1026" s="1335"/>
      <c r="J1026" s="1340"/>
    </row>
    <row r="1027" spans="2:10">
      <c r="B1027" s="1336"/>
      <c r="E1027" s="1335"/>
      <c r="J1027" s="1340"/>
    </row>
    <row r="1028" spans="2:10">
      <c r="B1028" s="1336"/>
      <c r="E1028" s="1335"/>
      <c r="J1028" s="1340"/>
    </row>
    <row r="1029" spans="2:10">
      <c r="B1029" s="1336"/>
      <c r="E1029" s="1335"/>
      <c r="J1029" s="1340"/>
    </row>
    <row r="1030" spans="2:10">
      <c r="B1030" s="1336"/>
      <c r="E1030" s="1335"/>
      <c r="J1030" s="1340"/>
    </row>
    <row r="1031" spans="2:10">
      <c r="B1031" s="1336"/>
      <c r="E1031" s="1335"/>
      <c r="J1031" s="1340"/>
    </row>
    <row r="1032" spans="2:10">
      <c r="B1032" s="1336"/>
      <c r="E1032" s="1335"/>
      <c r="J1032" s="1340"/>
    </row>
  </sheetData>
  <mergeCells count="86">
    <mergeCell ref="B131:D131"/>
    <mergeCell ref="B132:E132"/>
    <mergeCell ref="B133:J133"/>
    <mergeCell ref="B122:D122"/>
    <mergeCell ref="J91:J93"/>
    <mergeCell ref="A110:A111"/>
    <mergeCell ref="B110:D110"/>
    <mergeCell ref="E110:E111"/>
    <mergeCell ref="J100:J101"/>
    <mergeCell ref="B101:D101"/>
    <mergeCell ref="B102:D102"/>
    <mergeCell ref="A103:A104"/>
    <mergeCell ref="E103:E104"/>
    <mergeCell ref="B104:D104"/>
    <mergeCell ref="E100:E101"/>
    <mergeCell ref="A95:A98"/>
    <mergeCell ref="E95:E98"/>
    <mergeCell ref="J95:J98"/>
    <mergeCell ref="E91:E93"/>
    <mergeCell ref="A70:A72"/>
    <mergeCell ref="B70:D70"/>
    <mergeCell ref="A74:A76"/>
    <mergeCell ref="B74:D74"/>
    <mergeCell ref="A78:A80"/>
    <mergeCell ref="B78:D78"/>
    <mergeCell ref="B87:D87"/>
    <mergeCell ref="A82:A84"/>
    <mergeCell ref="B82:D82"/>
    <mergeCell ref="A38:A44"/>
    <mergeCell ref="B38:D38"/>
    <mergeCell ref="E40:E44"/>
    <mergeCell ref="A46:A52"/>
    <mergeCell ref="B46:D46"/>
    <mergeCell ref="E48:E52"/>
    <mergeCell ref="J27:J28"/>
    <mergeCell ref="A30:A36"/>
    <mergeCell ref="B30:D30"/>
    <mergeCell ref="E32:E36"/>
    <mergeCell ref="A3:E3"/>
    <mergeCell ref="F3:I3"/>
    <mergeCell ref="A7:A11"/>
    <mergeCell ref="B7:D7"/>
    <mergeCell ref="E9:E11"/>
    <mergeCell ref="A113:A119"/>
    <mergeCell ref="E115:E119"/>
    <mergeCell ref="A121:A122"/>
    <mergeCell ref="B121:D121"/>
    <mergeCell ref="E121:E122"/>
    <mergeCell ref="B111:D111"/>
    <mergeCell ref="E106:E107"/>
    <mergeCell ref="B113:D113"/>
    <mergeCell ref="B103:D103"/>
    <mergeCell ref="B107:D107"/>
    <mergeCell ref="B105:D105"/>
    <mergeCell ref="A106:A107"/>
    <mergeCell ref="B106:D106"/>
    <mergeCell ref="A91:A93"/>
    <mergeCell ref="B91:D91"/>
    <mergeCell ref="B95:D95"/>
    <mergeCell ref="A100:A101"/>
    <mergeCell ref="B100:D100"/>
    <mergeCell ref="A87:A89"/>
    <mergeCell ref="A63:A68"/>
    <mergeCell ref="B63:D63"/>
    <mergeCell ref="C65:C68"/>
    <mergeCell ref="D65:D68"/>
    <mergeCell ref="E65:E68"/>
    <mergeCell ref="J65:J68"/>
    <mergeCell ref="A55:A61"/>
    <mergeCell ref="B55:D55"/>
    <mergeCell ref="E57:E61"/>
    <mergeCell ref="B4:D4"/>
    <mergeCell ref="B5:D5"/>
    <mergeCell ref="B6:D6"/>
    <mergeCell ref="A25:A28"/>
    <mergeCell ref="J9:J11"/>
    <mergeCell ref="B25:D25"/>
    <mergeCell ref="E27:E28"/>
    <mergeCell ref="J15:J18"/>
    <mergeCell ref="A20:A23"/>
    <mergeCell ref="B20:D20"/>
    <mergeCell ref="E22:E23"/>
    <mergeCell ref="J22:J23"/>
    <mergeCell ref="A13:A18"/>
    <mergeCell ref="B13:D13"/>
    <mergeCell ref="E15:E18"/>
  </mergeCells>
  <pageMargins left="0.7" right="0.7" top="0.75" bottom="0.75" header="0.3" footer="0.3"/>
  <pageSetup scale="45"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9E019-218E-4AF0-9A97-C425C48FE2A8}">
  <dimension ref="A1:J1042"/>
  <sheetViews>
    <sheetView view="pageBreakPreview" zoomScale="70" zoomScaleNormal="100" zoomScaleSheetLayoutView="70" workbookViewId="0"/>
  </sheetViews>
  <sheetFormatPr defaultRowHeight="13"/>
  <cols>
    <col min="1" max="1" width="7.7265625" style="1335" bestFit="1" customWidth="1"/>
    <col min="2" max="2" width="46" style="1341" customWidth="1"/>
    <col min="3" max="3" width="20.453125" style="1336" customWidth="1"/>
    <col min="4" max="4" width="18" style="1336" bestFit="1" customWidth="1"/>
    <col min="5" max="5" width="5.54296875" style="1337" bestFit="1" customWidth="1"/>
    <col min="6" max="6" width="9" style="1407" customWidth="1"/>
    <col min="7" max="7" width="9" style="1336" bestFit="1" customWidth="1"/>
    <col min="8" max="8" width="10" style="1336" customWidth="1"/>
    <col min="9" max="9" width="10" style="1339" bestFit="1" customWidth="1"/>
    <col min="10" max="10" width="22.26953125" style="1336" customWidth="1"/>
    <col min="11" max="16384" width="8.7265625" style="901"/>
  </cols>
  <sheetData>
    <row r="1" spans="1:10" s="900" customFormat="1">
      <c r="A1" s="1234" t="s">
        <v>1709</v>
      </c>
      <c r="B1" s="1235" t="s">
        <v>2403</v>
      </c>
      <c r="C1" s="1236"/>
      <c r="D1" s="376"/>
      <c r="E1" s="376"/>
      <c r="F1" s="1362"/>
      <c r="G1" s="376"/>
      <c r="H1" s="376"/>
      <c r="I1" s="376"/>
      <c r="J1" s="376"/>
    </row>
    <row r="2" spans="1:10" s="900" customFormat="1" ht="13.5" thickBot="1">
      <c r="A2" s="1234" t="s">
        <v>2404</v>
      </c>
      <c r="B2" s="1238" t="s">
        <v>2438</v>
      </c>
      <c r="C2" s="1236"/>
      <c r="D2" s="1239"/>
      <c r="E2" s="376"/>
      <c r="F2" s="1362"/>
      <c r="G2" s="376"/>
      <c r="H2" s="376"/>
      <c r="I2" s="376"/>
      <c r="J2" s="376"/>
    </row>
    <row r="3" spans="1:10" s="900" customFormat="1" ht="26">
      <c r="A3" s="1241" t="s">
        <v>1776</v>
      </c>
      <c r="B3" s="1524" t="s">
        <v>1777</v>
      </c>
      <c r="C3" s="1524"/>
      <c r="D3" s="1524"/>
      <c r="E3" s="1242" t="s">
        <v>12</v>
      </c>
      <c r="F3" s="1243" t="s">
        <v>2439</v>
      </c>
      <c r="G3" s="1243" t="s">
        <v>1778</v>
      </c>
      <c r="H3" s="1243" t="s">
        <v>382</v>
      </c>
      <c r="I3" s="1243" t="s">
        <v>383</v>
      </c>
      <c r="J3" s="1242" t="s">
        <v>384</v>
      </c>
    </row>
    <row r="4" spans="1:10">
      <c r="A4" s="1363" t="s">
        <v>406</v>
      </c>
      <c r="B4" s="1526" t="s">
        <v>1843</v>
      </c>
      <c r="C4" s="1526"/>
      <c r="D4" s="1526"/>
      <c r="E4" s="1245"/>
      <c r="F4" s="1361"/>
      <c r="G4" s="1364"/>
      <c r="H4" s="1364"/>
      <c r="I4" s="1249"/>
      <c r="J4" s="1365"/>
    </row>
    <row r="5" spans="1:10" s="902" customFormat="1">
      <c r="A5" s="1275"/>
      <c r="B5" s="1525"/>
      <c r="C5" s="1525"/>
      <c r="D5" s="1525"/>
      <c r="E5" s="1245"/>
      <c r="F5" s="1361"/>
      <c r="G5" s="1366"/>
      <c r="H5" s="1366"/>
      <c r="I5" s="1249"/>
      <c r="J5" s="1367"/>
    </row>
    <row r="6" spans="1:10">
      <c r="A6" s="1368">
        <v>1</v>
      </c>
      <c r="B6" s="1568" t="s">
        <v>2440</v>
      </c>
      <c r="C6" s="1569"/>
      <c r="D6" s="1569"/>
      <c r="E6" s="1245"/>
      <c r="F6" s="1361"/>
      <c r="G6" s="1369"/>
      <c r="H6" s="1369"/>
      <c r="I6" s="1249"/>
      <c r="J6" s="1370"/>
    </row>
    <row r="7" spans="1:10" s="903" customFormat="1">
      <c r="A7" s="1371"/>
      <c r="B7" s="1570" t="s">
        <v>2441</v>
      </c>
      <c r="C7" s="1570"/>
      <c r="D7" s="1570"/>
      <c r="E7" s="1245"/>
      <c r="F7" s="1361"/>
      <c r="G7" s="1369"/>
      <c r="H7" s="1369"/>
      <c r="I7" s="1249"/>
      <c r="J7" s="1370"/>
    </row>
    <row r="8" spans="1:10" s="903" customFormat="1">
      <c r="A8" s="1371"/>
      <c r="B8" s="1571"/>
      <c r="C8" s="1571"/>
      <c r="D8" s="1571"/>
      <c r="E8" s="1245"/>
      <c r="F8" s="1361"/>
      <c r="G8" s="1366"/>
      <c r="H8" s="1366"/>
      <c r="I8" s="1249"/>
      <c r="J8" s="1370"/>
    </row>
    <row r="9" spans="1:10" s="903" customFormat="1">
      <c r="A9" s="1372">
        <v>1.1000000000000001</v>
      </c>
      <c r="B9" s="1572" t="s">
        <v>1844</v>
      </c>
      <c r="C9" s="1572"/>
      <c r="D9" s="1572"/>
      <c r="E9" s="1245"/>
      <c r="F9" s="1361"/>
      <c r="G9" s="1366"/>
      <c r="H9" s="1366"/>
      <c r="I9" s="1249"/>
      <c r="J9" s="1370"/>
    </row>
    <row r="10" spans="1:10" s="903" customFormat="1">
      <c r="A10" s="1372"/>
      <c r="B10" s="1571"/>
      <c r="C10" s="1571"/>
      <c r="D10" s="1571"/>
      <c r="E10" s="1245"/>
      <c r="F10" s="1361"/>
      <c r="G10" s="1366"/>
      <c r="H10" s="1366"/>
      <c r="I10" s="1249"/>
      <c r="J10" s="1370"/>
    </row>
    <row r="11" spans="1:10" s="903" customFormat="1">
      <c r="A11" s="1275"/>
      <c r="B11" s="1575" t="s">
        <v>1845</v>
      </c>
      <c r="C11" s="1575"/>
      <c r="D11" s="1575"/>
      <c r="E11" s="1265" t="s">
        <v>31</v>
      </c>
      <c r="F11" s="1361">
        <v>150</v>
      </c>
      <c r="G11" s="1373">
        <v>423</v>
      </c>
      <c r="H11" s="1373">
        <v>65</v>
      </c>
      <c r="I11" s="1249">
        <f>F11*(G11+H11)</f>
        <v>73200</v>
      </c>
      <c r="J11" s="1367"/>
    </row>
    <row r="12" spans="1:10">
      <c r="A12" s="1275"/>
      <c r="B12" s="1575" t="s">
        <v>1846</v>
      </c>
      <c r="C12" s="1575"/>
      <c r="D12" s="1575"/>
      <c r="E12" s="1265" t="s">
        <v>31</v>
      </c>
      <c r="F12" s="1361">
        <v>20</v>
      </c>
      <c r="G12" s="1373">
        <v>559</v>
      </c>
      <c r="H12" s="1373">
        <v>85</v>
      </c>
      <c r="I12" s="1249">
        <f t="shared" ref="I12:I32" si="0">F12*(G12+H12)</f>
        <v>12880</v>
      </c>
      <c r="J12" s="1367"/>
    </row>
    <row r="13" spans="1:10">
      <c r="A13" s="1275"/>
      <c r="B13" s="1575" t="s">
        <v>1847</v>
      </c>
      <c r="C13" s="1575"/>
      <c r="D13" s="1575"/>
      <c r="E13" s="1265" t="s">
        <v>31</v>
      </c>
      <c r="F13" s="1361">
        <v>20</v>
      </c>
      <c r="G13" s="1373">
        <v>689</v>
      </c>
      <c r="H13" s="1373">
        <v>104</v>
      </c>
      <c r="I13" s="1249">
        <f t="shared" si="0"/>
        <v>15860</v>
      </c>
      <c r="J13" s="1367"/>
    </row>
    <row r="14" spans="1:10">
      <c r="A14" s="1275"/>
      <c r="B14" s="1575" t="s">
        <v>1848</v>
      </c>
      <c r="C14" s="1575"/>
      <c r="D14" s="1575"/>
      <c r="E14" s="1265" t="s">
        <v>31</v>
      </c>
      <c r="F14" s="1361">
        <v>10</v>
      </c>
      <c r="G14" s="1373">
        <v>715</v>
      </c>
      <c r="H14" s="1373">
        <v>104</v>
      </c>
      <c r="I14" s="1249">
        <f t="shared" si="0"/>
        <v>8190</v>
      </c>
      <c r="J14" s="1367"/>
    </row>
    <row r="15" spans="1:10">
      <c r="A15" s="1275"/>
      <c r="B15" s="1576"/>
      <c r="C15" s="1576"/>
      <c r="D15" s="1576"/>
      <c r="E15" s="1265"/>
      <c r="F15" s="1361"/>
      <c r="G15" s="1373"/>
      <c r="H15" s="1374"/>
      <c r="I15" s="1249"/>
      <c r="J15" s="1367"/>
    </row>
    <row r="16" spans="1:10">
      <c r="A16" s="1275">
        <v>1.2</v>
      </c>
      <c r="B16" s="1574" t="s">
        <v>1849</v>
      </c>
      <c r="C16" s="1574"/>
      <c r="D16" s="1574"/>
      <c r="E16" s="1265"/>
      <c r="F16" s="1361"/>
      <c r="G16" s="1373"/>
      <c r="H16" s="1373"/>
      <c r="I16" s="1249"/>
      <c r="J16" s="1367"/>
    </row>
    <row r="17" spans="1:10">
      <c r="A17" s="1275"/>
      <c r="B17" s="1573"/>
      <c r="C17" s="1573"/>
      <c r="D17" s="1573"/>
      <c r="E17" s="1265"/>
      <c r="F17" s="1361"/>
      <c r="G17" s="1373"/>
      <c r="H17" s="1373"/>
      <c r="I17" s="1249"/>
      <c r="J17" s="1367"/>
    </row>
    <row r="18" spans="1:10">
      <c r="A18" s="1275"/>
      <c r="B18" s="1575" t="s">
        <v>1845</v>
      </c>
      <c r="C18" s="1575"/>
      <c r="D18" s="1575"/>
      <c r="E18" s="1265" t="s">
        <v>31</v>
      </c>
      <c r="F18" s="1361">
        <v>90</v>
      </c>
      <c r="G18" s="1373">
        <v>423</v>
      </c>
      <c r="H18" s="1373">
        <v>65</v>
      </c>
      <c r="I18" s="1249">
        <f t="shared" si="0"/>
        <v>43920</v>
      </c>
      <c r="J18" s="1367"/>
    </row>
    <row r="19" spans="1:10">
      <c r="A19" s="1275"/>
      <c r="B19" s="1575" t="s">
        <v>1846</v>
      </c>
      <c r="C19" s="1575"/>
      <c r="D19" s="1575"/>
      <c r="E19" s="1265" t="s">
        <v>31</v>
      </c>
      <c r="F19" s="1361">
        <v>15</v>
      </c>
      <c r="G19" s="1373">
        <v>559</v>
      </c>
      <c r="H19" s="1373">
        <v>85</v>
      </c>
      <c r="I19" s="1249">
        <f t="shared" si="0"/>
        <v>9660</v>
      </c>
      <c r="J19" s="1367"/>
    </row>
    <row r="20" spans="1:10">
      <c r="A20" s="1275"/>
      <c r="B20" s="1575" t="s">
        <v>1847</v>
      </c>
      <c r="C20" s="1575"/>
      <c r="D20" s="1575"/>
      <c r="E20" s="1265" t="s">
        <v>31</v>
      </c>
      <c r="F20" s="1361">
        <v>5</v>
      </c>
      <c r="G20" s="1373">
        <v>689</v>
      </c>
      <c r="H20" s="1373">
        <v>104</v>
      </c>
      <c r="I20" s="1249">
        <f t="shared" si="0"/>
        <v>3965</v>
      </c>
      <c r="J20" s="1367"/>
    </row>
    <row r="21" spans="1:10">
      <c r="A21" s="1275"/>
      <c r="B21" s="1575" t="s">
        <v>1848</v>
      </c>
      <c r="C21" s="1575"/>
      <c r="D21" s="1575"/>
      <c r="E21" s="1265" t="s">
        <v>31</v>
      </c>
      <c r="F21" s="1361">
        <v>10</v>
      </c>
      <c r="G21" s="1373">
        <v>715</v>
      </c>
      <c r="H21" s="1373">
        <v>104</v>
      </c>
      <c r="I21" s="1249">
        <f t="shared" si="0"/>
        <v>8190</v>
      </c>
      <c r="J21" s="1367"/>
    </row>
    <row r="22" spans="1:10">
      <c r="A22" s="1275"/>
      <c r="B22" s="1573"/>
      <c r="C22" s="1573"/>
      <c r="D22" s="1573"/>
      <c r="E22" s="1265"/>
      <c r="F22" s="1361"/>
      <c r="G22" s="1373"/>
      <c r="H22" s="1373"/>
      <c r="I22" s="1249"/>
      <c r="J22" s="1367"/>
    </row>
    <row r="23" spans="1:10">
      <c r="A23" s="1275">
        <v>1.3</v>
      </c>
      <c r="B23" s="1574" t="s">
        <v>1850</v>
      </c>
      <c r="C23" s="1574"/>
      <c r="D23" s="1574"/>
      <c r="E23" s="1265"/>
      <c r="F23" s="1361"/>
      <c r="G23" s="1373"/>
      <c r="H23" s="1373"/>
      <c r="I23" s="1249"/>
      <c r="J23" s="1367"/>
    </row>
    <row r="24" spans="1:10">
      <c r="A24" s="1275"/>
      <c r="B24" s="1573"/>
      <c r="C24" s="1573"/>
      <c r="D24" s="1573"/>
      <c r="E24" s="1265"/>
      <c r="F24" s="1361"/>
      <c r="G24" s="1373"/>
      <c r="H24" s="1373"/>
      <c r="I24" s="1249"/>
      <c r="J24" s="1367"/>
    </row>
    <row r="25" spans="1:10">
      <c r="A25" s="1275"/>
      <c r="B25" s="1577" t="s">
        <v>1851</v>
      </c>
      <c r="C25" s="1577"/>
      <c r="D25" s="1577"/>
      <c r="E25" s="1265" t="s">
        <v>31</v>
      </c>
      <c r="F25" s="1361"/>
      <c r="G25" s="1373"/>
      <c r="H25" s="1374"/>
      <c r="I25" s="1249">
        <f t="shared" ref="I25:I26" si="1">F25*(G25+H25)</f>
        <v>0</v>
      </c>
      <c r="J25" s="1367"/>
    </row>
    <row r="26" spans="1:10">
      <c r="A26" s="1275"/>
      <c r="B26" s="1577" t="s">
        <v>1852</v>
      </c>
      <c r="C26" s="1577"/>
      <c r="D26" s="1577"/>
      <c r="E26" s="1265" t="s">
        <v>31</v>
      </c>
      <c r="F26" s="1361">
        <v>10</v>
      </c>
      <c r="G26" s="1373">
        <v>423</v>
      </c>
      <c r="H26" s="1373">
        <v>65</v>
      </c>
      <c r="I26" s="1249">
        <f t="shared" si="1"/>
        <v>4880</v>
      </c>
      <c r="J26" s="1367"/>
    </row>
    <row r="27" spans="1:10">
      <c r="A27" s="1275"/>
      <c r="B27" s="1576"/>
      <c r="C27" s="1576"/>
      <c r="D27" s="1576"/>
      <c r="E27" s="1265"/>
      <c r="F27" s="1361"/>
      <c r="G27" s="1373"/>
      <c r="H27" s="1374"/>
      <c r="I27" s="1249"/>
      <c r="J27" s="1367"/>
    </row>
    <row r="28" spans="1:10">
      <c r="A28" s="1275">
        <v>1.4</v>
      </c>
      <c r="B28" s="1574" t="s">
        <v>1853</v>
      </c>
      <c r="C28" s="1574"/>
      <c r="D28" s="1574"/>
      <c r="E28" s="1265"/>
      <c r="F28" s="1361"/>
      <c r="G28" s="1373"/>
      <c r="H28" s="1373"/>
      <c r="I28" s="1249"/>
      <c r="J28" s="1367"/>
    </row>
    <row r="29" spans="1:10">
      <c r="A29" s="1275"/>
      <c r="B29" s="1573"/>
      <c r="C29" s="1573"/>
      <c r="D29" s="1573"/>
      <c r="E29" s="1265"/>
      <c r="F29" s="1361"/>
      <c r="G29" s="1373"/>
      <c r="H29" s="1373"/>
      <c r="I29" s="1249"/>
      <c r="J29" s="1367"/>
    </row>
    <row r="30" spans="1:10">
      <c r="A30" s="1275"/>
      <c r="B30" s="1577" t="s">
        <v>1851</v>
      </c>
      <c r="C30" s="1577"/>
      <c r="D30" s="1577"/>
      <c r="E30" s="1265" t="s">
        <v>31</v>
      </c>
      <c r="F30" s="1361"/>
      <c r="G30" s="1373"/>
      <c r="H30" s="1374"/>
      <c r="I30" s="1249">
        <f t="shared" si="0"/>
        <v>0</v>
      </c>
      <c r="J30" s="1367"/>
    </row>
    <row r="31" spans="1:10">
      <c r="A31" s="1275"/>
      <c r="B31" s="1577" t="s">
        <v>1852</v>
      </c>
      <c r="C31" s="1577"/>
      <c r="D31" s="1577"/>
      <c r="E31" s="1265" t="s">
        <v>31</v>
      </c>
      <c r="F31" s="1361">
        <v>10</v>
      </c>
      <c r="G31" s="1373">
        <v>423</v>
      </c>
      <c r="H31" s="1373">
        <v>65</v>
      </c>
      <c r="I31" s="1249">
        <f t="shared" si="0"/>
        <v>4880</v>
      </c>
      <c r="J31" s="1367"/>
    </row>
    <row r="32" spans="1:10">
      <c r="A32" s="1275"/>
      <c r="B32" s="1577" t="s">
        <v>1854</v>
      </c>
      <c r="C32" s="1577"/>
      <c r="D32" s="1577"/>
      <c r="E32" s="1265" t="s">
        <v>31</v>
      </c>
      <c r="F32" s="1361"/>
      <c r="G32" s="1373">
        <v>559</v>
      </c>
      <c r="H32" s="1373">
        <v>85</v>
      </c>
      <c r="I32" s="1249">
        <f t="shared" si="0"/>
        <v>0</v>
      </c>
      <c r="J32" s="1367"/>
    </row>
    <row r="33" spans="1:10">
      <c r="A33" s="1275"/>
      <c r="B33" s="1576"/>
      <c r="C33" s="1576"/>
      <c r="D33" s="1576"/>
      <c r="E33" s="1265"/>
      <c r="F33" s="1361"/>
      <c r="G33" s="1373"/>
      <c r="H33" s="1374"/>
      <c r="I33" s="1249"/>
      <c r="J33" s="1367"/>
    </row>
    <row r="34" spans="1:10">
      <c r="A34" s="1375">
        <v>2</v>
      </c>
      <c r="B34" s="1578" t="s">
        <v>2442</v>
      </c>
      <c r="C34" s="1578"/>
      <c r="D34" s="1578"/>
      <c r="E34" s="1265"/>
      <c r="F34" s="1361"/>
      <c r="G34" s="1373"/>
      <c r="H34" s="1374"/>
      <c r="I34" s="1249"/>
      <c r="J34" s="1367"/>
    </row>
    <row r="35" spans="1:10">
      <c r="A35" s="1275"/>
      <c r="B35" s="1574" t="s">
        <v>1855</v>
      </c>
      <c r="C35" s="1577"/>
      <c r="D35" s="1577"/>
      <c r="E35" s="1265"/>
      <c r="F35" s="1361"/>
      <c r="G35" s="1373"/>
      <c r="H35" s="1374"/>
      <c r="I35" s="1249"/>
      <c r="J35" s="1367"/>
    </row>
    <row r="36" spans="1:10">
      <c r="A36" s="1275"/>
      <c r="B36" s="1579" t="s">
        <v>1856</v>
      </c>
      <c r="C36" s="1579"/>
      <c r="D36" s="1579"/>
      <c r="E36" s="1265" t="s">
        <v>31</v>
      </c>
      <c r="F36" s="1361"/>
      <c r="G36" s="1373">
        <v>325</v>
      </c>
      <c r="H36" s="1373">
        <v>111</v>
      </c>
      <c r="I36" s="1249">
        <f t="shared" ref="I36:I37" si="2">F36*(G36+H36)</f>
        <v>0</v>
      </c>
      <c r="J36" s="1367"/>
    </row>
    <row r="37" spans="1:10">
      <c r="A37" s="1275"/>
      <c r="B37" s="1579" t="s">
        <v>1857</v>
      </c>
      <c r="C37" s="1579"/>
      <c r="D37" s="1579"/>
      <c r="E37" s="1265" t="s">
        <v>31</v>
      </c>
      <c r="F37" s="1361">
        <f>+F26</f>
        <v>10</v>
      </c>
      <c r="G37" s="1373">
        <v>377</v>
      </c>
      <c r="H37" s="1373">
        <v>117</v>
      </c>
      <c r="I37" s="1249">
        <f t="shared" si="2"/>
        <v>4940</v>
      </c>
      <c r="J37" s="1367"/>
    </row>
    <row r="38" spans="1:10">
      <c r="A38" s="1275"/>
      <c r="B38" s="1580"/>
      <c r="C38" s="1580"/>
      <c r="D38" s="1580"/>
      <c r="E38" s="1265"/>
      <c r="F38" s="1361"/>
      <c r="G38" s="1376"/>
      <c r="H38" s="1373"/>
      <c r="I38" s="1249"/>
      <c r="J38" s="1367"/>
    </row>
    <row r="39" spans="1:10">
      <c r="A39" s="1377">
        <v>3</v>
      </c>
      <c r="B39" s="1575" t="s">
        <v>2443</v>
      </c>
      <c r="C39" s="1575"/>
      <c r="D39" s="1575"/>
      <c r="E39" s="1265"/>
      <c r="F39" s="1361"/>
      <c r="G39" s="1376"/>
      <c r="H39" s="1373"/>
      <c r="I39" s="1249"/>
      <c r="J39" s="1367"/>
    </row>
    <row r="40" spans="1:10">
      <c r="A40" s="1275"/>
      <c r="B40" s="1577" t="s">
        <v>2444</v>
      </c>
      <c r="C40" s="1577"/>
      <c r="D40" s="1577"/>
      <c r="E40" s="1265"/>
      <c r="F40" s="1361"/>
      <c r="G40" s="1376"/>
      <c r="H40" s="1373"/>
      <c r="I40" s="1249"/>
      <c r="J40" s="1367"/>
    </row>
    <row r="41" spans="1:10">
      <c r="A41" s="1275"/>
      <c r="B41" s="1579" t="s">
        <v>1858</v>
      </c>
      <c r="C41" s="1579"/>
      <c r="D41" s="1579"/>
      <c r="E41" s="1265" t="s">
        <v>16</v>
      </c>
      <c r="F41" s="1361">
        <v>10</v>
      </c>
      <c r="G41" s="1373">
        <v>845</v>
      </c>
      <c r="H41" s="1373">
        <v>163</v>
      </c>
      <c r="I41" s="1249">
        <f t="shared" ref="I41" si="3">F41*(G41+H41)</f>
        <v>10080</v>
      </c>
      <c r="J41" s="1367"/>
    </row>
    <row r="42" spans="1:10">
      <c r="A42" s="1275"/>
      <c r="B42" s="1582"/>
      <c r="C42" s="1582"/>
      <c r="D42" s="1582"/>
      <c r="E42" s="1265"/>
      <c r="F42" s="1361"/>
      <c r="G42" s="1373"/>
      <c r="H42" s="1373"/>
      <c r="I42" s="1249"/>
      <c r="J42" s="1367"/>
    </row>
    <row r="43" spans="1:10">
      <c r="A43" s="1275"/>
      <c r="B43" s="1579" t="s">
        <v>1859</v>
      </c>
      <c r="C43" s="1579"/>
      <c r="D43" s="1579"/>
      <c r="E43" s="1265" t="s">
        <v>16</v>
      </c>
      <c r="F43" s="1361">
        <v>3</v>
      </c>
      <c r="G43" s="1373">
        <v>1365</v>
      </c>
      <c r="H43" s="1373">
        <v>163</v>
      </c>
      <c r="I43" s="1249">
        <f t="shared" ref="I43" si="4">F43*(G43+H43)</f>
        <v>4584</v>
      </c>
      <c r="J43" s="1367"/>
    </row>
    <row r="44" spans="1:10">
      <c r="A44" s="1275"/>
      <c r="B44" s="1582"/>
      <c r="C44" s="1582"/>
      <c r="D44" s="1582"/>
      <c r="E44" s="1265"/>
      <c r="F44" s="1361"/>
      <c r="G44" s="1373"/>
      <c r="H44" s="1373"/>
      <c r="I44" s="1249"/>
      <c r="J44" s="1367"/>
    </row>
    <row r="45" spans="1:10">
      <c r="A45" s="1275"/>
      <c r="B45" s="1579" t="s">
        <v>1860</v>
      </c>
      <c r="C45" s="1579"/>
      <c r="D45" s="1579"/>
      <c r="E45" s="1265" t="s">
        <v>16</v>
      </c>
      <c r="F45" s="1361">
        <v>3</v>
      </c>
      <c r="G45" s="1373">
        <v>1690</v>
      </c>
      <c r="H45" s="1373">
        <v>195</v>
      </c>
      <c r="I45" s="1249">
        <f t="shared" ref="I45" si="5">F45*(G45+H45)</f>
        <v>5655</v>
      </c>
      <c r="J45" s="1367"/>
    </row>
    <row r="46" spans="1:10">
      <c r="A46" s="1275"/>
      <c r="B46" s="1581"/>
      <c r="C46" s="1581"/>
      <c r="D46" s="1581"/>
      <c r="E46" s="1265"/>
      <c r="F46" s="1361"/>
      <c r="G46" s="1373"/>
      <c r="H46" s="1373"/>
      <c r="I46" s="1249"/>
      <c r="J46" s="1367"/>
    </row>
    <row r="47" spans="1:10">
      <c r="A47" s="1275"/>
      <c r="B47" s="1579" t="s">
        <v>1861</v>
      </c>
      <c r="C47" s="1579"/>
      <c r="D47" s="1579"/>
      <c r="E47" s="1265" t="s">
        <v>16</v>
      </c>
      <c r="F47" s="1361">
        <v>2</v>
      </c>
      <c r="G47" s="1373">
        <v>2080</v>
      </c>
      <c r="H47" s="1373">
        <v>234</v>
      </c>
      <c r="I47" s="1249">
        <f t="shared" ref="I47" si="6">F47*(G47+H47)</f>
        <v>4628</v>
      </c>
      <c r="J47" s="1367"/>
    </row>
    <row r="48" spans="1:10">
      <c r="A48" s="1275"/>
      <c r="B48" s="1581"/>
      <c r="C48" s="1581"/>
      <c r="D48" s="1581"/>
      <c r="E48" s="1265"/>
      <c r="F48" s="1361"/>
      <c r="G48" s="1373"/>
      <c r="H48" s="1373"/>
      <c r="I48" s="1249"/>
      <c r="J48" s="1367"/>
    </row>
    <row r="49" spans="1:10">
      <c r="A49" s="1596">
        <v>4</v>
      </c>
      <c r="B49" s="1575" t="s">
        <v>2445</v>
      </c>
      <c r="C49" s="1575"/>
      <c r="D49" s="1575"/>
      <c r="E49" s="1265"/>
      <c r="F49" s="1361"/>
      <c r="G49" s="1373"/>
      <c r="H49" s="1373"/>
      <c r="I49" s="1249"/>
      <c r="J49" s="1367"/>
    </row>
    <row r="50" spans="1:10">
      <c r="A50" s="1596"/>
      <c r="B50" s="1267" t="s">
        <v>1862</v>
      </c>
      <c r="C50" s="1267" t="s">
        <v>1781</v>
      </c>
      <c r="D50" s="1378"/>
      <c r="E50" s="1265"/>
      <c r="F50" s="1361"/>
      <c r="G50" s="1373"/>
      <c r="H50" s="1373"/>
      <c r="I50" s="1249"/>
      <c r="J50" s="1367"/>
    </row>
    <row r="51" spans="1:10">
      <c r="A51" s="1596"/>
      <c r="B51" s="1379" t="s">
        <v>1863</v>
      </c>
      <c r="C51" s="1292" t="s">
        <v>1864</v>
      </c>
      <c r="D51" s="1378"/>
      <c r="E51" s="1265" t="s">
        <v>16</v>
      </c>
      <c r="F51" s="1361"/>
      <c r="G51" s="1373">
        <v>20150</v>
      </c>
      <c r="H51" s="1373">
        <v>975</v>
      </c>
      <c r="I51" s="1249">
        <f t="shared" ref="I51:I54" si="7">F51*(G51+H51)</f>
        <v>0</v>
      </c>
      <c r="J51" s="1367"/>
    </row>
    <row r="52" spans="1:10">
      <c r="A52" s="1375"/>
      <c r="B52" s="1379" t="s">
        <v>1865</v>
      </c>
      <c r="C52" s="1292" t="s">
        <v>1866</v>
      </c>
      <c r="D52" s="1378"/>
      <c r="E52" s="1265" t="s">
        <v>16</v>
      </c>
      <c r="F52" s="1361"/>
      <c r="G52" s="1373">
        <v>32500</v>
      </c>
      <c r="H52" s="1373">
        <v>975</v>
      </c>
      <c r="I52" s="1249">
        <f t="shared" si="7"/>
        <v>0</v>
      </c>
      <c r="J52" s="1367"/>
    </row>
    <row r="53" spans="1:10">
      <c r="A53" s="1375"/>
      <c r="B53" s="1379" t="s">
        <v>1867</v>
      </c>
      <c r="C53" s="1292" t="s">
        <v>1868</v>
      </c>
      <c r="D53" s="1378"/>
      <c r="E53" s="1265" t="s">
        <v>16</v>
      </c>
      <c r="F53" s="1361">
        <v>3</v>
      </c>
      <c r="G53" s="1373">
        <v>84500</v>
      </c>
      <c r="H53" s="1373">
        <v>975</v>
      </c>
      <c r="I53" s="1249">
        <f t="shared" si="7"/>
        <v>256425</v>
      </c>
      <c r="J53" s="1367"/>
    </row>
    <row r="54" spans="1:10">
      <c r="A54" s="1375"/>
      <c r="B54" s="1379" t="s">
        <v>1869</v>
      </c>
      <c r="C54" s="1292" t="s">
        <v>1868</v>
      </c>
      <c r="D54" s="1378"/>
      <c r="E54" s="1265" t="s">
        <v>16</v>
      </c>
      <c r="F54" s="1361">
        <v>2</v>
      </c>
      <c r="G54" s="1373">
        <v>97500</v>
      </c>
      <c r="H54" s="1373">
        <v>1170</v>
      </c>
      <c r="I54" s="1249">
        <f t="shared" si="7"/>
        <v>197340</v>
      </c>
      <c r="J54" s="1367"/>
    </row>
    <row r="55" spans="1:10">
      <c r="A55" s="1275"/>
      <c r="B55" s="1576"/>
      <c r="C55" s="1576"/>
      <c r="D55" s="1576"/>
      <c r="E55" s="1265"/>
      <c r="F55" s="1361"/>
      <c r="G55" s="1373"/>
      <c r="H55" s="1373"/>
      <c r="I55" s="1249"/>
      <c r="J55" s="1367"/>
    </row>
    <row r="56" spans="1:10">
      <c r="A56" s="1275">
        <v>5</v>
      </c>
      <c r="B56" s="1575" t="s">
        <v>2446</v>
      </c>
      <c r="C56" s="1575"/>
      <c r="D56" s="1575"/>
      <c r="E56" s="1380"/>
      <c r="F56" s="1361"/>
      <c r="G56" s="1381"/>
      <c r="H56" s="1382"/>
      <c r="I56" s="1249"/>
      <c r="J56" s="1383"/>
    </row>
    <row r="57" spans="1:10">
      <c r="A57" s="1275"/>
      <c r="B57" s="1575" t="s">
        <v>1875</v>
      </c>
      <c r="C57" s="1575"/>
      <c r="D57" s="1575"/>
      <c r="E57" s="1380" t="s">
        <v>1785</v>
      </c>
      <c r="F57" s="1361"/>
      <c r="G57" s="1276"/>
      <c r="H57" s="1374"/>
      <c r="I57" s="1249">
        <f t="shared" ref="I57:I65" si="8">F57*(G57+H57)</f>
        <v>0</v>
      </c>
      <c r="J57" s="1383"/>
    </row>
    <row r="58" spans="1:10">
      <c r="A58" s="1275"/>
      <c r="B58" s="1575" t="s">
        <v>1876</v>
      </c>
      <c r="C58" s="1575"/>
      <c r="D58" s="1575"/>
      <c r="E58" s="1380" t="s">
        <v>1785</v>
      </c>
      <c r="F58" s="1361">
        <v>1</v>
      </c>
      <c r="G58" s="1373">
        <v>58500</v>
      </c>
      <c r="H58" s="1373">
        <v>3250</v>
      </c>
      <c r="I58" s="1249">
        <f t="shared" si="8"/>
        <v>61750</v>
      </c>
      <c r="J58" s="1383"/>
    </row>
    <row r="59" spans="1:10">
      <c r="A59" s="1275"/>
      <c r="B59" s="1575" t="s">
        <v>1877</v>
      </c>
      <c r="C59" s="1575"/>
      <c r="D59" s="1575"/>
      <c r="E59" s="1380" t="s">
        <v>1785</v>
      </c>
      <c r="F59" s="1361"/>
      <c r="G59" s="1384"/>
      <c r="H59" s="1374"/>
      <c r="I59" s="1249">
        <f t="shared" si="8"/>
        <v>0</v>
      </c>
      <c r="J59" s="1383"/>
    </row>
    <row r="60" spans="1:10">
      <c r="A60" s="1275"/>
      <c r="B60" s="1575" t="s">
        <v>1878</v>
      </c>
      <c r="C60" s="1575"/>
      <c r="D60" s="1575"/>
      <c r="E60" s="1380" t="s">
        <v>1785</v>
      </c>
      <c r="F60" s="1361"/>
      <c r="G60" s="1384"/>
      <c r="H60" s="1374"/>
      <c r="I60" s="1249">
        <f t="shared" si="8"/>
        <v>0</v>
      </c>
      <c r="J60" s="1383"/>
    </row>
    <row r="61" spans="1:10">
      <c r="A61" s="1275"/>
      <c r="B61" s="1575" t="s">
        <v>1879</v>
      </c>
      <c r="C61" s="1575"/>
      <c r="D61" s="1575"/>
      <c r="E61" s="1380" t="s">
        <v>1785</v>
      </c>
      <c r="F61" s="1361"/>
      <c r="G61" s="1384"/>
      <c r="H61" s="1374"/>
      <c r="I61" s="1249">
        <f t="shared" si="8"/>
        <v>0</v>
      </c>
      <c r="J61" s="1383"/>
    </row>
    <row r="62" spans="1:10">
      <c r="A62" s="1275"/>
      <c r="B62" s="1575" t="s">
        <v>1880</v>
      </c>
      <c r="C62" s="1575"/>
      <c r="D62" s="1575"/>
      <c r="E62" s="1380" t="s">
        <v>1785</v>
      </c>
      <c r="F62" s="1361"/>
      <c r="G62" s="1384"/>
      <c r="H62" s="1374"/>
      <c r="I62" s="1249">
        <f t="shared" si="8"/>
        <v>0</v>
      </c>
      <c r="J62" s="1383"/>
    </row>
    <row r="63" spans="1:10">
      <c r="A63" s="1275"/>
      <c r="B63" s="1575"/>
      <c r="C63" s="1575"/>
      <c r="D63" s="1575"/>
      <c r="E63" s="1265"/>
      <c r="F63" s="1361"/>
      <c r="G63" s="1373"/>
      <c r="H63" s="1373"/>
      <c r="I63" s="1249">
        <f t="shared" si="8"/>
        <v>0</v>
      </c>
      <c r="J63" s="1367"/>
    </row>
    <row r="64" spans="1:10">
      <c r="A64" s="1368">
        <v>6</v>
      </c>
      <c r="B64" s="1568" t="s">
        <v>2447</v>
      </c>
      <c r="C64" s="1569"/>
      <c r="D64" s="1569"/>
      <c r="E64" s="1245" t="s">
        <v>16</v>
      </c>
      <c r="F64" s="1361">
        <v>0</v>
      </c>
      <c r="G64" s="1373">
        <v>455000</v>
      </c>
      <c r="H64" s="1373">
        <v>6500</v>
      </c>
      <c r="I64" s="1249">
        <f t="shared" si="8"/>
        <v>0</v>
      </c>
      <c r="J64" s="1370"/>
    </row>
    <row r="65" spans="1:10">
      <c r="A65" s="1275"/>
      <c r="B65" s="1575"/>
      <c r="C65" s="1575"/>
      <c r="D65" s="1575"/>
      <c r="E65" s="1265"/>
      <c r="F65" s="1361"/>
      <c r="G65" s="1373"/>
      <c r="H65" s="1373"/>
      <c r="I65" s="1249">
        <f t="shared" si="8"/>
        <v>0</v>
      </c>
      <c r="J65" s="1367"/>
    </row>
    <row r="66" spans="1:10">
      <c r="A66" s="1385" t="s">
        <v>407</v>
      </c>
      <c r="B66" s="1597" t="s">
        <v>2448</v>
      </c>
      <c r="C66" s="1598"/>
      <c r="D66" s="1599"/>
      <c r="E66" s="1265"/>
      <c r="F66" s="1361"/>
      <c r="G66" s="1373"/>
      <c r="H66" s="1373"/>
      <c r="I66" s="1249"/>
      <c r="J66" s="1367"/>
    </row>
    <row r="67" spans="1:10">
      <c r="A67" s="1266">
        <v>1</v>
      </c>
      <c r="B67" s="1575" t="s">
        <v>1881</v>
      </c>
      <c r="C67" s="1575"/>
      <c r="D67" s="1575"/>
      <c r="E67" s="1265"/>
      <c r="F67" s="1361"/>
      <c r="G67" s="1373"/>
      <c r="H67" s="1373"/>
      <c r="I67" s="1249"/>
      <c r="J67" s="1367"/>
    </row>
    <row r="68" spans="1:10">
      <c r="A68" s="1275"/>
      <c r="B68" s="1577" t="s">
        <v>2449</v>
      </c>
      <c r="C68" s="1577"/>
      <c r="D68" s="1577"/>
      <c r="E68" s="1265"/>
      <c r="F68" s="1361"/>
      <c r="G68" s="1373"/>
      <c r="H68" s="1373"/>
      <c r="I68" s="1249"/>
      <c r="J68" s="1367"/>
    </row>
    <row r="69" spans="1:10">
      <c r="A69" s="1275"/>
      <c r="B69" s="1600"/>
      <c r="C69" s="1600"/>
      <c r="D69" s="1600"/>
      <c r="E69" s="1265"/>
      <c r="F69" s="1361"/>
      <c r="G69" s="1373"/>
      <c r="H69" s="1373"/>
      <c r="I69" s="1249"/>
      <c r="J69" s="1367"/>
    </row>
    <row r="70" spans="1:10">
      <c r="A70" s="1275"/>
      <c r="B70" s="1578" t="s">
        <v>1882</v>
      </c>
      <c r="C70" s="1578"/>
      <c r="D70" s="1578"/>
      <c r="E70" s="1265" t="s">
        <v>31</v>
      </c>
      <c r="F70" s="1361">
        <v>75</v>
      </c>
      <c r="G70" s="1373">
        <v>553</v>
      </c>
      <c r="H70" s="1373">
        <v>104</v>
      </c>
      <c r="I70" s="1249">
        <f t="shared" ref="I70:I71" si="9">F70*(G70+H70)</f>
        <v>49275</v>
      </c>
      <c r="J70" s="1367"/>
    </row>
    <row r="71" spans="1:10">
      <c r="A71" s="1275"/>
      <c r="B71" s="1578" t="s">
        <v>1883</v>
      </c>
      <c r="C71" s="1578"/>
      <c r="D71" s="1578"/>
      <c r="E71" s="1265" t="s">
        <v>31</v>
      </c>
      <c r="F71" s="1361">
        <v>100</v>
      </c>
      <c r="G71" s="1373">
        <v>689</v>
      </c>
      <c r="H71" s="1373">
        <v>124</v>
      </c>
      <c r="I71" s="1249">
        <f t="shared" si="9"/>
        <v>81300</v>
      </c>
      <c r="J71" s="1367"/>
    </row>
    <row r="72" spans="1:10">
      <c r="A72" s="1275"/>
      <c r="B72" s="1575"/>
      <c r="C72" s="1575"/>
      <c r="D72" s="1575"/>
      <c r="E72" s="1265"/>
      <c r="F72" s="1361"/>
      <c r="G72" s="1373"/>
      <c r="H72" s="1373"/>
      <c r="I72" s="1249"/>
      <c r="J72" s="1367"/>
    </row>
    <row r="73" spans="1:10">
      <c r="A73" s="1266">
        <v>2</v>
      </c>
      <c r="B73" s="1575" t="s">
        <v>2450</v>
      </c>
      <c r="C73" s="1575"/>
      <c r="D73" s="1575"/>
      <c r="E73" s="1265"/>
      <c r="F73" s="1361"/>
      <c r="G73" s="1373"/>
      <c r="H73" s="1373"/>
      <c r="I73" s="1249"/>
      <c r="J73" s="1367"/>
    </row>
    <row r="74" spans="1:10">
      <c r="A74" s="1275"/>
      <c r="B74" s="1577" t="s">
        <v>2451</v>
      </c>
      <c r="C74" s="1577"/>
      <c r="D74" s="1577"/>
      <c r="E74" s="1265"/>
      <c r="F74" s="1361"/>
      <c r="G74" s="1373"/>
      <c r="H74" s="1373"/>
      <c r="I74" s="1249"/>
      <c r="J74" s="1367"/>
    </row>
    <row r="75" spans="1:10">
      <c r="A75" s="1275"/>
      <c r="B75" s="1577" t="s">
        <v>1884</v>
      </c>
      <c r="C75" s="1577"/>
      <c r="D75" s="1577"/>
      <c r="E75" s="1265" t="s">
        <v>31</v>
      </c>
      <c r="F75" s="1361">
        <v>45</v>
      </c>
      <c r="G75" s="1373">
        <v>325</v>
      </c>
      <c r="H75" s="1373">
        <v>65</v>
      </c>
      <c r="I75" s="1249">
        <f>F75*(G75+H75)</f>
        <v>17550</v>
      </c>
      <c r="J75" s="1367"/>
    </row>
    <row r="76" spans="1:10">
      <c r="A76" s="1275"/>
      <c r="B76" s="1576"/>
      <c r="C76" s="1576"/>
      <c r="D76" s="1576"/>
      <c r="E76" s="1265"/>
      <c r="F76" s="1361"/>
      <c r="G76" s="1386"/>
      <c r="H76" s="1386"/>
      <c r="I76" s="1249"/>
      <c r="J76" s="1367"/>
    </row>
    <row r="77" spans="1:10">
      <c r="A77" s="1275"/>
      <c r="B77" s="1577" t="s">
        <v>1885</v>
      </c>
      <c r="C77" s="1577"/>
      <c r="D77" s="1577"/>
      <c r="E77" s="1265" t="s">
        <v>31</v>
      </c>
      <c r="F77" s="1361">
        <v>30</v>
      </c>
      <c r="G77" s="1373">
        <v>364</v>
      </c>
      <c r="H77" s="1373">
        <v>72</v>
      </c>
      <c r="I77" s="1249">
        <f>F77*(G77+H77)</f>
        <v>13080</v>
      </c>
      <c r="J77" s="1367"/>
    </row>
    <row r="78" spans="1:10">
      <c r="A78" s="1275"/>
      <c r="B78" s="1576"/>
      <c r="C78" s="1576"/>
      <c r="D78" s="1576"/>
      <c r="E78" s="1265"/>
      <c r="F78" s="1361"/>
      <c r="G78" s="1373"/>
      <c r="H78" s="1373"/>
      <c r="I78" s="1249"/>
      <c r="J78" s="1367"/>
    </row>
    <row r="79" spans="1:10">
      <c r="A79" s="1266">
        <v>3</v>
      </c>
      <c r="B79" s="1575" t="s">
        <v>2452</v>
      </c>
      <c r="C79" s="1575"/>
      <c r="D79" s="1575"/>
      <c r="E79" s="1265"/>
      <c r="F79" s="1361"/>
      <c r="G79" s="1373"/>
      <c r="H79" s="1373"/>
      <c r="I79" s="1249"/>
      <c r="J79" s="1367"/>
    </row>
    <row r="80" spans="1:10">
      <c r="A80" s="1275"/>
      <c r="B80" s="1577" t="s">
        <v>2453</v>
      </c>
      <c r="C80" s="1577"/>
      <c r="D80" s="1577"/>
      <c r="E80" s="1265"/>
      <c r="F80" s="1361"/>
      <c r="G80" s="1373"/>
      <c r="H80" s="1373"/>
      <c r="I80" s="1249"/>
      <c r="J80" s="1367"/>
    </row>
    <row r="81" spans="1:10">
      <c r="A81" s="1275"/>
      <c r="B81" s="1586" t="s">
        <v>2454</v>
      </c>
      <c r="C81" s="1587"/>
      <c r="D81" s="1588"/>
      <c r="E81" s="1265" t="s">
        <v>31</v>
      </c>
      <c r="F81" s="1361">
        <v>0</v>
      </c>
      <c r="G81" s="1373">
        <v>553</v>
      </c>
      <c r="H81" s="1373">
        <v>195</v>
      </c>
      <c r="I81" s="1249">
        <f t="shared" ref="I81:I84" si="10">F81*(G81+H81)</f>
        <v>0</v>
      </c>
      <c r="J81" s="1367"/>
    </row>
    <row r="82" spans="1:10">
      <c r="A82" s="1275"/>
      <c r="B82" s="1578" t="s">
        <v>2455</v>
      </c>
      <c r="C82" s="1578"/>
      <c r="D82" s="1578"/>
      <c r="E82" s="1265" t="s">
        <v>31</v>
      </c>
      <c r="F82" s="1361">
        <v>0</v>
      </c>
      <c r="G82" s="1373">
        <v>689</v>
      </c>
      <c r="H82" s="1373">
        <v>260</v>
      </c>
      <c r="I82" s="1249">
        <f t="shared" si="10"/>
        <v>0</v>
      </c>
      <c r="J82" s="1367"/>
    </row>
    <row r="83" spans="1:10">
      <c r="A83" s="1275"/>
      <c r="B83" s="1578" t="s">
        <v>2456</v>
      </c>
      <c r="C83" s="1578"/>
      <c r="D83" s="1578"/>
      <c r="E83" s="1265" t="s">
        <v>31</v>
      </c>
      <c r="F83" s="1361">
        <v>0</v>
      </c>
      <c r="G83" s="1373">
        <v>1235</v>
      </c>
      <c r="H83" s="1373">
        <v>325</v>
      </c>
      <c r="I83" s="1249">
        <f t="shared" si="10"/>
        <v>0</v>
      </c>
      <c r="J83" s="1367"/>
    </row>
    <row r="84" spans="1:10">
      <c r="A84" s="1275"/>
      <c r="B84" s="1578" t="s">
        <v>2457</v>
      </c>
      <c r="C84" s="1578"/>
      <c r="D84" s="1578"/>
      <c r="E84" s="1265" t="s">
        <v>31</v>
      </c>
      <c r="F84" s="1361"/>
      <c r="G84" s="1373">
        <v>2470</v>
      </c>
      <c r="H84" s="1373">
        <v>410</v>
      </c>
      <c r="I84" s="1249">
        <f t="shared" si="10"/>
        <v>0</v>
      </c>
      <c r="J84" s="1367"/>
    </row>
    <row r="85" spans="1:10">
      <c r="A85" s="1275"/>
      <c r="B85" s="1575"/>
      <c r="C85" s="1575"/>
      <c r="D85" s="1575"/>
      <c r="E85" s="1265"/>
      <c r="F85" s="1361"/>
      <c r="G85" s="1373"/>
      <c r="H85" s="1373"/>
      <c r="I85" s="1249"/>
      <c r="J85" s="1367"/>
    </row>
    <row r="86" spans="1:10">
      <c r="A86" s="1266">
        <v>4</v>
      </c>
      <c r="B86" s="1575" t="s">
        <v>2458</v>
      </c>
      <c r="C86" s="1575"/>
      <c r="D86" s="1575"/>
      <c r="E86" s="1265" t="s">
        <v>16</v>
      </c>
      <c r="F86" s="1361">
        <v>27</v>
      </c>
      <c r="G86" s="1373">
        <v>1495</v>
      </c>
      <c r="H86" s="1373">
        <v>325</v>
      </c>
      <c r="I86" s="1249">
        <f t="shared" ref="I86:I87" si="11">F86*(G86+H86)</f>
        <v>49140</v>
      </c>
      <c r="J86" s="1367"/>
    </row>
    <row r="87" spans="1:10">
      <c r="A87" s="1387"/>
      <c r="B87" s="1575" t="s">
        <v>2567</v>
      </c>
      <c r="C87" s="1575"/>
      <c r="D87" s="1575"/>
      <c r="E87" s="1442" t="s">
        <v>16</v>
      </c>
      <c r="F87" s="1361">
        <v>8</v>
      </c>
      <c r="G87" s="1373">
        <v>1755</v>
      </c>
      <c r="H87" s="1373">
        <v>325</v>
      </c>
      <c r="I87" s="1249">
        <f t="shared" si="11"/>
        <v>16640</v>
      </c>
      <c r="J87" s="1367"/>
    </row>
    <row r="88" spans="1:10">
      <c r="A88" s="1387"/>
      <c r="B88" s="1576"/>
      <c r="C88" s="1576"/>
      <c r="D88" s="1576"/>
      <c r="E88" s="1265"/>
      <c r="F88" s="1361"/>
      <c r="G88" s="1386"/>
      <c r="H88" s="1386"/>
      <c r="I88" s="1249"/>
      <c r="J88" s="1367"/>
    </row>
    <row r="89" spans="1:10">
      <c r="A89" s="1266">
        <v>5</v>
      </c>
      <c r="B89" s="1575" t="s">
        <v>2460</v>
      </c>
      <c r="C89" s="1575"/>
      <c r="D89" s="1575"/>
      <c r="E89" s="1532" t="s">
        <v>16</v>
      </c>
      <c r="F89" s="1361">
        <v>3</v>
      </c>
      <c r="G89" s="1373">
        <v>1625</v>
      </c>
      <c r="H89" s="1373">
        <v>325</v>
      </c>
      <c r="I89" s="1249">
        <f>F89*(G89+H89)</f>
        <v>5850</v>
      </c>
      <c r="J89" s="1583"/>
    </row>
    <row r="90" spans="1:10">
      <c r="A90" s="1387"/>
      <c r="B90" s="1577" t="s">
        <v>2459</v>
      </c>
      <c r="C90" s="1577"/>
      <c r="D90" s="1577"/>
      <c r="E90" s="1537"/>
      <c r="F90" s="1361"/>
      <c r="G90" s="1373">
        <v>0</v>
      </c>
      <c r="H90" s="1373">
        <v>0</v>
      </c>
      <c r="I90" s="1249"/>
      <c r="J90" s="1584"/>
    </row>
    <row r="91" spans="1:10">
      <c r="A91" s="1387"/>
      <c r="B91" s="1575" t="s">
        <v>1886</v>
      </c>
      <c r="C91" s="1575"/>
      <c r="D91" s="1575"/>
      <c r="E91" s="1533"/>
      <c r="F91" s="1361"/>
      <c r="G91" s="1373">
        <v>0</v>
      </c>
      <c r="H91" s="1373">
        <v>0</v>
      </c>
      <c r="I91" s="1249"/>
      <c r="J91" s="1585"/>
    </row>
    <row r="92" spans="1:10">
      <c r="A92" s="1387"/>
      <c r="B92" s="1576"/>
      <c r="C92" s="1576"/>
      <c r="D92" s="1576"/>
      <c r="E92" s="1265"/>
      <c r="F92" s="1361"/>
      <c r="G92" s="1373"/>
      <c r="H92" s="1373"/>
      <c r="I92" s="1249"/>
      <c r="J92" s="1367"/>
    </row>
    <row r="93" spans="1:10">
      <c r="A93" s="1266">
        <v>6</v>
      </c>
      <c r="B93" s="1575" t="s">
        <v>2461</v>
      </c>
      <c r="C93" s="1575"/>
      <c r="D93" s="1575"/>
      <c r="E93" s="1388"/>
      <c r="F93" s="1361"/>
      <c r="G93" s="1389"/>
      <c r="H93" s="1390"/>
      <c r="I93" s="1249">
        <f t="shared" ref="I93:I95" si="12">F93*(G93+H93)</f>
        <v>0</v>
      </c>
      <c r="J93" s="1583"/>
    </row>
    <row r="94" spans="1:10">
      <c r="A94" s="1387"/>
      <c r="B94" s="1577" t="s">
        <v>2462</v>
      </c>
      <c r="C94" s="1577"/>
      <c r="D94" s="1577"/>
      <c r="E94" s="1265" t="s">
        <v>16</v>
      </c>
      <c r="F94" s="1361">
        <v>0</v>
      </c>
      <c r="G94" s="1373">
        <v>3055</v>
      </c>
      <c r="H94" s="1373">
        <v>325</v>
      </c>
      <c r="I94" s="1249">
        <f t="shared" si="12"/>
        <v>0</v>
      </c>
      <c r="J94" s="1584"/>
    </row>
    <row r="95" spans="1:10">
      <c r="A95" s="1387"/>
      <c r="B95" s="1575" t="s">
        <v>2463</v>
      </c>
      <c r="C95" s="1575"/>
      <c r="D95" s="1575"/>
      <c r="E95" s="1265" t="s">
        <v>16</v>
      </c>
      <c r="F95" s="1361"/>
      <c r="G95" s="1373">
        <v>2535</v>
      </c>
      <c r="H95" s="1373">
        <v>325</v>
      </c>
      <c r="I95" s="1249">
        <f t="shared" si="12"/>
        <v>0</v>
      </c>
      <c r="J95" s="1585"/>
    </row>
    <row r="96" spans="1:10">
      <c r="A96" s="1387"/>
      <c r="B96" s="1576"/>
      <c r="C96" s="1576"/>
      <c r="D96" s="1576"/>
      <c r="E96" s="1265"/>
      <c r="F96" s="1361"/>
      <c r="G96" s="1373"/>
      <c r="H96" s="1373"/>
      <c r="I96" s="1249"/>
      <c r="J96" s="1367"/>
    </row>
    <row r="97" spans="1:10">
      <c r="A97" s="1266">
        <v>7</v>
      </c>
      <c r="B97" s="1575" t="s">
        <v>2464</v>
      </c>
      <c r="C97" s="1575"/>
      <c r="D97" s="1575"/>
      <c r="E97" s="1388"/>
      <c r="F97" s="1361"/>
      <c r="G97" s="1389"/>
      <c r="H97" s="1390"/>
      <c r="I97" s="1249">
        <f t="shared" ref="I97:I99" si="13">F97*(G97+H97)</f>
        <v>0</v>
      </c>
      <c r="J97" s="1583"/>
    </row>
    <row r="98" spans="1:10">
      <c r="A98" s="1387"/>
      <c r="B98" s="1577" t="s">
        <v>2462</v>
      </c>
      <c r="C98" s="1577"/>
      <c r="D98" s="1577"/>
      <c r="E98" s="1265" t="s">
        <v>16</v>
      </c>
      <c r="F98" s="1361"/>
      <c r="G98" s="1373">
        <v>2535</v>
      </c>
      <c r="H98" s="1373">
        <v>325</v>
      </c>
      <c r="I98" s="1249">
        <f t="shared" si="13"/>
        <v>0</v>
      </c>
      <c r="J98" s="1584"/>
    </row>
    <row r="99" spans="1:10">
      <c r="A99" s="1387"/>
      <c r="B99" s="1575" t="s">
        <v>2463</v>
      </c>
      <c r="C99" s="1575"/>
      <c r="D99" s="1575"/>
      <c r="E99" s="1265" t="s">
        <v>16</v>
      </c>
      <c r="F99" s="1361"/>
      <c r="G99" s="1373">
        <v>1950</v>
      </c>
      <c r="H99" s="1373">
        <v>325</v>
      </c>
      <c r="I99" s="1249">
        <f t="shared" si="13"/>
        <v>0</v>
      </c>
      <c r="J99" s="1585"/>
    </row>
    <row r="100" spans="1:10">
      <c r="A100" s="1387"/>
      <c r="B100" s="1576"/>
      <c r="C100" s="1576"/>
      <c r="D100" s="1576"/>
      <c r="E100" s="1265"/>
      <c r="F100" s="1361"/>
      <c r="G100" s="1373"/>
      <c r="H100" s="1373"/>
      <c r="I100" s="1249"/>
      <c r="J100" s="1367"/>
    </row>
    <row r="101" spans="1:10">
      <c r="A101" s="1266">
        <v>8</v>
      </c>
      <c r="B101" s="1575" t="s">
        <v>2465</v>
      </c>
      <c r="C101" s="1575"/>
      <c r="D101" s="1575"/>
      <c r="E101" s="1265" t="s">
        <v>16</v>
      </c>
      <c r="F101" s="1361">
        <v>3</v>
      </c>
      <c r="G101" s="1373">
        <v>4550</v>
      </c>
      <c r="H101" s="1373">
        <v>585</v>
      </c>
      <c r="I101" s="1249">
        <f t="shared" ref="I101" si="14">F101*(G101+H101)</f>
        <v>15405</v>
      </c>
      <c r="J101" s="1393"/>
    </row>
    <row r="102" spans="1:10">
      <c r="A102" s="1387"/>
      <c r="B102" s="1576"/>
      <c r="C102" s="1576"/>
      <c r="D102" s="1576"/>
      <c r="E102" s="1265"/>
      <c r="F102" s="1361"/>
      <c r="G102" s="1373"/>
      <c r="H102" s="1373"/>
      <c r="I102" s="1249"/>
      <c r="J102" s="1367"/>
    </row>
    <row r="103" spans="1:10">
      <c r="A103" s="1266">
        <v>9</v>
      </c>
      <c r="B103" s="1575" t="s">
        <v>2466</v>
      </c>
      <c r="C103" s="1575"/>
      <c r="D103" s="1575"/>
      <c r="E103" s="1265" t="s">
        <v>16</v>
      </c>
      <c r="F103" s="1361">
        <v>0</v>
      </c>
      <c r="G103" s="1373">
        <v>19500</v>
      </c>
      <c r="H103" s="1373">
        <v>1950</v>
      </c>
      <c r="I103" s="1249">
        <f t="shared" ref="I103" si="15">F103*(G103+H103)</f>
        <v>0</v>
      </c>
      <c r="J103" s="1393"/>
    </row>
    <row r="104" spans="1:10">
      <c r="A104" s="1387"/>
      <c r="B104" s="1576"/>
      <c r="C104" s="1576"/>
      <c r="D104" s="1576"/>
      <c r="E104" s="1265"/>
      <c r="F104" s="1361"/>
      <c r="G104" s="1373"/>
      <c r="H104" s="1373"/>
      <c r="I104" s="1249"/>
      <c r="J104" s="1367"/>
    </row>
    <row r="105" spans="1:10">
      <c r="A105" s="1266">
        <v>10</v>
      </c>
      <c r="B105" s="1575" t="s">
        <v>2467</v>
      </c>
      <c r="C105" s="1575"/>
      <c r="D105" s="1575"/>
      <c r="E105" s="1265" t="s">
        <v>16</v>
      </c>
      <c r="F105" s="1361">
        <v>0</v>
      </c>
      <c r="G105" s="1373">
        <v>110500</v>
      </c>
      <c r="H105" s="1373">
        <v>3250</v>
      </c>
      <c r="I105" s="1249">
        <f t="shared" ref="I105" si="16">F105*(G105+H105)</f>
        <v>0</v>
      </c>
      <c r="J105" s="1393"/>
    </row>
    <row r="106" spans="1:10">
      <c r="A106" s="1387"/>
      <c r="B106" s="1576"/>
      <c r="C106" s="1576"/>
      <c r="D106" s="1576"/>
      <c r="E106" s="1265"/>
      <c r="F106" s="1361"/>
      <c r="G106" s="1373"/>
      <c r="H106" s="1373"/>
      <c r="I106" s="1249"/>
      <c r="J106" s="1367"/>
    </row>
    <row r="107" spans="1:10">
      <c r="A107" s="1266">
        <v>11</v>
      </c>
      <c r="B107" s="1575" t="s">
        <v>2468</v>
      </c>
      <c r="C107" s="1575"/>
      <c r="D107" s="1575"/>
      <c r="E107" s="1265"/>
      <c r="F107" s="1361"/>
      <c r="G107" s="1391"/>
      <c r="H107" s="1392"/>
      <c r="I107" s="1249"/>
      <c r="J107" s="1393"/>
    </row>
    <row r="108" spans="1:10" ht="14.5">
      <c r="A108" s="1387"/>
      <c r="B108" s="1589" t="s">
        <v>2469</v>
      </c>
      <c r="C108" s="1590"/>
      <c r="D108" s="1591"/>
      <c r="E108" s="1265" t="s">
        <v>930</v>
      </c>
      <c r="F108" s="1361">
        <v>1</v>
      </c>
      <c r="G108" s="1373">
        <v>5850</v>
      </c>
      <c r="H108" s="1373">
        <v>585</v>
      </c>
      <c r="I108" s="1249">
        <f t="shared" ref="I108:I110" si="17">F108*(G108+H108)</f>
        <v>6435</v>
      </c>
      <c r="J108" s="1393"/>
    </row>
    <row r="109" spans="1:10" ht="14.5">
      <c r="A109" s="1387"/>
      <c r="B109" s="1589" t="s">
        <v>2470</v>
      </c>
      <c r="C109" s="1590"/>
      <c r="D109" s="1591"/>
      <c r="E109" s="1265" t="s">
        <v>930</v>
      </c>
      <c r="F109" s="1361">
        <v>1</v>
      </c>
      <c r="G109" s="1373">
        <v>9750</v>
      </c>
      <c r="H109" s="1373">
        <v>585</v>
      </c>
      <c r="I109" s="1249">
        <f t="shared" si="17"/>
        <v>10335</v>
      </c>
      <c r="J109" s="1393"/>
    </row>
    <row r="110" spans="1:10" ht="14.5">
      <c r="A110" s="1387"/>
      <c r="B110" s="1589" t="s">
        <v>2471</v>
      </c>
      <c r="C110" s="1590"/>
      <c r="D110" s="1591"/>
      <c r="E110" s="1265" t="s">
        <v>930</v>
      </c>
      <c r="F110" s="1361">
        <v>0</v>
      </c>
      <c r="G110" s="1373">
        <v>13650</v>
      </c>
      <c r="H110" s="1373">
        <v>585</v>
      </c>
      <c r="I110" s="1249">
        <f t="shared" si="17"/>
        <v>0</v>
      </c>
      <c r="J110" s="1393"/>
    </row>
    <row r="111" spans="1:10">
      <c r="A111" s="1387"/>
      <c r="B111" s="1576"/>
      <c r="C111" s="1576"/>
      <c r="D111" s="1576"/>
      <c r="E111" s="1265"/>
      <c r="F111" s="1361"/>
      <c r="G111" s="1373"/>
      <c r="H111" s="1373"/>
      <c r="I111" s="1249"/>
      <c r="J111" s="1367"/>
    </row>
    <row r="112" spans="1:10">
      <c r="A112" s="1266">
        <v>12</v>
      </c>
      <c r="B112" s="1575" t="s">
        <v>2472</v>
      </c>
      <c r="C112" s="1575"/>
      <c r="D112" s="1575"/>
      <c r="E112" s="1265"/>
      <c r="F112" s="1361"/>
      <c r="G112" s="1373"/>
      <c r="H112" s="1373"/>
      <c r="I112" s="1249"/>
      <c r="J112" s="1367"/>
    </row>
    <row r="113" spans="1:10">
      <c r="A113" s="1387"/>
      <c r="B113" s="1578" t="s">
        <v>1887</v>
      </c>
      <c r="C113" s="1578"/>
      <c r="D113" s="1578"/>
      <c r="E113" s="1265"/>
      <c r="F113" s="1361"/>
      <c r="G113" s="1373"/>
      <c r="H113" s="1373"/>
      <c r="I113" s="1249"/>
      <c r="J113" s="1367"/>
    </row>
    <row r="114" spans="1:10">
      <c r="A114" s="1387"/>
      <c r="B114" s="1575" t="s">
        <v>2455</v>
      </c>
      <c r="C114" s="1575"/>
      <c r="D114" s="1575"/>
      <c r="E114" s="1265" t="s">
        <v>16</v>
      </c>
      <c r="F114" s="1361">
        <v>22</v>
      </c>
      <c r="G114" s="1373">
        <v>0</v>
      </c>
      <c r="H114" s="1373">
        <v>1950</v>
      </c>
      <c r="I114" s="1249">
        <f>F114*(G114+H114)</f>
        <v>42900</v>
      </c>
      <c r="J114" s="1367"/>
    </row>
    <row r="115" spans="1:10">
      <c r="A115" s="1387"/>
      <c r="B115" s="1575" t="s">
        <v>2473</v>
      </c>
      <c r="C115" s="1575"/>
      <c r="D115" s="1575"/>
      <c r="E115" s="1265" t="s">
        <v>16</v>
      </c>
      <c r="F115" s="1361">
        <f>30+15</f>
        <v>45</v>
      </c>
      <c r="G115" s="1373">
        <v>0</v>
      </c>
      <c r="H115" s="1373">
        <v>1950</v>
      </c>
      <c r="I115" s="1249">
        <f>F115*(G115+H115)</f>
        <v>87750</v>
      </c>
      <c r="J115" s="1367"/>
    </row>
    <row r="116" spans="1:10">
      <c r="A116" s="1387"/>
      <c r="B116" s="1576"/>
      <c r="C116" s="1576"/>
      <c r="D116" s="1576"/>
      <c r="E116" s="1265"/>
      <c r="F116" s="1361"/>
      <c r="G116" s="1373"/>
      <c r="H116" s="1373"/>
      <c r="I116" s="1249"/>
      <c r="J116" s="1367"/>
    </row>
    <row r="117" spans="1:10">
      <c r="A117" s="1266">
        <v>13</v>
      </c>
      <c r="B117" s="1575" t="s">
        <v>2474</v>
      </c>
      <c r="C117" s="1575"/>
      <c r="D117" s="1575"/>
      <c r="E117" s="1265"/>
      <c r="F117" s="1361"/>
      <c r="G117" s="1373"/>
      <c r="H117" s="1373"/>
      <c r="I117" s="1249"/>
      <c r="J117" s="1367"/>
    </row>
    <row r="118" spans="1:10">
      <c r="A118" s="1387"/>
      <c r="B118" s="1578" t="s">
        <v>1887</v>
      </c>
      <c r="C118" s="1578"/>
      <c r="D118" s="1578"/>
      <c r="E118" s="1265"/>
      <c r="F118" s="1361"/>
      <c r="G118" s="1373"/>
      <c r="H118" s="1373"/>
      <c r="I118" s="1249"/>
      <c r="J118" s="1367"/>
    </row>
    <row r="119" spans="1:10">
      <c r="A119" s="1387"/>
      <c r="B119" s="1575" t="s">
        <v>2475</v>
      </c>
      <c r="C119" s="1575"/>
      <c r="D119" s="1575"/>
      <c r="E119" s="1265" t="s">
        <v>16</v>
      </c>
      <c r="F119" s="1361">
        <v>22</v>
      </c>
      <c r="G119" s="1373">
        <v>0</v>
      </c>
      <c r="H119" s="1373">
        <v>715</v>
      </c>
      <c r="I119" s="1249">
        <f>F119*(G119+H119)</f>
        <v>15730</v>
      </c>
      <c r="J119" s="1367"/>
    </row>
    <row r="120" spans="1:10">
      <c r="A120" s="1387"/>
      <c r="B120" s="1575" t="s">
        <v>2473</v>
      </c>
      <c r="C120" s="1575"/>
      <c r="D120" s="1575"/>
      <c r="E120" s="1265" t="s">
        <v>16</v>
      </c>
      <c r="F120" s="1361">
        <f>30+15</f>
        <v>45</v>
      </c>
      <c r="G120" s="1373">
        <v>0</v>
      </c>
      <c r="H120" s="1373">
        <v>715</v>
      </c>
      <c r="I120" s="1249">
        <f>F120*(G120+H120)</f>
        <v>32175</v>
      </c>
      <c r="J120" s="1367"/>
    </row>
    <row r="121" spans="1:10">
      <c r="A121" s="1387"/>
      <c r="B121" s="1578" t="s">
        <v>2476</v>
      </c>
      <c r="C121" s="1578"/>
      <c r="D121" s="1578"/>
      <c r="E121" s="1265"/>
      <c r="F121" s="1361"/>
      <c r="G121" s="1373"/>
      <c r="H121" s="1373"/>
      <c r="I121" s="1249"/>
      <c r="J121" s="1367"/>
    </row>
    <row r="122" spans="1:10">
      <c r="A122" s="1387"/>
      <c r="B122" s="1575" t="s">
        <v>2475</v>
      </c>
      <c r="C122" s="1575"/>
      <c r="D122" s="1575"/>
      <c r="E122" s="1265" t="s">
        <v>16</v>
      </c>
      <c r="F122" s="1361"/>
      <c r="G122" s="1373">
        <v>0</v>
      </c>
      <c r="H122" s="1373">
        <v>325</v>
      </c>
      <c r="I122" s="1249">
        <f>F122*(G122+H122)</f>
        <v>0</v>
      </c>
      <c r="J122" s="1367"/>
    </row>
    <row r="123" spans="1:10">
      <c r="A123" s="1387"/>
      <c r="B123" s="1575" t="s">
        <v>2473</v>
      </c>
      <c r="C123" s="1575"/>
      <c r="D123" s="1575"/>
      <c r="E123" s="1265" t="s">
        <v>16</v>
      </c>
      <c r="F123" s="1361"/>
      <c r="G123" s="1373">
        <v>0</v>
      </c>
      <c r="H123" s="1373">
        <v>358</v>
      </c>
      <c r="I123" s="1249">
        <f>F123*(G123+H123)</f>
        <v>0</v>
      </c>
      <c r="J123" s="1367"/>
    </row>
    <row r="124" spans="1:10">
      <c r="A124" s="1387"/>
      <c r="B124" s="1526" t="s">
        <v>1888</v>
      </c>
      <c r="C124" s="1526"/>
      <c r="D124" s="1526"/>
      <c r="E124" s="1394"/>
      <c r="F124" s="1361"/>
      <c r="G124" s="1366"/>
      <c r="H124" s="1366"/>
      <c r="I124" s="1249"/>
      <c r="J124" s="1367"/>
    </row>
    <row r="125" spans="1:10">
      <c r="A125" s="1387"/>
      <c r="B125" s="1578"/>
      <c r="C125" s="1578"/>
      <c r="D125" s="1578"/>
      <c r="E125" s="1265"/>
      <c r="F125" s="1361"/>
      <c r="G125" s="1373"/>
      <c r="H125" s="1373"/>
      <c r="I125" s="1249"/>
      <c r="J125" s="1367"/>
    </row>
    <row r="126" spans="1:10" s="902" customFormat="1">
      <c r="A126" s="1251">
        <v>14</v>
      </c>
      <c r="B126" s="1593" t="s">
        <v>1889</v>
      </c>
      <c r="C126" s="1593"/>
      <c r="D126" s="1593"/>
      <c r="E126" s="1394"/>
      <c r="F126" s="1361"/>
      <c r="G126" s="1366"/>
      <c r="H126" s="1366"/>
      <c r="I126" s="1249"/>
      <c r="J126" s="1367"/>
    </row>
    <row r="127" spans="1:10">
      <c r="A127" s="1395"/>
      <c r="B127" s="1593" t="s">
        <v>1890</v>
      </c>
      <c r="C127" s="1593"/>
      <c r="D127" s="1593"/>
      <c r="E127" s="1265" t="s">
        <v>16</v>
      </c>
      <c r="F127" s="1361">
        <v>0</v>
      </c>
      <c r="G127" s="1373">
        <v>286000</v>
      </c>
      <c r="H127" s="1373">
        <v>6500</v>
      </c>
      <c r="I127" s="1249">
        <f>F127*(G127+H127)</f>
        <v>0</v>
      </c>
      <c r="J127" s="1367"/>
    </row>
    <row r="128" spans="1:10" s="903" customFormat="1">
      <c r="A128" s="1395"/>
      <c r="B128" s="1593" t="s">
        <v>2477</v>
      </c>
      <c r="C128" s="1593"/>
      <c r="D128" s="1593"/>
      <c r="E128" s="1394"/>
      <c r="F128" s="1361"/>
      <c r="G128" s="1373"/>
      <c r="H128" s="1373"/>
      <c r="I128" s="1249"/>
      <c r="J128" s="1367"/>
    </row>
    <row r="129" spans="1:10" s="903" customFormat="1">
      <c r="A129" s="1395"/>
      <c r="B129" s="1594" t="s">
        <v>2478</v>
      </c>
      <c r="C129" s="1594"/>
      <c r="D129" s="1594"/>
      <c r="E129" s="1394"/>
      <c r="F129" s="1361"/>
      <c r="G129" s="1366"/>
      <c r="H129" s="1366"/>
      <c r="I129" s="1249"/>
      <c r="J129" s="1367"/>
    </row>
    <row r="130" spans="1:10" s="903" customFormat="1">
      <c r="A130" s="1387"/>
      <c r="B130" s="1578"/>
      <c r="C130" s="1578"/>
      <c r="D130" s="1578"/>
      <c r="E130" s="1265"/>
      <c r="F130" s="1361"/>
      <c r="G130" s="1373"/>
      <c r="H130" s="1373"/>
      <c r="I130" s="1249"/>
      <c r="J130" s="1367"/>
    </row>
    <row r="131" spans="1:10">
      <c r="A131" s="1266">
        <v>15</v>
      </c>
      <c r="B131" s="1575" t="s">
        <v>1891</v>
      </c>
      <c r="C131" s="1575"/>
      <c r="D131" s="1575"/>
      <c r="E131" s="1265"/>
      <c r="F131" s="1361"/>
      <c r="G131" s="1373"/>
      <c r="H131" s="1373"/>
      <c r="I131" s="1249"/>
      <c r="J131" s="1367"/>
    </row>
    <row r="132" spans="1:10">
      <c r="A132" s="1387"/>
      <c r="B132" s="1578" t="s">
        <v>1892</v>
      </c>
      <c r="C132" s="1578"/>
      <c r="D132" s="1578"/>
      <c r="E132" s="1265" t="s">
        <v>401</v>
      </c>
      <c r="F132" s="1361">
        <v>0</v>
      </c>
      <c r="G132" s="1373">
        <v>676</v>
      </c>
      <c r="H132" s="1373">
        <v>130</v>
      </c>
      <c r="I132" s="1249">
        <f>F132*(G132+H132)</f>
        <v>0</v>
      </c>
      <c r="J132" s="1367"/>
    </row>
    <row r="133" spans="1:10">
      <c r="A133" s="1387"/>
      <c r="B133" s="1592" t="s">
        <v>2479</v>
      </c>
      <c r="C133" s="1592"/>
      <c r="D133" s="1592"/>
      <c r="E133" s="1265"/>
      <c r="F133" s="1361"/>
      <c r="G133" s="1373"/>
      <c r="H133" s="1374"/>
      <c r="I133" s="1249"/>
      <c r="J133" s="1367"/>
    </row>
    <row r="134" spans="1:10">
      <c r="A134" s="1387"/>
      <c r="B134" s="1578"/>
      <c r="C134" s="1578"/>
      <c r="D134" s="1578"/>
      <c r="E134" s="1265"/>
      <c r="F134" s="1361"/>
      <c r="G134" s="1373"/>
      <c r="H134" s="1373"/>
      <c r="I134" s="1249"/>
      <c r="J134" s="1367"/>
    </row>
    <row r="135" spans="1:10">
      <c r="A135" s="1266">
        <v>16</v>
      </c>
      <c r="B135" s="1575" t="s">
        <v>2480</v>
      </c>
      <c r="C135" s="1575"/>
      <c r="D135" s="1575"/>
      <c r="E135" s="1265" t="s">
        <v>78</v>
      </c>
      <c r="F135" s="1361">
        <v>1</v>
      </c>
      <c r="G135" s="1373">
        <v>0</v>
      </c>
      <c r="H135" s="1373">
        <v>45500</v>
      </c>
      <c r="I135" s="1249">
        <f>F135*(G135+H135)</f>
        <v>45500</v>
      </c>
      <c r="J135" s="1367"/>
    </row>
    <row r="136" spans="1:10">
      <c r="A136" s="1387"/>
      <c r="B136" s="1592"/>
      <c r="C136" s="1592"/>
      <c r="D136" s="1592"/>
      <c r="E136" s="1265"/>
      <c r="F136" s="1361"/>
      <c r="G136" s="1373"/>
      <c r="H136" s="1374"/>
      <c r="I136" s="1249"/>
      <c r="J136" s="1367"/>
    </row>
    <row r="137" spans="1:10" s="904" customFormat="1">
      <c r="A137" s="1377">
        <v>17</v>
      </c>
      <c r="B137" s="1575" t="s">
        <v>2481</v>
      </c>
      <c r="C137" s="1575"/>
      <c r="D137" s="1575"/>
      <c r="E137" s="1265"/>
      <c r="F137" s="1361"/>
      <c r="G137" s="1376"/>
      <c r="H137" s="1373"/>
      <c r="I137" s="1249"/>
      <c r="J137" s="1367"/>
    </row>
    <row r="138" spans="1:10">
      <c r="A138" s="1275"/>
      <c r="B138" s="1592" t="s">
        <v>2479</v>
      </c>
      <c r="C138" s="1592"/>
      <c r="D138" s="1592"/>
      <c r="E138" s="1265"/>
      <c r="F138" s="1361"/>
      <c r="G138" s="1376"/>
      <c r="H138" s="1373"/>
      <c r="I138" s="1249"/>
      <c r="J138" s="1367"/>
    </row>
    <row r="139" spans="1:10">
      <c r="A139" s="1275"/>
      <c r="B139" s="1579" t="s">
        <v>2454</v>
      </c>
      <c r="C139" s="1579"/>
      <c r="D139" s="1579"/>
      <c r="E139" s="1265" t="s">
        <v>16</v>
      </c>
      <c r="F139" s="1361">
        <v>0</v>
      </c>
      <c r="G139" s="1373">
        <v>845</v>
      </c>
      <c r="H139" s="1373">
        <v>163</v>
      </c>
      <c r="I139" s="1249">
        <f t="shared" ref="I139" si="18">F139*(G139+H139)</f>
        <v>0</v>
      </c>
      <c r="J139" s="1367"/>
    </row>
    <row r="140" spans="1:10">
      <c r="A140" s="1275"/>
      <c r="B140" s="1582"/>
      <c r="C140" s="1582"/>
      <c r="D140" s="1582"/>
      <c r="E140" s="1265"/>
      <c r="F140" s="1361"/>
      <c r="G140" s="1373"/>
      <c r="H140" s="1373"/>
      <c r="I140" s="1249"/>
      <c r="J140" s="1367"/>
    </row>
    <row r="141" spans="1:10">
      <c r="A141" s="1313"/>
      <c r="B141" s="1562" t="s">
        <v>170</v>
      </c>
      <c r="C141" s="1562"/>
      <c r="D141" s="1562"/>
      <c r="E141" s="1314"/>
      <c r="F141" s="1396"/>
      <c r="G141" s="1397"/>
      <c r="H141" s="1397"/>
      <c r="I141" s="1397">
        <f>SUM(I4:I139)</f>
        <v>1220092</v>
      </c>
      <c r="J141" s="1398"/>
    </row>
    <row r="142" spans="1:10" s="905" customFormat="1">
      <c r="A142" s="1399"/>
      <c r="B142" s="1399" t="s">
        <v>1894</v>
      </c>
      <c r="C142" s="1400"/>
      <c r="D142" s="1400"/>
      <c r="E142" s="1400"/>
      <c r="F142" s="1401"/>
      <c r="G142" s="1369"/>
      <c r="H142" s="1369"/>
      <c r="I142" s="1402"/>
      <c r="J142" s="1370"/>
    </row>
    <row r="143" spans="1:10" s="905" customFormat="1">
      <c r="A143" s="1403">
        <v>1</v>
      </c>
      <c r="B143" s="1595" t="s">
        <v>2482</v>
      </c>
      <c r="C143" s="1595"/>
      <c r="D143" s="1595"/>
      <c r="E143" s="1595"/>
      <c r="F143" s="1401"/>
      <c r="G143" s="1369"/>
      <c r="H143" s="1369"/>
      <c r="I143" s="1402"/>
      <c r="J143" s="1370"/>
    </row>
    <row r="144" spans="1:10" s="905" customFormat="1">
      <c r="A144" s="1403">
        <v>2</v>
      </c>
      <c r="B144" s="1595" t="s">
        <v>2483</v>
      </c>
      <c r="C144" s="1595"/>
      <c r="D144" s="1595"/>
      <c r="E144" s="1595"/>
      <c r="F144" s="1401"/>
      <c r="G144" s="1369"/>
      <c r="H144" s="1369"/>
      <c r="I144" s="1402"/>
      <c r="J144" s="1370"/>
    </row>
    <row r="145" spans="1:10" s="905" customFormat="1">
      <c r="A145" s="1403">
        <v>3</v>
      </c>
      <c r="B145" s="1595" t="s">
        <v>2484</v>
      </c>
      <c r="C145" s="1595"/>
      <c r="D145" s="1595"/>
      <c r="E145" s="1595"/>
      <c r="F145" s="1401"/>
      <c r="G145" s="1369"/>
      <c r="H145" s="1369"/>
      <c r="I145" s="1402"/>
      <c r="J145" s="1370"/>
    </row>
    <row r="146" spans="1:10" s="905" customFormat="1">
      <c r="A146" s="1328"/>
      <c r="B146" s="1329"/>
      <c r="C146" s="1330"/>
      <c r="D146" s="1330"/>
      <c r="E146" s="1331"/>
      <c r="F146" s="1404"/>
      <c r="G146" s="1330"/>
      <c r="H146" s="1330"/>
      <c r="I146" s="1322"/>
      <c r="J146" s="1330"/>
    </row>
    <row r="147" spans="1:10" s="906" customFormat="1">
      <c r="A147" s="1328"/>
      <c r="B147" s="1329"/>
      <c r="C147" s="1330"/>
      <c r="D147" s="1330"/>
      <c r="E147" s="1331"/>
      <c r="F147" s="1404"/>
      <c r="G147" s="1330"/>
      <c r="H147" s="1330"/>
      <c r="I147" s="1322"/>
      <c r="J147" s="1330"/>
    </row>
    <row r="148" spans="1:10" s="907" customFormat="1">
      <c r="A148" s="1328"/>
      <c r="B148" s="1330"/>
      <c r="C148" s="1330"/>
      <c r="D148" s="1330"/>
      <c r="E148" s="1333"/>
      <c r="F148" s="1405"/>
      <c r="G148" s="1330"/>
      <c r="H148" s="1330"/>
      <c r="I148" s="1322"/>
      <c r="J148" s="1330"/>
    </row>
    <row r="149" spans="1:10" s="907" customFormat="1">
      <c r="A149" s="1328"/>
      <c r="B149" s="1330"/>
      <c r="C149" s="1330"/>
      <c r="D149" s="1330"/>
      <c r="E149" s="1328"/>
      <c r="F149" s="1405"/>
      <c r="G149" s="1330"/>
      <c r="H149" s="1330"/>
      <c r="I149" s="1322"/>
      <c r="J149" s="1330"/>
    </row>
    <row r="150" spans="1:10" s="903" customFormat="1">
      <c r="A150" s="1328"/>
      <c r="B150" s="1330"/>
      <c r="C150" s="1330"/>
      <c r="D150" s="1330"/>
      <c r="E150" s="1328"/>
      <c r="F150" s="1405"/>
      <c r="G150" s="1330"/>
      <c r="H150" s="1330"/>
      <c r="I150" s="1322"/>
      <c r="J150" s="1330"/>
    </row>
    <row r="151" spans="1:10" s="903" customFormat="1">
      <c r="A151" s="1328"/>
      <c r="B151" s="1330"/>
      <c r="C151" s="1330"/>
      <c r="D151" s="1330"/>
      <c r="E151" s="1328"/>
      <c r="F151" s="1405"/>
      <c r="G151" s="1330"/>
      <c r="H151" s="1330"/>
      <c r="I151" s="1322"/>
      <c r="J151" s="1330"/>
    </row>
    <row r="152" spans="1:10" s="903" customFormat="1">
      <c r="A152" s="1328"/>
      <c r="B152" s="1330"/>
      <c r="C152" s="1330"/>
      <c r="D152" s="1330"/>
      <c r="E152" s="1328"/>
      <c r="F152" s="1405"/>
      <c r="G152" s="1330"/>
      <c r="H152" s="1330"/>
      <c r="I152" s="1322"/>
      <c r="J152" s="1330"/>
    </row>
    <row r="153" spans="1:10" s="903" customFormat="1">
      <c r="A153" s="1328"/>
      <c r="B153" s="1330"/>
      <c r="C153" s="1330"/>
      <c r="D153" s="1330"/>
      <c r="E153" s="1328"/>
      <c r="F153" s="1405"/>
      <c r="G153" s="1330"/>
      <c r="H153" s="1330"/>
      <c r="I153" s="1322"/>
      <c r="J153" s="1330"/>
    </row>
    <row r="154" spans="1:10" s="903" customFormat="1">
      <c r="A154" s="1328"/>
      <c r="B154" s="1330"/>
      <c r="C154" s="1330"/>
      <c r="D154" s="1330"/>
      <c r="E154" s="1328"/>
      <c r="F154" s="1405"/>
      <c r="G154" s="1330"/>
      <c r="H154" s="1330"/>
      <c r="I154" s="1322"/>
      <c r="J154" s="1330"/>
    </row>
    <row r="155" spans="1:10">
      <c r="A155" s="1328"/>
      <c r="B155" s="1330"/>
      <c r="C155" s="1330"/>
      <c r="D155" s="1330"/>
      <c r="E155" s="1328"/>
      <c r="F155" s="1405"/>
      <c r="G155" s="1330"/>
      <c r="H155" s="1330"/>
      <c r="I155" s="1322"/>
      <c r="J155" s="1330"/>
    </row>
    <row r="156" spans="1:10">
      <c r="A156" s="1328"/>
      <c r="B156" s="1330"/>
      <c r="C156" s="1330"/>
      <c r="D156" s="1330"/>
      <c r="E156" s="1328"/>
      <c r="F156" s="1405"/>
      <c r="G156" s="1330"/>
      <c r="H156" s="1330"/>
      <c r="I156" s="1322"/>
      <c r="J156" s="1330"/>
    </row>
    <row r="157" spans="1:10">
      <c r="A157" s="1328"/>
      <c r="B157" s="1330"/>
      <c r="C157" s="1330"/>
      <c r="D157" s="1330"/>
      <c r="E157" s="1328"/>
      <c r="F157" s="1405"/>
      <c r="G157" s="1330"/>
      <c r="H157" s="1330"/>
      <c r="I157" s="1322"/>
      <c r="J157" s="1330"/>
    </row>
    <row r="158" spans="1:10">
      <c r="A158" s="1328"/>
      <c r="B158" s="1330"/>
      <c r="C158" s="1330"/>
      <c r="D158" s="1330"/>
      <c r="E158" s="1328"/>
      <c r="F158" s="1405"/>
      <c r="G158" s="1330"/>
      <c r="H158" s="1330"/>
      <c r="I158" s="1322"/>
      <c r="J158" s="1330"/>
    </row>
    <row r="159" spans="1:10">
      <c r="A159" s="1328"/>
      <c r="B159" s="1330"/>
      <c r="C159" s="1330"/>
      <c r="D159" s="1330"/>
      <c r="E159" s="1328"/>
      <c r="F159" s="1405"/>
      <c r="G159" s="1330"/>
      <c r="H159" s="1330"/>
      <c r="I159" s="1322"/>
      <c r="J159" s="1330"/>
    </row>
    <row r="160" spans="1:10">
      <c r="A160" s="1328"/>
      <c r="B160" s="1330"/>
      <c r="C160" s="1330"/>
      <c r="D160" s="1330"/>
      <c r="E160" s="1331"/>
      <c r="F160" s="1405"/>
      <c r="G160" s="1330"/>
      <c r="H160" s="1330"/>
      <c r="I160" s="1322"/>
      <c r="J160" s="1330"/>
    </row>
    <row r="161" spans="1:10">
      <c r="A161" s="1328"/>
      <c r="B161" s="1330"/>
      <c r="C161" s="1330"/>
      <c r="D161" s="1330"/>
      <c r="E161" s="1331"/>
      <c r="F161" s="1405"/>
      <c r="G161" s="1330"/>
      <c r="H161" s="1330"/>
      <c r="I161" s="1322"/>
      <c r="J161" s="1330"/>
    </row>
    <row r="162" spans="1:10">
      <c r="A162" s="1328"/>
      <c r="B162" s="1330"/>
      <c r="C162" s="1330"/>
      <c r="D162" s="1330"/>
      <c r="E162" s="1331"/>
      <c r="F162" s="1405"/>
      <c r="G162" s="1330"/>
      <c r="H162" s="1330"/>
      <c r="I162" s="1322"/>
      <c r="J162" s="1330"/>
    </row>
    <row r="163" spans="1:10">
      <c r="B163" s="1336"/>
      <c r="F163" s="1406"/>
    </row>
    <row r="164" spans="1:10">
      <c r="B164" s="1336"/>
      <c r="F164" s="1406"/>
    </row>
    <row r="165" spans="1:10">
      <c r="B165" s="1336"/>
      <c r="F165" s="1406"/>
    </row>
    <row r="166" spans="1:10">
      <c r="B166" s="1336"/>
      <c r="E166" s="1335"/>
      <c r="F166" s="1406"/>
    </row>
    <row r="167" spans="1:10">
      <c r="B167" s="1336"/>
      <c r="E167" s="1335"/>
      <c r="F167" s="1406"/>
    </row>
    <row r="168" spans="1:10">
      <c r="B168" s="1336"/>
      <c r="E168" s="1335"/>
      <c r="F168" s="1406"/>
    </row>
    <row r="169" spans="1:10">
      <c r="B169" s="1336"/>
      <c r="E169" s="1335"/>
      <c r="F169" s="1406"/>
    </row>
    <row r="170" spans="1:10">
      <c r="B170" s="1336"/>
      <c r="E170" s="1335"/>
      <c r="F170" s="1406"/>
    </row>
    <row r="171" spans="1:10">
      <c r="B171" s="1336"/>
      <c r="E171" s="1335"/>
      <c r="F171" s="1406"/>
    </row>
    <row r="172" spans="1:10">
      <c r="B172" s="1336"/>
      <c r="E172" s="1335"/>
      <c r="F172" s="1406"/>
    </row>
    <row r="173" spans="1:10">
      <c r="B173" s="1336"/>
      <c r="E173" s="1335"/>
      <c r="F173" s="1406"/>
    </row>
    <row r="174" spans="1:10">
      <c r="B174" s="1336"/>
      <c r="E174" s="1335"/>
      <c r="F174" s="1406"/>
    </row>
    <row r="175" spans="1:10">
      <c r="B175" s="1336"/>
      <c r="E175" s="1335"/>
      <c r="F175" s="1406"/>
    </row>
    <row r="176" spans="1:10">
      <c r="B176" s="1336"/>
      <c r="E176" s="1335"/>
      <c r="F176" s="1406"/>
    </row>
    <row r="177" spans="2:6">
      <c r="B177" s="1336"/>
      <c r="E177" s="1335"/>
      <c r="F177" s="1406"/>
    </row>
    <row r="178" spans="2:6">
      <c r="B178" s="1336"/>
      <c r="E178" s="1335"/>
      <c r="F178" s="1406"/>
    </row>
    <row r="179" spans="2:6">
      <c r="B179" s="1336"/>
      <c r="E179" s="1335"/>
      <c r="F179" s="1406"/>
    </row>
    <row r="180" spans="2:6">
      <c r="B180" s="1336"/>
      <c r="E180" s="1335"/>
      <c r="F180" s="1406"/>
    </row>
    <row r="181" spans="2:6">
      <c r="B181" s="1336"/>
      <c r="E181" s="1335"/>
      <c r="F181" s="1406"/>
    </row>
    <row r="182" spans="2:6">
      <c r="B182" s="1336"/>
      <c r="E182" s="1335"/>
      <c r="F182" s="1406"/>
    </row>
    <row r="183" spans="2:6">
      <c r="B183" s="1336"/>
      <c r="E183" s="1335"/>
      <c r="F183" s="1406"/>
    </row>
    <row r="184" spans="2:6">
      <c r="B184" s="1336"/>
      <c r="E184" s="1335"/>
      <c r="F184" s="1406"/>
    </row>
    <row r="185" spans="2:6">
      <c r="B185" s="1336"/>
      <c r="E185" s="1335"/>
      <c r="F185" s="1406"/>
    </row>
    <row r="186" spans="2:6">
      <c r="B186" s="1336"/>
      <c r="E186" s="1335"/>
      <c r="F186" s="1406"/>
    </row>
    <row r="187" spans="2:6">
      <c r="B187" s="1336"/>
      <c r="E187" s="1335"/>
      <c r="F187" s="1406"/>
    </row>
    <row r="188" spans="2:6">
      <c r="B188" s="1336"/>
      <c r="E188" s="1335"/>
      <c r="F188" s="1406"/>
    </row>
    <row r="189" spans="2:6">
      <c r="B189" s="1336"/>
      <c r="E189" s="1335"/>
      <c r="F189" s="1406"/>
    </row>
    <row r="190" spans="2:6">
      <c r="B190" s="1336"/>
      <c r="E190" s="1335"/>
      <c r="F190" s="1406"/>
    </row>
    <row r="191" spans="2:6">
      <c r="B191" s="1336"/>
      <c r="E191" s="1335"/>
      <c r="F191" s="1406"/>
    </row>
    <row r="192" spans="2:6">
      <c r="B192" s="1336"/>
      <c r="E192" s="1335"/>
      <c r="F192" s="1406"/>
    </row>
    <row r="193" spans="2:6">
      <c r="B193" s="1336"/>
      <c r="E193" s="1335"/>
      <c r="F193" s="1406"/>
    </row>
    <row r="194" spans="2:6">
      <c r="B194" s="1336"/>
      <c r="E194" s="1335"/>
      <c r="F194" s="1406"/>
    </row>
    <row r="195" spans="2:6">
      <c r="B195" s="1336"/>
      <c r="E195" s="1335"/>
      <c r="F195" s="1406"/>
    </row>
    <row r="196" spans="2:6">
      <c r="B196" s="1336"/>
      <c r="E196" s="1335"/>
      <c r="F196" s="1406"/>
    </row>
    <row r="197" spans="2:6">
      <c r="B197" s="1336"/>
      <c r="E197" s="1335"/>
      <c r="F197" s="1406"/>
    </row>
    <row r="198" spans="2:6">
      <c r="B198" s="1336"/>
      <c r="E198" s="1335"/>
      <c r="F198" s="1406"/>
    </row>
    <row r="199" spans="2:6">
      <c r="B199" s="1336"/>
      <c r="E199" s="1335"/>
      <c r="F199" s="1406"/>
    </row>
    <row r="200" spans="2:6">
      <c r="B200" s="1336"/>
      <c r="E200" s="1335"/>
      <c r="F200" s="1406"/>
    </row>
    <row r="201" spans="2:6">
      <c r="B201" s="1336"/>
      <c r="E201" s="1335"/>
      <c r="F201" s="1406"/>
    </row>
    <row r="202" spans="2:6">
      <c r="B202" s="1336"/>
      <c r="E202" s="1335"/>
      <c r="F202" s="1406"/>
    </row>
    <row r="203" spans="2:6">
      <c r="B203" s="1336"/>
      <c r="E203" s="1335"/>
      <c r="F203" s="1406"/>
    </row>
    <row r="204" spans="2:6">
      <c r="B204" s="1336"/>
      <c r="E204" s="1335"/>
      <c r="F204" s="1406"/>
    </row>
    <row r="205" spans="2:6">
      <c r="B205" s="1336"/>
      <c r="E205" s="1335"/>
      <c r="F205" s="1406"/>
    </row>
    <row r="206" spans="2:6">
      <c r="B206" s="1336"/>
      <c r="E206" s="1335"/>
      <c r="F206" s="1406"/>
    </row>
    <row r="207" spans="2:6">
      <c r="B207" s="1336"/>
      <c r="E207" s="1335"/>
      <c r="F207" s="1406"/>
    </row>
    <row r="208" spans="2:6">
      <c r="B208" s="1336"/>
      <c r="E208" s="1335"/>
      <c r="F208" s="1406"/>
    </row>
    <row r="209" spans="2:6">
      <c r="B209" s="1336"/>
      <c r="E209" s="1335"/>
      <c r="F209" s="1406"/>
    </row>
    <row r="210" spans="2:6">
      <c r="B210" s="1336"/>
      <c r="E210" s="1335"/>
      <c r="F210" s="1406"/>
    </row>
    <row r="211" spans="2:6">
      <c r="B211" s="1336"/>
      <c r="E211" s="1335"/>
      <c r="F211" s="1406"/>
    </row>
    <row r="212" spans="2:6">
      <c r="B212" s="1336"/>
      <c r="E212" s="1335"/>
      <c r="F212" s="1406"/>
    </row>
    <row r="213" spans="2:6">
      <c r="B213" s="1336"/>
      <c r="E213" s="1335"/>
      <c r="F213" s="1406"/>
    </row>
    <row r="214" spans="2:6">
      <c r="B214" s="1336"/>
      <c r="E214" s="1335"/>
      <c r="F214" s="1406"/>
    </row>
    <row r="215" spans="2:6">
      <c r="B215" s="1336"/>
      <c r="E215" s="1335"/>
      <c r="F215" s="1406"/>
    </row>
    <row r="216" spans="2:6">
      <c r="B216" s="1336"/>
      <c r="E216" s="1335"/>
      <c r="F216" s="1406"/>
    </row>
    <row r="217" spans="2:6">
      <c r="B217" s="1336"/>
      <c r="E217" s="1335"/>
      <c r="F217" s="1406"/>
    </row>
    <row r="218" spans="2:6">
      <c r="B218" s="1336"/>
      <c r="E218" s="1335"/>
      <c r="F218" s="1406"/>
    </row>
    <row r="219" spans="2:6">
      <c r="B219" s="1336"/>
      <c r="E219" s="1335"/>
      <c r="F219" s="1406"/>
    </row>
    <row r="220" spans="2:6">
      <c r="B220" s="1336"/>
      <c r="E220" s="1335"/>
      <c r="F220" s="1406"/>
    </row>
    <row r="221" spans="2:6">
      <c r="B221" s="1336"/>
      <c r="E221" s="1335"/>
      <c r="F221" s="1406"/>
    </row>
    <row r="222" spans="2:6">
      <c r="B222" s="1336"/>
      <c r="E222" s="1335"/>
      <c r="F222" s="1406"/>
    </row>
    <row r="223" spans="2:6">
      <c r="B223" s="1336"/>
      <c r="E223" s="1335"/>
      <c r="F223" s="1406"/>
    </row>
    <row r="224" spans="2:6">
      <c r="B224" s="1336"/>
      <c r="E224" s="1335"/>
      <c r="F224" s="1406"/>
    </row>
    <row r="225" spans="2:6">
      <c r="B225" s="1336"/>
      <c r="E225" s="1335"/>
      <c r="F225" s="1406"/>
    </row>
    <row r="226" spans="2:6">
      <c r="B226" s="1336"/>
      <c r="E226" s="1335"/>
      <c r="F226" s="1406"/>
    </row>
    <row r="227" spans="2:6">
      <c r="B227" s="1336"/>
      <c r="E227" s="1335"/>
      <c r="F227" s="1406"/>
    </row>
    <row r="228" spans="2:6">
      <c r="B228" s="1336"/>
      <c r="E228" s="1335"/>
      <c r="F228" s="1406"/>
    </row>
    <row r="229" spans="2:6">
      <c r="B229" s="1336"/>
      <c r="E229" s="1335"/>
      <c r="F229" s="1406"/>
    </row>
    <row r="230" spans="2:6">
      <c r="B230" s="1336"/>
      <c r="E230" s="1335"/>
      <c r="F230" s="1406"/>
    </row>
    <row r="231" spans="2:6">
      <c r="B231" s="1336"/>
      <c r="E231" s="1335"/>
      <c r="F231" s="1406"/>
    </row>
    <row r="232" spans="2:6">
      <c r="B232" s="1336"/>
      <c r="E232" s="1335"/>
      <c r="F232" s="1406"/>
    </row>
    <row r="233" spans="2:6">
      <c r="B233" s="1336"/>
      <c r="E233" s="1335"/>
      <c r="F233" s="1406"/>
    </row>
    <row r="234" spans="2:6">
      <c r="B234" s="1336"/>
      <c r="E234" s="1335"/>
      <c r="F234" s="1406"/>
    </row>
    <row r="235" spans="2:6">
      <c r="B235" s="1336"/>
      <c r="E235" s="1335"/>
      <c r="F235" s="1406"/>
    </row>
    <row r="236" spans="2:6">
      <c r="B236" s="1336"/>
      <c r="E236" s="1335"/>
      <c r="F236" s="1406"/>
    </row>
    <row r="237" spans="2:6">
      <c r="B237" s="1336"/>
      <c r="E237" s="1335"/>
      <c r="F237" s="1406"/>
    </row>
    <row r="238" spans="2:6">
      <c r="B238" s="1336"/>
      <c r="E238" s="1335"/>
      <c r="F238" s="1406"/>
    </row>
    <row r="239" spans="2:6">
      <c r="B239" s="1336"/>
      <c r="E239" s="1335"/>
      <c r="F239" s="1406"/>
    </row>
    <row r="240" spans="2:6">
      <c r="B240" s="1336"/>
      <c r="E240" s="1335"/>
      <c r="F240" s="1406"/>
    </row>
    <row r="241" spans="2:6">
      <c r="B241" s="1336"/>
      <c r="E241" s="1335"/>
      <c r="F241" s="1406"/>
    </row>
    <row r="242" spans="2:6">
      <c r="B242" s="1336"/>
      <c r="E242" s="1335"/>
      <c r="F242" s="1406"/>
    </row>
    <row r="243" spans="2:6">
      <c r="B243" s="1336"/>
      <c r="E243" s="1335"/>
      <c r="F243" s="1406"/>
    </row>
    <row r="244" spans="2:6">
      <c r="B244" s="1336"/>
      <c r="E244" s="1335"/>
      <c r="F244" s="1406"/>
    </row>
    <row r="245" spans="2:6">
      <c r="B245" s="1336"/>
      <c r="E245" s="1335"/>
      <c r="F245" s="1406"/>
    </row>
    <row r="246" spans="2:6">
      <c r="B246" s="1336"/>
      <c r="E246" s="1335"/>
      <c r="F246" s="1406"/>
    </row>
    <row r="247" spans="2:6">
      <c r="B247" s="1336"/>
      <c r="E247" s="1335"/>
      <c r="F247" s="1406"/>
    </row>
    <row r="248" spans="2:6">
      <c r="B248" s="1336"/>
      <c r="E248" s="1335"/>
      <c r="F248" s="1406"/>
    </row>
    <row r="249" spans="2:6">
      <c r="B249" s="1336"/>
      <c r="E249" s="1335"/>
      <c r="F249" s="1406"/>
    </row>
    <row r="250" spans="2:6">
      <c r="B250" s="1336"/>
      <c r="E250" s="1335"/>
      <c r="F250" s="1406"/>
    </row>
    <row r="251" spans="2:6">
      <c r="B251" s="1336"/>
      <c r="E251" s="1335"/>
      <c r="F251" s="1406"/>
    </row>
    <row r="252" spans="2:6">
      <c r="B252" s="1336"/>
      <c r="E252" s="1335"/>
      <c r="F252" s="1406"/>
    </row>
    <row r="253" spans="2:6">
      <c r="B253" s="1336"/>
      <c r="E253" s="1335"/>
      <c r="F253" s="1406"/>
    </row>
    <row r="254" spans="2:6">
      <c r="B254" s="1336"/>
      <c r="E254" s="1335"/>
      <c r="F254" s="1406"/>
    </row>
    <row r="255" spans="2:6">
      <c r="B255" s="1336"/>
      <c r="E255" s="1335"/>
      <c r="F255" s="1406"/>
    </row>
    <row r="256" spans="2:6">
      <c r="B256" s="1336"/>
      <c r="E256" s="1335"/>
      <c r="F256" s="1406"/>
    </row>
    <row r="257" spans="2:6">
      <c r="B257" s="1336"/>
      <c r="E257" s="1335"/>
      <c r="F257" s="1406"/>
    </row>
    <row r="258" spans="2:6">
      <c r="B258" s="1336"/>
      <c r="E258" s="1335"/>
      <c r="F258" s="1406"/>
    </row>
    <row r="259" spans="2:6">
      <c r="B259" s="1336"/>
      <c r="E259" s="1335"/>
      <c r="F259" s="1406"/>
    </row>
    <row r="260" spans="2:6">
      <c r="B260" s="1336"/>
      <c r="E260" s="1335"/>
      <c r="F260" s="1406"/>
    </row>
    <row r="261" spans="2:6">
      <c r="B261" s="1336"/>
      <c r="E261" s="1335"/>
      <c r="F261" s="1406"/>
    </row>
    <row r="262" spans="2:6">
      <c r="B262" s="1336"/>
      <c r="E262" s="1335"/>
      <c r="F262" s="1406"/>
    </row>
    <row r="263" spans="2:6">
      <c r="B263" s="1336"/>
      <c r="E263" s="1335"/>
      <c r="F263" s="1406"/>
    </row>
    <row r="264" spans="2:6">
      <c r="B264" s="1336"/>
      <c r="E264" s="1335"/>
      <c r="F264" s="1406"/>
    </row>
    <row r="265" spans="2:6">
      <c r="B265" s="1336"/>
      <c r="E265" s="1335"/>
      <c r="F265" s="1406"/>
    </row>
    <row r="266" spans="2:6">
      <c r="B266" s="1336"/>
      <c r="E266" s="1335"/>
      <c r="F266" s="1406"/>
    </row>
    <row r="267" spans="2:6">
      <c r="B267" s="1336"/>
      <c r="E267" s="1335"/>
      <c r="F267" s="1406"/>
    </row>
    <row r="268" spans="2:6">
      <c r="B268" s="1336"/>
      <c r="E268" s="1335"/>
      <c r="F268" s="1406"/>
    </row>
    <row r="269" spans="2:6">
      <c r="B269" s="1336"/>
      <c r="E269" s="1335"/>
      <c r="F269" s="1406"/>
    </row>
    <row r="270" spans="2:6">
      <c r="B270" s="1336"/>
      <c r="E270" s="1335"/>
      <c r="F270" s="1406"/>
    </row>
    <row r="271" spans="2:6">
      <c r="B271" s="1336"/>
      <c r="E271" s="1335"/>
      <c r="F271" s="1406"/>
    </row>
    <row r="272" spans="2:6">
      <c r="B272" s="1336"/>
      <c r="E272" s="1335"/>
      <c r="F272" s="1406"/>
    </row>
    <row r="273" spans="2:6">
      <c r="B273" s="1336"/>
      <c r="E273" s="1335"/>
      <c r="F273" s="1406"/>
    </row>
    <row r="274" spans="2:6">
      <c r="B274" s="1336"/>
      <c r="E274" s="1335"/>
      <c r="F274" s="1406"/>
    </row>
    <row r="275" spans="2:6">
      <c r="B275" s="1336"/>
      <c r="E275" s="1335"/>
      <c r="F275" s="1406"/>
    </row>
    <row r="276" spans="2:6">
      <c r="B276" s="1336"/>
      <c r="E276" s="1335"/>
      <c r="F276" s="1406"/>
    </row>
    <row r="277" spans="2:6">
      <c r="B277" s="1336"/>
      <c r="E277" s="1335"/>
      <c r="F277" s="1406"/>
    </row>
    <row r="278" spans="2:6">
      <c r="B278" s="1336"/>
      <c r="E278" s="1335"/>
      <c r="F278" s="1406"/>
    </row>
    <row r="279" spans="2:6">
      <c r="B279" s="1336"/>
      <c r="E279" s="1335"/>
      <c r="F279" s="1406"/>
    </row>
    <row r="280" spans="2:6">
      <c r="B280" s="1336"/>
      <c r="E280" s="1335"/>
      <c r="F280" s="1406"/>
    </row>
    <row r="281" spans="2:6">
      <c r="B281" s="1336"/>
      <c r="E281" s="1335"/>
      <c r="F281" s="1406"/>
    </row>
    <row r="282" spans="2:6">
      <c r="B282" s="1336"/>
      <c r="E282" s="1335"/>
      <c r="F282" s="1406"/>
    </row>
    <row r="283" spans="2:6">
      <c r="B283" s="1336"/>
      <c r="E283" s="1335"/>
      <c r="F283" s="1406"/>
    </row>
    <row r="284" spans="2:6">
      <c r="B284" s="1336"/>
      <c r="E284" s="1335"/>
      <c r="F284" s="1406"/>
    </row>
    <row r="285" spans="2:6">
      <c r="B285" s="1336"/>
      <c r="E285" s="1335"/>
      <c r="F285" s="1406"/>
    </row>
    <row r="286" spans="2:6">
      <c r="B286" s="1336"/>
      <c r="E286" s="1335"/>
      <c r="F286" s="1406"/>
    </row>
    <row r="287" spans="2:6">
      <c r="B287" s="1336"/>
      <c r="E287" s="1335"/>
      <c r="F287" s="1406"/>
    </row>
    <row r="288" spans="2:6">
      <c r="B288" s="1336"/>
      <c r="E288" s="1335"/>
      <c r="F288" s="1406"/>
    </row>
    <row r="289" spans="2:6">
      <c r="B289" s="1336"/>
      <c r="E289" s="1335"/>
      <c r="F289" s="1406"/>
    </row>
    <row r="290" spans="2:6">
      <c r="B290" s="1336"/>
      <c r="E290" s="1335"/>
      <c r="F290" s="1406"/>
    </row>
    <row r="291" spans="2:6">
      <c r="B291" s="1336"/>
      <c r="E291" s="1335"/>
      <c r="F291" s="1406"/>
    </row>
    <row r="292" spans="2:6">
      <c r="B292" s="1336"/>
      <c r="E292" s="1335"/>
      <c r="F292" s="1406"/>
    </row>
    <row r="293" spans="2:6">
      <c r="B293" s="1336"/>
      <c r="E293" s="1335"/>
      <c r="F293" s="1406"/>
    </row>
    <row r="294" spans="2:6">
      <c r="B294" s="1336"/>
      <c r="E294" s="1335"/>
      <c r="F294" s="1406"/>
    </row>
    <row r="295" spans="2:6">
      <c r="B295" s="1336"/>
      <c r="E295" s="1335"/>
      <c r="F295" s="1406"/>
    </row>
    <row r="296" spans="2:6">
      <c r="B296" s="1336"/>
      <c r="E296" s="1335"/>
      <c r="F296" s="1406"/>
    </row>
    <row r="297" spans="2:6">
      <c r="B297" s="1336"/>
      <c r="E297" s="1335"/>
      <c r="F297" s="1406"/>
    </row>
    <row r="298" spans="2:6">
      <c r="B298" s="1336"/>
      <c r="E298" s="1335"/>
      <c r="F298" s="1406"/>
    </row>
    <row r="299" spans="2:6">
      <c r="B299" s="1336"/>
      <c r="E299" s="1335"/>
      <c r="F299" s="1406"/>
    </row>
    <row r="300" spans="2:6">
      <c r="B300" s="1336"/>
      <c r="E300" s="1335"/>
      <c r="F300" s="1406"/>
    </row>
    <row r="301" spans="2:6">
      <c r="B301" s="1336"/>
      <c r="E301" s="1335"/>
      <c r="F301" s="1406"/>
    </row>
    <row r="302" spans="2:6">
      <c r="B302" s="1336"/>
      <c r="E302" s="1335"/>
      <c r="F302" s="1406"/>
    </row>
    <row r="303" spans="2:6">
      <c r="B303" s="1336"/>
      <c r="E303" s="1335"/>
      <c r="F303" s="1406"/>
    </row>
    <row r="304" spans="2:6">
      <c r="B304" s="1336"/>
      <c r="E304" s="1335"/>
      <c r="F304" s="1406"/>
    </row>
    <row r="305" spans="2:6">
      <c r="B305" s="1336"/>
      <c r="E305" s="1335"/>
      <c r="F305" s="1406"/>
    </row>
    <row r="306" spans="2:6">
      <c r="B306" s="1336"/>
      <c r="E306" s="1335"/>
      <c r="F306" s="1406"/>
    </row>
    <row r="307" spans="2:6">
      <c r="B307" s="1336"/>
      <c r="E307" s="1335"/>
      <c r="F307" s="1406"/>
    </row>
    <row r="308" spans="2:6">
      <c r="B308" s="1336"/>
      <c r="E308" s="1335"/>
      <c r="F308" s="1406"/>
    </row>
    <row r="309" spans="2:6">
      <c r="B309" s="1336"/>
      <c r="E309" s="1335"/>
      <c r="F309" s="1406"/>
    </row>
    <row r="310" spans="2:6">
      <c r="B310" s="1336"/>
      <c r="E310" s="1335"/>
      <c r="F310" s="1406"/>
    </row>
    <row r="311" spans="2:6">
      <c r="B311" s="1336"/>
      <c r="E311" s="1335"/>
      <c r="F311" s="1406"/>
    </row>
    <row r="312" spans="2:6">
      <c r="B312" s="1336"/>
      <c r="E312" s="1335"/>
      <c r="F312" s="1406"/>
    </row>
    <row r="313" spans="2:6">
      <c r="B313" s="1336"/>
      <c r="E313" s="1335"/>
      <c r="F313" s="1406"/>
    </row>
    <row r="314" spans="2:6">
      <c r="B314" s="1336"/>
      <c r="E314" s="1335"/>
      <c r="F314" s="1406"/>
    </row>
    <row r="315" spans="2:6">
      <c r="B315" s="1336"/>
      <c r="E315" s="1335"/>
      <c r="F315" s="1406"/>
    </row>
    <row r="316" spans="2:6">
      <c r="B316" s="1336"/>
      <c r="E316" s="1335"/>
      <c r="F316" s="1406"/>
    </row>
    <row r="317" spans="2:6">
      <c r="B317" s="1336"/>
      <c r="E317" s="1335"/>
      <c r="F317" s="1406"/>
    </row>
    <row r="318" spans="2:6">
      <c r="B318" s="1336"/>
      <c r="E318" s="1335"/>
      <c r="F318" s="1406"/>
    </row>
    <row r="319" spans="2:6">
      <c r="B319" s="1336"/>
      <c r="E319" s="1335"/>
      <c r="F319" s="1406"/>
    </row>
    <row r="320" spans="2:6">
      <c r="B320" s="1336"/>
      <c r="E320" s="1335"/>
      <c r="F320" s="1406"/>
    </row>
    <row r="321" spans="2:6">
      <c r="B321" s="1336"/>
      <c r="E321" s="1335"/>
      <c r="F321" s="1406"/>
    </row>
    <row r="322" spans="2:6">
      <c r="B322" s="1336"/>
      <c r="E322" s="1335"/>
      <c r="F322" s="1406"/>
    </row>
    <row r="323" spans="2:6">
      <c r="B323" s="1336"/>
      <c r="E323" s="1335"/>
      <c r="F323" s="1406"/>
    </row>
    <row r="324" spans="2:6">
      <c r="B324" s="1336"/>
      <c r="E324" s="1335"/>
      <c r="F324" s="1406"/>
    </row>
    <row r="325" spans="2:6">
      <c r="B325" s="1336"/>
      <c r="E325" s="1335"/>
      <c r="F325" s="1406"/>
    </row>
    <row r="326" spans="2:6">
      <c r="B326" s="1336"/>
      <c r="E326" s="1335"/>
      <c r="F326" s="1406"/>
    </row>
    <row r="327" spans="2:6">
      <c r="B327" s="1336"/>
      <c r="E327" s="1335"/>
      <c r="F327" s="1406"/>
    </row>
    <row r="328" spans="2:6">
      <c r="B328" s="1336"/>
      <c r="E328" s="1335"/>
      <c r="F328" s="1406"/>
    </row>
    <row r="329" spans="2:6">
      <c r="B329" s="1336"/>
      <c r="E329" s="1335"/>
      <c r="F329" s="1406"/>
    </row>
    <row r="330" spans="2:6">
      <c r="B330" s="1336"/>
      <c r="E330" s="1335"/>
      <c r="F330" s="1406"/>
    </row>
    <row r="331" spans="2:6">
      <c r="B331" s="1336"/>
      <c r="E331" s="1335"/>
      <c r="F331" s="1406"/>
    </row>
    <row r="332" spans="2:6">
      <c r="B332" s="1336"/>
      <c r="E332" s="1335"/>
      <c r="F332" s="1406"/>
    </row>
    <row r="333" spans="2:6">
      <c r="B333" s="1336"/>
      <c r="E333" s="1335"/>
      <c r="F333" s="1406"/>
    </row>
    <row r="334" spans="2:6">
      <c r="B334" s="1336"/>
      <c r="E334" s="1335"/>
      <c r="F334" s="1406"/>
    </row>
    <row r="335" spans="2:6">
      <c r="B335" s="1336"/>
      <c r="E335" s="1335"/>
      <c r="F335" s="1406"/>
    </row>
    <row r="336" spans="2:6">
      <c r="B336" s="1336"/>
      <c r="E336" s="1335"/>
      <c r="F336" s="1406"/>
    </row>
    <row r="337" spans="2:6">
      <c r="B337" s="1336"/>
      <c r="E337" s="1335"/>
      <c r="F337" s="1406"/>
    </row>
    <row r="338" spans="2:6">
      <c r="B338" s="1336"/>
      <c r="E338" s="1335"/>
      <c r="F338" s="1406"/>
    </row>
    <row r="339" spans="2:6">
      <c r="B339" s="1336"/>
      <c r="E339" s="1335"/>
      <c r="F339" s="1406"/>
    </row>
    <row r="340" spans="2:6">
      <c r="B340" s="1336"/>
      <c r="E340" s="1335"/>
      <c r="F340" s="1406"/>
    </row>
    <row r="341" spans="2:6">
      <c r="B341" s="1336"/>
      <c r="E341" s="1335"/>
      <c r="F341" s="1406"/>
    </row>
    <row r="342" spans="2:6">
      <c r="B342" s="1336"/>
      <c r="E342" s="1335"/>
      <c r="F342" s="1406"/>
    </row>
    <row r="343" spans="2:6">
      <c r="B343" s="1336"/>
      <c r="E343" s="1335"/>
      <c r="F343" s="1406"/>
    </row>
    <row r="344" spans="2:6">
      <c r="B344" s="1336"/>
      <c r="E344" s="1335"/>
      <c r="F344" s="1406"/>
    </row>
    <row r="345" spans="2:6">
      <c r="B345" s="1336"/>
      <c r="E345" s="1335"/>
      <c r="F345" s="1406"/>
    </row>
    <row r="346" spans="2:6">
      <c r="B346" s="1336"/>
      <c r="E346" s="1335"/>
      <c r="F346" s="1406"/>
    </row>
    <row r="347" spans="2:6">
      <c r="B347" s="1336"/>
      <c r="E347" s="1335"/>
      <c r="F347" s="1406"/>
    </row>
    <row r="348" spans="2:6">
      <c r="B348" s="1336"/>
      <c r="E348" s="1335"/>
      <c r="F348" s="1406"/>
    </row>
    <row r="349" spans="2:6">
      <c r="B349" s="1336"/>
      <c r="E349" s="1335"/>
      <c r="F349" s="1406"/>
    </row>
    <row r="350" spans="2:6">
      <c r="B350" s="1336"/>
      <c r="E350" s="1335"/>
      <c r="F350" s="1406"/>
    </row>
    <row r="351" spans="2:6">
      <c r="B351" s="1336"/>
      <c r="E351" s="1335"/>
      <c r="F351" s="1406"/>
    </row>
    <row r="352" spans="2:6">
      <c r="B352" s="1336"/>
      <c r="E352" s="1335"/>
      <c r="F352" s="1406"/>
    </row>
    <row r="353" spans="2:6">
      <c r="B353" s="1336"/>
      <c r="E353" s="1335"/>
      <c r="F353" s="1406"/>
    </row>
    <row r="354" spans="2:6">
      <c r="B354" s="1336"/>
      <c r="E354" s="1335"/>
      <c r="F354" s="1406"/>
    </row>
    <row r="355" spans="2:6">
      <c r="B355" s="1336"/>
      <c r="E355" s="1335"/>
      <c r="F355" s="1406"/>
    </row>
    <row r="356" spans="2:6">
      <c r="B356" s="1336"/>
      <c r="E356" s="1335"/>
      <c r="F356" s="1406"/>
    </row>
    <row r="357" spans="2:6">
      <c r="B357" s="1336"/>
      <c r="E357" s="1335"/>
      <c r="F357" s="1406"/>
    </row>
    <row r="358" spans="2:6">
      <c r="B358" s="1336"/>
      <c r="E358" s="1335"/>
      <c r="F358" s="1406"/>
    </row>
    <row r="359" spans="2:6">
      <c r="B359" s="1336"/>
      <c r="E359" s="1335"/>
      <c r="F359" s="1406"/>
    </row>
    <row r="360" spans="2:6">
      <c r="B360" s="1336"/>
      <c r="E360" s="1335"/>
      <c r="F360" s="1406"/>
    </row>
    <row r="361" spans="2:6">
      <c r="B361" s="1336"/>
      <c r="E361" s="1335"/>
      <c r="F361" s="1406"/>
    </row>
    <row r="362" spans="2:6">
      <c r="B362" s="1336"/>
      <c r="E362" s="1335"/>
      <c r="F362" s="1406"/>
    </row>
    <row r="363" spans="2:6">
      <c r="B363" s="1336"/>
      <c r="E363" s="1335"/>
      <c r="F363" s="1406"/>
    </row>
    <row r="364" spans="2:6">
      <c r="B364" s="1336"/>
      <c r="E364" s="1335"/>
      <c r="F364" s="1406"/>
    </row>
    <row r="365" spans="2:6">
      <c r="B365" s="1336"/>
      <c r="E365" s="1335"/>
      <c r="F365" s="1406"/>
    </row>
    <row r="366" spans="2:6">
      <c r="B366" s="1336"/>
      <c r="E366" s="1335"/>
      <c r="F366" s="1406"/>
    </row>
    <row r="367" spans="2:6">
      <c r="B367" s="1336"/>
      <c r="E367" s="1335"/>
      <c r="F367" s="1406"/>
    </row>
    <row r="368" spans="2:6">
      <c r="B368" s="1336"/>
      <c r="E368" s="1335"/>
      <c r="F368" s="1406"/>
    </row>
    <row r="369" spans="2:6">
      <c r="B369" s="1336"/>
      <c r="E369" s="1335"/>
      <c r="F369" s="1406"/>
    </row>
    <row r="370" spans="2:6">
      <c r="B370" s="1336"/>
      <c r="E370" s="1335"/>
      <c r="F370" s="1406"/>
    </row>
    <row r="371" spans="2:6">
      <c r="B371" s="1336"/>
      <c r="E371" s="1335"/>
      <c r="F371" s="1406"/>
    </row>
    <row r="372" spans="2:6">
      <c r="B372" s="1336"/>
      <c r="E372" s="1335"/>
      <c r="F372" s="1406"/>
    </row>
    <row r="373" spans="2:6">
      <c r="B373" s="1336"/>
      <c r="E373" s="1335"/>
      <c r="F373" s="1406"/>
    </row>
    <row r="374" spans="2:6">
      <c r="B374" s="1336"/>
      <c r="E374" s="1335"/>
      <c r="F374" s="1406"/>
    </row>
    <row r="375" spans="2:6">
      <c r="B375" s="1336"/>
      <c r="E375" s="1335"/>
      <c r="F375" s="1406"/>
    </row>
    <row r="376" spans="2:6">
      <c r="B376" s="1336"/>
      <c r="E376" s="1335"/>
      <c r="F376" s="1406"/>
    </row>
    <row r="377" spans="2:6">
      <c r="B377" s="1336"/>
      <c r="E377" s="1335"/>
      <c r="F377" s="1406"/>
    </row>
    <row r="378" spans="2:6">
      <c r="B378" s="1336"/>
      <c r="E378" s="1335"/>
      <c r="F378" s="1406"/>
    </row>
    <row r="379" spans="2:6">
      <c r="B379" s="1336"/>
      <c r="E379" s="1335"/>
      <c r="F379" s="1406"/>
    </row>
    <row r="380" spans="2:6">
      <c r="B380" s="1336"/>
      <c r="E380" s="1335"/>
      <c r="F380" s="1406"/>
    </row>
    <row r="381" spans="2:6">
      <c r="B381" s="1336"/>
      <c r="E381" s="1335"/>
      <c r="F381" s="1406"/>
    </row>
    <row r="382" spans="2:6">
      <c r="B382" s="1336"/>
      <c r="E382" s="1335"/>
      <c r="F382" s="1406"/>
    </row>
    <row r="383" spans="2:6">
      <c r="B383" s="1336"/>
      <c r="E383" s="1335"/>
      <c r="F383" s="1406"/>
    </row>
    <row r="384" spans="2:6">
      <c r="B384" s="1336"/>
      <c r="E384" s="1335"/>
      <c r="F384" s="1406"/>
    </row>
    <row r="385" spans="2:6">
      <c r="B385" s="1336"/>
      <c r="E385" s="1335"/>
      <c r="F385" s="1406"/>
    </row>
    <row r="386" spans="2:6">
      <c r="B386" s="1336"/>
      <c r="E386" s="1335"/>
      <c r="F386" s="1406"/>
    </row>
    <row r="387" spans="2:6">
      <c r="B387" s="1336"/>
      <c r="E387" s="1335"/>
      <c r="F387" s="1406"/>
    </row>
    <row r="388" spans="2:6">
      <c r="B388" s="1336"/>
      <c r="E388" s="1335"/>
      <c r="F388" s="1406"/>
    </row>
    <row r="389" spans="2:6">
      <c r="B389" s="1336"/>
      <c r="E389" s="1335"/>
      <c r="F389" s="1406"/>
    </row>
    <row r="390" spans="2:6">
      <c r="B390" s="1336"/>
      <c r="E390" s="1335"/>
      <c r="F390" s="1406"/>
    </row>
    <row r="391" spans="2:6">
      <c r="B391" s="1336"/>
      <c r="E391" s="1335"/>
      <c r="F391" s="1406"/>
    </row>
    <row r="392" spans="2:6">
      <c r="B392" s="1336"/>
      <c r="E392" s="1335"/>
      <c r="F392" s="1406"/>
    </row>
    <row r="393" spans="2:6">
      <c r="B393" s="1336"/>
      <c r="E393" s="1335"/>
      <c r="F393" s="1406"/>
    </row>
    <row r="394" spans="2:6">
      <c r="B394" s="1336"/>
      <c r="E394" s="1335"/>
      <c r="F394" s="1406"/>
    </row>
    <row r="395" spans="2:6">
      <c r="B395" s="1336"/>
      <c r="E395" s="1335"/>
      <c r="F395" s="1406"/>
    </row>
    <row r="396" spans="2:6">
      <c r="B396" s="1336"/>
      <c r="E396" s="1335"/>
      <c r="F396" s="1406"/>
    </row>
    <row r="397" spans="2:6">
      <c r="B397" s="1336"/>
      <c r="E397" s="1335"/>
      <c r="F397" s="1406"/>
    </row>
    <row r="398" spans="2:6">
      <c r="B398" s="1336"/>
      <c r="E398" s="1335"/>
      <c r="F398" s="1406"/>
    </row>
    <row r="399" spans="2:6">
      <c r="B399" s="1336"/>
      <c r="E399" s="1335"/>
      <c r="F399" s="1406"/>
    </row>
    <row r="400" spans="2:6">
      <c r="B400" s="1336"/>
      <c r="E400" s="1335"/>
      <c r="F400" s="1406"/>
    </row>
    <row r="401" spans="2:6">
      <c r="B401" s="1336"/>
      <c r="E401" s="1335"/>
      <c r="F401" s="1406"/>
    </row>
    <row r="402" spans="2:6">
      <c r="B402" s="1336"/>
      <c r="E402" s="1335"/>
      <c r="F402" s="1406"/>
    </row>
    <row r="403" spans="2:6">
      <c r="B403" s="1336"/>
      <c r="E403" s="1335"/>
      <c r="F403" s="1406"/>
    </row>
    <row r="404" spans="2:6">
      <c r="B404" s="1336"/>
      <c r="E404" s="1335"/>
      <c r="F404" s="1406"/>
    </row>
    <row r="405" spans="2:6">
      <c r="B405" s="1336"/>
      <c r="E405" s="1335"/>
      <c r="F405" s="1406"/>
    </row>
    <row r="406" spans="2:6">
      <c r="B406" s="1336"/>
      <c r="E406" s="1335"/>
      <c r="F406" s="1406"/>
    </row>
    <row r="407" spans="2:6">
      <c r="B407" s="1336"/>
      <c r="E407" s="1335"/>
      <c r="F407" s="1406"/>
    </row>
    <row r="408" spans="2:6">
      <c r="B408" s="1336"/>
      <c r="E408" s="1335"/>
      <c r="F408" s="1406"/>
    </row>
    <row r="409" spans="2:6">
      <c r="B409" s="1336"/>
      <c r="E409" s="1335"/>
      <c r="F409" s="1406"/>
    </row>
    <row r="410" spans="2:6">
      <c r="B410" s="1336"/>
      <c r="E410" s="1335"/>
      <c r="F410" s="1406"/>
    </row>
    <row r="411" spans="2:6">
      <c r="B411" s="1336"/>
      <c r="E411" s="1335"/>
      <c r="F411" s="1406"/>
    </row>
    <row r="412" spans="2:6">
      <c r="B412" s="1336"/>
      <c r="E412" s="1335"/>
      <c r="F412" s="1406"/>
    </row>
    <row r="413" spans="2:6">
      <c r="B413" s="1336"/>
      <c r="E413" s="1335"/>
      <c r="F413" s="1406"/>
    </row>
    <row r="414" spans="2:6">
      <c r="B414" s="1336"/>
      <c r="E414" s="1335"/>
      <c r="F414" s="1406"/>
    </row>
    <row r="415" spans="2:6">
      <c r="B415" s="1336"/>
      <c r="E415" s="1335"/>
      <c r="F415" s="1406"/>
    </row>
    <row r="416" spans="2:6">
      <c r="B416" s="1336"/>
      <c r="E416" s="1335"/>
      <c r="F416" s="1406"/>
    </row>
    <row r="417" spans="2:6">
      <c r="B417" s="1336"/>
      <c r="E417" s="1335"/>
      <c r="F417" s="1406"/>
    </row>
    <row r="418" spans="2:6">
      <c r="B418" s="1336"/>
      <c r="E418" s="1335"/>
      <c r="F418" s="1406"/>
    </row>
    <row r="419" spans="2:6">
      <c r="B419" s="1336"/>
      <c r="E419" s="1335"/>
      <c r="F419" s="1406"/>
    </row>
    <row r="420" spans="2:6">
      <c r="B420" s="1336"/>
      <c r="E420" s="1335"/>
      <c r="F420" s="1406"/>
    </row>
    <row r="421" spans="2:6">
      <c r="B421" s="1336"/>
      <c r="E421" s="1335"/>
      <c r="F421" s="1406"/>
    </row>
    <row r="422" spans="2:6">
      <c r="B422" s="1336"/>
      <c r="E422" s="1335"/>
      <c r="F422" s="1406"/>
    </row>
    <row r="423" spans="2:6">
      <c r="B423" s="1336"/>
      <c r="E423" s="1335"/>
      <c r="F423" s="1406"/>
    </row>
    <row r="424" spans="2:6">
      <c r="B424" s="1336"/>
      <c r="E424" s="1335"/>
      <c r="F424" s="1406"/>
    </row>
    <row r="425" spans="2:6">
      <c r="B425" s="1336"/>
      <c r="E425" s="1335"/>
      <c r="F425" s="1406"/>
    </row>
    <row r="426" spans="2:6">
      <c r="B426" s="1336"/>
      <c r="E426" s="1335"/>
      <c r="F426" s="1406"/>
    </row>
    <row r="427" spans="2:6">
      <c r="B427" s="1336"/>
      <c r="E427" s="1335"/>
      <c r="F427" s="1406"/>
    </row>
    <row r="428" spans="2:6">
      <c r="B428" s="1336"/>
      <c r="E428" s="1335"/>
      <c r="F428" s="1406"/>
    </row>
    <row r="429" spans="2:6">
      <c r="B429" s="1336"/>
      <c r="E429" s="1335"/>
      <c r="F429" s="1406"/>
    </row>
    <row r="430" spans="2:6">
      <c r="B430" s="1336"/>
      <c r="E430" s="1335"/>
      <c r="F430" s="1406"/>
    </row>
    <row r="431" spans="2:6">
      <c r="B431" s="1336"/>
      <c r="E431" s="1335"/>
      <c r="F431" s="1406"/>
    </row>
    <row r="432" spans="2:6">
      <c r="B432" s="1336"/>
      <c r="E432" s="1335"/>
      <c r="F432" s="1406"/>
    </row>
    <row r="433" spans="2:6">
      <c r="B433" s="1336"/>
      <c r="E433" s="1335"/>
      <c r="F433" s="1406"/>
    </row>
    <row r="434" spans="2:6">
      <c r="B434" s="1336"/>
      <c r="E434" s="1335"/>
      <c r="F434" s="1406"/>
    </row>
    <row r="435" spans="2:6">
      <c r="B435" s="1336"/>
      <c r="E435" s="1335"/>
      <c r="F435" s="1406"/>
    </row>
    <row r="436" spans="2:6">
      <c r="B436" s="1336"/>
      <c r="E436" s="1335"/>
      <c r="F436" s="1406"/>
    </row>
    <row r="437" spans="2:6">
      <c r="B437" s="1336"/>
      <c r="E437" s="1335"/>
      <c r="F437" s="1406"/>
    </row>
    <row r="438" spans="2:6">
      <c r="B438" s="1336"/>
      <c r="E438" s="1335"/>
      <c r="F438" s="1406"/>
    </row>
    <row r="439" spans="2:6">
      <c r="B439" s="1336"/>
      <c r="E439" s="1335"/>
      <c r="F439" s="1406"/>
    </row>
    <row r="440" spans="2:6">
      <c r="B440" s="1336"/>
      <c r="E440" s="1335"/>
      <c r="F440" s="1406"/>
    </row>
    <row r="441" spans="2:6">
      <c r="B441" s="1336"/>
      <c r="E441" s="1335"/>
      <c r="F441" s="1406"/>
    </row>
    <row r="442" spans="2:6">
      <c r="B442" s="1336"/>
      <c r="E442" s="1335"/>
      <c r="F442" s="1406"/>
    </row>
    <row r="443" spans="2:6">
      <c r="B443" s="1336"/>
      <c r="E443" s="1335"/>
      <c r="F443" s="1406"/>
    </row>
    <row r="444" spans="2:6">
      <c r="B444" s="1336"/>
      <c r="E444" s="1335"/>
      <c r="F444" s="1406"/>
    </row>
    <row r="445" spans="2:6">
      <c r="B445" s="1336"/>
      <c r="E445" s="1335"/>
      <c r="F445" s="1406"/>
    </row>
    <row r="446" spans="2:6">
      <c r="B446" s="1336"/>
      <c r="E446" s="1335"/>
      <c r="F446" s="1406"/>
    </row>
    <row r="447" spans="2:6">
      <c r="B447" s="1336"/>
      <c r="E447" s="1335"/>
      <c r="F447" s="1406"/>
    </row>
    <row r="448" spans="2:6">
      <c r="B448" s="1336"/>
      <c r="E448" s="1335"/>
      <c r="F448" s="1406"/>
    </row>
    <row r="449" spans="2:6">
      <c r="B449" s="1336"/>
      <c r="E449" s="1335"/>
      <c r="F449" s="1406"/>
    </row>
    <row r="450" spans="2:6">
      <c r="B450" s="1336"/>
      <c r="E450" s="1335"/>
      <c r="F450" s="1406"/>
    </row>
    <row r="451" spans="2:6">
      <c r="B451" s="1336"/>
      <c r="E451" s="1335"/>
      <c r="F451" s="1406"/>
    </row>
    <row r="452" spans="2:6">
      <c r="B452" s="1336"/>
      <c r="E452" s="1335"/>
      <c r="F452" s="1406"/>
    </row>
    <row r="453" spans="2:6">
      <c r="B453" s="1336"/>
      <c r="E453" s="1335"/>
      <c r="F453" s="1406"/>
    </row>
    <row r="454" spans="2:6">
      <c r="B454" s="1336"/>
      <c r="E454" s="1335"/>
      <c r="F454" s="1406"/>
    </row>
    <row r="455" spans="2:6">
      <c r="B455" s="1336"/>
      <c r="E455" s="1335"/>
      <c r="F455" s="1406"/>
    </row>
    <row r="456" spans="2:6">
      <c r="B456" s="1336"/>
      <c r="E456" s="1335"/>
      <c r="F456" s="1406"/>
    </row>
    <row r="457" spans="2:6">
      <c r="B457" s="1336"/>
      <c r="E457" s="1335"/>
      <c r="F457" s="1406"/>
    </row>
    <row r="458" spans="2:6">
      <c r="B458" s="1336"/>
      <c r="E458" s="1335"/>
      <c r="F458" s="1406"/>
    </row>
    <row r="459" spans="2:6">
      <c r="B459" s="1336"/>
      <c r="E459" s="1335"/>
      <c r="F459" s="1406"/>
    </row>
    <row r="460" spans="2:6">
      <c r="B460" s="1336"/>
      <c r="E460" s="1335"/>
      <c r="F460" s="1406"/>
    </row>
    <row r="461" spans="2:6">
      <c r="B461" s="1336"/>
      <c r="E461" s="1335"/>
      <c r="F461" s="1406"/>
    </row>
    <row r="462" spans="2:6">
      <c r="B462" s="1336"/>
      <c r="E462" s="1335"/>
      <c r="F462" s="1406"/>
    </row>
    <row r="463" spans="2:6">
      <c r="B463" s="1336"/>
      <c r="E463" s="1335"/>
      <c r="F463" s="1406"/>
    </row>
    <row r="464" spans="2:6">
      <c r="B464" s="1336"/>
      <c r="E464" s="1335"/>
      <c r="F464" s="1406"/>
    </row>
    <row r="465" spans="2:6">
      <c r="B465" s="1336"/>
      <c r="E465" s="1335"/>
      <c r="F465" s="1406"/>
    </row>
    <row r="466" spans="2:6">
      <c r="B466" s="1336"/>
      <c r="E466" s="1335"/>
      <c r="F466" s="1406"/>
    </row>
    <row r="467" spans="2:6">
      <c r="B467" s="1336"/>
      <c r="E467" s="1335"/>
      <c r="F467" s="1406"/>
    </row>
    <row r="468" spans="2:6">
      <c r="B468" s="1336"/>
      <c r="E468" s="1335"/>
      <c r="F468" s="1406"/>
    </row>
    <row r="469" spans="2:6">
      <c r="B469" s="1336"/>
      <c r="E469" s="1335"/>
      <c r="F469" s="1406"/>
    </row>
    <row r="470" spans="2:6">
      <c r="B470" s="1336"/>
      <c r="E470" s="1335"/>
      <c r="F470" s="1406"/>
    </row>
    <row r="471" spans="2:6">
      <c r="B471" s="1336"/>
      <c r="E471" s="1335"/>
      <c r="F471" s="1406"/>
    </row>
    <row r="472" spans="2:6">
      <c r="B472" s="1336"/>
      <c r="E472" s="1335"/>
      <c r="F472" s="1406"/>
    </row>
    <row r="473" spans="2:6">
      <c r="B473" s="1336"/>
      <c r="E473" s="1335"/>
      <c r="F473" s="1406"/>
    </row>
    <row r="474" spans="2:6">
      <c r="B474" s="1336"/>
      <c r="E474" s="1335"/>
      <c r="F474" s="1406"/>
    </row>
    <row r="475" spans="2:6">
      <c r="B475" s="1336"/>
      <c r="E475" s="1335"/>
      <c r="F475" s="1406"/>
    </row>
    <row r="476" spans="2:6">
      <c r="B476" s="1336"/>
      <c r="E476" s="1335"/>
      <c r="F476" s="1406"/>
    </row>
    <row r="477" spans="2:6">
      <c r="B477" s="1336"/>
      <c r="E477" s="1335"/>
      <c r="F477" s="1406"/>
    </row>
    <row r="478" spans="2:6">
      <c r="B478" s="1336"/>
      <c r="E478" s="1335"/>
      <c r="F478" s="1406"/>
    </row>
    <row r="479" spans="2:6">
      <c r="B479" s="1336"/>
      <c r="E479" s="1335"/>
      <c r="F479" s="1406"/>
    </row>
    <row r="480" spans="2:6">
      <c r="B480" s="1336"/>
      <c r="E480" s="1335"/>
      <c r="F480" s="1406"/>
    </row>
    <row r="481" spans="2:6">
      <c r="B481" s="1336"/>
      <c r="E481" s="1335"/>
      <c r="F481" s="1406"/>
    </row>
    <row r="482" spans="2:6">
      <c r="B482" s="1336"/>
      <c r="E482" s="1335"/>
      <c r="F482" s="1406"/>
    </row>
    <row r="483" spans="2:6">
      <c r="B483" s="1336"/>
      <c r="E483" s="1335"/>
      <c r="F483" s="1406"/>
    </row>
    <row r="484" spans="2:6">
      <c r="B484" s="1336"/>
      <c r="E484" s="1335"/>
      <c r="F484" s="1406"/>
    </row>
    <row r="485" spans="2:6">
      <c r="B485" s="1336"/>
      <c r="E485" s="1335"/>
      <c r="F485" s="1406"/>
    </row>
    <row r="486" spans="2:6">
      <c r="B486" s="1336"/>
      <c r="E486" s="1335"/>
      <c r="F486" s="1406"/>
    </row>
    <row r="487" spans="2:6">
      <c r="B487" s="1336"/>
      <c r="E487" s="1335"/>
      <c r="F487" s="1406"/>
    </row>
    <row r="488" spans="2:6">
      <c r="B488" s="1336"/>
      <c r="E488" s="1335"/>
      <c r="F488" s="1406"/>
    </row>
    <row r="489" spans="2:6">
      <c r="B489" s="1336"/>
      <c r="E489" s="1335"/>
      <c r="F489" s="1406"/>
    </row>
    <row r="490" spans="2:6">
      <c r="B490" s="1336"/>
      <c r="E490" s="1335"/>
      <c r="F490" s="1406"/>
    </row>
    <row r="491" spans="2:6">
      <c r="B491" s="1336"/>
      <c r="E491" s="1335"/>
      <c r="F491" s="1406"/>
    </row>
    <row r="492" spans="2:6">
      <c r="B492" s="1336"/>
      <c r="E492" s="1335"/>
      <c r="F492" s="1406"/>
    </row>
    <row r="493" spans="2:6">
      <c r="B493" s="1336"/>
      <c r="E493" s="1335"/>
      <c r="F493" s="1406"/>
    </row>
    <row r="494" spans="2:6">
      <c r="B494" s="1336"/>
      <c r="E494" s="1335"/>
      <c r="F494" s="1406"/>
    </row>
    <row r="495" spans="2:6">
      <c r="B495" s="1336"/>
      <c r="E495" s="1335"/>
      <c r="F495" s="1406"/>
    </row>
    <row r="496" spans="2:6">
      <c r="B496" s="1336"/>
      <c r="E496" s="1335"/>
      <c r="F496" s="1406"/>
    </row>
    <row r="497" spans="2:6">
      <c r="B497" s="1336"/>
      <c r="E497" s="1335"/>
      <c r="F497" s="1406"/>
    </row>
    <row r="498" spans="2:6">
      <c r="B498" s="1336"/>
      <c r="E498" s="1335"/>
      <c r="F498" s="1406"/>
    </row>
    <row r="499" spans="2:6">
      <c r="B499" s="1336"/>
      <c r="E499" s="1335"/>
      <c r="F499" s="1406"/>
    </row>
    <row r="500" spans="2:6">
      <c r="B500" s="1336"/>
      <c r="E500" s="1335"/>
      <c r="F500" s="1406"/>
    </row>
    <row r="501" spans="2:6">
      <c r="B501" s="1336"/>
      <c r="E501" s="1335"/>
      <c r="F501" s="1406"/>
    </row>
    <row r="502" spans="2:6">
      <c r="B502" s="1336"/>
      <c r="E502" s="1335"/>
      <c r="F502" s="1406"/>
    </row>
    <row r="503" spans="2:6">
      <c r="B503" s="1336"/>
      <c r="E503" s="1335"/>
      <c r="F503" s="1406"/>
    </row>
    <row r="504" spans="2:6">
      <c r="B504" s="1336"/>
      <c r="E504" s="1335"/>
      <c r="F504" s="1406"/>
    </row>
    <row r="505" spans="2:6">
      <c r="B505" s="1336"/>
      <c r="E505" s="1335"/>
      <c r="F505" s="1406"/>
    </row>
    <row r="506" spans="2:6">
      <c r="B506" s="1336"/>
      <c r="E506" s="1335"/>
      <c r="F506" s="1406"/>
    </row>
    <row r="507" spans="2:6">
      <c r="B507" s="1336"/>
      <c r="E507" s="1335"/>
      <c r="F507" s="1406"/>
    </row>
    <row r="508" spans="2:6">
      <c r="B508" s="1336"/>
      <c r="E508" s="1335"/>
      <c r="F508" s="1406"/>
    </row>
    <row r="509" spans="2:6">
      <c r="B509" s="1336"/>
      <c r="E509" s="1335"/>
      <c r="F509" s="1406"/>
    </row>
    <row r="510" spans="2:6">
      <c r="B510" s="1336"/>
      <c r="E510" s="1335"/>
      <c r="F510" s="1406"/>
    </row>
    <row r="511" spans="2:6">
      <c r="B511" s="1336"/>
      <c r="E511" s="1335"/>
      <c r="F511" s="1406"/>
    </row>
    <row r="512" spans="2:6">
      <c r="B512" s="1336"/>
      <c r="E512" s="1335"/>
      <c r="F512" s="1406"/>
    </row>
    <row r="513" spans="2:6">
      <c r="B513" s="1336"/>
      <c r="E513" s="1335"/>
      <c r="F513" s="1406"/>
    </row>
    <row r="514" spans="2:6">
      <c r="B514" s="1336"/>
      <c r="E514" s="1335"/>
      <c r="F514" s="1406"/>
    </row>
    <row r="515" spans="2:6">
      <c r="B515" s="1336"/>
      <c r="E515" s="1335"/>
      <c r="F515" s="1406"/>
    </row>
    <row r="516" spans="2:6">
      <c r="B516" s="1336"/>
      <c r="E516" s="1335"/>
      <c r="F516" s="1406"/>
    </row>
    <row r="517" spans="2:6">
      <c r="B517" s="1336"/>
      <c r="E517" s="1335"/>
      <c r="F517" s="1406"/>
    </row>
    <row r="518" spans="2:6">
      <c r="B518" s="1336"/>
      <c r="E518" s="1335"/>
      <c r="F518" s="1406"/>
    </row>
    <row r="519" spans="2:6">
      <c r="B519" s="1336"/>
      <c r="E519" s="1335"/>
      <c r="F519" s="1406"/>
    </row>
    <row r="520" spans="2:6">
      <c r="B520" s="1336"/>
      <c r="E520" s="1335"/>
      <c r="F520" s="1406"/>
    </row>
    <row r="521" spans="2:6">
      <c r="B521" s="1336"/>
      <c r="E521" s="1335"/>
      <c r="F521" s="1406"/>
    </row>
    <row r="522" spans="2:6">
      <c r="B522" s="1336"/>
      <c r="E522" s="1335"/>
      <c r="F522" s="1406"/>
    </row>
    <row r="523" spans="2:6">
      <c r="B523" s="1336"/>
      <c r="E523" s="1335"/>
      <c r="F523" s="1406"/>
    </row>
    <row r="524" spans="2:6">
      <c r="B524" s="1336"/>
      <c r="E524" s="1335"/>
      <c r="F524" s="1406"/>
    </row>
    <row r="525" spans="2:6">
      <c r="B525" s="1336"/>
      <c r="E525" s="1335"/>
      <c r="F525" s="1406"/>
    </row>
    <row r="526" spans="2:6">
      <c r="B526" s="1336"/>
      <c r="E526" s="1335"/>
      <c r="F526" s="1406"/>
    </row>
    <row r="527" spans="2:6">
      <c r="B527" s="1336"/>
      <c r="E527" s="1335"/>
      <c r="F527" s="1406"/>
    </row>
    <row r="528" spans="2:6">
      <c r="B528" s="1336"/>
      <c r="E528" s="1335"/>
      <c r="F528" s="1406"/>
    </row>
    <row r="529" spans="2:6">
      <c r="B529" s="1336"/>
      <c r="E529" s="1335"/>
      <c r="F529" s="1406"/>
    </row>
    <row r="530" spans="2:6">
      <c r="B530" s="1336"/>
      <c r="E530" s="1335"/>
      <c r="F530" s="1406"/>
    </row>
    <row r="531" spans="2:6">
      <c r="B531" s="1336"/>
      <c r="E531" s="1335"/>
      <c r="F531" s="1406"/>
    </row>
    <row r="532" spans="2:6">
      <c r="B532" s="1336"/>
      <c r="E532" s="1335"/>
      <c r="F532" s="1406"/>
    </row>
    <row r="533" spans="2:6">
      <c r="B533" s="1336"/>
      <c r="E533" s="1335"/>
      <c r="F533" s="1406"/>
    </row>
    <row r="534" spans="2:6">
      <c r="B534" s="1336"/>
      <c r="E534" s="1335"/>
      <c r="F534" s="1406"/>
    </row>
    <row r="535" spans="2:6">
      <c r="B535" s="1336"/>
      <c r="E535" s="1335"/>
      <c r="F535" s="1406"/>
    </row>
    <row r="536" spans="2:6">
      <c r="B536" s="1336"/>
      <c r="E536" s="1335"/>
      <c r="F536" s="1406"/>
    </row>
    <row r="537" spans="2:6">
      <c r="B537" s="1336"/>
      <c r="E537" s="1335"/>
      <c r="F537" s="1406"/>
    </row>
    <row r="538" spans="2:6">
      <c r="B538" s="1336"/>
      <c r="E538" s="1335"/>
      <c r="F538" s="1406"/>
    </row>
    <row r="539" spans="2:6">
      <c r="B539" s="1336"/>
      <c r="E539" s="1335"/>
      <c r="F539" s="1406"/>
    </row>
    <row r="540" spans="2:6">
      <c r="B540" s="1336"/>
      <c r="E540" s="1335"/>
      <c r="F540" s="1406"/>
    </row>
    <row r="541" spans="2:6">
      <c r="B541" s="1336"/>
      <c r="E541" s="1335"/>
      <c r="F541" s="1406"/>
    </row>
    <row r="542" spans="2:6">
      <c r="B542" s="1336"/>
      <c r="E542" s="1335"/>
      <c r="F542" s="1406"/>
    </row>
    <row r="543" spans="2:6">
      <c r="B543" s="1336"/>
      <c r="E543" s="1335"/>
      <c r="F543" s="1406"/>
    </row>
    <row r="544" spans="2:6">
      <c r="B544" s="1336"/>
      <c r="E544" s="1335"/>
      <c r="F544" s="1406"/>
    </row>
    <row r="545" spans="2:6">
      <c r="B545" s="1336"/>
      <c r="E545" s="1335"/>
      <c r="F545" s="1406"/>
    </row>
    <row r="546" spans="2:6">
      <c r="B546" s="1336"/>
      <c r="E546" s="1335"/>
      <c r="F546" s="1406"/>
    </row>
    <row r="547" spans="2:6">
      <c r="B547" s="1336"/>
      <c r="E547" s="1335"/>
      <c r="F547" s="1406"/>
    </row>
    <row r="548" spans="2:6">
      <c r="B548" s="1336"/>
      <c r="E548" s="1335"/>
      <c r="F548" s="1406"/>
    </row>
    <row r="549" spans="2:6">
      <c r="B549" s="1336"/>
      <c r="E549" s="1335"/>
      <c r="F549" s="1406"/>
    </row>
    <row r="550" spans="2:6">
      <c r="B550" s="1336"/>
      <c r="E550" s="1335"/>
      <c r="F550" s="1406"/>
    </row>
    <row r="551" spans="2:6">
      <c r="B551" s="1336"/>
      <c r="E551" s="1335"/>
      <c r="F551" s="1406"/>
    </row>
    <row r="552" spans="2:6">
      <c r="B552" s="1336"/>
      <c r="E552" s="1335"/>
      <c r="F552" s="1406"/>
    </row>
    <row r="553" spans="2:6">
      <c r="B553" s="1336"/>
      <c r="E553" s="1335"/>
      <c r="F553" s="1406"/>
    </row>
    <row r="554" spans="2:6">
      <c r="B554" s="1336"/>
      <c r="E554" s="1335"/>
      <c r="F554" s="1406"/>
    </row>
    <row r="555" spans="2:6">
      <c r="B555" s="1336"/>
      <c r="E555" s="1335"/>
      <c r="F555" s="1406"/>
    </row>
    <row r="556" spans="2:6">
      <c r="B556" s="1336"/>
      <c r="E556" s="1335"/>
      <c r="F556" s="1406"/>
    </row>
    <row r="557" spans="2:6">
      <c r="B557" s="1336"/>
      <c r="E557" s="1335"/>
      <c r="F557" s="1406"/>
    </row>
    <row r="558" spans="2:6">
      <c r="B558" s="1336"/>
      <c r="E558" s="1335"/>
      <c r="F558" s="1406"/>
    </row>
    <row r="559" spans="2:6">
      <c r="B559" s="1336"/>
      <c r="E559" s="1335"/>
      <c r="F559" s="1406"/>
    </row>
    <row r="560" spans="2:6">
      <c r="B560" s="1336"/>
      <c r="E560" s="1335"/>
      <c r="F560" s="1406"/>
    </row>
    <row r="561" spans="2:6">
      <c r="B561" s="1336"/>
      <c r="E561" s="1335"/>
      <c r="F561" s="1406"/>
    </row>
    <row r="562" spans="2:6">
      <c r="B562" s="1336"/>
      <c r="E562" s="1335"/>
      <c r="F562" s="1406"/>
    </row>
    <row r="563" spans="2:6">
      <c r="B563" s="1336"/>
      <c r="E563" s="1335"/>
      <c r="F563" s="1406"/>
    </row>
    <row r="564" spans="2:6">
      <c r="B564" s="1336"/>
      <c r="E564" s="1335"/>
      <c r="F564" s="1406"/>
    </row>
    <row r="565" spans="2:6">
      <c r="B565" s="1336"/>
      <c r="E565" s="1335"/>
      <c r="F565" s="1406"/>
    </row>
    <row r="566" spans="2:6">
      <c r="B566" s="1336"/>
      <c r="E566" s="1335"/>
      <c r="F566" s="1406"/>
    </row>
    <row r="567" spans="2:6">
      <c r="B567" s="1336"/>
      <c r="E567" s="1335"/>
      <c r="F567" s="1406"/>
    </row>
    <row r="568" spans="2:6">
      <c r="B568" s="1336"/>
      <c r="E568" s="1335"/>
      <c r="F568" s="1406"/>
    </row>
    <row r="569" spans="2:6">
      <c r="B569" s="1336"/>
      <c r="E569" s="1335"/>
      <c r="F569" s="1406"/>
    </row>
    <row r="570" spans="2:6">
      <c r="B570" s="1336"/>
      <c r="E570" s="1335"/>
      <c r="F570" s="1406"/>
    </row>
    <row r="571" spans="2:6">
      <c r="B571" s="1336"/>
      <c r="E571" s="1335"/>
      <c r="F571" s="1406"/>
    </row>
    <row r="572" spans="2:6">
      <c r="B572" s="1336"/>
      <c r="E572" s="1335"/>
      <c r="F572" s="1406"/>
    </row>
    <row r="573" spans="2:6">
      <c r="B573" s="1336"/>
      <c r="E573" s="1335"/>
      <c r="F573" s="1406"/>
    </row>
    <row r="574" spans="2:6">
      <c r="B574" s="1336"/>
      <c r="E574" s="1335"/>
      <c r="F574" s="1406"/>
    </row>
    <row r="575" spans="2:6">
      <c r="B575" s="1336"/>
      <c r="E575" s="1335"/>
      <c r="F575" s="1406"/>
    </row>
    <row r="576" spans="2:6">
      <c r="B576" s="1336"/>
      <c r="E576" s="1335"/>
      <c r="F576" s="1406"/>
    </row>
    <row r="577" spans="2:6">
      <c r="B577" s="1336"/>
      <c r="E577" s="1335"/>
      <c r="F577" s="1406"/>
    </row>
    <row r="578" spans="2:6">
      <c r="B578" s="1336"/>
      <c r="E578" s="1335"/>
      <c r="F578" s="1406"/>
    </row>
    <row r="579" spans="2:6">
      <c r="B579" s="1336"/>
      <c r="E579" s="1335"/>
      <c r="F579" s="1406"/>
    </row>
    <row r="580" spans="2:6">
      <c r="B580" s="1336"/>
      <c r="E580" s="1335"/>
      <c r="F580" s="1406"/>
    </row>
    <row r="581" spans="2:6">
      <c r="B581" s="1336"/>
      <c r="E581" s="1335"/>
      <c r="F581" s="1406"/>
    </row>
    <row r="582" spans="2:6">
      <c r="B582" s="1336"/>
      <c r="E582" s="1335"/>
      <c r="F582" s="1406"/>
    </row>
    <row r="583" spans="2:6">
      <c r="B583" s="1336"/>
      <c r="E583" s="1335"/>
      <c r="F583" s="1406"/>
    </row>
    <row r="584" spans="2:6">
      <c r="B584" s="1336"/>
      <c r="E584" s="1335"/>
      <c r="F584" s="1406"/>
    </row>
    <row r="585" spans="2:6">
      <c r="B585" s="1336"/>
      <c r="E585" s="1335"/>
      <c r="F585" s="1406"/>
    </row>
    <row r="586" spans="2:6">
      <c r="B586" s="1336"/>
      <c r="E586" s="1335"/>
      <c r="F586" s="1406"/>
    </row>
    <row r="587" spans="2:6">
      <c r="B587" s="1336"/>
      <c r="E587" s="1335"/>
      <c r="F587" s="1406"/>
    </row>
    <row r="588" spans="2:6">
      <c r="B588" s="1336"/>
      <c r="E588" s="1335"/>
      <c r="F588" s="1406"/>
    </row>
    <row r="589" spans="2:6">
      <c r="B589" s="1336"/>
      <c r="E589" s="1335"/>
      <c r="F589" s="1406"/>
    </row>
    <row r="590" spans="2:6">
      <c r="B590" s="1336"/>
      <c r="E590" s="1335"/>
      <c r="F590" s="1406"/>
    </row>
    <row r="591" spans="2:6">
      <c r="B591" s="1336"/>
      <c r="E591" s="1335"/>
      <c r="F591" s="1406"/>
    </row>
    <row r="592" spans="2:6">
      <c r="B592" s="1336"/>
      <c r="E592" s="1335"/>
      <c r="F592" s="1406"/>
    </row>
    <row r="593" spans="2:6">
      <c r="B593" s="1336"/>
      <c r="E593" s="1335"/>
      <c r="F593" s="1406"/>
    </row>
    <row r="594" spans="2:6">
      <c r="B594" s="1336"/>
      <c r="E594" s="1335"/>
      <c r="F594" s="1406"/>
    </row>
    <row r="595" spans="2:6">
      <c r="B595" s="1336"/>
      <c r="E595" s="1335"/>
      <c r="F595" s="1406"/>
    </row>
    <row r="596" spans="2:6">
      <c r="B596" s="1336"/>
      <c r="E596" s="1335"/>
      <c r="F596" s="1406"/>
    </row>
    <row r="597" spans="2:6">
      <c r="B597" s="1336"/>
      <c r="E597" s="1335"/>
      <c r="F597" s="1406"/>
    </row>
    <row r="598" spans="2:6">
      <c r="B598" s="1336"/>
      <c r="E598" s="1335"/>
      <c r="F598" s="1406"/>
    </row>
    <row r="599" spans="2:6">
      <c r="B599" s="1336"/>
      <c r="E599" s="1335"/>
      <c r="F599" s="1406"/>
    </row>
    <row r="600" spans="2:6">
      <c r="B600" s="1336"/>
      <c r="E600" s="1335"/>
      <c r="F600" s="1406"/>
    </row>
    <row r="601" spans="2:6">
      <c r="B601" s="1336"/>
      <c r="E601" s="1335"/>
      <c r="F601" s="1406"/>
    </row>
    <row r="602" spans="2:6">
      <c r="B602" s="1336"/>
      <c r="E602" s="1335"/>
      <c r="F602" s="1406"/>
    </row>
    <row r="603" spans="2:6">
      <c r="B603" s="1336"/>
      <c r="E603" s="1335"/>
      <c r="F603" s="1406"/>
    </row>
    <row r="604" spans="2:6">
      <c r="B604" s="1336"/>
      <c r="E604" s="1335"/>
      <c r="F604" s="1406"/>
    </row>
    <row r="605" spans="2:6">
      <c r="B605" s="1336"/>
      <c r="E605" s="1335"/>
      <c r="F605" s="1406"/>
    </row>
    <row r="606" spans="2:6">
      <c r="B606" s="1336"/>
      <c r="E606" s="1335"/>
      <c r="F606" s="1406"/>
    </row>
    <row r="607" spans="2:6">
      <c r="B607" s="1336"/>
      <c r="E607" s="1335"/>
      <c r="F607" s="1406"/>
    </row>
    <row r="608" spans="2:6">
      <c r="B608" s="1336"/>
      <c r="E608" s="1335"/>
      <c r="F608" s="1406"/>
    </row>
    <row r="609" spans="2:6">
      <c r="B609" s="1336"/>
      <c r="E609" s="1335"/>
      <c r="F609" s="1406"/>
    </row>
    <row r="610" spans="2:6">
      <c r="B610" s="1336"/>
      <c r="E610" s="1335"/>
      <c r="F610" s="1406"/>
    </row>
    <row r="611" spans="2:6">
      <c r="B611" s="1336"/>
      <c r="E611" s="1335"/>
      <c r="F611" s="1406"/>
    </row>
    <row r="612" spans="2:6">
      <c r="B612" s="1336"/>
      <c r="E612" s="1335"/>
      <c r="F612" s="1406"/>
    </row>
    <row r="613" spans="2:6">
      <c r="B613" s="1336"/>
      <c r="E613" s="1335"/>
      <c r="F613" s="1406"/>
    </row>
    <row r="614" spans="2:6">
      <c r="B614" s="1336"/>
      <c r="E614" s="1335"/>
      <c r="F614" s="1406"/>
    </row>
    <row r="615" spans="2:6">
      <c r="B615" s="1336"/>
      <c r="E615" s="1335"/>
      <c r="F615" s="1406"/>
    </row>
    <row r="616" spans="2:6">
      <c r="B616" s="1336"/>
      <c r="E616" s="1335"/>
      <c r="F616" s="1406"/>
    </row>
    <row r="617" spans="2:6">
      <c r="B617" s="1336"/>
      <c r="E617" s="1335"/>
      <c r="F617" s="1406"/>
    </row>
    <row r="618" spans="2:6">
      <c r="B618" s="1336"/>
      <c r="E618" s="1335"/>
      <c r="F618" s="1406"/>
    </row>
    <row r="619" spans="2:6">
      <c r="B619" s="1336"/>
      <c r="E619" s="1335"/>
      <c r="F619" s="1406"/>
    </row>
    <row r="620" spans="2:6">
      <c r="B620" s="1336"/>
      <c r="E620" s="1335"/>
      <c r="F620" s="1406"/>
    </row>
    <row r="621" spans="2:6">
      <c r="B621" s="1336"/>
      <c r="E621" s="1335"/>
      <c r="F621" s="1406"/>
    </row>
    <row r="622" spans="2:6">
      <c r="B622" s="1336"/>
      <c r="E622" s="1335"/>
      <c r="F622" s="1406"/>
    </row>
    <row r="623" spans="2:6">
      <c r="B623" s="1336"/>
      <c r="E623" s="1335"/>
      <c r="F623" s="1406"/>
    </row>
    <row r="624" spans="2:6">
      <c r="B624" s="1336"/>
      <c r="E624" s="1335"/>
      <c r="F624" s="1406"/>
    </row>
    <row r="625" spans="2:6">
      <c r="B625" s="1336"/>
      <c r="E625" s="1335"/>
      <c r="F625" s="1406"/>
    </row>
    <row r="626" spans="2:6">
      <c r="B626" s="1336"/>
      <c r="E626" s="1335"/>
      <c r="F626" s="1406"/>
    </row>
    <row r="627" spans="2:6">
      <c r="B627" s="1336"/>
      <c r="E627" s="1335"/>
      <c r="F627" s="1406"/>
    </row>
    <row r="628" spans="2:6">
      <c r="B628" s="1336"/>
      <c r="E628" s="1335"/>
      <c r="F628" s="1406"/>
    </row>
    <row r="629" spans="2:6">
      <c r="B629" s="1336"/>
      <c r="E629" s="1335"/>
      <c r="F629" s="1406"/>
    </row>
    <row r="630" spans="2:6">
      <c r="B630" s="1336"/>
      <c r="E630" s="1335"/>
      <c r="F630" s="1406"/>
    </row>
    <row r="631" spans="2:6">
      <c r="B631" s="1336"/>
      <c r="E631" s="1335"/>
      <c r="F631" s="1406"/>
    </row>
    <row r="632" spans="2:6">
      <c r="B632" s="1336"/>
      <c r="E632" s="1335"/>
      <c r="F632" s="1406"/>
    </row>
    <row r="633" spans="2:6">
      <c r="B633" s="1336"/>
      <c r="E633" s="1335"/>
      <c r="F633" s="1406"/>
    </row>
    <row r="634" spans="2:6">
      <c r="B634" s="1336"/>
      <c r="E634" s="1335"/>
      <c r="F634" s="1406"/>
    </row>
    <row r="635" spans="2:6">
      <c r="B635" s="1336"/>
      <c r="E635" s="1335"/>
      <c r="F635" s="1406"/>
    </row>
    <row r="636" spans="2:6">
      <c r="B636" s="1336"/>
      <c r="E636" s="1335"/>
      <c r="F636" s="1406"/>
    </row>
    <row r="637" spans="2:6">
      <c r="B637" s="1336"/>
      <c r="E637" s="1335"/>
      <c r="F637" s="1406"/>
    </row>
    <row r="638" spans="2:6">
      <c r="B638" s="1336"/>
      <c r="E638" s="1335"/>
      <c r="F638" s="1406"/>
    </row>
    <row r="639" spans="2:6">
      <c r="B639" s="1336"/>
      <c r="E639" s="1335"/>
      <c r="F639" s="1406"/>
    </row>
    <row r="640" spans="2:6">
      <c r="B640" s="1336"/>
      <c r="E640" s="1335"/>
      <c r="F640" s="1406"/>
    </row>
    <row r="641" spans="2:6">
      <c r="B641" s="1336"/>
      <c r="E641" s="1335"/>
      <c r="F641" s="1406"/>
    </row>
    <row r="642" spans="2:6">
      <c r="B642" s="1336"/>
      <c r="E642" s="1335"/>
      <c r="F642" s="1406"/>
    </row>
    <row r="643" spans="2:6">
      <c r="B643" s="1336"/>
      <c r="E643" s="1335"/>
      <c r="F643" s="1406"/>
    </row>
    <row r="644" spans="2:6">
      <c r="B644" s="1336"/>
      <c r="E644" s="1335"/>
      <c r="F644" s="1406"/>
    </row>
    <row r="645" spans="2:6">
      <c r="B645" s="1336"/>
      <c r="E645" s="1335"/>
      <c r="F645" s="1406"/>
    </row>
    <row r="646" spans="2:6">
      <c r="B646" s="1336"/>
      <c r="E646" s="1335"/>
      <c r="F646" s="1406"/>
    </row>
    <row r="647" spans="2:6">
      <c r="B647" s="1336"/>
      <c r="E647" s="1335"/>
      <c r="F647" s="1406"/>
    </row>
    <row r="648" spans="2:6">
      <c r="B648" s="1336"/>
      <c r="E648" s="1335"/>
      <c r="F648" s="1406"/>
    </row>
    <row r="649" spans="2:6">
      <c r="B649" s="1336"/>
      <c r="E649" s="1335"/>
      <c r="F649" s="1406"/>
    </row>
    <row r="650" spans="2:6">
      <c r="B650" s="1336"/>
      <c r="E650" s="1335"/>
      <c r="F650" s="1406"/>
    </row>
    <row r="651" spans="2:6">
      <c r="B651" s="1336"/>
      <c r="E651" s="1335"/>
      <c r="F651" s="1406"/>
    </row>
    <row r="652" spans="2:6">
      <c r="B652" s="1336"/>
      <c r="E652" s="1335"/>
      <c r="F652" s="1406"/>
    </row>
    <row r="653" spans="2:6">
      <c r="B653" s="1336"/>
      <c r="E653" s="1335"/>
      <c r="F653" s="1406"/>
    </row>
    <row r="654" spans="2:6">
      <c r="B654" s="1336"/>
      <c r="E654" s="1335"/>
      <c r="F654" s="1406"/>
    </row>
    <row r="655" spans="2:6">
      <c r="B655" s="1336"/>
      <c r="E655" s="1335"/>
      <c r="F655" s="1406"/>
    </row>
    <row r="656" spans="2:6">
      <c r="B656" s="1336"/>
      <c r="E656" s="1335"/>
      <c r="F656" s="1406"/>
    </row>
    <row r="657" spans="2:6">
      <c r="B657" s="1336"/>
      <c r="E657" s="1335"/>
      <c r="F657" s="1406"/>
    </row>
    <row r="658" spans="2:6">
      <c r="B658" s="1336"/>
      <c r="E658" s="1335"/>
      <c r="F658" s="1406"/>
    </row>
    <row r="659" spans="2:6">
      <c r="B659" s="1336"/>
      <c r="E659" s="1335"/>
      <c r="F659" s="1406"/>
    </row>
    <row r="660" spans="2:6">
      <c r="B660" s="1336"/>
      <c r="E660" s="1335"/>
      <c r="F660" s="1406"/>
    </row>
    <row r="661" spans="2:6">
      <c r="B661" s="1336"/>
      <c r="E661" s="1335"/>
      <c r="F661" s="1406"/>
    </row>
    <row r="662" spans="2:6">
      <c r="B662" s="1336"/>
      <c r="E662" s="1335"/>
      <c r="F662" s="1406"/>
    </row>
    <row r="663" spans="2:6">
      <c r="B663" s="1336"/>
      <c r="E663" s="1335"/>
      <c r="F663" s="1406"/>
    </row>
    <row r="664" spans="2:6">
      <c r="B664" s="1336"/>
      <c r="E664" s="1335"/>
      <c r="F664" s="1406"/>
    </row>
    <row r="665" spans="2:6">
      <c r="B665" s="1336"/>
      <c r="E665" s="1335"/>
      <c r="F665" s="1406"/>
    </row>
    <row r="666" spans="2:6">
      <c r="B666" s="1336"/>
      <c r="E666" s="1335"/>
      <c r="F666" s="1406"/>
    </row>
    <row r="667" spans="2:6">
      <c r="B667" s="1336"/>
      <c r="E667" s="1335"/>
      <c r="F667" s="1406"/>
    </row>
    <row r="668" spans="2:6">
      <c r="B668" s="1336"/>
      <c r="E668" s="1335"/>
      <c r="F668" s="1406"/>
    </row>
    <row r="669" spans="2:6">
      <c r="B669" s="1336"/>
      <c r="E669" s="1335"/>
      <c r="F669" s="1406"/>
    </row>
    <row r="670" spans="2:6">
      <c r="B670" s="1336"/>
      <c r="E670" s="1335"/>
      <c r="F670" s="1406"/>
    </row>
    <row r="671" spans="2:6">
      <c r="B671" s="1336"/>
      <c r="E671" s="1335"/>
      <c r="F671" s="1406"/>
    </row>
    <row r="672" spans="2:6">
      <c r="B672" s="1336"/>
      <c r="E672" s="1335"/>
      <c r="F672" s="1406"/>
    </row>
    <row r="673" spans="2:6">
      <c r="B673" s="1336"/>
      <c r="E673" s="1335"/>
      <c r="F673" s="1406"/>
    </row>
    <row r="674" spans="2:6">
      <c r="B674" s="1336"/>
      <c r="E674" s="1335"/>
      <c r="F674" s="1406"/>
    </row>
    <row r="675" spans="2:6">
      <c r="B675" s="1336"/>
      <c r="E675" s="1335"/>
      <c r="F675" s="1406"/>
    </row>
    <row r="676" spans="2:6">
      <c r="B676" s="1336"/>
      <c r="E676" s="1335"/>
      <c r="F676" s="1406"/>
    </row>
    <row r="677" spans="2:6">
      <c r="B677" s="1336"/>
      <c r="E677" s="1335"/>
      <c r="F677" s="1406"/>
    </row>
    <row r="678" spans="2:6">
      <c r="B678" s="1336"/>
      <c r="E678" s="1335"/>
      <c r="F678" s="1406"/>
    </row>
    <row r="679" spans="2:6">
      <c r="B679" s="1336"/>
      <c r="E679" s="1335"/>
      <c r="F679" s="1406"/>
    </row>
    <row r="680" spans="2:6">
      <c r="B680" s="1336"/>
      <c r="E680" s="1335"/>
      <c r="F680" s="1406"/>
    </row>
    <row r="681" spans="2:6">
      <c r="B681" s="1336"/>
      <c r="E681" s="1335"/>
      <c r="F681" s="1406"/>
    </row>
    <row r="682" spans="2:6">
      <c r="B682" s="1336"/>
      <c r="E682" s="1335"/>
      <c r="F682" s="1406"/>
    </row>
    <row r="683" spans="2:6">
      <c r="B683" s="1336"/>
      <c r="E683" s="1335"/>
      <c r="F683" s="1406"/>
    </row>
    <row r="684" spans="2:6">
      <c r="B684" s="1336"/>
      <c r="E684" s="1335"/>
      <c r="F684" s="1406"/>
    </row>
    <row r="685" spans="2:6">
      <c r="B685" s="1336"/>
      <c r="E685" s="1335"/>
      <c r="F685" s="1406"/>
    </row>
    <row r="686" spans="2:6">
      <c r="B686" s="1336"/>
      <c r="E686" s="1335"/>
      <c r="F686" s="1406"/>
    </row>
    <row r="687" spans="2:6">
      <c r="B687" s="1336"/>
      <c r="E687" s="1335"/>
      <c r="F687" s="1406"/>
    </row>
    <row r="688" spans="2:6">
      <c r="B688" s="1336"/>
      <c r="E688" s="1335"/>
      <c r="F688" s="1406"/>
    </row>
    <row r="689" spans="2:6">
      <c r="B689" s="1336"/>
      <c r="E689" s="1335"/>
      <c r="F689" s="1406"/>
    </row>
    <row r="690" spans="2:6">
      <c r="B690" s="1336"/>
      <c r="E690" s="1335"/>
      <c r="F690" s="1406"/>
    </row>
    <row r="691" spans="2:6">
      <c r="B691" s="1336"/>
      <c r="E691" s="1335"/>
      <c r="F691" s="1406"/>
    </row>
    <row r="692" spans="2:6">
      <c r="B692" s="1336"/>
      <c r="E692" s="1335"/>
      <c r="F692" s="1406"/>
    </row>
    <row r="693" spans="2:6">
      <c r="B693" s="1336"/>
      <c r="E693" s="1335"/>
      <c r="F693" s="1406"/>
    </row>
    <row r="694" spans="2:6">
      <c r="B694" s="1336"/>
      <c r="E694" s="1335"/>
      <c r="F694" s="1406"/>
    </row>
    <row r="695" spans="2:6">
      <c r="B695" s="1336"/>
      <c r="E695" s="1335"/>
      <c r="F695" s="1406"/>
    </row>
    <row r="696" spans="2:6">
      <c r="B696" s="1336"/>
      <c r="E696" s="1335"/>
      <c r="F696" s="1406"/>
    </row>
    <row r="697" spans="2:6">
      <c r="B697" s="1336"/>
      <c r="E697" s="1335"/>
      <c r="F697" s="1406"/>
    </row>
    <row r="698" spans="2:6">
      <c r="B698" s="1336"/>
      <c r="E698" s="1335"/>
      <c r="F698" s="1406"/>
    </row>
    <row r="699" spans="2:6">
      <c r="B699" s="1336"/>
      <c r="E699" s="1335"/>
      <c r="F699" s="1406"/>
    </row>
    <row r="700" spans="2:6">
      <c r="B700" s="1336"/>
      <c r="E700" s="1335"/>
      <c r="F700" s="1406"/>
    </row>
    <row r="701" spans="2:6">
      <c r="B701" s="1336"/>
      <c r="E701" s="1335"/>
      <c r="F701" s="1406"/>
    </row>
    <row r="702" spans="2:6">
      <c r="B702" s="1336"/>
      <c r="E702" s="1335"/>
      <c r="F702" s="1406"/>
    </row>
    <row r="703" spans="2:6">
      <c r="B703" s="1336"/>
      <c r="E703" s="1335"/>
      <c r="F703" s="1406"/>
    </row>
    <row r="704" spans="2:6">
      <c r="B704" s="1336"/>
      <c r="E704" s="1335"/>
      <c r="F704" s="1406"/>
    </row>
    <row r="705" spans="2:6">
      <c r="B705" s="1336"/>
      <c r="E705" s="1335"/>
      <c r="F705" s="1406"/>
    </row>
    <row r="706" spans="2:6">
      <c r="B706" s="1336"/>
      <c r="E706" s="1335"/>
      <c r="F706" s="1406"/>
    </row>
    <row r="707" spans="2:6">
      <c r="B707" s="1336"/>
      <c r="E707" s="1335"/>
      <c r="F707" s="1406"/>
    </row>
    <row r="708" spans="2:6">
      <c r="B708" s="1336"/>
      <c r="E708" s="1335"/>
      <c r="F708" s="1406"/>
    </row>
    <row r="709" spans="2:6">
      <c r="B709" s="1336"/>
      <c r="E709" s="1335"/>
      <c r="F709" s="1406"/>
    </row>
    <row r="710" spans="2:6">
      <c r="B710" s="1336"/>
      <c r="E710" s="1335"/>
      <c r="F710" s="1406"/>
    </row>
    <row r="711" spans="2:6">
      <c r="B711" s="1336"/>
      <c r="E711" s="1335"/>
      <c r="F711" s="1406"/>
    </row>
    <row r="712" spans="2:6">
      <c r="B712" s="1336"/>
      <c r="E712" s="1335"/>
      <c r="F712" s="1406"/>
    </row>
    <row r="713" spans="2:6">
      <c r="B713" s="1336"/>
      <c r="E713" s="1335"/>
      <c r="F713" s="1406"/>
    </row>
    <row r="714" spans="2:6">
      <c r="B714" s="1336"/>
      <c r="E714" s="1335"/>
      <c r="F714" s="1406"/>
    </row>
    <row r="715" spans="2:6">
      <c r="B715" s="1336"/>
      <c r="E715" s="1335"/>
      <c r="F715" s="1406"/>
    </row>
    <row r="716" spans="2:6">
      <c r="B716" s="1336"/>
      <c r="E716" s="1335"/>
      <c r="F716" s="1406"/>
    </row>
    <row r="717" spans="2:6">
      <c r="B717" s="1336"/>
      <c r="E717" s="1335"/>
      <c r="F717" s="1406"/>
    </row>
    <row r="718" spans="2:6">
      <c r="B718" s="1336"/>
      <c r="E718" s="1335"/>
      <c r="F718" s="1406"/>
    </row>
    <row r="719" spans="2:6">
      <c r="B719" s="1336"/>
      <c r="E719" s="1335"/>
      <c r="F719" s="1406"/>
    </row>
    <row r="720" spans="2:6">
      <c r="B720" s="1336"/>
      <c r="E720" s="1335"/>
      <c r="F720" s="1406"/>
    </row>
    <row r="721" spans="2:6">
      <c r="B721" s="1336"/>
      <c r="E721" s="1335"/>
      <c r="F721" s="1406"/>
    </row>
    <row r="722" spans="2:6">
      <c r="B722" s="1336"/>
      <c r="E722" s="1335"/>
      <c r="F722" s="1406"/>
    </row>
    <row r="723" spans="2:6">
      <c r="B723" s="1336"/>
      <c r="E723" s="1335"/>
      <c r="F723" s="1406"/>
    </row>
    <row r="724" spans="2:6">
      <c r="B724" s="1336"/>
      <c r="E724" s="1335"/>
      <c r="F724" s="1406"/>
    </row>
    <row r="725" spans="2:6">
      <c r="B725" s="1336"/>
      <c r="E725" s="1335"/>
      <c r="F725" s="1406"/>
    </row>
    <row r="726" spans="2:6">
      <c r="B726" s="1336"/>
      <c r="E726" s="1335"/>
      <c r="F726" s="1406"/>
    </row>
    <row r="727" spans="2:6">
      <c r="B727" s="1336"/>
      <c r="E727" s="1335"/>
      <c r="F727" s="1406"/>
    </row>
    <row r="728" spans="2:6">
      <c r="B728" s="1336"/>
      <c r="E728" s="1335"/>
      <c r="F728" s="1406"/>
    </row>
    <row r="729" spans="2:6">
      <c r="B729" s="1336"/>
      <c r="E729" s="1335"/>
      <c r="F729" s="1406"/>
    </row>
    <row r="730" spans="2:6">
      <c r="B730" s="1336"/>
      <c r="E730" s="1335"/>
      <c r="F730" s="1406"/>
    </row>
    <row r="731" spans="2:6">
      <c r="B731" s="1336"/>
      <c r="E731" s="1335"/>
      <c r="F731" s="1406"/>
    </row>
    <row r="732" spans="2:6">
      <c r="B732" s="1336"/>
      <c r="E732" s="1335"/>
      <c r="F732" s="1406"/>
    </row>
    <row r="733" spans="2:6">
      <c r="B733" s="1336"/>
      <c r="E733" s="1335"/>
      <c r="F733" s="1406"/>
    </row>
    <row r="734" spans="2:6">
      <c r="B734" s="1336"/>
      <c r="E734" s="1335"/>
      <c r="F734" s="1406"/>
    </row>
    <row r="735" spans="2:6">
      <c r="B735" s="1336"/>
      <c r="E735" s="1335"/>
      <c r="F735" s="1406"/>
    </row>
    <row r="736" spans="2:6">
      <c r="B736" s="1336"/>
      <c r="E736" s="1335"/>
      <c r="F736" s="1406"/>
    </row>
    <row r="737" spans="2:6">
      <c r="B737" s="1336"/>
      <c r="E737" s="1335"/>
      <c r="F737" s="1406"/>
    </row>
    <row r="738" spans="2:6">
      <c r="B738" s="1336"/>
      <c r="E738" s="1335"/>
      <c r="F738" s="1406"/>
    </row>
    <row r="739" spans="2:6">
      <c r="B739" s="1336"/>
      <c r="E739" s="1335"/>
      <c r="F739" s="1406"/>
    </row>
    <row r="740" spans="2:6">
      <c r="B740" s="1336"/>
      <c r="E740" s="1335"/>
      <c r="F740" s="1406"/>
    </row>
    <row r="741" spans="2:6">
      <c r="B741" s="1336"/>
      <c r="E741" s="1335"/>
      <c r="F741" s="1406"/>
    </row>
    <row r="742" spans="2:6">
      <c r="B742" s="1336"/>
      <c r="E742" s="1335"/>
      <c r="F742" s="1406"/>
    </row>
    <row r="743" spans="2:6">
      <c r="B743" s="1336"/>
      <c r="E743" s="1335"/>
      <c r="F743" s="1406"/>
    </row>
    <row r="744" spans="2:6">
      <c r="B744" s="1336"/>
      <c r="E744" s="1335"/>
      <c r="F744" s="1406"/>
    </row>
    <row r="745" spans="2:6">
      <c r="B745" s="1336"/>
      <c r="E745" s="1335"/>
      <c r="F745" s="1406"/>
    </row>
    <row r="746" spans="2:6">
      <c r="B746" s="1336"/>
      <c r="E746" s="1335"/>
      <c r="F746" s="1406"/>
    </row>
    <row r="747" spans="2:6">
      <c r="B747" s="1336"/>
      <c r="E747" s="1335"/>
      <c r="F747" s="1406"/>
    </row>
    <row r="748" spans="2:6">
      <c r="B748" s="1336"/>
      <c r="E748" s="1335"/>
      <c r="F748" s="1406"/>
    </row>
    <row r="749" spans="2:6">
      <c r="B749" s="1336"/>
      <c r="E749" s="1335"/>
      <c r="F749" s="1406"/>
    </row>
    <row r="750" spans="2:6">
      <c r="B750" s="1336"/>
      <c r="E750" s="1335"/>
      <c r="F750" s="1406"/>
    </row>
    <row r="751" spans="2:6">
      <c r="B751" s="1336"/>
      <c r="E751" s="1335"/>
      <c r="F751" s="1406"/>
    </row>
    <row r="752" spans="2:6">
      <c r="B752" s="1336"/>
      <c r="E752" s="1335"/>
      <c r="F752" s="1406"/>
    </row>
    <row r="753" spans="2:6">
      <c r="B753" s="1336"/>
      <c r="E753" s="1335"/>
      <c r="F753" s="1406"/>
    </row>
    <row r="754" spans="2:6">
      <c r="B754" s="1336"/>
      <c r="E754" s="1335"/>
      <c r="F754" s="1406"/>
    </row>
    <row r="755" spans="2:6">
      <c r="B755" s="1336"/>
      <c r="E755" s="1335"/>
      <c r="F755" s="1406"/>
    </row>
    <row r="756" spans="2:6">
      <c r="B756" s="1336"/>
      <c r="E756" s="1335"/>
      <c r="F756" s="1406"/>
    </row>
    <row r="757" spans="2:6">
      <c r="B757" s="1336"/>
      <c r="E757" s="1335"/>
      <c r="F757" s="1406"/>
    </row>
    <row r="758" spans="2:6">
      <c r="B758" s="1336"/>
      <c r="E758" s="1335"/>
      <c r="F758" s="1406"/>
    </row>
    <row r="759" spans="2:6">
      <c r="B759" s="1336"/>
      <c r="E759" s="1335"/>
      <c r="F759" s="1406"/>
    </row>
    <row r="760" spans="2:6">
      <c r="B760" s="1336"/>
      <c r="E760" s="1335"/>
      <c r="F760" s="1406"/>
    </row>
    <row r="761" spans="2:6">
      <c r="B761" s="1336"/>
      <c r="E761" s="1335"/>
      <c r="F761" s="1406"/>
    </row>
    <row r="762" spans="2:6">
      <c r="B762" s="1336"/>
      <c r="E762" s="1335"/>
      <c r="F762" s="1406"/>
    </row>
    <row r="763" spans="2:6">
      <c r="B763" s="1336"/>
      <c r="E763" s="1335"/>
      <c r="F763" s="1406"/>
    </row>
    <row r="764" spans="2:6">
      <c r="B764" s="1336"/>
      <c r="E764" s="1335"/>
      <c r="F764" s="1406"/>
    </row>
    <row r="765" spans="2:6">
      <c r="B765" s="1336"/>
      <c r="E765" s="1335"/>
      <c r="F765" s="1406"/>
    </row>
    <row r="766" spans="2:6">
      <c r="B766" s="1336"/>
      <c r="E766" s="1335"/>
      <c r="F766" s="1406"/>
    </row>
    <row r="767" spans="2:6">
      <c r="B767" s="1336"/>
      <c r="E767" s="1335"/>
      <c r="F767" s="1406"/>
    </row>
    <row r="768" spans="2:6">
      <c r="B768" s="1336"/>
      <c r="E768" s="1335"/>
      <c r="F768" s="1406"/>
    </row>
    <row r="769" spans="2:6">
      <c r="B769" s="1336"/>
      <c r="E769" s="1335"/>
      <c r="F769" s="1406"/>
    </row>
    <row r="770" spans="2:6">
      <c r="B770" s="1336"/>
      <c r="E770" s="1335"/>
      <c r="F770" s="1406"/>
    </row>
    <row r="771" spans="2:6">
      <c r="B771" s="1336"/>
      <c r="E771" s="1335"/>
      <c r="F771" s="1406"/>
    </row>
    <row r="772" spans="2:6">
      <c r="B772" s="1336"/>
      <c r="E772" s="1335"/>
      <c r="F772" s="1406"/>
    </row>
    <row r="773" spans="2:6">
      <c r="B773" s="1336"/>
      <c r="E773" s="1335"/>
      <c r="F773" s="1406"/>
    </row>
    <row r="774" spans="2:6">
      <c r="B774" s="1336"/>
      <c r="E774" s="1335"/>
      <c r="F774" s="1406"/>
    </row>
    <row r="775" spans="2:6">
      <c r="B775" s="1336"/>
      <c r="E775" s="1335"/>
      <c r="F775" s="1406"/>
    </row>
    <row r="776" spans="2:6">
      <c r="B776" s="1336"/>
      <c r="E776" s="1335"/>
      <c r="F776" s="1406"/>
    </row>
    <row r="777" spans="2:6">
      <c r="B777" s="1336"/>
      <c r="E777" s="1335"/>
      <c r="F777" s="1406"/>
    </row>
    <row r="778" spans="2:6">
      <c r="B778" s="1336"/>
      <c r="E778" s="1335"/>
      <c r="F778" s="1406"/>
    </row>
    <row r="779" spans="2:6">
      <c r="B779" s="1336"/>
      <c r="E779" s="1335"/>
      <c r="F779" s="1406"/>
    </row>
    <row r="780" spans="2:6">
      <c r="B780" s="1336"/>
      <c r="E780" s="1335"/>
      <c r="F780" s="1406"/>
    </row>
    <row r="781" spans="2:6">
      <c r="B781" s="1336"/>
      <c r="E781" s="1335"/>
      <c r="F781" s="1406"/>
    </row>
    <row r="782" spans="2:6">
      <c r="B782" s="1336"/>
      <c r="E782" s="1335"/>
      <c r="F782" s="1406"/>
    </row>
    <row r="783" spans="2:6">
      <c r="B783" s="1336"/>
      <c r="E783" s="1335"/>
      <c r="F783" s="1406"/>
    </row>
    <row r="784" spans="2:6">
      <c r="B784" s="1336"/>
      <c r="E784" s="1335"/>
      <c r="F784" s="1406"/>
    </row>
    <row r="785" spans="2:6">
      <c r="B785" s="1336"/>
      <c r="E785" s="1335"/>
      <c r="F785" s="1406"/>
    </row>
    <row r="786" spans="2:6">
      <c r="B786" s="1336"/>
      <c r="E786" s="1335"/>
      <c r="F786" s="1406"/>
    </row>
    <row r="787" spans="2:6">
      <c r="B787" s="1336"/>
      <c r="E787" s="1335"/>
      <c r="F787" s="1406"/>
    </row>
    <row r="788" spans="2:6">
      <c r="B788" s="1336"/>
      <c r="E788" s="1335"/>
      <c r="F788" s="1406"/>
    </row>
    <row r="789" spans="2:6">
      <c r="B789" s="1336"/>
      <c r="E789" s="1335"/>
      <c r="F789" s="1406"/>
    </row>
    <row r="790" spans="2:6">
      <c r="B790" s="1336"/>
      <c r="E790" s="1335"/>
      <c r="F790" s="1406"/>
    </row>
    <row r="791" spans="2:6">
      <c r="B791" s="1336"/>
      <c r="E791" s="1335"/>
      <c r="F791" s="1406"/>
    </row>
    <row r="792" spans="2:6">
      <c r="B792" s="1336"/>
      <c r="E792" s="1335"/>
      <c r="F792" s="1406"/>
    </row>
    <row r="793" spans="2:6">
      <c r="B793" s="1336"/>
      <c r="E793" s="1335"/>
      <c r="F793" s="1406"/>
    </row>
    <row r="794" spans="2:6">
      <c r="B794" s="1336"/>
      <c r="E794" s="1335"/>
      <c r="F794" s="1406"/>
    </row>
    <row r="795" spans="2:6">
      <c r="B795" s="1336"/>
      <c r="E795" s="1335"/>
      <c r="F795" s="1406"/>
    </row>
    <row r="796" spans="2:6">
      <c r="B796" s="1336"/>
      <c r="E796" s="1335"/>
      <c r="F796" s="1406"/>
    </row>
    <row r="797" spans="2:6">
      <c r="B797" s="1336"/>
      <c r="E797" s="1335"/>
      <c r="F797" s="1406"/>
    </row>
    <row r="798" spans="2:6">
      <c r="B798" s="1336"/>
      <c r="E798" s="1335"/>
      <c r="F798" s="1406"/>
    </row>
    <row r="799" spans="2:6">
      <c r="B799" s="1336"/>
      <c r="E799" s="1335"/>
      <c r="F799" s="1406"/>
    </row>
    <row r="800" spans="2:6">
      <c r="B800" s="1336"/>
      <c r="E800" s="1335"/>
      <c r="F800" s="1406"/>
    </row>
    <row r="801" spans="2:6">
      <c r="B801" s="1336"/>
      <c r="E801" s="1335"/>
      <c r="F801" s="1406"/>
    </row>
    <row r="802" spans="2:6">
      <c r="B802" s="1336"/>
      <c r="E802" s="1335"/>
      <c r="F802" s="1406"/>
    </row>
    <row r="803" spans="2:6">
      <c r="B803" s="1336"/>
      <c r="E803" s="1335"/>
      <c r="F803" s="1406"/>
    </row>
    <row r="804" spans="2:6">
      <c r="B804" s="1336"/>
      <c r="E804" s="1335"/>
      <c r="F804" s="1406"/>
    </row>
    <row r="805" spans="2:6">
      <c r="B805" s="1336"/>
      <c r="E805" s="1335"/>
      <c r="F805" s="1406"/>
    </row>
    <row r="806" spans="2:6">
      <c r="B806" s="1336"/>
      <c r="E806" s="1335"/>
      <c r="F806" s="1406"/>
    </row>
    <row r="807" spans="2:6">
      <c r="B807" s="1336"/>
      <c r="E807" s="1335"/>
      <c r="F807" s="1406"/>
    </row>
    <row r="808" spans="2:6">
      <c r="B808" s="1336"/>
      <c r="E808" s="1335"/>
      <c r="F808" s="1406"/>
    </row>
    <row r="809" spans="2:6">
      <c r="B809" s="1336"/>
      <c r="E809" s="1335"/>
      <c r="F809" s="1406"/>
    </row>
    <row r="810" spans="2:6">
      <c r="B810" s="1336"/>
      <c r="E810" s="1335"/>
      <c r="F810" s="1406"/>
    </row>
    <row r="811" spans="2:6">
      <c r="B811" s="1336"/>
      <c r="E811" s="1335"/>
      <c r="F811" s="1406"/>
    </row>
    <row r="812" spans="2:6">
      <c r="B812" s="1336"/>
      <c r="E812" s="1335"/>
      <c r="F812" s="1406"/>
    </row>
    <row r="813" spans="2:6">
      <c r="B813" s="1336"/>
      <c r="E813" s="1335"/>
      <c r="F813" s="1406"/>
    </row>
    <row r="814" spans="2:6">
      <c r="B814" s="1336"/>
      <c r="E814" s="1335"/>
      <c r="F814" s="1406"/>
    </row>
    <row r="815" spans="2:6">
      <c r="B815" s="1336"/>
      <c r="E815" s="1335"/>
      <c r="F815" s="1406"/>
    </row>
    <row r="816" spans="2:6">
      <c r="B816" s="1336"/>
      <c r="E816" s="1335"/>
      <c r="F816" s="1406"/>
    </row>
    <row r="817" spans="2:6">
      <c r="B817" s="1336"/>
      <c r="E817" s="1335"/>
      <c r="F817" s="1406"/>
    </row>
    <row r="818" spans="2:6">
      <c r="B818" s="1336"/>
      <c r="E818" s="1335"/>
      <c r="F818" s="1406"/>
    </row>
    <row r="819" spans="2:6">
      <c r="B819" s="1336"/>
      <c r="E819" s="1335"/>
      <c r="F819" s="1406"/>
    </row>
    <row r="820" spans="2:6">
      <c r="B820" s="1336"/>
      <c r="E820" s="1335"/>
      <c r="F820" s="1406"/>
    </row>
    <row r="821" spans="2:6">
      <c r="B821" s="1336"/>
      <c r="E821" s="1335"/>
      <c r="F821" s="1406"/>
    </row>
    <row r="822" spans="2:6">
      <c r="B822" s="1336"/>
      <c r="E822" s="1335"/>
      <c r="F822" s="1406"/>
    </row>
    <row r="823" spans="2:6">
      <c r="B823" s="1336"/>
      <c r="E823" s="1335"/>
      <c r="F823" s="1406"/>
    </row>
    <row r="824" spans="2:6">
      <c r="B824" s="1336"/>
      <c r="E824" s="1335"/>
      <c r="F824" s="1406"/>
    </row>
    <row r="825" spans="2:6">
      <c r="B825" s="1336"/>
      <c r="E825" s="1335"/>
      <c r="F825" s="1406"/>
    </row>
    <row r="826" spans="2:6">
      <c r="B826" s="1336"/>
      <c r="E826" s="1335"/>
      <c r="F826" s="1406"/>
    </row>
    <row r="827" spans="2:6">
      <c r="B827" s="1336"/>
      <c r="E827" s="1335"/>
      <c r="F827" s="1406"/>
    </row>
    <row r="828" spans="2:6">
      <c r="B828" s="1336"/>
      <c r="E828" s="1335"/>
      <c r="F828" s="1406"/>
    </row>
    <row r="829" spans="2:6">
      <c r="B829" s="1336"/>
      <c r="E829" s="1335"/>
      <c r="F829" s="1406"/>
    </row>
    <row r="830" spans="2:6">
      <c r="B830" s="1336"/>
      <c r="E830" s="1335"/>
      <c r="F830" s="1406"/>
    </row>
    <row r="831" spans="2:6">
      <c r="B831" s="1336"/>
      <c r="E831" s="1335"/>
      <c r="F831" s="1406"/>
    </row>
    <row r="832" spans="2:6">
      <c r="B832" s="1336"/>
      <c r="E832" s="1335"/>
      <c r="F832" s="1406"/>
    </row>
    <row r="833" spans="2:6">
      <c r="B833" s="1336"/>
      <c r="E833" s="1335"/>
      <c r="F833" s="1406"/>
    </row>
    <row r="834" spans="2:6">
      <c r="B834" s="1336"/>
      <c r="E834" s="1335"/>
      <c r="F834" s="1406"/>
    </row>
    <row r="835" spans="2:6">
      <c r="B835" s="1336"/>
      <c r="E835" s="1335"/>
      <c r="F835" s="1406"/>
    </row>
    <row r="836" spans="2:6">
      <c r="B836" s="1336"/>
      <c r="E836" s="1335"/>
      <c r="F836" s="1406"/>
    </row>
    <row r="837" spans="2:6">
      <c r="B837" s="1336"/>
      <c r="E837" s="1335"/>
      <c r="F837" s="1406"/>
    </row>
    <row r="838" spans="2:6">
      <c r="B838" s="1336"/>
      <c r="E838" s="1335"/>
      <c r="F838" s="1406"/>
    </row>
    <row r="839" spans="2:6">
      <c r="B839" s="1336"/>
      <c r="E839" s="1335"/>
      <c r="F839" s="1406"/>
    </row>
    <row r="840" spans="2:6">
      <c r="B840" s="1336"/>
      <c r="E840" s="1335"/>
      <c r="F840" s="1406"/>
    </row>
    <row r="841" spans="2:6">
      <c r="B841" s="1336"/>
      <c r="E841" s="1335"/>
      <c r="F841" s="1406"/>
    </row>
    <row r="842" spans="2:6">
      <c r="B842" s="1336"/>
      <c r="E842" s="1335"/>
      <c r="F842" s="1406"/>
    </row>
    <row r="843" spans="2:6">
      <c r="B843" s="1336"/>
      <c r="E843" s="1335"/>
      <c r="F843" s="1406"/>
    </row>
    <row r="844" spans="2:6">
      <c r="B844" s="1336"/>
      <c r="E844" s="1335"/>
      <c r="F844" s="1406"/>
    </row>
    <row r="845" spans="2:6">
      <c r="B845" s="1336"/>
      <c r="E845" s="1335"/>
      <c r="F845" s="1406"/>
    </row>
    <row r="846" spans="2:6">
      <c r="B846" s="1336"/>
      <c r="E846" s="1335"/>
      <c r="F846" s="1406"/>
    </row>
    <row r="847" spans="2:6">
      <c r="B847" s="1336"/>
      <c r="E847" s="1335"/>
      <c r="F847" s="1406"/>
    </row>
    <row r="848" spans="2:6">
      <c r="B848" s="1336"/>
      <c r="E848" s="1335"/>
      <c r="F848" s="1406"/>
    </row>
    <row r="849" spans="2:6">
      <c r="B849" s="1336"/>
      <c r="E849" s="1335"/>
      <c r="F849" s="1406"/>
    </row>
    <row r="850" spans="2:6">
      <c r="B850" s="1336"/>
      <c r="E850" s="1335"/>
      <c r="F850" s="1406"/>
    </row>
    <row r="851" spans="2:6">
      <c r="B851" s="1336"/>
      <c r="E851" s="1335"/>
      <c r="F851" s="1406"/>
    </row>
    <row r="852" spans="2:6">
      <c r="B852" s="1336"/>
      <c r="E852" s="1335"/>
      <c r="F852" s="1406"/>
    </row>
    <row r="853" spans="2:6">
      <c r="B853" s="1336"/>
      <c r="E853" s="1335"/>
      <c r="F853" s="1406"/>
    </row>
    <row r="854" spans="2:6">
      <c r="B854" s="1336"/>
      <c r="E854" s="1335"/>
      <c r="F854" s="1406"/>
    </row>
    <row r="855" spans="2:6">
      <c r="B855" s="1336"/>
      <c r="E855" s="1335"/>
      <c r="F855" s="1406"/>
    </row>
    <row r="856" spans="2:6">
      <c r="B856" s="1336"/>
      <c r="E856" s="1335"/>
      <c r="F856" s="1406"/>
    </row>
    <row r="857" spans="2:6">
      <c r="B857" s="1336"/>
      <c r="E857" s="1335"/>
      <c r="F857" s="1406"/>
    </row>
    <row r="858" spans="2:6">
      <c r="B858" s="1336"/>
      <c r="E858" s="1335"/>
      <c r="F858" s="1406"/>
    </row>
    <row r="859" spans="2:6">
      <c r="B859" s="1336"/>
      <c r="E859" s="1335"/>
      <c r="F859" s="1406"/>
    </row>
    <row r="860" spans="2:6">
      <c r="B860" s="1336"/>
      <c r="E860" s="1335"/>
      <c r="F860" s="1406"/>
    </row>
    <row r="861" spans="2:6">
      <c r="B861" s="1336"/>
      <c r="E861" s="1335"/>
      <c r="F861" s="1406"/>
    </row>
    <row r="862" spans="2:6">
      <c r="B862" s="1336"/>
      <c r="E862" s="1335"/>
      <c r="F862" s="1406"/>
    </row>
    <row r="863" spans="2:6">
      <c r="B863" s="1336"/>
      <c r="E863" s="1335"/>
      <c r="F863" s="1406"/>
    </row>
    <row r="864" spans="2:6">
      <c r="B864" s="1336"/>
      <c r="E864" s="1335"/>
      <c r="F864" s="1406"/>
    </row>
    <row r="865" spans="2:6">
      <c r="B865" s="1336"/>
      <c r="E865" s="1335"/>
      <c r="F865" s="1406"/>
    </row>
    <row r="866" spans="2:6">
      <c r="B866" s="1336"/>
      <c r="E866" s="1335"/>
      <c r="F866" s="1406"/>
    </row>
    <row r="867" spans="2:6">
      <c r="B867" s="1336"/>
      <c r="E867" s="1335"/>
      <c r="F867" s="1406"/>
    </row>
    <row r="868" spans="2:6">
      <c r="B868" s="1336"/>
      <c r="E868" s="1335"/>
      <c r="F868" s="1406"/>
    </row>
    <row r="869" spans="2:6">
      <c r="B869" s="1336"/>
      <c r="E869" s="1335"/>
      <c r="F869" s="1406"/>
    </row>
    <row r="870" spans="2:6">
      <c r="B870" s="1336"/>
      <c r="E870" s="1335"/>
      <c r="F870" s="1406"/>
    </row>
    <row r="871" spans="2:6">
      <c r="B871" s="1336"/>
      <c r="E871" s="1335"/>
      <c r="F871" s="1406"/>
    </row>
    <row r="872" spans="2:6">
      <c r="B872" s="1336"/>
      <c r="E872" s="1335"/>
      <c r="F872" s="1406"/>
    </row>
    <row r="873" spans="2:6">
      <c r="B873" s="1336"/>
      <c r="E873" s="1335"/>
      <c r="F873" s="1406"/>
    </row>
    <row r="874" spans="2:6">
      <c r="B874" s="1336"/>
      <c r="E874" s="1335"/>
      <c r="F874" s="1406"/>
    </row>
    <row r="875" spans="2:6">
      <c r="B875" s="1336"/>
      <c r="E875" s="1335"/>
      <c r="F875" s="1406"/>
    </row>
    <row r="876" spans="2:6">
      <c r="B876" s="1336"/>
      <c r="E876" s="1335"/>
      <c r="F876" s="1406"/>
    </row>
    <row r="877" spans="2:6">
      <c r="B877" s="1336"/>
      <c r="E877" s="1335"/>
      <c r="F877" s="1406"/>
    </row>
    <row r="878" spans="2:6">
      <c r="B878" s="1336"/>
      <c r="E878" s="1335"/>
      <c r="F878" s="1406"/>
    </row>
    <row r="879" spans="2:6">
      <c r="B879" s="1336"/>
      <c r="E879" s="1335"/>
      <c r="F879" s="1406"/>
    </row>
    <row r="880" spans="2:6">
      <c r="B880" s="1336"/>
      <c r="E880" s="1335"/>
      <c r="F880" s="1406"/>
    </row>
    <row r="881" spans="2:6">
      <c r="B881" s="1336"/>
      <c r="E881" s="1335"/>
      <c r="F881" s="1406"/>
    </row>
    <row r="882" spans="2:6">
      <c r="B882" s="1336"/>
      <c r="E882" s="1335"/>
      <c r="F882" s="1406"/>
    </row>
    <row r="883" spans="2:6">
      <c r="B883" s="1336"/>
      <c r="E883" s="1335"/>
      <c r="F883" s="1406"/>
    </row>
    <row r="884" spans="2:6">
      <c r="B884" s="1336"/>
      <c r="E884" s="1335"/>
      <c r="F884" s="1406"/>
    </row>
    <row r="885" spans="2:6">
      <c r="B885" s="1336"/>
      <c r="E885" s="1335"/>
      <c r="F885" s="1406"/>
    </row>
    <row r="886" spans="2:6">
      <c r="B886" s="1336"/>
      <c r="E886" s="1335"/>
      <c r="F886" s="1406"/>
    </row>
    <row r="887" spans="2:6">
      <c r="B887" s="1336"/>
      <c r="E887" s="1335"/>
      <c r="F887" s="1406"/>
    </row>
    <row r="888" spans="2:6">
      <c r="B888" s="1336"/>
      <c r="E888" s="1335"/>
      <c r="F888" s="1406"/>
    </row>
    <row r="889" spans="2:6">
      <c r="B889" s="1336"/>
      <c r="E889" s="1335"/>
      <c r="F889" s="1406"/>
    </row>
    <row r="890" spans="2:6">
      <c r="B890" s="1336"/>
      <c r="E890" s="1335"/>
      <c r="F890" s="1406"/>
    </row>
    <row r="891" spans="2:6">
      <c r="B891" s="1336"/>
      <c r="E891" s="1335"/>
      <c r="F891" s="1406"/>
    </row>
    <row r="892" spans="2:6">
      <c r="B892" s="1336"/>
      <c r="E892" s="1335"/>
      <c r="F892" s="1406"/>
    </row>
    <row r="893" spans="2:6">
      <c r="B893" s="1336"/>
      <c r="E893" s="1335"/>
      <c r="F893" s="1406"/>
    </row>
    <row r="894" spans="2:6">
      <c r="B894" s="1336"/>
      <c r="E894" s="1335"/>
      <c r="F894" s="1406"/>
    </row>
    <row r="895" spans="2:6">
      <c r="B895" s="1336"/>
      <c r="E895" s="1335"/>
      <c r="F895" s="1406"/>
    </row>
    <row r="896" spans="2:6">
      <c r="B896" s="1336"/>
      <c r="E896" s="1335"/>
      <c r="F896" s="1406"/>
    </row>
    <row r="897" spans="2:6">
      <c r="B897" s="1336"/>
      <c r="E897" s="1335"/>
      <c r="F897" s="1406"/>
    </row>
    <row r="898" spans="2:6">
      <c r="B898" s="1336"/>
      <c r="E898" s="1335"/>
      <c r="F898" s="1406"/>
    </row>
    <row r="899" spans="2:6">
      <c r="B899" s="1336"/>
      <c r="E899" s="1335"/>
      <c r="F899" s="1406"/>
    </row>
    <row r="900" spans="2:6">
      <c r="B900" s="1336"/>
      <c r="E900" s="1335"/>
      <c r="F900" s="1406"/>
    </row>
    <row r="901" spans="2:6">
      <c r="B901" s="1336"/>
      <c r="E901" s="1335"/>
      <c r="F901" s="1406"/>
    </row>
    <row r="902" spans="2:6">
      <c r="B902" s="1336"/>
      <c r="E902" s="1335"/>
      <c r="F902" s="1406"/>
    </row>
    <row r="903" spans="2:6">
      <c r="B903" s="1336"/>
      <c r="E903" s="1335"/>
      <c r="F903" s="1406"/>
    </row>
    <row r="904" spans="2:6">
      <c r="B904" s="1336"/>
      <c r="E904" s="1335"/>
      <c r="F904" s="1406"/>
    </row>
    <row r="905" spans="2:6">
      <c r="B905" s="1336"/>
      <c r="E905" s="1335"/>
      <c r="F905" s="1406"/>
    </row>
    <row r="906" spans="2:6">
      <c r="B906" s="1336"/>
      <c r="E906" s="1335"/>
      <c r="F906" s="1406"/>
    </row>
    <row r="907" spans="2:6">
      <c r="B907" s="1336"/>
      <c r="E907" s="1335"/>
      <c r="F907" s="1406"/>
    </row>
    <row r="908" spans="2:6">
      <c r="B908" s="1336"/>
      <c r="E908" s="1335"/>
      <c r="F908" s="1406"/>
    </row>
    <row r="909" spans="2:6">
      <c r="B909" s="1336"/>
      <c r="E909" s="1335"/>
      <c r="F909" s="1406"/>
    </row>
    <row r="910" spans="2:6">
      <c r="B910" s="1336"/>
      <c r="E910" s="1335"/>
      <c r="F910" s="1406"/>
    </row>
    <row r="911" spans="2:6">
      <c r="B911" s="1336"/>
      <c r="E911" s="1335"/>
      <c r="F911" s="1406"/>
    </row>
    <row r="912" spans="2:6">
      <c r="B912" s="1336"/>
      <c r="E912" s="1335"/>
      <c r="F912" s="1406"/>
    </row>
    <row r="913" spans="2:6">
      <c r="B913" s="1336"/>
      <c r="E913" s="1335"/>
      <c r="F913" s="1406"/>
    </row>
    <row r="914" spans="2:6">
      <c r="B914" s="1336"/>
      <c r="E914" s="1335"/>
      <c r="F914" s="1406"/>
    </row>
    <row r="915" spans="2:6">
      <c r="B915" s="1336"/>
      <c r="E915" s="1335"/>
      <c r="F915" s="1406"/>
    </row>
    <row r="916" spans="2:6">
      <c r="B916" s="1336"/>
      <c r="E916" s="1335"/>
      <c r="F916" s="1406"/>
    </row>
    <row r="917" spans="2:6">
      <c r="B917" s="1336"/>
      <c r="E917" s="1335"/>
      <c r="F917" s="1406"/>
    </row>
    <row r="918" spans="2:6">
      <c r="B918" s="1336"/>
      <c r="E918" s="1335"/>
      <c r="F918" s="1406"/>
    </row>
    <row r="919" spans="2:6">
      <c r="B919" s="1336"/>
      <c r="E919" s="1335"/>
      <c r="F919" s="1406"/>
    </row>
    <row r="920" spans="2:6">
      <c r="B920" s="1336"/>
      <c r="E920" s="1335"/>
      <c r="F920" s="1406"/>
    </row>
    <row r="921" spans="2:6">
      <c r="B921" s="1336"/>
      <c r="E921" s="1335"/>
      <c r="F921" s="1406"/>
    </row>
    <row r="922" spans="2:6">
      <c r="B922" s="1336"/>
      <c r="E922" s="1335"/>
      <c r="F922" s="1406"/>
    </row>
    <row r="923" spans="2:6">
      <c r="B923" s="1336"/>
      <c r="E923" s="1335"/>
      <c r="F923" s="1406"/>
    </row>
    <row r="924" spans="2:6">
      <c r="B924" s="1336"/>
      <c r="E924" s="1335"/>
      <c r="F924" s="1406"/>
    </row>
    <row r="925" spans="2:6">
      <c r="B925" s="1336"/>
      <c r="E925" s="1335"/>
      <c r="F925" s="1406"/>
    </row>
    <row r="926" spans="2:6">
      <c r="B926" s="1336"/>
      <c r="E926" s="1335"/>
      <c r="F926" s="1406"/>
    </row>
    <row r="927" spans="2:6">
      <c r="B927" s="1336"/>
      <c r="E927" s="1335"/>
      <c r="F927" s="1406"/>
    </row>
    <row r="928" spans="2:6">
      <c r="B928" s="1336"/>
      <c r="E928" s="1335"/>
      <c r="F928" s="1406"/>
    </row>
    <row r="929" spans="2:6">
      <c r="B929" s="1336"/>
      <c r="E929" s="1335"/>
      <c r="F929" s="1406"/>
    </row>
    <row r="930" spans="2:6">
      <c r="B930" s="1336"/>
      <c r="E930" s="1335"/>
      <c r="F930" s="1406"/>
    </row>
    <row r="931" spans="2:6">
      <c r="B931" s="1336"/>
      <c r="E931" s="1335"/>
      <c r="F931" s="1406"/>
    </row>
    <row r="932" spans="2:6">
      <c r="B932" s="1336"/>
      <c r="E932" s="1335"/>
      <c r="F932" s="1406"/>
    </row>
    <row r="933" spans="2:6">
      <c r="B933" s="1336"/>
      <c r="E933" s="1335"/>
      <c r="F933" s="1406"/>
    </row>
    <row r="934" spans="2:6">
      <c r="B934" s="1336"/>
      <c r="E934" s="1335"/>
      <c r="F934" s="1406"/>
    </row>
    <row r="935" spans="2:6">
      <c r="B935" s="1336"/>
      <c r="E935" s="1335"/>
      <c r="F935" s="1406"/>
    </row>
    <row r="936" spans="2:6">
      <c r="B936" s="1336"/>
      <c r="E936" s="1335"/>
      <c r="F936" s="1406"/>
    </row>
    <row r="937" spans="2:6">
      <c r="B937" s="1336"/>
      <c r="E937" s="1335"/>
      <c r="F937" s="1406"/>
    </row>
    <row r="938" spans="2:6">
      <c r="B938" s="1336"/>
      <c r="E938" s="1335"/>
      <c r="F938" s="1406"/>
    </row>
    <row r="939" spans="2:6">
      <c r="B939" s="1336"/>
      <c r="E939" s="1335"/>
      <c r="F939" s="1406"/>
    </row>
    <row r="940" spans="2:6">
      <c r="B940" s="1336"/>
      <c r="E940" s="1335"/>
      <c r="F940" s="1406"/>
    </row>
    <row r="941" spans="2:6">
      <c r="B941" s="1336"/>
      <c r="E941" s="1335"/>
      <c r="F941" s="1406"/>
    </row>
    <row r="942" spans="2:6">
      <c r="B942" s="1336"/>
      <c r="E942" s="1335"/>
      <c r="F942" s="1406"/>
    </row>
    <row r="943" spans="2:6">
      <c r="B943" s="1336"/>
      <c r="E943" s="1335"/>
      <c r="F943" s="1406"/>
    </row>
    <row r="944" spans="2:6">
      <c r="B944" s="1336"/>
      <c r="E944" s="1335"/>
      <c r="F944" s="1406"/>
    </row>
    <row r="945" spans="2:6">
      <c r="B945" s="1336"/>
      <c r="E945" s="1335"/>
      <c r="F945" s="1406"/>
    </row>
    <row r="946" spans="2:6">
      <c r="B946" s="1336"/>
      <c r="E946" s="1335"/>
      <c r="F946" s="1406"/>
    </row>
    <row r="947" spans="2:6">
      <c r="B947" s="1336"/>
      <c r="E947" s="1335"/>
      <c r="F947" s="1406"/>
    </row>
    <row r="948" spans="2:6">
      <c r="B948" s="1336"/>
      <c r="E948" s="1335"/>
      <c r="F948" s="1406"/>
    </row>
    <row r="949" spans="2:6">
      <c r="B949" s="1336"/>
      <c r="E949" s="1335"/>
      <c r="F949" s="1406"/>
    </row>
    <row r="950" spans="2:6">
      <c r="B950" s="1336"/>
      <c r="E950" s="1335"/>
      <c r="F950" s="1406"/>
    </row>
    <row r="951" spans="2:6">
      <c r="B951" s="1336"/>
      <c r="E951" s="1335"/>
      <c r="F951" s="1406"/>
    </row>
    <row r="952" spans="2:6">
      <c r="B952" s="1336"/>
      <c r="E952" s="1335"/>
      <c r="F952" s="1406"/>
    </row>
    <row r="953" spans="2:6">
      <c r="B953" s="1336"/>
      <c r="E953" s="1335"/>
      <c r="F953" s="1406"/>
    </row>
    <row r="954" spans="2:6">
      <c r="B954" s="1336"/>
      <c r="E954" s="1335"/>
      <c r="F954" s="1406"/>
    </row>
    <row r="955" spans="2:6">
      <c r="B955" s="1336"/>
      <c r="E955" s="1335"/>
      <c r="F955" s="1406"/>
    </row>
    <row r="956" spans="2:6">
      <c r="B956" s="1336"/>
      <c r="E956" s="1335"/>
      <c r="F956" s="1406"/>
    </row>
    <row r="957" spans="2:6">
      <c r="B957" s="1336"/>
      <c r="E957" s="1335"/>
      <c r="F957" s="1406"/>
    </row>
    <row r="958" spans="2:6">
      <c r="B958" s="1336"/>
      <c r="E958" s="1335"/>
      <c r="F958" s="1406"/>
    </row>
    <row r="959" spans="2:6">
      <c r="B959" s="1336"/>
      <c r="E959" s="1335"/>
      <c r="F959" s="1406"/>
    </row>
    <row r="960" spans="2:6">
      <c r="B960" s="1336"/>
      <c r="E960" s="1335"/>
      <c r="F960" s="1406"/>
    </row>
    <row r="961" spans="2:6">
      <c r="B961" s="1336"/>
      <c r="E961" s="1335"/>
      <c r="F961" s="1406"/>
    </row>
    <row r="962" spans="2:6">
      <c r="B962" s="1336"/>
      <c r="E962" s="1335"/>
      <c r="F962" s="1406"/>
    </row>
    <row r="963" spans="2:6">
      <c r="B963" s="1336"/>
      <c r="E963" s="1335"/>
      <c r="F963" s="1406"/>
    </row>
    <row r="964" spans="2:6">
      <c r="B964" s="1336"/>
      <c r="E964" s="1335"/>
      <c r="F964" s="1406"/>
    </row>
    <row r="965" spans="2:6">
      <c r="B965" s="1336"/>
      <c r="E965" s="1335"/>
      <c r="F965" s="1406"/>
    </row>
    <row r="966" spans="2:6">
      <c r="B966" s="1336"/>
      <c r="E966" s="1335"/>
      <c r="F966" s="1406"/>
    </row>
    <row r="967" spans="2:6">
      <c r="B967" s="1336"/>
      <c r="E967" s="1335"/>
      <c r="F967" s="1406"/>
    </row>
    <row r="968" spans="2:6">
      <c r="B968" s="1336"/>
      <c r="E968" s="1335"/>
      <c r="F968" s="1406"/>
    </row>
    <row r="969" spans="2:6">
      <c r="B969" s="1336"/>
      <c r="E969" s="1335"/>
      <c r="F969" s="1406"/>
    </row>
    <row r="970" spans="2:6">
      <c r="B970" s="1336"/>
      <c r="E970" s="1335"/>
      <c r="F970" s="1406"/>
    </row>
    <row r="971" spans="2:6">
      <c r="B971" s="1336"/>
      <c r="E971" s="1335"/>
      <c r="F971" s="1406"/>
    </row>
    <row r="972" spans="2:6">
      <c r="B972" s="1336"/>
      <c r="E972" s="1335"/>
      <c r="F972" s="1406"/>
    </row>
    <row r="973" spans="2:6">
      <c r="B973" s="1336"/>
      <c r="E973" s="1335"/>
      <c r="F973" s="1406"/>
    </row>
    <row r="974" spans="2:6">
      <c r="B974" s="1336"/>
      <c r="E974" s="1335"/>
      <c r="F974" s="1406"/>
    </row>
    <row r="975" spans="2:6">
      <c r="B975" s="1336"/>
      <c r="E975" s="1335"/>
      <c r="F975" s="1406"/>
    </row>
    <row r="976" spans="2:6">
      <c r="B976" s="1336"/>
      <c r="E976" s="1335"/>
      <c r="F976" s="1406"/>
    </row>
    <row r="977" spans="2:6">
      <c r="B977" s="1336"/>
      <c r="E977" s="1335"/>
      <c r="F977" s="1406"/>
    </row>
    <row r="978" spans="2:6">
      <c r="B978" s="1336"/>
      <c r="E978" s="1335"/>
      <c r="F978" s="1406"/>
    </row>
    <row r="979" spans="2:6">
      <c r="B979" s="1336"/>
      <c r="E979" s="1335"/>
      <c r="F979" s="1406"/>
    </row>
    <row r="980" spans="2:6">
      <c r="B980" s="1336"/>
      <c r="E980" s="1335"/>
      <c r="F980" s="1406"/>
    </row>
    <row r="981" spans="2:6">
      <c r="B981" s="1336"/>
      <c r="E981" s="1335"/>
      <c r="F981" s="1406"/>
    </row>
    <row r="982" spans="2:6">
      <c r="B982" s="1336"/>
      <c r="E982" s="1335"/>
      <c r="F982" s="1406"/>
    </row>
    <row r="983" spans="2:6">
      <c r="B983" s="1336"/>
      <c r="E983" s="1335"/>
      <c r="F983" s="1406"/>
    </row>
    <row r="984" spans="2:6">
      <c r="B984" s="1336"/>
      <c r="E984" s="1335"/>
      <c r="F984" s="1406"/>
    </row>
    <row r="985" spans="2:6">
      <c r="B985" s="1336"/>
      <c r="E985" s="1335"/>
      <c r="F985" s="1406"/>
    </row>
    <row r="986" spans="2:6">
      <c r="B986" s="1336"/>
      <c r="E986" s="1335"/>
      <c r="F986" s="1406"/>
    </row>
    <row r="987" spans="2:6">
      <c r="B987" s="1336"/>
      <c r="E987" s="1335"/>
      <c r="F987" s="1406"/>
    </row>
    <row r="988" spans="2:6">
      <c r="B988" s="1336"/>
      <c r="E988" s="1335"/>
      <c r="F988" s="1406"/>
    </row>
    <row r="989" spans="2:6">
      <c r="B989" s="1336"/>
      <c r="E989" s="1335"/>
      <c r="F989" s="1406"/>
    </row>
    <row r="990" spans="2:6">
      <c r="B990" s="1336"/>
      <c r="E990" s="1335"/>
      <c r="F990" s="1406"/>
    </row>
    <row r="991" spans="2:6">
      <c r="B991" s="1336"/>
      <c r="E991" s="1335"/>
      <c r="F991" s="1406"/>
    </row>
    <row r="992" spans="2:6">
      <c r="B992" s="1336"/>
      <c r="E992" s="1335"/>
      <c r="F992" s="1406"/>
    </row>
    <row r="993" spans="2:6">
      <c r="B993" s="1336"/>
      <c r="E993" s="1335"/>
      <c r="F993" s="1406"/>
    </row>
    <row r="994" spans="2:6">
      <c r="B994" s="1336"/>
      <c r="E994" s="1335"/>
      <c r="F994" s="1406"/>
    </row>
    <row r="995" spans="2:6">
      <c r="B995" s="1336"/>
      <c r="E995" s="1335"/>
      <c r="F995" s="1406"/>
    </row>
    <row r="996" spans="2:6">
      <c r="B996" s="1336"/>
      <c r="E996" s="1335"/>
      <c r="F996" s="1406"/>
    </row>
    <row r="997" spans="2:6">
      <c r="B997" s="1336"/>
      <c r="E997" s="1335"/>
      <c r="F997" s="1406"/>
    </row>
    <row r="998" spans="2:6">
      <c r="B998" s="1336"/>
      <c r="E998" s="1335"/>
      <c r="F998" s="1406"/>
    </row>
    <row r="999" spans="2:6">
      <c r="B999" s="1336"/>
      <c r="E999" s="1335"/>
      <c r="F999" s="1406"/>
    </row>
    <row r="1000" spans="2:6">
      <c r="B1000" s="1336"/>
      <c r="E1000" s="1335"/>
      <c r="F1000" s="1406"/>
    </row>
    <row r="1001" spans="2:6">
      <c r="B1001" s="1336"/>
      <c r="E1001" s="1335"/>
      <c r="F1001" s="1406"/>
    </row>
    <row r="1002" spans="2:6">
      <c r="B1002" s="1336"/>
      <c r="E1002" s="1335"/>
      <c r="F1002" s="1406"/>
    </row>
    <row r="1003" spans="2:6">
      <c r="B1003" s="1336"/>
      <c r="E1003" s="1335"/>
      <c r="F1003" s="1406"/>
    </row>
    <row r="1004" spans="2:6">
      <c r="B1004" s="1336"/>
      <c r="E1004" s="1335"/>
      <c r="F1004" s="1406"/>
    </row>
    <row r="1005" spans="2:6">
      <c r="B1005" s="1336"/>
      <c r="E1005" s="1335"/>
      <c r="F1005" s="1406"/>
    </row>
    <row r="1006" spans="2:6">
      <c r="B1006" s="1336"/>
      <c r="E1006" s="1335"/>
      <c r="F1006" s="1406"/>
    </row>
    <row r="1007" spans="2:6">
      <c r="B1007" s="1336"/>
      <c r="E1007" s="1335"/>
      <c r="F1007" s="1406"/>
    </row>
    <row r="1008" spans="2:6">
      <c r="B1008" s="1336"/>
      <c r="E1008" s="1335"/>
      <c r="F1008" s="1406"/>
    </row>
    <row r="1009" spans="2:6">
      <c r="B1009" s="1336"/>
      <c r="E1009" s="1335"/>
      <c r="F1009" s="1406"/>
    </row>
    <row r="1010" spans="2:6">
      <c r="B1010" s="1336"/>
      <c r="E1010" s="1335"/>
      <c r="F1010" s="1406"/>
    </row>
    <row r="1011" spans="2:6">
      <c r="B1011" s="1336"/>
      <c r="E1011" s="1335"/>
      <c r="F1011" s="1406"/>
    </row>
    <row r="1012" spans="2:6">
      <c r="B1012" s="1336"/>
      <c r="E1012" s="1335"/>
      <c r="F1012" s="1406"/>
    </row>
    <row r="1013" spans="2:6">
      <c r="B1013" s="1336"/>
      <c r="E1013" s="1335"/>
      <c r="F1013" s="1406"/>
    </row>
    <row r="1014" spans="2:6">
      <c r="B1014" s="1336"/>
      <c r="E1014" s="1335"/>
      <c r="F1014" s="1406"/>
    </row>
    <row r="1015" spans="2:6">
      <c r="B1015" s="1336"/>
      <c r="E1015" s="1335"/>
      <c r="F1015" s="1406"/>
    </row>
    <row r="1016" spans="2:6">
      <c r="B1016" s="1336"/>
      <c r="E1016" s="1335"/>
      <c r="F1016" s="1406"/>
    </row>
    <row r="1017" spans="2:6">
      <c r="B1017" s="1336"/>
      <c r="E1017" s="1335"/>
      <c r="F1017" s="1406"/>
    </row>
    <row r="1018" spans="2:6">
      <c r="B1018" s="1336"/>
      <c r="E1018" s="1335"/>
      <c r="F1018" s="1406"/>
    </row>
    <row r="1019" spans="2:6">
      <c r="B1019" s="1336"/>
      <c r="E1019" s="1335"/>
      <c r="F1019" s="1406"/>
    </row>
    <row r="1020" spans="2:6">
      <c r="B1020" s="1336"/>
      <c r="E1020" s="1335"/>
      <c r="F1020" s="1406"/>
    </row>
    <row r="1021" spans="2:6">
      <c r="B1021" s="1336"/>
      <c r="E1021" s="1335"/>
      <c r="F1021" s="1406"/>
    </row>
    <row r="1022" spans="2:6">
      <c r="B1022" s="1336"/>
      <c r="E1022" s="1335"/>
      <c r="F1022" s="1406"/>
    </row>
    <row r="1023" spans="2:6">
      <c r="B1023" s="1336"/>
      <c r="E1023" s="1335"/>
      <c r="F1023" s="1406"/>
    </row>
    <row r="1024" spans="2:6">
      <c r="B1024" s="1336"/>
      <c r="E1024" s="1335"/>
      <c r="F1024" s="1406"/>
    </row>
    <row r="1025" spans="2:6">
      <c r="B1025" s="1336"/>
      <c r="E1025" s="1335"/>
      <c r="F1025" s="1406"/>
    </row>
    <row r="1026" spans="2:6">
      <c r="B1026" s="1336"/>
      <c r="E1026" s="1335"/>
      <c r="F1026" s="1406"/>
    </row>
    <row r="1027" spans="2:6">
      <c r="B1027" s="1336"/>
      <c r="E1027" s="1335"/>
      <c r="F1027" s="1406"/>
    </row>
    <row r="1028" spans="2:6">
      <c r="B1028" s="1336"/>
      <c r="E1028" s="1335"/>
      <c r="F1028" s="1406"/>
    </row>
    <row r="1029" spans="2:6">
      <c r="B1029" s="1336"/>
      <c r="E1029" s="1335"/>
      <c r="F1029" s="1406"/>
    </row>
    <row r="1030" spans="2:6">
      <c r="B1030" s="1336"/>
      <c r="E1030" s="1335"/>
      <c r="F1030" s="1406"/>
    </row>
    <row r="1031" spans="2:6">
      <c r="B1031" s="1336"/>
      <c r="E1031" s="1335"/>
      <c r="F1031" s="1406"/>
    </row>
    <row r="1032" spans="2:6">
      <c r="B1032" s="1336"/>
      <c r="E1032" s="1335"/>
      <c r="F1032" s="1406"/>
    </row>
    <row r="1033" spans="2:6">
      <c r="B1033" s="1336"/>
      <c r="E1033" s="1335"/>
      <c r="F1033" s="1406"/>
    </row>
    <row r="1034" spans="2:6">
      <c r="B1034" s="1336"/>
      <c r="E1034" s="1335"/>
      <c r="F1034" s="1406"/>
    </row>
    <row r="1035" spans="2:6">
      <c r="B1035" s="1336"/>
      <c r="E1035" s="1335"/>
      <c r="F1035" s="1406"/>
    </row>
    <row r="1036" spans="2:6">
      <c r="B1036" s="1336"/>
      <c r="E1036" s="1335"/>
      <c r="F1036" s="1406"/>
    </row>
    <row r="1037" spans="2:6">
      <c r="B1037" s="1336"/>
      <c r="E1037" s="1335"/>
      <c r="F1037" s="1406"/>
    </row>
    <row r="1038" spans="2:6">
      <c r="B1038" s="1336"/>
      <c r="E1038" s="1335"/>
      <c r="F1038" s="1406"/>
    </row>
    <row r="1039" spans="2:6">
      <c r="B1039" s="1336"/>
      <c r="E1039" s="1335"/>
      <c r="F1039" s="1406"/>
    </row>
    <row r="1040" spans="2:6">
      <c r="B1040" s="1336"/>
      <c r="E1040" s="1335"/>
      <c r="F1040" s="1406"/>
    </row>
    <row r="1041" spans="2:6">
      <c r="B1041" s="1336"/>
      <c r="E1041" s="1335"/>
      <c r="F1041" s="1406"/>
    </row>
    <row r="1042" spans="2:6">
      <c r="B1042" s="1336"/>
      <c r="E1042" s="1335"/>
      <c r="F1042" s="1406"/>
    </row>
  </sheetData>
  <mergeCells count="142">
    <mergeCell ref="B3:D3"/>
    <mergeCell ref="A49:A51"/>
    <mergeCell ref="B55:D55"/>
    <mergeCell ref="B58:D58"/>
    <mergeCell ref="B59:D59"/>
    <mergeCell ref="B60:D60"/>
    <mergeCell ref="B63:D63"/>
    <mergeCell ref="B64:D64"/>
    <mergeCell ref="B65:D65"/>
    <mergeCell ref="J89:J91"/>
    <mergeCell ref="B72:D72"/>
    <mergeCell ref="B73:D73"/>
    <mergeCell ref="B74:D74"/>
    <mergeCell ref="B75:D75"/>
    <mergeCell ref="B76:D76"/>
    <mergeCell ref="B77:D77"/>
    <mergeCell ref="B67:D67"/>
    <mergeCell ref="B66:D66"/>
    <mergeCell ref="B68:D68"/>
    <mergeCell ref="B69:D69"/>
    <mergeCell ref="B70:D70"/>
    <mergeCell ref="B71:D71"/>
    <mergeCell ref="B136:D136"/>
    <mergeCell ref="B137:D137"/>
    <mergeCell ref="B138:D138"/>
    <mergeCell ref="B139:D139"/>
    <mergeCell ref="B140:D140"/>
    <mergeCell ref="B141:D141"/>
    <mergeCell ref="B143:E143"/>
    <mergeCell ref="B144:E144"/>
    <mergeCell ref="B145:E145"/>
    <mergeCell ref="B130:D130"/>
    <mergeCell ref="B131:D131"/>
    <mergeCell ref="B132:D132"/>
    <mergeCell ref="B133:D133"/>
    <mergeCell ref="B134:D134"/>
    <mergeCell ref="B135:D135"/>
    <mergeCell ref="B124:D124"/>
    <mergeCell ref="B125:D125"/>
    <mergeCell ref="B126:D126"/>
    <mergeCell ref="B127:D127"/>
    <mergeCell ref="B128:D128"/>
    <mergeCell ref="B129:D129"/>
    <mergeCell ref="B118:D118"/>
    <mergeCell ref="B119:D119"/>
    <mergeCell ref="B120:D120"/>
    <mergeCell ref="B121:D121"/>
    <mergeCell ref="B122:D122"/>
    <mergeCell ref="B123:D123"/>
    <mergeCell ref="B112:D112"/>
    <mergeCell ref="B113:D113"/>
    <mergeCell ref="B114:D114"/>
    <mergeCell ref="B115:D115"/>
    <mergeCell ref="B116:D116"/>
    <mergeCell ref="B117:D117"/>
    <mergeCell ref="B106:D106"/>
    <mergeCell ref="B107:D107"/>
    <mergeCell ref="B108:D108"/>
    <mergeCell ref="B109:D109"/>
    <mergeCell ref="B110:D110"/>
    <mergeCell ref="B111:D111"/>
    <mergeCell ref="B99:D99"/>
    <mergeCell ref="B100:D100"/>
    <mergeCell ref="B101:D101"/>
    <mergeCell ref="B102:D102"/>
    <mergeCell ref="B103:D103"/>
    <mergeCell ref="B105:D105"/>
    <mergeCell ref="B104:D104"/>
    <mergeCell ref="J93:J95"/>
    <mergeCell ref="J97:J99"/>
    <mergeCell ref="B85:D85"/>
    <mergeCell ref="B86:D86"/>
    <mergeCell ref="B87:D87"/>
    <mergeCell ref="B88:D88"/>
    <mergeCell ref="B89:D89"/>
    <mergeCell ref="B90:D90"/>
    <mergeCell ref="B78:D78"/>
    <mergeCell ref="B80:D80"/>
    <mergeCell ref="B81:D81"/>
    <mergeCell ref="B82:D82"/>
    <mergeCell ref="B83:D83"/>
    <mergeCell ref="B84:D84"/>
    <mergeCell ref="B79:D79"/>
    <mergeCell ref="B97:D97"/>
    <mergeCell ref="B98:D98"/>
    <mergeCell ref="B91:D91"/>
    <mergeCell ref="B92:D92"/>
    <mergeCell ref="B93:D93"/>
    <mergeCell ref="B94:D94"/>
    <mergeCell ref="B95:D95"/>
    <mergeCell ref="B96:D96"/>
    <mergeCell ref="E89:E91"/>
    <mergeCell ref="B61:D61"/>
    <mergeCell ref="B62:D62"/>
    <mergeCell ref="B56:D56"/>
    <mergeCell ref="B57:D57"/>
    <mergeCell ref="B46:D46"/>
    <mergeCell ref="B47:D47"/>
    <mergeCell ref="B48:D48"/>
    <mergeCell ref="B49:D49"/>
    <mergeCell ref="B40:D40"/>
    <mergeCell ref="B41:D41"/>
    <mergeCell ref="B42:D42"/>
    <mergeCell ref="B43:D43"/>
    <mergeCell ref="B44:D44"/>
    <mergeCell ref="B45:D45"/>
    <mergeCell ref="B37:D37"/>
    <mergeCell ref="B38:D38"/>
    <mergeCell ref="B39:D39"/>
    <mergeCell ref="B28:D28"/>
    <mergeCell ref="B29:D29"/>
    <mergeCell ref="B30:D30"/>
    <mergeCell ref="B31:D31"/>
    <mergeCell ref="B32:D32"/>
    <mergeCell ref="B33:D33"/>
    <mergeCell ref="B25:D25"/>
    <mergeCell ref="B26:D26"/>
    <mergeCell ref="B27:D27"/>
    <mergeCell ref="B19:D19"/>
    <mergeCell ref="B20:D20"/>
    <mergeCell ref="B21:D21"/>
    <mergeCell ref="B34:D34"/>
    <mergeCell ref="B35:D35"/>
    <mergeCell ref="B36:D36"/>
    <mergeCell ref="B4:D4"/>
    <mergeCell ref="B5:D5"/>
    <mergeCell ref="B6:D6"/>
    <mergeCell ref="B7:D7"/>
    <mergeCell ref="B8:D8"/>
    <mergeCell ref="B9:D9"/>
    <mergeCell ref="B22:D22"/>
    <mergeCell ref="B23:D23"/>
    <mergeCell ref="B24:D24"/>
    <mergeCell ref="B16:D16"/>
    <mergeCell ref="B17:D17"/>
    <mergeCell ref="B18:D18"/>
    <mergeCell ref="B10:D10"/>
    <mergeCell ref="B11:D11"/>
    <mergeCell ref="B12:D12"/>
    <mergeCell ref="B13:D13"/>
    <mergeCell ref="B14:D14"/>
    <mergeCell ref="B15:D15"/>
  </mergeCells>
  <pageMargins left="0.7" right="0.7" top="0.75" bottom="0.75" header="0.3" footer="0.3"/>
  <pageSetup scale="48"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18EBD8E2D24D048B3EE0A3BF8DBD860" ma:contentTypeVersion="11" ma:contentTypeDescription="Create a new document." ma:contentTypeScope="" ma:versionID="3734b6f5c00ee85983600d84e6c7969b">
  <xsd:schema xmlns:xsd="http://www.w3.org/2001/XMLSchema" xmlns:xs="http://www.w3.org/2001/XMLSchema" xmlns:p="http://schemas.microsoft.com/office/2006/metadata/properties" xmlns:ns3="fc4e589e-fa88-470e-9996-3655c3782211" targetNamespace="http://schemas.microsoft.com/office/2006/metadata/properties" ma:root="true" ma:fieldsID="559e2d8f1d3cc3ecdcfc5701a5a24a9e" ns3:_="">
    <xsd:import namespace="fc4e589e-fa88-470e-9996-3655c3782211"/>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4e589e-fa88-470e-9996-3655c37822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65B18E-2CE0-4FE2-97AF-DC488423D444}">
  <ds:schemaRefs>
    <ds:schemaRef ds:uri="http://schemas.microsoft.com/sharepoint/v3/contenttype/forms"/>
  </ds:schemaRefs>
</ds:datastoreItem>
</file>

<file path=customXml/itemProps2.xml><?xml version="1.0" encoding="utf-8"?>
<ds:datastoreItem xmlns:ds="http://schemas.openxmlformats.org/officeDocument/2006/customXml" ds:itemID="{008F5769-001C-4243-A3EA-D06A31EA35C3}">
  <ds:schemaRefs>
    <ds:schemaRef ds:uri="http://purl.org/dc/terms/"/>
    <ds:schemaRef ds:uri="http://schemas.microsoft.com/office/2006/metadata/properties"/>
    <ds:schemaRef ds:uri="http://schemas.microsoft.com/office/2006/documentManagement/types"/>
    <ds:schemaRef ds:uri="http://schemas.openxmlformats.org/package/2006/metadata/core-properties"/>
    <ds:schemaRef ds:uri="http://purl.org/dc/elements/1.1/"/>
    <ds:schemaRef ds:uri="http://www.w3.org/XML/1998/namespace"/>
    <ds:schemaRef ds:uri="http://schemas.microsoft.com/office/infopath/2007/PartnerControls"/>
    <ds:schemaRef ds:uri="fc4e589e-fa88-470e-9996-3655c3782211"/>
    <ds:schemaRef ds:uri="http://purl.org/dc/dcmitype/"/>
  </ds:schemaRefs>
</ds:datastoreItem>
</file>

<file path=customXml/itemProps3.xml><?xml version="1.0" encoding="utf-8"?>
<ds:datastoreItem xmlns:ds="http://schemas.openxmlformats.org/officeDocument/2006/customXml" ds:itemID="{B38BB378-C6AA-4BF5-95EE-71610E7FAD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4e589e-fa88-470e-9996-3655c37822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7</vt:i4>
      </vt:variant>
    </vt:vector>
  </HeadingPairs>
  <TitlesOfParts>
    <vt:vector size="35" baseType="lpstr">
      <vt:lpstr>Summary</vt:lpstr>
      <vt:lpstr>Summary- C&amp;I</vt:lpstr>
      <vt:lpstr>BOQ-C&amp;I</vt:lpstr>
      <vt:lpstr>M Sheet</vt:lpstr>
      <vt:lpstr>Modular</vt:lpstr>
      <vt:lpstr>Outdoor Furniture</vt:lpstr>
      <vt:lpstr>Toilet Work</vt:lpstr>
      <vt:lpstr>Kitchen Equipment</vt:lpstr>
      <vt:lpstr>Summary  Electrical </vt:lpstr>
      <vt:lpstr>Internal Electrical Works </vt:lpstr>
      <vt:lpstr>Electrical - Indegene</vt:lpstr>
      <vt:lpstr>UPS-Indegene</vt:lpstr>
      <vt:lpstr>IT</vt:lpstr>
      <vt:lpstr>CCTV</vt:lpstr>
      <vt:lpstr>CCTV - Indegene </vt:lpstr>
      <vt:lpstr>ACS</vt:lpstr>
      <vt:lpstr>ACS - Indegene</vt:lpstr>
      <vt:lpstr>LMS </vt:lpstr>
      <vt:lpstr>Sprinkler</vt:lpstr>
      <vt:lpstr>Fire &amp; Life Safety -Indegene</vt:lpstr>
      <vt:lpstr>WLD System - Indegne</vt:lpstr>
      <vt:lpstr>Rodent System - Indegene</vt:lpstr>
      <vt:lpstr>HVAC Cost-Summary</vt:lpstr>
      <vt:lpstr>HVAC Lowside works- Part A</vt:lpstr>
      <vt:lpstr>VAV Supply &amp; Install- Part-C</vt:lpstr>
      <vt:lpstr>PHE Cost-Summary</vt:lpstr>
      <vt:lpstr>Sanitary Fixtures &amp; CP Fittings</vt:lpstr>
      <vt:lpstr>PHE -Internal Works</vt:lpstr>
      <vt:lpstr>'Internal Electrical Works '!Print_Area</vt:lpstr>
      <vt:lpstr>'PHE -Internal Works'!Print_Area</vt:lpstr>
      <vt:lpstr>'Rodent System - Indegene'!Print_Area</vt:lpstr>
      <vt:lpstr>'Sanitary Fixtures &amp; CP Fittings'!Print_Area</vt:lpstr>
      <vt:lpstr>'Summary  Electrical '!Print_Area</vt:lpstr>
      <vt:lpstr>'UPS-Indegene'!Print_Area</vt:lpstr>
      <vt:lpstr>'WLD System - Indegne'!Print_Area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SM_L</cp:lastModifiedBy>
  <cp:lastPrinted>2026-01-26T12:45:33Z</cp:lastPrinted>
  <dcterms:created xsi:type="dcterms:W3CDTF">2024-10-08T04:42:51Z</dcterms:created>
  <dcterms:modified xsi:type="dcterms:W3CDTF">2026-02-06T10:38:14Z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0x010100A18EBD8E2D24D048B3EE0A3BF8DBD860</vt:lpwstr>
  </property>
</Properties>
</file>