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jay.kumar12\Downloads\01_All Docs\Form16 Infosys\form 16\"/>
    </mc:Choice>
  </mc:AlternateContent>
  <bookViews>
    <workbookView xWindow="0" yWindow="0" windowWidth="10110" windowHeight="3030" tabRatio="480"/>
  </bookViews>
  <sheets>
    <sheet name="tax" sheetId="1" r:id="rId1"/>
    <sheet name="time" sheetId="3" r:id="rId2"/>
    <sheet name="Sheet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1" i="1"/>
  <c r="F32" i="1"/>
  <c r="C6" i="1"/>
  <c r="Q4" i="1"/>
  <c r="P5" i="1" s="1"/>
  <c r="P4" i="1"/>
  <c r="Q3" i="1"/>
  <c r="T4" i="1" s="1"/>
  <c r="G67" i="1"/>
  <c r="F70" i="1"/>
  <c r="G72" i="1" s="1"/>
  <c r="G73" i="1" s="1"/>
  <c r="B2" i="1"/>
  <c r="E2" i="1" s="1"/>
  <c r="N16" i="1"/>
  <c r="M18" i="1"/>
  <c r="M19" i="1" s="1"/>
  <c r="E22" i="1"/>
  <c r="S4" i="1" l="1"/>
  <c r="U4" i="1"/>
  <c r="R4" i="1"/>
  <c r="Q5" i="1"/>
  <c r="L52" i="3"/>
  <c r="I30" i="3"/>
  <c r="J30" i="3" s="1"/>
  <c r="F11" i="5"/>
  <c r="E11" i="5"/>
  <c r="D11" i="5"/>
  <c r="E1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D36" i="5"/>
  <c r="D37" i="5" s="1"/>
  <c r="C45" i="5"/>
  <c r="B45" i="5"/>
  <c r="D45" i="5" s="1"/>
  <c r="C20" i="5"/>
  <c r="D52" i="1"/>
  <c r="D51" i="1"/>
  <c r="E52" i="1"/>
  <c r="F52" i="1" s="1"/>
  <c r="E51" i="1"/>
  <c r="F51" i="1" s="1"/>
  <c r="R2" i="1"/>
  <c r="S2" i="1" s="1"/>
  <c r="F36" i="1"/>
  <c r="C9" i="1" l="1"/>
  <c r="C10" i="1"/>
  <c r="A10" i="1"/>
  <c r="H4" i="1"/>
  <c r="B28" i="1" l="1"/>
  <c r="N50" i="1" l="1"/>
  <c r="L67" i="1"/>
  <c r="L51" i="1"/>
  <c r="N51" i="1"/>
  <c r="N53" i="1" s="1"/>
  <c r="N54" i="1" s="1"/>
  <c r="N55" i="1" s="1"/>
  <c r="L74" i="1" s="1"/>
  <c r="O57" i="1"/>
  <c r="M51" i="1"/>
  <c r="M53" i="1" s="1"/>
  <c r="M54" i="1" s="1"/>
  <c r="M55" i="1" s="1"/>
  <c r="L59" i="1" l="1"/>
  <c r="L75" i="1"/>
  <c r="L55" i="1"/>
  <c r="L63" i="1"/>
  <c r="L71" i="1"/>
  <c r="L53" i="1"/>
  <c r="L57" i="1"/>
  <c r="L61" i="1"/>
  <c r="L65" i="1"/>
  <c r="L69" i="1"/>
  <c r="L73" i="1"/>
  <c r="L52" i="1"/>
  <c r="L54" i="1"/>
  <c r="L56" i="1"/>
  <c r="L58" i="1"/>
  <c r="L60" i="1"/>
  <c r="L62" i="1"/>
  <c r="L64" i="1"/>
  <c r="L66" i="1"/>
  <c r="L68" i="1"/>
  <c r="L70" i="1"/>
  <c r="L72" i="1"/>
  <c r="K52" i="1"/>
  <c r="K54" i="1"/>
  <c r="K56" i="1"/>
  <c r="K58" i="1"/>
  <c r="K60" i="1"/>
  <c r="K62" i="1"/>
  <c r="K64" i="1"/>
  <c r="K66" i="1"/>
  <c r="K68" i="1"/>
  <c r="K70" i="1"/>
  <c r="K72" i="1"/>
  <c r="K74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L76" i="1" l="1"/>
  <c r="N61" i="1" s="1"/>
  <c r="K76" i="1"/>
  <c r="M61" i="1" s="1"/>
  <c r="H27" i="1"/>
  <c r="H16" i="3"/>
  <c r="H26" i="3" l="1"/>
  <c r="H24" i="3"/>
  <c r="D49" i="1"/>
  <c r="E49" i="1" s="1"/>
  <c r="F49" i="1" s="1"/>
  <c r="D48" i="1"/>
  <c r="E48" i="1" s="1"/>
  <c r="F48" i="1" s="1"/>
  <c r="I15" i="1"/>
  <c r="I16" i="1" s="1"/>
  <c r="I18" i="1" l="1"/>
  <c r="A12" i="1" s="1"/>
  <c r="C12" i="1" s="1"/>
  <c r="A73" i="1"/>
  <c r="G11" i="3" l="1"/>
  <c r="G13" i="3" s="1"/>
  <c r="G5" i="3"/>
  <c r="G7" i="3" l="1"/>
  <c r="I7" i="3" s="1"/>
  <c r="H5" i="3"/>
  <c r="H7" i="3"/>
  <c r="H13" i="3"/>
  <c r="I13" i="3"/>
  <c r="H28" i="1"/>
  <c r="I30" i="1" s="1"/>
  <c r="I34" i="1" s="1"/>
  <c r="H14" i="3" l="1"/>
  <c r="J2" i="3" s="1"/>
  <c r="G27" i="1"/>
  <c r="G26" i="1"/>
  <c r="G28" i="1" l="1"/>
  <c r="F37" i="1"/>
  <c r="F40" i="1" s="1"/>
  <c r="F44" i="1" s="1"/>
  <c r="E15" i="1"/>
  <c r="C8" i="1"/>
  <c r="C11" i="1" s="1"/>
  <c r="C4" i="1"/>
  <c r="B7" i="1" s="1"/>
  <c r="H7" i="1" l="1"/>
  <c r="O21" i="1"/>
  <c r="B13" i="1"/>
  <c r="B15" i="1" s="1"/>
  <c r="B16" i="1" s="1"/>
  <c r="B17" i="1" l="1"/>
  <c r="C17" i="1" s="1"/>
  <c r="E16" i="1"/>
  <c r="E17" i="1" l="1"/>
  <c r="E18" i="1" s="1"/>
  <c r="B20" i="1" l="1"/>
  <c r="C20" i="1" s="1"/>
  <c r="E20" i="1" s="1"/>
  <c r="E21" i="1" l="1"/>
  <c r="H6" i="1" l="1"/>
  <c r="H8" i="1" s="1"/>
  <c r="E3" i="1"/>
  <c r="E4" i="1" s="1"/>
  <c r="E23" i="1"/>
</calcChain>
</file>

<file path=xl/comments1.xml><?xml version="1.0" encoding="utf-8"?>
<comments xmlns="http://schemas.openxmlformats.org/spreadsheetml/2006/main">
  <authors>
    <author>Sanjay Kumar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Sanjay Kumar:</t>
        </r>
        <r>
          <rPr>
            <sz val="9"/>
            <color indexed="81"/>
            <rFont val="Tahoma"/>
            <family val="2"/>
          </rPr>
          <t xml:space="preserve">
smart crd</t>
        </r>
      </text>
    </comment>
  </commentList>
</comments>
</file>

<file path=xl/sharedStrings.xml><?xml version="1.0" encoding="utf-8"?>
<sst xmlns="http://schemas.openxmlformats.org/spreadsheetml/2006/main" count="83" uniqueCount="64">
  <si>
    <t>ed cess</t>
  </si>
  <si>
    <t>tot tax</t>
  </si>
  <si>
    <t>pf</t>
  </si>
  <si>
    <t>lic</t>
  </si>
  <si>
    <t>80c</t>
  </si>
  <si>
    <t>80ccd2</t>
  </si>
  <si>
    <t>Paid tax</t>
  </si>
  <si>
    <t>bal</t>
  </si>
  <si>
    <t>aft min bal</t>
  </si>
  <si>
    <t>due</t>
  </si>
  <si>
    <t>min bal</t>
  </si>
  <si>
    <t>cash with</t>
  </si>
  <si>
    <t>hd</t>
  </si>
  <si>
    <t>s ic</t>
  </si>
  <si>
    <t>r ic</t>
  </si>
  <si>
    <t>curr bal</t>
  </si>
  <si>
    <t>80c 80ccd</t>
  </si>
  <si>
    <t>cash hm</t>
  </si>
  <si>
    <t>5yrs fd</t>
  </si>
  <si>
    <t>nps</t>
  </si>
  <si>
    <t>ppf acc</t>
  </si>
  <si>
    <t>ext</t>
  </si>
  <si>
    <t>tax</t>
  </si>
  <si>
    <t>COV</t>
  </si>
  <si>
    <t>basic da</t>
  </si>
  <si>
    <t>1 yr</t>
  </si>
  <si>
    <t>80CCD(1b)</t>
  </si>
  <si>
    <t>80CCD(2)</t>
  </si>
  <si>
    <t>san sbi</t>
  </si>
  <si>
    <t>ppf</t>
  </si>
  <si>
    <t>ritu sbi</t>
  </si>
  <si>
    <t>mth sal</t>
  </si>
  <si>
    <t>Nov-Dec</t>
  </si>
  <si>
    <t>2 yrs</t>
  </si>
  <si>
    <t>BAL</t>
  </si>
  <si>
    <t>2.08 min</t>
  </si>
  <si>
    <t>paid</t>
  </si>
  <si>
    <t>total</t>
  </si>
  <si>
    <t>tax save:</t>
  </si>
  <si>
    <t>by inves</t>
  </si>
  <si>
    <t>cc</t>
  </si>
  <si>
    <t>aster hos</t>
  </si>
  <si>
    <t>reg</t>
  </si>
  <si>
    <t>doc</t>
  </si>
  <si>
    <t>bld tst</t>
  </si>
  <si>
    <t>mri</t>
  </si>
  <si>
    <t>st john 1st</t>
  </si>
  <si>
    <t>27-11-2018</t>
  </si>
  <si>
    <t>22-11-2018</t>
  </si>
  <si>
    <t>19 11 19 :- Total</t>
  </si>
  <si>
    <t xml:space="preserve"> </t>
  </si>
  <si>
    <t>20 11 19 :- Total</t>
  </si>
  <si>
    <t>21 11 19 :- Total</t>
  </si>
  <si>
    <t>25 11 19 :- Total</t>
  </si>
  <si>
    <t>26 11 19 :- Total</t>
  </si>
  <si>
    <t>27 11 19 :- Total</t>
  </si>
  <si>
    <t>Total Net Contribution</t>
  </si>
  <si>
    <t>Total Units</t>
  </si>
  <si>
    <t>Latest NAV</t>
  </si>
  <si>
    <t>Value at NAV</t>
  </si>
  <si>
    <t>Unrealized Gain / Loss</t>
  </si>
  <si>
    <t>Return of Invesment(XIRR)</t>
  </si>
  <si>
    <t>%sav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</si>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</sst>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4D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FFDAA9"/>
      </left>
      <right style="medium">
        <color rgb="FFFFDAA9"/>
      </right>
      <top style="medium">
        <color rgb="FFFFDAA9"/>
      </top>
      <bottom/>
      <diagonal/>
    </border>
    <border>
      <left/>
      <right style="medium">
        <color rgb="FFFFDAA9"/>
      </right>
      <top style="medium">
        <color rgb="FFFFDAA9"/>
      </top>
      <bottom/>
      <diagonal/>
    </border>
    <border>
      <left/>
      <right style="medium">
        <color rgb="FFFFDAA9"/>
      </right>
      <top style="medium">
        <color rgb="FFFFDAA9"/>
      </top>
      <bottom style="medium">
        <color rgb="FFFFDA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5" fontId="0" fillId="0" borderId="0" xfId="0" applyNumberFormat="1"/>
    <xf numFmtId="2" fontId="0" fillId="0" borderId="0" xfId="0" applyNumberFormat="1"/>
    <xf numFmtId="1" fontId="0" fillId="0" borderId="0" xfId="0" applyNumberFormat="1" applyFont="1"/>
    <xf numFmtId="19" fontId="0" fillId="0" borderId="0" xfId="0" applyNumberFormat="1"/>
    <xf numFmtId="19" fontId="1" fillId="0" borderId="0" xfId="0" applyNumberFormat="1" applyFont="1"/>
    <xf numFmtId="21" fontId="0" fillId="0" borderId="0" xfId="0" applyNumberFormat="1"/>
    <xf numFmtId="14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0" borderId="0" xfId="0" applyNumberFormat="1"/>
    <xf numFmtId="2" fontId="0" fillId="0" borderId="0" xfId="0" applyNumberFormat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0" xfId="0" applyFill="1"/>
    <xf numFmtId="9" fontId="0" fillId="4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2" fontId="1" fillId="0" borderId="0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2"/>
  <sheetViews>
    <sheetView tabSelected="1" zoomScale="85" zoomScaleNormal="85" workbookViewId="0">
      <selection activeCell="D19" sqref="D19"/>
    </sheetView>
  </sheetViews>
  <sheetFormatPr defaultRowHeight="15" x14ac:dyDescent="0.25"/>
  <cols>
    <col min="3" max="3" width="10" customWidth="1"/>
    <col min="4" max="4" width="10" bestFit="1" customWidth="1"/>
    <col min="6" max="6" width="11.7109375" customWidth="1"/>
    <col min="8" max="8" width="10.5703125" bestFit="1" customWidth="1"/>
    <col min="9" max="9" width="10" bestFit="1" customWidth="1"/>
    <col min="13" max="13" width="10.85546875" customWidth="1"/>
    <col min="14" max="14" width="12.28515625" bestFit="1" customWidth="1"/>
  </cols>
  <sheetData>
    <row r="1" spans="1:23" ht="15.75" thickBot="1" x14ac:dyDescent="0.3">
      <c r="G1" t="s">
        <v>22</v>
      </c>
      <c r="O1" t="s">
        <v>63</v>
      </c>
      <c r="W1" t="s">
        <v>63</v>
      </c>
    </row>
    <row r="2" spans="1:23" ht="15.75" thickBot="1" x14ac:dyDescent="0.3">
      <c r="B2">
        <f>1094000+36635+(36000*0)</f>
        <v>1130635</v>
      </c>
      <c r="D2">
        <v>1280000</v>
      </c>
      <c r="E2">
        <f>D2-B2</f>
        <v>149365</v>
      </c>
      <c r="G2" t="s">
        <v>36</v>
      </c>
      <c r="H2">
        <v>76549</v>
      </c>
      <c r="P2" s="22">
        <v>76.5</v>
      </c>
      <c r="Q2" s="23">
        <v>36635</v>
      </c>
      <c r="R2" s="23">
        <f>Q2/P2</f>
        <v>478.88888888888891</v>
      </c>
      <c r="S2" s="24">
        <f>R2*100</f>
        <v>47888.888888888891</v>
      </c>
    </row>
    <row r="3" spans="1:23" x14ac:dyDescent="0.25">
      <c r="A3" s="3"/>
      <c r="C3">
        <v>50000</v>
      </c>
      <c r="E3" s="3">
        <f>E2-E21</f>
        <v>59989.271999999997</v>
      </c>
      <c r="G3" t="s">
        <v>7</v>
      </c>
      <c r="H3">
        <v>40732</v>
      </c>
      <c r="P3" s="22">
        <v>15963</v>
      </c>
      <c r="Q3" s="23">
        <f>P3*3</f>
        <v>47889</v>
      </c>
      <c r="R3" s="23">
        <v>35438</v>
      </c>
      <c r="S3" s="23">
        <v>33522</v>
      </c>
      <c r="T3" s="23">
        <v>36635</v>
      </c>
      <c r="U3" s="24">
        <v>35200</v>
      </c>
    </row>
    <row r="4" spans="1:23" x14ac:dyDescent="0.25">
      <c r="C4">
        <f>1200*2</f>
        <v>2400</v>
      </c>
      <c r="E4">
        <f>E3/12</f>
        <v>4999.1059999999998</v>
      </c>
      <c r="G4" t="s">
        <v>37</v>
      </c>
      <c r="H4">
        <f>SUM(H2:H3)</f>
        <v>117281</v>
      </c>
      <c r="M4" t="s">
        <v>41</v>
      </c>
      <c r="N4" t="s">
        <v>48</v>
      </c>
      <c r="P4" s="25">
        <f>P3*12</f>
        <v>191556</v>
      </c>
      <c r="Q4" s="26">
        <f>SUM(R3:U3)</f>
        <v>140795</v>
      </c>
      <c r="R4" s="27">
        <f>R3/$Q$3%</f>
        <v>74.000292342709187</v>
      </c>
      <c r="S4" s="27">
        <f>S3/$Q$3%</f>
        <v>69.99937355133747</v>
      </c>
      <c r="T4" s="27">
        <f>T3/$Q$3%</f>
        <v>76.499822506212283</v>
      </c>
      <c r="U4" s="28">
        <f>U3/$Q$3%</f>
        <v>73.503309737100381</v>
      </c>
    </row>
    <row r="5" spans="1:23" x14ac:dyDescent="0.25">
      <c r="C5">
        <v>0</v>
      </c>
      <c r="H5">
        <v>117466</v>
      </c>
      <c r="M5" s="3" t="s">
        <v>42</v>
      </c>
      <c r="N5" s="3">
        <v>100</v>
      </c>
      <c r="P5" s="25">
        <f>Q4-P4</f>
        <v>-50761</v>
      </c>
      <c r="Q5" s="29">
        <f>Q4/P4%</f>
        <v>73.50069953433983</v>
      </c>
      <c r="R5" s="26"/>
      <c r="S5" s="26"/>
      <c r="T5" s="26"/>
      <c r="U5" s="30"/>
    </row>
    <row r="6" spans="1:23" ht="15.75" thickBot="1" x14ac:dyDescent="0.3">
      <c r="C6">
        <f>SUM(C3:C5)</f>
        <v>52400</v>
      </c>
      <c r="G6" t="s">
        <v>38</v>
      </c>
      <c r="H6" s="3">
        <f>H5-E21</f>
        <v>28090.271999999997</v>
      </c>
      <c r="N6" s="3">
        <v>700</v>
      </c>
      <c r="P6" s="31"/>
      <c r="Q6" s="32"/>
      <c r="R6" s="32"/>
      <c r="S6" s="32"/>
      <c r="T6" s="32"/>
      <c r="U6" s="33"/>
    </row>
    <row r="7" spans="1:23" x14ac:dyDescent="0.25">
      <c r="B7">
        <f>B2-C6</f>
        <v>1078235</v>
      </c>
      <c r="G7" t="s">
        <v>39</v>
      </c>
      <c r="H7">
        <f>C11+C12</f>
        <v>211048</v>
      </c>
      <c r="M7" t="s">
        <v>46</v>
      </c>
      <c r="N7" t="s">
        <v>47</v>
      </c>
    </row>
    <row r="8" spans="1:23" x14ac:dyDescent="0.25">
      <c r="C8">
        <f>3392*12</f>
        <v>40704</v>
      </c>
      <c r="D8" t="s">
        <v>2</v>
      </c>
      <c r="G8" t="s">
        <v>62</v>
      </c>
      <c r="H8">
        <f>H6/H7%</f>
        <v>13.309897274553654</v>
      </c>
      <c r="M8" t="s">
        <v>43</v>
      </c>
      <c r="N8">
        <v>130</v>
      </c>
    </row>
    <row r="9" spans="1:23" x14ac:dyDescent="0.25">
      <c r="A9">
        <v>23881</v>
      </c>
      <c r="C9">
        <f>A9</f>
        <v>23881</v>
      </c>
      <c r="D9" t="s">
        <v>3</v>
      </c>
      <c r="M9" t="s">
        <v>44</v>
      </c>
      <c r="N9">
        <v>680</v>
      </c>
    </row>
    <row r="10" spans="1:23" x14ac:dyDescent="0.25">
      <c r="A10">
        <f>85000+500-85</f>
        <v>85415</v>
      </c>
      <c r="C10">
        <f>A10</f>
        <v>85415</v>
      </c>
    </row>
    <row r="11" spans="1:23" x14ac:dyDescent="0.25">
      <c r="C11" s="1">
        <f>C8+C9+C10</f>
        <v>150000</v>
      </c>
      <c r="D11" t="s">
        <v>4</v>
      </c>
    </row>
    <row r="12" spans="1:23" x14ac:dyDescent="0.25">
      <c r="A12">
        <f>I18</f>
        <v>61048</v>
      </c>
      <c r="C12">
        <f>A12</f>
        <v>61048</v>
      </c>
      <c r="D12" t="s">
        <v>5</v>
      </c>
      <c r="M12" t="s">
        <v>45</v>
      </c>
      <c r="N12">
        <v>7000</v>
      </c>
    </row>
    <row r="13" spans="1:23" x14ac:dyDescent="0.25">
      <c r="B13">
        <f>B7-C8-C9-C12-C10+4</f>
        <v>867191</v>
      </c>
      <c r="E13">
        <v>112770</v>
      </c>
    </row>
    <row r="14" spans="1:23" x14ac:dyDescent="0.25">
      <c r="C14">
        <v>250000</v>
      </c>
      <c r="G14" s="12"/>
      <c r="H14" s="12" t="s">
        <v>24</v>
      </c>
      <c r="I14" s="12">
        <v>28270</v>
      </c>
      <c r="J14" s="12"/>
      <c r="K14" s="12"/>
    </row>
    <row r="15" spans="1:23" x14ac:dyDescent="0.25">
      <c r="B15">
        <f>B13-C14</f>
        <v>617191</v>
      </c>
      <c r="C15">
        <v>250000</v>
      </c>
      <c r="D15" s="2">
        <v>0.05</v>
      </c>
      <c r="E15">
        <f>C15*D15</f>
        <v>12500</v>
      </c>
      <c r="G15" s="12"/>
      <c r="H15" s="13">
        <v>0.1</v>
      </c>
      <c r="I15" s="12">
        <f>I14*0.1</f>
        <v>2827</v>
      </c>
      <c r="J15" s="12"/>
      <c r="K15" s="12"/>
    </row>
    <row r="16" spans="1:23" x14ac:dyDescent="0.25">
      <c r="B16">
        <f>B15-C15</f>
        <v>367191</v>
      </c>
      <c r="C16">
        <v>500000</v>
      </c>
      <c r="D16" s="2">
        <v>0.2</v>
      </c>
      <c r="E16">
        <f>B16*D16</f>
        <v>73438.2</v>
      </c>
      <c r="G16" s="12" t="s">
        <v>27</v>
      </c>
      <c r="H16" s="12" t="s">
        <v>25</v>
      </c>
      <c r="I16" s="12">
        <f>I15*4</f>
        <v>11308</v>
      </c>
      <c r="J16" s="12"/>
      <c r="K16" s="12"/>
      <c r="M16">
        <v>105595</v>
      </c>
      <c r="N16">
        <f>M16/3</f>
        <v>35198.333333333336</v>
      </c>
    </row>
    <row r="17" spans="1:16" x14ac:dyDescent="0.25">
      <c r="B17">
        <f>B16-C16</f>
        <v>-132809</v>
      </c>
      <c r="C17">
        <f>B17</f>
        <v>-132809</v>
      </c>
      <c r="D17" s="2">
        <v>0.3</v>
      </c>
      <c r="E17">
        <f>IF((C17*D17)&lt;= 0,0,C17*D17)</f>
        <v>0</v>
      </c>
      <c r="G17" s="12" t="s">
        <v>26</v>
      </c>
      <c r="H17" s="12"/>
      <c r="I17" s="12">
        <v>49740</v>
      </c>
      <c r="J17" s="12"/>
      <c r="K17" s="12"/>
      <c r="M17">
        <v>36635</v>
      </c>
    </row>
    <row r="18" spans="1:16" x14ac:dyDescent="0.25">
      <c r="E18" s="3">
        <f>SUM(E15:E17)</f>
        <v>85938.2</v>
      </c>
      <c r="G18" s="12"/>
      <c r="H18" s="12"/>
      <c r="I18" s="12">
        <f>I16+I17</f>
        <v>61048</v>
      </c>
      <c r="J18" s="12"/>
      <c r="K18" s="12"/>
      <c r="M18">
        <f>M16-M17</f>
        <v>68960</v>
      </c>
    </row>
    <row r="19" spans="1:16" x14ac:dyDescent="0.25">
      <c r="M19">
        <f>M18/2</f>
        <v>34480</v>
      </c>
    </row>
    <row r="20" spans="1:16" x14ac:dyDescent="0.25">
      <c r="A20" t="s">
        <v>0</v>
      </c>
      <c r="B20">
        <f>E18</f>
        <v>85938.2</v>
      </c>
      <c r="C20">
        <f>B20</f>
        <v>85938.2</v>
      </c>
      <c r="D20" s="2">
        <v>0.04</v>
      </c>
      <c r="E20" s="3">
        <f>C20*D20</f>
        <v>3437.5279999999998</v>
      </c>
      <c r="G20" s="3"/>
    </row>
    <row r="21" spans="1:16" x14ac:dyDescent="0.25">
      <c r="A21" t="s">
        <v>1</v>
      </c>
      <c r="E21" s="4">
        <f>E18+E20</f>
        <v>89375.728000000003</v>
      </c>
      <c r="I21" s="3"/>
      <c r="N21">
        <v>1078235</v>
      </c>
      <c r="O21">
        <f>C11+C12</f>
        <v>211048</v>
      </c>
    </row>
    <row r="22" spans="1:16" x14ac:dyDescent="0.25">
      <c r="A22" t="s">
        <v>6</v>
      </c>
      <c r="E22">
        <f>76549+12180</f>
        <v>88729</v>
      </c>
      <c r="G22" s="3"/>
      <c r="M22" s="14"/>
      <c r="N22">
        <v>199740</v>
      </c>
    </row>
    <row r="23" spans="1:16" x14ac:dyDescent="0.25">
      <c r="A23" t="s">
        <v>7</v>
      </c>
      <c r="E23" s="3">
        <f>E21-E22</f>
        <v>646.72800000000279</v>
      </c>
      <c r="G23" s="20"/>
      <c r="H23" s="20"/>
      <c r="I23" s="20"/>
      <c r="J23" s="20"/>
      <c r="K23" s="21"/>
      <c r="L23" s="20"/>
      <c r="M23" s="20"/>
      <c r="N23" s="20"/>
      <c r="O23" s="20"/>
      <c r="P23" s="20"/>
    </row>
    <row r="24" spans="1:16" x14ac:dyDescent="0.25">
      <c r="A24" s="20"/>
      <c r="B24" s="20"/>
      <c r="C24" s="20"/>
      <c r="D24" s="20"/>
      <c r="E24" s="20"/>
      <c r="F24" s="20"/>
    </row>
    <row r="25" spans="1:16" x14ac:dyDescent="0.25">
      <c r="G25">
        <v>50000</v>
      </c>
      <c r="H25">
        <v>85000</v>
      </c>
      <c r="I25" t="s">
        <v>18</v>
      </c>
    </row>
    <row r="26" spans="1:16" x14ac:dyDescent="0.25">
      <c r="A26" t="s">
        <v>28</v>
      </c>
      <c r="B26">
        <v>3890.55</v>
      </c>
      <c r="C26" t="s">
        <v>29</v>
      </c>
      <c r="D26">
        <v>3360</v>
      </c>
      <c r="F26" t="s">
        <v>21</v>
      </c>
      <c r="G26">
        <f>C10</f>
        <v>85415</v>
      </c>
      <c r="H26">
        <v>50000</v>
      </c>
      <c r="I26" t="s">
        <v>19</v>
      </c>
    </row>
    <row r="27" spans="1:16" x14ac:dyDescent="0.25">
      <c r="A27" t="s">
        <v>30</v>
      </c>
      <c r="B27">
        <v>5303.09</v>
      </c>
      <c r="F27" t="s">
        <v>4</v>
      </c>
      <c r="G27">
        <f>C12</f>
        <v>61048</v>
      </c>
      <c r="H27">
        <f>500+719</f>
        <v>1219</v>
      </c>
      <c r="I27" t="s">
        <v>20</v>
      </c>
      <c r="M27" s="11"/>
      <c r="N27" s="11"/>
    </row>
    <row r="28" spans="1:16" x14ac:dyDescent="0.25">
      <c r="B28">
        <f>SUM(B26:B27)</f>
        <v>9193.64</v>
      </c>
      <c r="F28" t="s">
        <v>5</v>
      </c>
      <c r="G28">
        <f>SUM(G25:G27)</f>
        <v>196463</v>
      </c>
      <c r="H28">
        <f>SUM(H25:H27)</f>
        <v>136219</v>
      </c>
    </row>
    <row r="30" spans="1:16" x14ac:dyDescent="0.25">
      <c r="F30" t="s">
        <v>15</v>
      </c>
      <c r="G30" s="3"/>
      <c r="H30" t="s">
        <v>22</v>
      </c>
      <c r="I30">
        <f>H28</f>
        <v>136219</v>
      </c>
      <c r="K30">
        <v>6.85</v>
      </c>
      <c r="L30" s="3" t="s">
        <v>33</v>
      </c>
      <c r="M30" s="3"/>
    </row>
    <row r="31" spans="1:16" x14ac:dyDescent="0.25">
      <c r="E31" t="s">
        <v>14</v>
      </c>
      <c r="F31" s="15">
        <f>98.3+35000</f>
        <v>35098.300000000003</v>
      </c>
      <c r="H31" t="s">
        <v>3</v>
      </c>
      <c r="I31">
        <v>23781</v>
      </c>
      <c r="K31" s="3"/>
      <c r="L31" s="3"/>
    </row>
    <row r="32" spans="1:16" x14ac:dyDescent="0.25">
      <c r="E32" t="s">
        <v>13</v>
      </c>
      <c r="F32" s="15">
        <f>1271.53+36723-35000</f>
        <v>2994.5299999999988</v>
      </c>
      <c r="H32" t="s">
        <v>21</v>
      </c>
      <c r="I32">
        <v>50000</v>
      </c>
    </row>
    <row r="33" spans="1:10" x14ac:dyDescent="0.25">
      <c r="E33" t="s">
        <v>12</v>
      </c>
      <c r="F33" s="15">
        <v>10098.299999999999</v>
      </c>
      <c r="H33" t="s">
        <v>21</v>
      </c>
    </row>
    <row r="34" spans="1:10" x14ac:dyDescent="0.25">
      <c r="E34" t="s">
        <v>11</v>
      </c>
      <c r="F34" s="15"/>
      <c r="I34" s="1">
        <f>SUM(I30:I33)</f>
        <v>210000</v>
      </c>
      <c r="J34" s="1"/>
    </row>
    <row r="35" spans="1:10" x14ac:dyDescent="0.25">
      <c r="E35" t="s">
        <v>40</v>
      </c>
      <c r="F35" s="15">
        <f>11653.24+500+7000+1000</f>
        <v>20153.239999999998</v>
      </c>
    </row>
    <row r="36" spans="1:10" x14ac:dyDescent="0.25">
      <c r="F36" s="6">
        <f>SUM(F31:F34)</f>
        <v>48191.130000000005</v>
      </c>
    </row>
    <row r="37" spans="1:10" x14ac:dyDescent="0.25">
      <c r="E37" t="s">
        <v>7</v>
      </c>
      <c r="F37">
        <f>F36-F35</f>
        <v>28037.890000000007</v>
      </c>
    </row>
    <row r="38" spans="1:10" x14ac:dyDescent="0.25">
      <c r="E38" t="s">
        <v>10</v>
      </c>
      <c r="F38">
        <v>20000</v>
      </c>
    </row>
    <row r="39" spans="1:10" x14ac:dyDescent="0.25">
      <c r="E39" t="s">
        <v>9</v>
      </c>
      <c r="F39">
        <v>0</v>
      </c>
    </row>
    <row r="40" spans="1:10" x14ac:dyDescent="0.25">
      <c r="E40" t="s">
        <v>8</v>
      </c>
      <c r="F40">
        <f>F37-F38-F39</f>
        <v>8037.8900000000067</v>
      </c>
    </row>
    <row r="41" spans="1:10" x14ac:dyDescent="0.25">
      <c r="A41" s="15">
        <v>9900.7800000000007</v>
      </c>
      <c r="E41" t="s">
        <v>31</v>
      </c>
      <c r="F41">
        <v>0</v>
      </c>
    </row>
    <row r="42" spans="1:10" x14ac:dyDescent="0.25">
      <c r="A42" s="15">
        <v>9900.7800000000007</v>
      </c>
      <c r="E42" t="s">
        <v>16</v>
      </c>
      <c r="F42">
        <v>0</v>
      </c>
    </row>
    <row r="43" spans="1:10" x14ac:dyDescent="0.25">
      <c r="A43" s="15">
        <v>9900.7800000000007</v>
      </c>
      <c r="E43" t="s">
        <v>17</v>
      </c>
      <c r="F43">
        <v>0</v>
      </c>
    </row>
    <row r="44" spans="1:10" x14ac:dyDescent="0.25">
      <c r="A44" s="15">
        <v>10500</v>
      </c>
      <c r="E44" t="s">
        <v>32</v>
      </c>
      <c r="F44" s="3">
        <f>F41+F40-F42</f>
        <v>8037.8900000000067</v>
      </c>
    </row>
    <row r="45" spans="1:10" x14ac:dyDescent="0.25">
      <c r="A45" s="15">
        <v>10500</v>
      </c>
      <c r="F45" s="3"/>
    </row>
    <row r="46" spans="1:10" x14ac:dyDescent="0.25">
      <c r="A46" s="15">
        <v>10500</v>
      </c>
      <c r="F46" s="7"/>
    </row>
    <row r="47" spans="1:10" x14ac:dyDescent="0.25">
      <c r="A47" s="15">
        <v>10500</v>
      </c>
      <c r="F47" s="7"/>
    </row>
    <row r="48" spans="1:10" x14ac:dyDescent="0.25">
      <c r="A48" s="15">
        <v>10500</v>
      </c>
      <c r="C48" s="5">
        <v>30766</v>
      </c>
      <c r="D48" s="5">
        <f>C48+(364*36)+45</f>
        <v>43915</v>
      </c>
      <c r="E48">
        <f>D48-C48</f>
        <v>13149</v>
      </c>
      <c r="F48" s="7">
        <f>E48/365</f>
        <v>36.024657534246572</v>
      </c>
    </row>
    <row r="49" spans="1:15" x14ac:dyDescent="0.25">
      <c r="A49" s="15">
        <v>10500</v>
      </c>
      <c r="C49" s="5">
        <v>29851</v>
      </c>
      <c r="D49" s="5">
        <f>C49+(364*38)+49</f>
        <v>43732</v>
      </c>
      <c r="E49">
        <f>D49-C49</f>
        <v>13881</v>
      </c>
      <c r="F49" s="7">
        <f>E49/365</f>
        <v>38.030136986301372</v>
      </c>
    </row>
    <row r="50" spans="1:15" x14ac:dyDescent="0.25">
      <c r="A50" s="15">
        <v>10500</v>
      </c>
      <c r="M50">
        <v>2827</v>
      </c>
      <c r="N50">
        <f>M50*2</f>
        <v>5654</v>
      </c>
    </row>
    <row r="51" spans="1:15" x14ac:dyDescent="0.25">
      <c r="A51" s="15">
        <v>10000</v>
      </c>
      <c r="C51" s="5">
        <v>30766</v>
      </c>
      <c r="D51" s="5">
        <f>C51+(364*60)+45</f>
        <v>52651</v>
      </c>
      <c r="E51">
        <f>D51-C51</f>
        <v>21885</v>
      </c>
      <c r="F51" s="7">
        <f>E51/365</f>
        <v>59.958904109589042</v>
      </c>
      <c r="I51">
        <v>0.4</v>
      </c>
      <c r="J51">
        <v>4</v>
      </c>
      <c r="K51">
        <f>$M$55*J51</f>
        <v>27974.666666666668</v>
      </c>
      <c r="L51">
        <f>$N$55*J51</f>
        <v>39282.666666666664</v>
      </c>
      <c r="M51">
        <f>M50*12</f>
        <v>33924</v>
      </c>
      <c r="N51">
        <f>N50*12</f>
        <v>67848</v>
      </c>
    </row>
    <row r="52" spans="1:15" x14ac:dyDescent="0.25">
      <c r="A52" s="15">
        <v>10100</v>
      </c>
      <c r="C52" s="5">
        <v>29851</v>
      </c>
      <c r="D52" s="5">
        <f>C52+(364*60)+49</f>
        <v>51740</v>
      </c>
      <c r="E52">
        <f>D52-C52</f>
        <v>21889</v>
      </c>
      <c r="F52" s="7">
        <f>E52/365</f>
        <v>59.969863013698628</v>
      </c>
      <c r="I52">
        <v>2021</v>
      </c>
      <c r="J52">
        <v>12</v>
      </c>
      <c r="K52">
        <f t="shared" ref="K52:K75" si="0">$M$55*J52</f>
        <v>83924</v>
      </c>
      <c r="L52">
        <f t="shared" ref="L52:L75" si="1">$N$55*J52</f>
        <v>117848</v>
      </c>
      <c r="M52">
        <v>50000</v>
      </c>
      <c r="N52">
        <v>50000</v>
      </c>
    </row>
    <row r="53" spans="1:15" x14ac:dyDescent="0.25">
      <c r="A53" s="15">
        <v>10100</v>
      </c>
      <c r="E53" s="5"/>
      <c r="F53" s="6"/>
      <c r="I53">
        <v>2022</v>
      </c>
      <c r="J53">
        <v>12</v>
      </c>
      <c r="K53">
        <f t="shared" si="0"/>
        <v>83924</v>
      </c>
      <c r="L53">
        <f t="shared" si="1"/>
        <v>117848</v>
      </c>
      <c r="M53">
        <f>SUM(M51:M52)</f>
        <v>83924</v>
      </c>
      <c r="N53">
        <f>SUM(N51:N52)</f>
        <v>117848</v>
      </c>
    </row>
    <row r="54" spans="1:15" x14ac:dyDescent="0.25">
      <c r="A54" s="15">
        <v>10100</v>
      </c>
      <c r="E54" s="5"/>
      <c r="F54" s="5"/>
      <c r="I54">
        <v>2023</v>
      </c>
      <c r="J54">
        <v>12</v>
      </c>
      <c r="K54">
        <f t="shared" si="0"/>
        <v>83924</v>
      </c>
      <c r="L54">
        <f t="shared" si="1"/>
        <v>117848</v>
      </c>
      <c r="M54">
        <f>M53/12</f>
        <v>6993.666666666667</v>
      </c>
      <c r="N54">
        <f>N53/12</f>
        <v>9820.6666666666661</v>
      </c>
    </row>
    <row r="55" spans="1:15" x14ac:dyDescent="0.25">
      <c r="A55" s="15">
        <v>10100</v>
      </c>
      <c r="E55" s="5"/>
      <c r="F55" s="5"/>
      <c r="I55">
        <v>2024</v>
      </c>
      <c r="J55">
        <v>12</v>
      </c>
      <c r="K55">
        <f t="shared" si="0"/>
        <v>83924</v>
      </c>
      <c r="L55">
        <f t="shared" si="1"/>
        <v>117848</v>
      </c>
      <c r="M55" s="3">
        <f>M54</f>
        <v>6993.666666666667</v>
      </c>
      <c r="N55" s="3">
        <f>N54</f>
        <v>9820.6666666666661</v>
      </c>
      <c r="O55">
        <v>150</v>
      </c>
    </row>
    <row r="56" spans="1:15" x14ac:dyDescent="0.25">
      <c r="A56" s="15">
        <v>10100</v>
      </c>
      <c r="I56">
        <v>2025</v>
      </c>
      <c r="J56">
        <v>12</v>
      </c>
      <c r="K56">
        <f t="shared" si="0"/>
        <v>83924</v>
      </c>
      <c r="L56">
        <f t="shared" si="1"/>
        <v>117848</v>
      </c>
      <c r="O56">
        <v>120</v>
      </c>
    </row>
    <row r="57" spans="1:15" x14ac:dyDescent="0.25">
      <c r="A57" s="15">
        <v>10100</v>
      </c>
      <c r="C57" s="11"/>
      <c r="I57">
        <v>2026</v>
      </c>
      <c r="J57">
        <v>12</v>
      </c>
      <c r="K57">
        <f t="shared" si="0"/>
        <v>83924</v>
      </c>
      <c r="L57">
        <f t="shared" si="1"/>
        <v>117848</v>
      </c>
      <c r="O57">
        <f>SUM(O55:O56)</f>
        <v>270</v>
      </c>
    </row>
    <row r="58" spans="1:15" x14ac:dyDescent="0.25">
      <c r="A58" s="15">
        <v>10100</v>
      </c>
      <c r="I58">
        <v>2027</v>
      </c>
      <c r="J58">
        <v>12</v>
      </c>
      <c r="K58">
        <f t="shared" si="0"/>
        <v>83924</v>
      </c>
      <c r="L58">
        <f t="shared" si="1"/>
        <v>117848</v>
      </c>
    </row>
    <row r="59" spans="1:15" x14ac:dyDescent="0.25">
      <c r="A59" s="15">
        <v>10100</v>
      </c>
      <c r="I59">
        <v>2028</v>
      </c>
      <c r="J59">
        <v>12</v>
      </c>
      <c r="K59">
        <f t="shared" si="0"/>
        <v>83924</v>
      </c>
      <c r="L59">
        <f t="shared" si="1"/>
        <v>117848</v>
      </c>
    </row>
    <row r="60" spans="1:15" x14ac:dyDescent="0.25">
      <c r="A60" s="15">
        <v>10100</v>
      </c>
      <c r="I60">
        <v>2029</v>
      </c>
      <c r="J60">
        <v>12</v>
      </c>
      <c r="K60">
        <f t="shared" si="0"/>
        <v>83924</v>
      </c>
      <c r="L60">
        <f t="shared" si="1"/>
        <v>117848</v>
      </c>
    </row>
    <row r="61" spans="1:15" x14ac:dyDescent="0.25">
      <c r="A61" s="15">
        <v>10100</v>
      </c>
      <c r="I61">
        <v>2030</v>
      </c>
      <c r="J61">
        <v>12</v>
      </c>
      <c r="K61">
        <f t="shared" si="0"/>
        <v>83924</v>
      </c>
      <c r="L61">
        <f t="shared" si="1"/>
        <v>117848</v>
      </c>
      <c r="M61">
        <f>K76</f>
        <v>2042150.6666666667</v>
      </c>
      <c r="N61">
        <f>L76</f>
        <v>2867634.6666666665</v>
      </c>
    </row>
    <row r="62" spans="1:15" x14ac:dyDescent="0.25">
      <c r="A62" s="15">
        <v>10100</v>
      </c>
      <c r="I62">
        <v>2031</v>
      </c>
      <c r="J62">
        <v>12</v>
      </c>
      <c r="K62">
        <f t="shared" si="0"/>
        <v>83924</v>
      </c>
      <c r="L62">
        <f t="shared" si="1"/>
        <v>117848</v>
      </c>
    </row>
    <row r="63" spans="1:15" x14ac:dyDescent="0.25">
      <c r="A63" s="15">
        <v>10100</v>
      </c>
      <c r="I63">
        <v>2032</v>
      </c>
      <c r="J63">
        <v>12</v>
      </c>
      <c r="K63">
        <f t="shared" si="0"/>
        <v>83924</v>
      </c>
      <c r="L63">
        <f t="shared" si="1"/>
        <v>117848</v>
      </c>
    </row>
    <row r="64" spans="1:15" x14ac:dyDescent="0.25">
      <c r="A64" s="15">
        <v>10100</v>
      </c>
      <c r="I64">
        <v>2033</v>
      </c>
      <c r="J64">
        <v>12</v>
      </c>
      <c r="K64">
        <f t="shared" si="0"/>
        <v>83924</v>
      </c>
      <c r="L64">
        <f t="shared" si="1"/>
        <v>117848</v>
      </c>
    </row>
    <row r="65" spans="1:12" x14ac:dyDescent="0.25">
      <c r="A65" s="15">
        <v>10100</v>
      </c>
      <c r="I65">
        <v>2034</v>
      </c>
      <c r="J65">
        <v>12</v>
      </c>
      <c r="K65">
        <f t="shared" si="0"/>
        <v>83924</v>
      </c>
      <c r="L65">
        <f t="shared" si="1"/>
        <v>117848</v>
      </c>
    </row>
    <row r="66" spans="1:12" x14ac:dyDescent="0.25">
      <c r="A66" s="15">
        <v>10100</v>
      </c>
      <c r="I66">
        <v>2035</v>
      </c>
      <c r="J66">
        <v>12</v>
      </c>
      <c r="K66">
        <f t="shared" si="0"/>
        <v>83924</v>
      </c>
      <c r="L66">
        <f t="shared" si="1"/>
        <v>117848</v>
      </c>
    </row>
    <row r="67" spans="1:12" x14ac:dyDescent="0.25">
      <c r="A67" s="15">
        <v>10100</v>
      </c>
      <c r="G67">
        <f>F68*12</f>
        <v>40704</v>
      </c>
      <c r="I67">
        <v>2036</v>
      </c>
      <c r="J67">
        <v>12</v>
      </c>
      <c r="K67">
        <f t="shared" si="0"/>
        <v>83924</v>
      </c>
      <c r="L67">
        <f t="shared" si="1"/>
        <v>117848</v>
      </c>
    </row>
    <row r="68" spans="1:12" x14ac:dyDescent="0.25">
      <c r="A68" s="15">
        <v>10100</v>
      </c>
      <c r="F68">
        <v>3392</v>
      </c>
      <c r="I68">
        <v>2037</v>
      </c>
      <c r="J68">
        <v>12</v>
      </c>
      <c r="K68">
        <f t="shared" si="0"/>
        <v>83924</v>
      </c>
      <c r="L68">
        <f t="shared" si="1"/>
        <v>117848</v>
      </c>
    </row>
    <row r="69" spans="1:12" x14ac:dyDescent="0.25">
      <c r="A69" s="15">
        <v>10100</v>
      </c>
      <c r="F69">
        <v>760</v>
      </c>
      <c r="I69">
        <v>2038</v>
      </c>
      <c r="J69">
        <v>12</v>
      </c>
      <c r="K69">
        <f t="shared" si="0"/>
        <v>83924</v>
      </c>
      <c r="L69">
        <f t="shared" si="1"/>
        <v>117848</v>
      </c>
    </row>
    <row r="70" spans="1:12" x14ac:dyDescent="0.25">
      <c r="A70" s="15">
        <v>10100</v>
      </c>
      <c r="F70">
        <f>SUM(F68:F69)</f>
        <v>4152</v>
      </c>
      <c r="I70">
        <v>2039</v>
      </c>
      <c r="J70">
        <v>12</v>
      </c>
      <c r="K70">
        <f t="shared" si="0"/>
        <v>83924</v>
      </c>
      <c r="L70">
        <f t="shared" si="1"/>
        <v>117848</v>
      </c>
    </row>
    <row r="71" spans="1:12" x14ac:dyDescent="0.25">
      <c r="A71" s="15">
        <v>10100</v>
      </c>
      <c r="G71">
        <v>85420</v>
      </c>
      <c r="I71">
        <v>2040</v>
      </c>
      <c r="J71">
        <v>12</v>
      </c>
      <c r="K71">
        <f t="shared" si="0"/>
        <v>83924</v>
      </c>
      <c r="L71">
        <f t="shared" si="1"/>
        <v>117848</v>
      </c>
    </row>
    <row r="72" spans="1:12" x14ac:dyDescent="0.25">
      <c r="G72">
        <f>G71-F70</f>
        <v>81268</v>
      </c>
      <c r="I72">
        <v>2041</v>
      </c>
      <c r="J72">
        <v>12</v>
      </c>
      <c r="K72">
        <f t="shared" si="0"/>
        <v>83924</v>
      </c>
      <c r="L72">
        <f t="shared" si="1"/>
        <v>117848</v>
      </c>
    </row>
    <row r="73" spans="1:12" x14ac:dyDescent="0.25">
      <c r="A73">
        <f>AVERAGE(A42:A72)</f>
        <v>10176.718666666666</v>
      </c>
      <c r="G73">
        <f>G72-8570</f>
        <v>72698</v>
      </c>
      <c r="I73">
        <v>2042</v>
      </c>
      <c r="J73">
        <v>12</v>
      </c>
      <c r="K73">
        <f t="shared" si="0"/>
        <v>83924</v>
      </c>
      <c r="L73">
        <f t="shared" si="1"/>
        <v>117848</v>
      </c>
    </row>
    <row r="74" spans="1:12" x14ac:dyDescent="0.25">
      <c r="I74">
        <v>2043</v>
      </c>
      <c r="J74">
        <v>12</v>
      </c>
      <c r="K74">
        <f t="shared" si="0"/>
        <v>83924</v>
      </c>
      <c r="L74">
        <f t="shared" si="1"/>
        <v>117848</v>
      </c>
    </row>
    <row r="75" spans="1:12" x14ac:dyDescent="0.25">
      <c r="I75">
        <v>2044</v>
      </c>
      <c r="J75">
        <v>12</v>
      </c>
      <c r="K75">
        <f t="shared" si="0"/>
        <v>83924</v>
      </c>
      <c r="L75">
        <f t="shared" si="1"/>
        <v>117848</v>
      </c>
    </row>
    <row r="76" spans="1:12" x14ac:dyDescent="0.25">
      <c r="K76">
        <f>SUM(K51:K75)</f>
        <v>2042150.6666666667</v>
      </c>
      <c r="L76">
        <f>SUM(L51:L75)</f>
        <v>2867634.6666666665</v>
      </c>
    </row>
    <row r="91" spans="8:8" x14ac:dyDescent="0.25">
      <c r="H91" s="11"/>
    </row>
    <row r="92" spans="8:8" x14ac:dyDescent="0.25">
      <c r="H92" s="11"/>
    </row>
  </sheetData>
  <pageMargins left="0.7" right="0.7" top="0.75" bottom="0.75" header="0.3" footer="0.3"/>
  <pageSetup paperSize="9" orientation="portrait" r:id="rId1"/>
  <ignoredErrors>
    <ignoredError sqref="E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58"/>
  <sheetViews>
    <sheetView topLeftCell="C19" zoomScale="85" zoomScaleNormal="85" workbookViewId="0">
      <selection activeCell="K57" sqref="K57"/>
    </sheetView>
  </sheetViews>
  <sheetFormatPr defaultRowHeight="15" x14ac:dyDescent="0.25"/>
  <cols>
    <col min="7" max="8" width="11.5703125" bestFit="1" customWidth="1"/>
    <col min="9" max="9" width="11.42578125" bestFit="1" customWidth="1"/>
    <col min="10" max="10" width="11.5703125" bestFit="1" customWidth="1"/>
    <col min="11" max="11" width="12.140625" customWidth="1"/>
    <col min="12" max="12" width="11.5703125" bestFit="1" customWidth="1"/>
    <col min="13" max="13" width="11.42578125" bestFit="1" customWidth="1"/>
  </cols>
  <sheetData>
    <row r="1" spans="6:13" x14ac:dyDescent="0.25">
      <c r="F1" t="s">
        <v>7</v>
      </c>
      <c r="G1" t="s">
        <v>35</v>
      </c>
    </row>
    <row r="2" spans="6:13" x14ac:dyDescent="0.25">
      <c r="F2" t="s">
        <v>34</v>
      </c>
      <c r="G2" s="8">
        <v>0.26527777777777778</v>
      </c>
      <c r="I2" s="8">
        <v>0.37291666666666662</v>
      </c>
      <c r="J2" s="9">
        <f>I2-H14</f>
        <v>0.16458333333333336</v>
      </c>
    </row>
    <row r="3" spans="6:13" x14ac:dyDescent="0.25">
      <c r="G3" s="8">
        <v>0.49513888888888885</v>
      </c>
      <c r="K3" s="8"/>
    </row>
    <row r="4" spans="6:13" x14ac:dyDescent="0.25">
      <c r="G4" s="8">
        <v>0.38541666666666669</v>
      </c>
      <c r="K4" s="8"/>
    </row>
    <row r="5" spans="6:13" x14ac:dyDescent="0.25">
      <c r="G5" s="8">
        <f>G3+G4</f>
        <v>0.88055555555555554</v>
      </c>
      <c r="H5" s="8">
        <f>G5+G2</f>
        <v>1.1458333333333333</v>
      </c>
      <c r="K5" s="8"/>
    </row>
    <row r="6" spans="6:13" x14ac:dyDescent="0.25">
      <c r="G6" s="8">
        <v>0.875</v>
      </c>
      <c r="K6" s="8"/>
    </row>
    <row r="7" spans="6:13" x14ac:dyDescent="0.25">
      <c r="F7" t="s">
        <v>23</v>
      </c>
      <c r="G7" s="8">
        <f>G6-G5</f>
        <v>-5.5555555555555358E-3</v>
      </c>
      <c r="H7" s="8">
        <f>G7</f>
        <v>-5.5555555555555358E-3</v>
      </c>
      <c r="I7" s="10">
        <f>G4+G7</f>
        <v>0.37986111111111115</v>
      </c>
      <c r="K7" s="8"/>
      <c r="L7" s="8"/>
      <c r="M7" s="8"/>
    </row>
    <row r="9" spans="6:13" x14ac:dyDescent="0.25">
      <c r="G9" s="8">
        <v>0.23263888888888887</v>
      </c>
      <c r="K9" s="8"/>
    </row>
    <row r="10" spans="6:13" x14ac:dyDescent="0.25">
      <c r="G10" s="8">
        <v>0.38541666666666669</v>
      </c>
      <c r="K10" s="8"/>
    </row>
    <row r="11" spans="6:13" x14ac:dyDescent="0.25">
      <c r="G11" s="8">
        <f>G9+G10</f>
        <v>0.61805555555555558</v>
      </c>
      <c r="K11" s="8"/>
    </row>
    <row r="12" spans="6:13" x14ac:dyDescent="0.25">
      <c r="G12" s="8">
        <v>0.83194444444444438</v>
      </c>
      <c r="K12" s="9"/>
    </row>
    <row r="13" spans="6:13" x14ac:dyDescent="0.25">
      <c r="G13" s="8">
        <f>G12-G11</f>
        <v>0.2138888888888888</v>
      </c>
      <c r="H13" s="8">
        <f>G13</f>
        <v>0.2138888888888888</v>
      </c>
      <c r="I13" s="10">
        <f>G10+G13</f>
        <v>0.59930555555555554</v>
      </c>
      <c r="K13" s="8"/>
      <c r="L13" s="8"/>
      <c r="M13" s="8"/>
    </row>
    <row r="14" spans="6:13" x14ac:dyDescent="0.25">
      <c r="H14" s="9">
        <f>H13+H7</f>
        <v>0.20833333333333326</v>
      </c>
      <c r="L14" s="9"/>
    </row>
    <row r="15" spans="6:13" x14ac:dyDescent="0.25">
      <c r="G15" s="8"/>
      <c r="L15" s="9"/>
    </row>
    <row r="16" spans="6:13" x14ac:dyDescent="0.25">
      <c r="G16">
        <v>342.25</v>
      </c>
      <c r="H16">
        <f>G16/9.25</f>
        <v>37</v>
      </c>
      <c r="K16" s="8"/>
      <c r="L16" s="8"/>
    </row>
    <row r="17" spans="8:11" x14ac:dyDescent="0.25">
      <c r="K17" s="8"/>
    </row>
    <row r="23" spans="8:11" x14ac:dyDescent="0.25">
      <c r="H23">
        <v>366</v>
      </c>
    </row>
    <row r="24" spans="8:11" x14ac:dyDescent="0.25">
      <c r="H24">
        <f>H23/3</f>
        <v>122</v>
      </c>
    </row>
    <row r="25" spans="8:11" x14ac:dyDescent="0.25">
      <c r="H25">
        <v>117</v>
      </c>
    </row>
    <row r="26" spans="8:11" x14ac:dyDescent="0.25">
      <c r="H26">
        <f>H24-H25</f>
        <v>5</v>
      </c>
    </row>
    <row r="30" spans="8:11" x14ac:dyDescent="0.25">
      <c r="H30">
        <v>900000</v>
      </c>
      <c r="I30">
        <f>H30*7.6%</f>
        <v>68400</v>
      </c>
      <c r="J30">
        <f>I30/12</f>
        <v>5700</v>
      </c>
    </row>
    <row r="50" spans="9:12" x14ac:dyDescent="0.25">
      <c r="L50">
        <v>22753</v>
      </c>
    </row>
    <row r="51" spans="9:12" x14ac:dyDescent="0.25">
      <c r="L51">
        <v>5534</v>
      </c>
    </row>
    <row r="52" spans="9:12" x14ac:dyDescent="0.25">
      <c r="L52">
        <f>SUM(L50:L51)</f>
        <v>28287</v>
      </c>
    </row>
    <row r="58" spans="9:12" x14ac:dyDescent="0.25">
      <c r="I58">
        <v>1.1399999999999999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>
      <selection activeCell="H2" sqref="H2"/>
    </sheetView>
  </sheetViews>
  <sheetFormatPr defaultRowHeight="15" x14ac:dyDescent="0.25"/>
  <cols>
    <col min="1" max="1" width="14.5703125" bestFit="1" customWidth="1"/>
  </cols>
  <sheetData>
    <row r="2" spans="1:7" ht="15.75" thickBot="1" x14ac:dyDescent="0.3"/>
    <row r="3" spans="1:7" ht="34.5" thickBot="1" x14ac:dyDescent="0.3">
      <c r="B3" s="16" t="s">
        <v>56</v>
      </c>
      <c r="C3" s="19" t="s">
        <v>57</v>
      </c>
      <c r="D3" s="18" t="s">
        <v>58</v>
      </c>
      <c r="E3" s="17" t="s">
        <v>59</v>
      </c>
      <c r="F3" s="17" t="s">
        <v>60</v>
      </c>
      <c r="G3" s="17" t="s">
        <v>61</v>
      </c>
    </row>
    <row r="4" spans="1:7" x14ac:dyDescent="0.25">
      <c r="A4" t="s">
        <v>49</v>
      </c>
      <c r="B4">
        <v>49740.4</v>
      </c>
      <c r="E4">
        <v>49887.69</v>
      </c>
      <c r="F4">
        <v>147.29</v>
      </c>
      <c r="G4" s="14">
        <v>0.2409</v>
      </c>
    </row>
    <row r="5" spans="1:7" x14ac:dyDescent="0.25">
      <c r="A5" t="s">
        <v>51</v>
      </c>
      <c r="B5">
        <v>49740.4</v>
      </c>
      <c r="C5" t="s">
        <v>50</v>
      </c>
      <c r="D5" t="s">
        <v>50</v>
      </c>
      <c r="E5">
        <v>50014.6</v>
      </c>
      <c r="F5">
        <v>274.2</v>
      </c>
      <c r="G5" s="14">
        <v>0.39710000000000001</v>
      </c>
    </row>
    <row r="6" spans="1:7" x14ac:dyDescent="0.25">
      <c r="A6" t="s">
        <v>52</v>
      </c>
      <c r="B6">
        <v>49740.4</v>
      </c>
      <c r="C6" t="s">
        <v>50</v>
      </c>
      <c r="D6" t="s">
        <v>50</v>
      </c>
      <c r="E6">
        <v>50033.48</v>
      </c>
      <c r="F6">
        <v>293.08</v>
      </c>
      <c r="G6" s="14">
        <v>0.30740000000000001</v>
      </c>
    </row>
    <row r="7" spans="1:7" x14ac:dyDescent="0.25">
      <c r="A7" t="s">
        <v>53</v>
      </c>
      <c r="B7">
        <v>49740.4</v>
      </c>
      <c r="C7" t="s">
        <v>50</v>
      </c>
      <c r="D7" t="s">
        <v>50</v>
      </c>
      <c r="E7">
        <v>49926.31</v>
      </c>
      <c r="F7">
        <v>185.91</v>
      </c>
      <c r="G7" s="14">
        <v>0.1318</v>
      </c>
    </row>
    <row r="8" spans="1:7" x14ac:dyDescent="0.25">
      <c r="A8" t="s">
        <v>54</v>
      </c>
      <c r="B8">
        <v>49740.4</v>
      </c>
      <c r="C8" t="s">
        <v>50</v>
      </c>
      <c r="D8" t="s">
        <v>50</v>
      </c>
      <c r="E8">
        <v>50269.69</v>
      </c>
      <c r="F8">
        <v>529.29</v>
      </c>
      <c r="G8" s="14">
        <v>0.37980000000000003</v>
      </c>
    </row>
    <row r="9" spans="1:7" x14ac:dyDescent="0.25">
      <c r="A9" t="s">
        <v>55</v>
      </c>
      <c r="B9">
        <v>49740.4</v>
      </c>
      <c r="C9" t="s">
        <v>50</v>
      </c>
      <c r="D9" t="s">
        <v>50</v>
      </c>
      <c r="E9">
        <v>50197.83</v>
      </c>
      <c r="F9">
        <v>457.43</v>
      </c>
      <c r="G9" s="14">
        <v>0.29310000000000003</v>
      </c>
    </row>
    <row r="11" spans="1:7" x14ac:dyDescent="0.25">
      <c r="D11">
        <f>D36</f>
        <v>83924</v>
      </c>
      <c r="E11">
        <f>9000*12</f>
        <v>108000</v>
      </c>
      <c r="F11">
        <f>E11-D11</f>
        <v>24076</v>
      </c>
    </row>
    <row r="15" spans="1:7" x14ac:dyDescent="0.25">
      <c r="E15">
        <f>12*9</f>
        <v>108</v>
      </c>
    </row>
    <row r="19" spans="1:3" x14ac:dyDescent="0.25">
      <c r="C19">
        <v>2827</v>
      </c>
    </row>
    <row r="20" spans="1:3" x14ac:dyDescent="0.25">
      <c r="A20">
        <v>1920</v>
      </c>
      <c r="B20">
        <v>49740</v>
      </c>
      <c r="C20">
        <f>$C$19*4</f>
        <v>11308</v>
      </c>
    </row>
    <row r="21" spans="1:3" x14ac:dyDescent="0.25">
      <c r="A21">
        <v>2021</v>
      </c>
      <c r="B21">
        <v>50000</v>
      </c>
      <c r="C21">
        <f>$C$19*12</f>
        <v>33924</v>
      </c>
    </row>
    <row r="22" spans="1:3" x14ac:dyDescent="0.25">
      <c r="A22">
        <v>2122</v>
      </c>
      <c r="B22">
        <v>50000</v>
      </c>
      <c r="C22">
        <f t="shared" ref="C22:C44" si="0">$C$19*12</f>
        <v>33924</v>
      </c>
    </row>
    <row r="23" spans="1:3" x14ac:dyDescent="0.25">
      <c r="A23">
        <v>2223</v>
      </c>
      <c r="B23">
        <v>50000</v>
      </c>
      <c r="C23">
        <f t="shared" si="0"/>
        <v>33924</v>
      </c>
    </row>
    <row r="24" spans="1:3" x14ac:dyDescent="0.25">
      <c r="A24">
        <v>2324</v>
      </c>
      <c r="B24">
        <v>50000</v>
      </c>
      <c r="C24">
        <f t="shared" si="0"/>
        <v>33924</v>
      </c>
    </row>
    <row r="25" spans="1:3" x14ac:dyDescent="0.25">
      <c r="A25">
        <v>2425</v>
      </c>
      <c r="B25">
        <v>50000</v>
      </c>
      <c r="C25">
        <f t="shared" si="0"/>
        <v>33924</v>
      </c>
    </row>
    <row r="26" spans="1:3" x14ac:dyDescent="0.25">
      <c r="A26">
        <v>2526</v>
      </c>
      <c r="B26">
        <v>50000</v>
      </c>
      <c r="C26">
        <f t="shared" si="0"/>
        <v>33924</v>
      </c>
    </row>
    <row r="27" spans="1:3" x14ac:dyDescent="0.25">
      <c r="A27">
        <v>2627</v>
      </c>
      <c r="B27">
        <v>50000</v>
      </c>
      <c r="C27">
        <f t="shared" si="0"/>
        <v>33924</v>
      </c>
    </row>
    <row r="28" spans="1:3" x14ac:dyDescent="0.25">
      <c r="A28">
        <v>2728</v>
      </c>
      <c r="B28">
        <v>50000</v>
      </c>
      <c r="C28">
        <f t="shared" si="0"/>
        <v>33924</v>
      </c>
    </row>
    <row r="29" spans="1:3" x14ac:dyDescent="0.25">
      <c r="A29">
        <v>2829</v>
      </c>
      <c r="B29">
        <v>50000</v>
      </c>
      <c r="C29">
        <f t="shared" si="0"/>
        <v>33924</v>
      </c>
    </row>
    <row r="30" spans="1:3" x14ac:dyDescent="0.25">
      <c r="A30">
        <v>2930</v>
      </c>
      <c r="B30">
        <v>50000</v>
      </c>
      <c r="C30">
        <f t="shared" si="0"/>
        <v>33924</v>
      </c>
    </row>
    <row r="31" spans="1:3" x14ac:dyDescent="0.25">
      <c r="A31">
        <v>3031</v>
      </c>
      <c r="B31">
        <v>50000</v>
      </c>
      <c r="C31">
        <f t="shared" si="0"/>
        <v>33924</v>
      </c>
    </row>
    <row r="32" spans="1:3" x14ac:dyDescent="0.25">
      <c r="A32">
        <v>3132</v>
      </c>
      <c r="B32">
        <v>50000</v>
      </c>
      <c r="C32">
        <f t="shared" si="0"/>
        <v>33924</v>
      </c>
    </row>
    <row r="33" spans="1:4" x14ac:dyDescent="0.25">
      <c r="A33">
        <v>3233</v>
      </c>
      <c r="B33">
        <v>50000</v>
      </c>
      <c r="C33">
        <f t="shared" si="0"/>
        <v>33924</v>
      </c>
    </row>
    <row r="34" spans="1:4" x14ac:dyDescent="0.25">
      <c r="A34">
        <v>3334</v>
      </c>
      <c r="B34">
        <v>50000</v>
      </c>
      <c r="C34">
        <f t="shared" si="0"/>
        <v>33924</v>
      </c>
    </row>
    <row r="35" spans="1:4" x14ac:dyDescent="0.25">
      <c r="A35">
        <v>3435</v>
      </c>
      <c r="B35">
        <v>50000</v>
      </c>
      <c r="C35">
        <f t="shared" si="0"/>
        <v>33924</v>
      </c>
    </row>
    <row r="36" spans="1:4" x14ac:dyDescent="0.25">
      <c r="A36">
        <v>3536</v>
      </c>
      <c r="B36">
        <v>50000</v>
      </c>
      <c r="C36">
        <f t="shared" si="0"/>
        <v>33924</v>
      </c>
      <c r="D36">
        <f>B36+C36</f>
        <v>83924</v>
      </c>
    </row>
    <row r="37" spans="1:4" x14ac:dyDescent="0.25">
      <c r="A37">
        <v>3637</v>
      </c>
      <c r="B37">
        <v>50000</v>
      </c>
      <c r="C37">
        <f t="shared" si="0"/>
        <v>33924</v>
      </c>
      <c r="D37">
        <f>D36/12</f>
        <v>6993.666666666667</v>
      </c>
    </row>
    <row r="38" spans="1:4" x14ac:dyDescent="0.25">
      <c r="A38">
        <v>3738</v>
      </c>
      <c r="B38">
        <v>50000</v>
      </c>
      <c r="C38">
        <f t="shared" si="0"/>
        <v>33924</v>
      </c>
    </row>
    <row r="39" spans="1:4" x14ac:dyDescent="0.25">
      <c r="A39">
        <v>3839</v>
      </c>
      <c r="B39">
        <v>50000</v>
      </c>
      <c r="C39">
        <f t="shared" si="0"/>
        <v>33924</v>
      </c>
    </row>
    <row r="40" spans="1:4" x14ac:dyDescent="0.25">
      <c r="A40">
        <v>3940</v>
      </c>
      <c r="B40">
        <v>50000</v>
      </c>
      <c r="C40">
        <f t="shared" si="0"/>
        <v>33924</v>
      </c>
    </row>
    <row r="41" spans="1:4" x14ac:dyDescent="0.25">
      <c r="A41">
        <v>4041</v>
      </c>
      <c r="B41">
        <v>50000</v>
      </c>
      <c r="C41">
        <f t="shared" si="0"/>
        <v>33924</v>
      </c>
    </row>
    <row r="42" spans="1:4" x14ac:dyDescent="0.25">
      <c r="A42">
        <v>4142</v>
      </c>
      <c r="B42">
        <v>50000</v>
      </c>
      <c r="C42">
        <f t="shared" si="0"/>
        <v>33924</v>
      </c>
    </row>
    <row r="43" spans="1:4" x14ac:dyDescent="0.25">
      <c r="A43">
        <v>4243</v>
      </c>
      <c r="B43">
        <v>50000</v>
      </c>
      <c r="C43">
        <f t="shared" si="0"/>
        <v>33924</v>
      </c>
    </row>
    <row r="44" spans="1:4" x14ac:dyDescent="0.25">
      <c r="A44">
        <v>4344</v>
      </c>
      <c r="B44">
        <v>50000</v>
      </c>
      <c r="C44">
        <f t="shared" si="0"/>
        <v>33924</v>
      </c>
    </row>
    <row r="45" spans="1:4" x14ac:dyDescent="0.25">
      <c r="B45">
        <f>SUM(B20:B44)</f>
        <v>1249740</v>
      </c>
      <c r="C45">
        <f>SUM(C20:C44)</f>
        <v>825484</v>
      </c>
      <c r="D45">
        <f>B45+C45</f>
        <v>2075224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</vt:lpstr>
      <vt:lpstr>time</vt:lpstr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Sanjay Kumar</cp:lastModifiedBy>
  <cp:lastPrinted>2019-10-14T15:11:01Z</cp:lastPrinted>
  <dcterms:created xsi:type="dcterms:W3CDTF">2019-09-10T10:13:41Z</dcterms:created>
  <dcterms:modified xsi:type="dcterms:W3CDTF">2019-12-02T15:54:55Z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sanjay.kumar12@ad.infosys.com</vt:lpwstr>
  </property>
  <property fmtid="{D5CDD505-2E9C-101B-9397-08002B2CF9AE}" pid="5" name="MSIP_Label_be4b3411-284d-4d31-bd4f-bc13ef7f1fd6_SetDate">
    <vt:lpwstr>2019-09-11T06:56:05.1334111Z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b009b177-ad2a-4c5d-9413-3717b88ec30a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sanjay.kumar12@ad.infosys.com</vt:lpwstr>
  </property>
  <property fmtid="{D5CDD505-2E9C-101B-9397-08002B2CF9AE}" pid="13" name="MSIP_Label_a0819fa7-4367-4500-ba88-dd630d977609_SetDate">
    <vt:lpwstr>2019-09-11T06:56:05.1334111Z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b009b177-ad2a-4c5d-9413-3717b88ec30a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