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C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8" i="1" l="1"/>
  <c r="M75" i="1"/>
  <c r="D207" i="1" l="1"/>
  <c r="M260" i="1"/>
  <c r="G259" i="1"/>
  <c r="M258" i="1"/>
  <c r="E258" i="1"/>
  <c r="G257" i="1"/>
  <c r="E257" i="1"/>
  <c r="M251" i="1" l="1"/>
  <c r="M249" i="1"/>
  <c r="F249" i="1"/>
  <c r="F224" i="1" l="1"/>
  <c r="E181" i="1" l="1"/>
  <c r="F181" i="1" s="1"/>
  <c r="G181" i="1" s="1"/>
  <c r="M47" i="1" l="1"/>
  <c r="O47" i="1" s="1"/>
  <c r="C250" i="1" s="1"/>
  <c r="C251" i="1" s="1"/>
  <c r="I100" i="1" l="1"/>
  <c r="M69" i="1"/>
  <c r="O69" i="1" s="1"/>
  <c r="D259" i="1" s="1"/>
  <c r="F98" i="1"/>
  <c r="I98" i="1" s="1"/>
  <c r="F111" i="1"/>
  <c r="H111" i="1" s="1"/>
  <c r="E190" i="1" s="1"/>
  <c r="F110" i="1"/>
  <c r="H110" i="1" s="1"/>
  <c r="K234" i="1" s="1"/>
  <c r="K236" i="1" l="1"/>
  <c r="L248" i="1"/>
  <c r="H191" i="1"/>
  <c r="F257" i="1"/>
  <c r="F258" i="1" s="1"/>
  <c r="F259" i="1" s="1"/>
  <c r="F260" i="1" s="1"/>
  <c r="D260" i="1"/>
  <c r="C190" i="1"/>
  <c r="K239" i="1"/>
  <c r="H112" i="1"/>
  <c r="H190" i="1" s="1"/>
  <c r="M235" i="1"/>
  <c r="N235" i="1" s="1"/>
  <c r="M237" i="1"/>
  <c r="N237" i="1" s="1"/>
  <c r="M238" i="1"/>
  <c r="N238" i="1" s="1"/>
  <c r="M240" i="1"/>
  <c r="N240" i="1" s="1"/>
  <c r="M241" i="1"/>
  <c r="N241" i="1" s="1"/>
  <c r="J236" i="1"/>
  <c r="K242" i="1" l="1"/>
  <c r="L250" i="1"/>
  <c r="L257" i="1"/>
  <c r="L258" i="1" s="1"/>
  <c r="L249" i="1"/>
  <c r="N179" i="1"/>
  <c r="F175" i="1"/>
  <c r="G175" i="1" s="1"/>
  <c r="E169" i="1"/>
  <c r="E163" i="1"/>
  <c r="L259" i="1" l="1"/>
  <c r="L260" i="1" s="1"/>
  <c r="L251" i="1"/>
  <c r="L179" i="1"/>
  <c r="R179" i="1" s="1"/>
  <c r="D220" i="1" s="1"/>
  <c r="G220" i="1" s="1"/>
  <c r="N163" i="1"/>
  <c r="E219" i="1" s="1"/>
  <c r="H163" i="1"/>
  <c r="D219" i="1" s="1"/>
  <c r="H169" i="1"/>
  <c r="D218" i="1" s="1"/>
  <c r="N169" i="1"/>
  <c r="E218" i="1" s="1"/>
  <c r="I157" i="1"/>
  <c r="E221" i="1" s="1"/>
  <c r="H157" i="1"/>
  <c r="D221" i="1" s="1"/>
  <c r="G218" i="1" l="1"/>
  <c r="E224" i="1"/>
  <c r="G221" i="1"/>
  <c r="G219" i="1"/>
  <c r="L234" i="1"/>
  <c r="N248" i="1" s="1"/>
  <c r="Q163" i="1"/>
  <c r="D206" i="1" s="1"/>
  <c r="M157" i="1"/>
  <c r="D208" i="1" s="1"/>
  <c r="Q169" i="1"/>
  <c r="D205" i="1" s="1"/>
  <c r="H147" i="1"/>
  <c r="I147" i="1" s="1"/>
  <c r="N257" i="1" l="1"/>
  <c r="N258" i="1" s="1"/>
  <c r="N259" i="1" s="1"/>
  <c r="N260" i="1" s="1"/>
  <c r="N249" i="1"/>
  <c r="N250" i="1" s="1"/>
  <c r="N251" i="1" s="1"/>
  <c r="L239" i="1"/>
  <c r="L242" i="1" s="1"/>
  <c r="L236" i="1"/>
  <c r="G234" i="1"/>
  <c r="I234" i="1"/>
  <c r="H234" i="1"/>
  <c r="J248" i="1" s="1"/>
  <c r="H148" i="1"/>
  <c r="I148" i="1" s="1"/>
  <c r="H149" i="1"/>
  <c r="I149" i="1" s="1"/>
  <c r="H150" i="1"/>
  <c r="I150" i="1" s="1"/>
  <c r="E138" i="1"/>
  <c r="I138" i="1" s="1"/>
  <c r="E139" i="1"/>
  <c r="I139" i="1" s="1"/>
  <c r="E140" i="1"/>
  <c r="I140" i="1" s="1"/>
  <c r="E137" i="1"/>
  <c r="I137" i="1" s="1"/>
  <c r="M129" i="1"/>
  <c r="O129" i="1" s="1"/>
  <c r="B202" i="1" s="1"/>
  <c r="M122" i="1"/>
  <c r="O122" i="1" s="1"/>
  <c r="H189" i="1" s="1"/>
  <c r="F234" i="1" l="1"/>
  <c r="H248" i="1" s="1"/>
  <c r="H257" i="1" s="1"/>
  <c r="H258" i="1" s="1"/>
  <c r="J257" i="1"/>
  <c r="J258" i="1" s="1"/>
  <c r="J259" i="1" s="1"/>
  <c r="J260" i="1" s="1"/>
  <c r="J249" i="1"/>
  <c r="J250" i="1" s="1"/>
  <c r="J251" i="1" s="1"/>
  <c r="H259" i="1"/>
  <c r="H260" i="1" s="1"/>
  <c r="I236" i="1"/>
  <c r="I239" i="1" s="1"/>
  <c r="I242" i="1" s="1"/>
  <c r="K248" i="1"/>
  <c r="G236" i="1"/>
  <c r="G239" i="1" s="1"/>
  <c r="G242" i="1" s="1"/>
  <c r="I248" i="1"/>
  <c r="D216" i="1"/>
  <c r="G216" i="1" s="1"/>
  <c r="E236" i="1"/>
  <c r="F239" i="1"/>
  <c r="J234" i="1"/>
  <c r="H236" i="1"/>
  <c r="I141" i="1"/>
  <c r="A196" i="1" s="1"/>
  <c r="I151" i="1"/>
  <c r="D196" i="1" s="1"/>
  <c r="F236" i="1" l="1"/>
  <c r="H249" i="1" s="1"/>
  <c r="J239" i="1"/>
  <c r="M248" i="1"/>
  <c r="I257" i="1"/>
  <c r="I258" i="1" s="1"/>
  <c r="I259" i="1" s="1"/>
  <c r="I260" i="1" s="1"/>
  <c r="I249" i="1"/>
  <c r="I250" i="1" s="1"/>
  <c r="I251" i="1" s="1"/>
  <c r="E242" i="1"/>
  <c r="G249" i="1"/>
  <c r="K257" i="1"/>
  <c r="K258" i="1" s="1"/>
  <c r="K259" i="1" s="1"/>
  <c r="K260" i="1" s="1"/>
  <c r="K249" i="1"/>
  <c r="K250" i="1" s="1"/>
  <c r="K251" i="1" s="1"/>
  <c r="F242" i="1"/>
  <c r="H250" i="1"/>
  <c r="H251" i="1" s="1"/>
  <c r="H239" i="1"/>
  <c r="G196" i="1"/>
  <c r="M88" i="1"/>
  <c r="O88" i="1" s="1"/>
  <c r="M89" i="1"/>
  <c r="O89" i="1" s="1"/>
  <c r="D239" i="1" s="1"/>
  <c r="M90" i="1"/>
  <c r="O90" i="1" s="1"/>
  <c r="M91" i="1"/>
  <c r="O91" i="1" s="1"/>
  <c r="M92" i="1"/>
  <c r="O92" i="1" s="1"/>
  <c r="M93" i="1"/>
  <c r="O93" i="1" s="1"/>
  <c r="M87" i="1"/>
  <c r="O87" i="1" s="1"/>
  <c r="M76" i="1"/>
  <c r="O76" i="1" s="1"/>
  <c r="M77" i="1"/>
  <c r="O77" i="1" s="1"/>
  <c r="M78" i="1"/>
  <c r="O78" i="1" s="1"/>
  <c r="M79" i="1"/>
  <c r="O79" i="1" s="1"/>
  <c r="M80" i="1"/>
  <c r="O80" i="1" s="1"/>
  <c r="M81" i="1"/>
  <c r="O81" i="1" s="1"/>
  <c r="E248" i="1" s="1"/>
  <c r="E249" i="1" s="1"/>
  <c r="O75" i="1"/>
  <c r="M63" i="1"/>
  <c r="O63" i="1" s="1"/>
  <c r="M64" i="1"/>
  <c r="O64" i="1" s="1"/>
  <c r="M65" i="1"/>
  <c r="O65" i="1" s="1"/>
  <c r="M66" i="1"/>
  <c r="O66" i="1" s="1"/>
  <c r="M67" i="1"/>
  <c r="O67" i="1" s="1"/>
  <c r="M68" i="1"/>
  <c r="O68" i="1" s="1"/>
  <c r="M62" i="1"/>
  <c r="O62" i="1" s="1"/>
  <c r="D234" i="1" s="1"/>
  <c r="D248" i="1" s="1"/>
  <c r="N48" i="1"/>
  <c r="G48" i="1"/>
  <c r="F48" i="1"/>
  <c r="E48" i="1"/>
  <c r="F40" i="1"/>
  <c r="E39" i="1" s="1"/>
  <c r="M48" i="1" s="1"/>
  <c r="D217" i="1" l="1"/>
  <c r="G217" i="1" s="1"/>
  <c r="C202" i="1"/>
  <c r="G258" i="1"/>
  <c r="G260" i="1" s="1"/>
  <c r="G251" i="1"/>
  <c r="M257" i="1"/>
  <c r="M259" i="1" s="1"/>
  <c r="M250" i="1"/>
  <c r="D242" i="1"/>
  <c r="F250" i="1"/>
  <c r="F251" i="1" s="1"/>
  <c r="D257" i="1"/>
  <c r="D249" i="1"/>
  <c r="O48" i="1"/>
  <c r="C239" i="1"/>
  <c r="O70" i="1"/>
  <c r="D188" i="1" s="1"/>
  <c r="H242" i="1"/>
  <c r="O95" i="1"/>
  <c r="F188" i="1" s="1"/>
  <c r="O82" i="1"/>
  <c r="E188" i="1" s="1"/>
  <c r="I48" i="1"/>
  <c r="M239" i="1" l="1"/>
  <c r="N239" i="1" s="1"/>
  <c r="E250" i="1"/>
  <c r="D258" i="1"/>
  <c r="C242" i="1"/>
  <c r="M242" i="1" s="1"/>
  <c r="N242" i="1" s="1"/>
  <c r="C234" i="1"/>
  <c r="O49" i="1"/>
  <c r="C188" i="1" s="1"/>
  <c r="H192" i="1" s="1"/>
  <c r="D215" i="1" s="1"/>
  <c r="G34" i="1"/>
  <c r="G215" i="1" l="1"/>
  <c r="G224" i="1" s="1"/>
  <c r="H224" i="1" s="1"/>
  <c r="A202" i="1"/>
  <c r="D202" i="1" s="1"/>
  <c r="D204" i="1" s="1"/>
  <c r="C236" i="1"/>
  <c r="C249" i="1" s="1"/>
  <c r="O249" i="1" s="1"/>
  <c r="P249" i="1" s="1"/>
  <c r="C248" i="1"/>
  <c r="E259" i="1"/>
  <c r="E251" i="1"/>
  <c r="O251" i="1" s="1"/>
  <c r="P251" i="1" s="1"/>
  <c r="O250" i="1"/>
  <c r="P250" i="1" s="1"/>
  <c r="D236" i="1"/>
  <c r="M236" i="1" s="1"/>
  <c r="N236" i="1" s="1"/>
  <c r="M234" i="1"/>
  <c r="N234" i="1" s="1"/>
  <c r="D224" i="1" l="1"/>
  <c r="D210" i="1"/>
  <c r="C257" i="1"/>
  <c r="O248" i="1"/>
  <c r="P248" i="1" s="1"/>
  <c r="E260" i="1"/>
  <c r="O260" i="1" s="1"/>
  <c r="P260" i="1" s="1"/>
  <c r="O259" i="1"/>
  <c r="P259" i="1" s="1"/>
  <c r="E208" i="1" l="1"/>
  <c r="E207" i="1"/>
  <c r="E206" i="1"/>
  <c r="E205" i="1"/>
  <c r="E204" i="1"/>
  <c r="C258" i="1"/>
  <c r="O258" i="1" s="1"/>
  <c r="P258" i="1" s="1"/>
  <c r="O257" i="1"/>
  <c r="P257" i="1" s="1"/>
</calcChain>
</file>

<file path=xl/sharedStrings.xml><?xml version="1.0" encoding="utf-8"?>
<sst xmlns="http://schemas.openxmlformats.org/spreadsheetml/2006/main" count="498" uniqueCount="270">
  <si>
    <t>Given conditions</t>
  </si>
  <si>
    <t>Location:</t>
  </si>
  <si>
    <t>Type of building:</t>
  </si>
  <si>
    <t>Number of floors:</t>
  </si>
  <si>
    <t>ft^2</t>
  </si>
  <si>
    <t>Floor -to-floor height:</t>
  </si>
  <si>
    <t>Window area:</t>
  </si>
  <si>
    <t>Windows:</t>
  </si>
  <si>
    <t>Single glazed</t>
  </si>
  <si>
    <t>Sheopur</t>
  </si>
  <si>
    <t>School</t>
  </si>
  <si>
    <t>(18.5*16.25)ft^2</t>
  </si>
  <si>
    <t>Wall area:</t>
  </si>
  <si>
    <t>Window</t>
  </si>
  <si>
    <t>Area of roof</t>
  </si>
  <si>
    <t>150.5 ft^2</t>
  </si>
  <si>
    <t>First Exposed Wall:</t>
  </si>
  <si>
    <t>Second Exposed Wall</t>
  </si>
  <si>
    <t>178.5 ft^2</t>
  </si>
  <si>
    <t>25 ft^2</t>
  </si>
  <si>
    <t>11ft</t>
  </si>
  <si>
    <t>Door</t>
  </si>
  <si>
    <t xml:space="preserve">Single </t>
  </si>
  <si>
    <t>Area : 28 ft^2</t>
  </si>
  <si>
    <t>Number of Windows:</t>
  </si>
  <si>
    <r>
      <rPr>
        <b/>
        <sz val="14"/>
        <color theme="1"/>
        <rFont val="Calibri"/>
        <family val="2"/>
        <scheme val="minor"/>
      </rPr>
      <t>Overall Heat Transfer Coefficient (U</t>
    </r>
    <r>
      <rPr>
        <sz val="11"/>
        <color theme="1"/>
        <rFont val="Calibri"/>
        <family val="2"/>
        <scheme val="minor"/>
      </rPr>
      <t>)</t>
    </r>
  </si>
  <si>
    <t>in</t>
  </si>
  <si>
    <t>BTU/h.ft^2.F</t>
  </si>
  <si>
    <t>Exposed wall</t>
  </si>
  <si>
    <t>Partition wall</t>
  </si>
  <si>
    <t>Ground Floor</t>
  </si>
  <si>
    <t>First floor</t>
  </si>
  <si>
    <t>Ceiling(2nd Floor)  .7</t>
  </si>
  <si>
    <t>Brick wall</t>
  </si>
  <si>
    <t>light weight concrete</t>
  </si>
  <si>
    <t>6" light weight concrete</t>
  </si>
  <si>
    <t>Recommended Ventilation</t>
  </si>
  <si>
    <t>cfm/person</t>
  </si>
  <si>
    <t>Occupancy of room</t>
  </si>
  <si>
    <t>Working hours:</t>
  </si>
  <si>
    <t>6 hrs</t>
  </si>
  <si>
    <t>Design conditions</t>
  </si>
  <si>
    <t>For simplicity considering 26.4° N</t>
  </si>
  <si>
    <t xml:space="preserve">Outdoor design dry-bulb: </t>
  </si>
  <si>
    <t xml:space="preserve"> °F</t>
  </si>
  <si>
    <t xml:space="preserve">Outdoor design Wet-bulb: </t>
  </si>
  <si>
    <t>Indoor design dry-bulb:</t>
  </si>
  <si>
    <t>Daily range:</t>
  </si>
  <si>
    <t>Relative humidity:</t>
  </si>
  <si>
    <t>Wind velocity:</t>
  </si>
  <si>
    <t>mph</t>
  </si>
  <si>
    <t>(25°40'N 76°41'E)</t>
  </si>
  <si>
    <t>24degreeN</t>
  </si>
  <si>
    <t>CLTD</t>
  </si>
  <si>
    <t>(cooling load temp difference)</t>
  </si>
  <si>
    <t>(Outdoor temperature - Indoor temperature)</t>
  </si>
  <si>
    <t>calculation of CLTD Correction</t>
  </si>
  <si>
    <t>=</t>
  </si>
  <si>
    <t>[CLTD+(78-INSIDE DESIGN TEMP)+(Mean outdoor temperature-85)]</t>
  </si>
  <si>
    <t>Mean outdoor tempearature</t>
  </si>
  <si>
    <t>(outdoor design dry bulb temperature-(daily range/2))</t>
  </si>
  <si>
    <t>CLTD (correction)</t>
  </si>
  <si>
    <t>Room No.</t>
  </si>
  <si>
    <t>AREA (ft^2)</t>
  </si>
  <si>
    <t xml:space="preserve">Inside design </t>
  </si>
  <si>
    <t>outdoor</t>
  </si>
  <si>
    <t>Daily range</t>
  </si>
  <si>
    <t xml:space="preserve">Mean outdoor </t>
  </si>
  <si>
    <t>temperature</t>
  </si>
  <si>
    <t xml:space="preserve"> temperature</t>
  </si>
  <si>
    <t>CLTDc</t>
  </si>
  <si>
    <t>U</t>
  </si>
  <si>
    <t>Wall</t>
  </si>
  <si>
    <t>°F</t>
  </si>
  <si>
    <t>Ground floor</t>
  </si>
  <si>
    <t>East</t>
  </si>
  <si>
    <t>Sensible Load</t>
  </si>
  <si>
    <t>External Wall</t>
  </si>
  <si>
    <t>Heat load calculation</t>
  </si>
  <si>
    <t>West</t>
  </si>
  <si>
    <t xml:space="preserve">Sensible Load </t>
  </si>
  <si>
    <t>North</t>
  </si>
  <si>
    <t>South</t>
  </si>
  <si>
    <t>TOTaL</t>
  </si>
  <si>
    <t>Total</t>
  </si>
  <si>
    <t>Ground Floor heat Load</t>
  </si>
  <si>
    <t>All direction</t>
  </si>
  <si>
    <t xml:space="preserve">Sensible  </t>
  </si>
  <si>
    <t>Load</t>
  </si>
  <si>
    <t>AREA (ft^2</t>
  </si>
  <si>
    <t>Area</t>
  </si>
  <si>
    <t>Roof Heat Load Calculation</t>
  </si>
  <si>
    <t>1st and 2nd floor</t>
  </si>
  <si>
    <t>Top floor</t>
  </si>
  <si>
    <t>Conduction</t>
  </si>
  <si>
    <t>Heat Load</t>
  </si>
  <si>
    <t>Calculation</t>
  </si>
  <si>
    <t>Total Area</t>
  </si>
  <si>
    <t>1st and 2nd Floor</t>
  </si>
  <si>
    <t>Radiation</t>
  </si>
  <si>
    <t>Total Load</t>
  </si>
  <si>
    <t>Shading Coeffcient</t>
  </si>
  <si>
    <t>SC</t>
  </si>
  <si>
    <t>CLF</t>
  </si>
  <si>
    <t>SHGF</t>
  </si>
  <si>
    <t xml:space="preserve">Solar cooling load </t>
  </si>
  <si>
    <t>Factor (SCL)</t>
  </si>
  <si>
    <t>No of Room per floor:</t>
  </si>
  <si>
    <t>No of Wall</t>
  </si>
  <si>
    <t>Occupancy Load Calculation</t>
  </si>
  <si>
    <t>No of room</t>
  </si>
  <si>
    <t xml:space="preserve">Sesnible Load </t>
  </si>
  <si>
    <t>Per Person</t>
  </si>
  <si>
    <t>Latent Load Per</t>
  </si>
  <si>
    <t>Person</t>
  </si>
  <si>
    <t>Total sensible Load</t>
  </si>
  <si>
    <t>Total Latent</t>
  </si>
  <si>
    <t>Ventilation Load Calculation</t>
  </si>
  <si>
    <t>Infilteration Load Calculation</t>
  </si>
  <si>
    <t>No. of Persons</t>
  </si>
  <si>
    <t>CFM</t>
  </si>
  <si>
    <t xml:space="preserve">Indoor </t>
  </si>
  <si>
    <t>cfm per</t>
  </si>
  <si>
    <t>person</t>
  </si>
  <si>
    <t>per room</t>
  </si>
  <si>
    <t xml:space="preserve"> No. of </t>
  </si>
  <si>
    <t>Room</t>
  </si>
  <si>
    <t>Sensible Heat</t>
  </si>
  <si>
    <t>Gain</t>
  </si>
  <si>
    <t>Specific humidity</t>
  </si>
  <si>
    <t>Specific humidy</t>
  </si>
  <si>
    <t>Latent</t>
  </si>
  <si>
    <t xml:space="preserve">coil </t>
  </si>
  <si>
    <t>Lightning Load</t>
  </si>
  <si>
    <t>Location</t>
  </si>
  <si>
    <t>Rule of Thumb</t>
  </si>
  <si>
    <t>watt per sq ft</t>
  </si>
  <si>
    <t>school</t>
  </si>
  <si>
    <t>Total  area</t>
  </si>
  <si>
    <t xml:space="preserve">Total Load in </t>
  </si>
  <si>
    <t>watt</t>
  </si>
  <si>
    <t>in BTU/hr</t>
  </si>
  <si>
    <t>Appliances Load</t>
  </si>
  <si>
    <t xml:space="preserve">Equipment </t>
  </si>
  <si>
    <t>no. of</t>
  </si>
  <si>
    <t>Equipment</t>
  </si>
  <si>
    <t xml:space="preserve">Name Plate Power </t>
  </si>
  <si>
    <t>Consumption</t>
  </si>
  <si>
    <t>Desktop</t>
  </si>
  <si>
    <t>Computer</t>
  </si>
  <si>
    <t>Heat Load in</t>
  </si>
  <si>
    <t>BTU/Hr</t>
  </si>
  <si>
    <t xml:space="preserve">East </t>
  </si>
  <si>
    <t>Total Wall Load</t>
  </si>
  <si>
    <t>Total window Heat Load</t>
  </si>
  <si>
    <t>By Conduction</t>
  </si>
  <si>
    <t>By Radiation</t>
  </si>
  <si>
    <t>Total Window Load</t>
  </si>
  <si>
    <t xml:space="preserve">Total Wall Load </t>
  </si>
  <si>
    <t>Ground Floor Load</t>
  </si>
  <si>
    <t>Total wall Load</t>
  </si>
  <si>
    <t>Total Roof Load</t>
  </si>
  <si>
    <t>Total Ventilation Load</t>
  </si>
  <si>
    <t>Total Infilteration Load</t>
  </si>
  <si>
    <t>Ventilation Total  Load</t>
  </si>
  <si>
    <t>Infiltration Total Load</t>
  </si>
  <si>
    <t>Total Occupancy Load</t>
  </si>
  <si>
    <t>Occupancy Total Load</t>
  </si>
  <si>
    <t>Total lightning load</t>
  </si>
  <si>
    <t>Total Appliances Load</t>
  </si>
  <si>
    <t>Latent Heat</t>
  </si>
  <si>
    <t>Type</t>
  </si>
  <si>
    <t>Serial No.</t>
  </si>
  <si>
    <t>Wall Load</t>
  </si>
  <si>
    <t>Roof Load</t>
  </si>
  <si>
    <t>Window Load</t>
  </si>
  <si>
    <t>Ventilation</t>
  </si>
  <si>
    <t>Infilteration</t>
  </si>
  <si>
    <t>Appliances</t>
  </si>
  <si>
    <t>Occupancy</t>
  </si>
  <si>
    <t>TOTAL</t>
  </si>
  <si>
    <t>Total Heat Load</t>
  </si>
  <si>
    <t xml:space="preserve">Room </t>
  </si>
  <si>
    <t>East face wall load</t>
  </si>
  <si>
    <t>West face load</t>
  </si>
  <si>
    <t>Windows Load</t>
  </si>
  <si>
    <t>Ventilation load</t>
  </si>
  <si>
    <t>infilteration load</t>
  </si>
  <si>
    <t>occupancy</t>
  </si>
  <si>
    <t>appliances</t>
  </si>
  <si>
    <t>Ground floor load</t>
  </si>
  <si>
    <t>Grand Total</t>
  </si>
  <si>
    <t>in BTU/Hr</t>
  </si>
  <si>
    <t>in TR</t>
  </si>
  <si>
    <t>TR</t>
  </si>
  <si>
    <t>First Floor</t>
  </si>
  <si>
    <t>North Facing</t>
  </si>
  <si>
    <t>North face wall Load</t>
  </si>
  <si>
    <t>South face wall load</t>
  </si>
  <si>
    <t xml:space="preserve"> at 109.4 F &amp; 40% RH</t>
  </si>
  <si>
    <t>No of person</t>
  </si>
  <si>
    <t>Door Heat Load Calculation</t>
  </si>
  <si>
    <t>Direction</t>
  </si>
  <si>
    <t>Area of door</t>
  </si>
  <si>
    <t>no of door</t>
  </si>
  <si>
    <t>Sensible heat Load</t>
  </si>
  <si>
    <t>Partition wall heat load</t>
  </si>
  <si>
    <t>Shaded</t>
  </si>
  <si>
    <t>No of wall</t>
  </si>
  <si>
    <t xml:space="preserve">Brick wall </t>
  </si>
  <si>
    <t>Door heat Load</t>
  </si>
  <si>
    <t>Between adjacent room</t>
  </si>
  <si>
    <t>No. of wall</t>
  </si>
  <si>
    <t>Temp diff(delT)</t>
  </si>
  <si>
    <t>Door Load Calculation</t>
  </si>
  <si>
    <t xml:space="preserve">Direction </t>
  </si>
  <si>
    <t>FN2,FN3,FN4</t>
  </si>
  <si>
    <t>FN5,FN6</t>
  </si>
  <si>
    <t>GE2,GE3,GE4,GE5,GE6</t>
  </si>
  <si>
    <t>Ground Floor East facing</t>
  </si>
  <si>
    <t>First Floor East facing</t>
  </si>
  <si>
    <t>FE2, FE3, FE4,FE5, FE6, ,</t>
  </si>
  <si>
    <t>Ground Floor North Facing</t>
  </si>
  <si>
    <t>GN2,GN3,GN4, GN5,GN6</t>
  </si>
  <si>
    <t>Name Plate</t>
  </si>
  <si>
    <t>Power Rating</t>
  </si>
  <si>
    <t xml:space="preserve">Heat Load </t>
  </si>
  <si>
    <t>in watt</t>
  </si>
  <si>
    <t>Double glazed of 6mm</t>
  </si>
  <si>
    <t xml:space="preserve"> </t>
  </si>
  <si>
    <t>External wallLoad</t>
  </si>
  <si>
    <t xml:space="preserve"> Partition wall heat Load</t>
  </si>
  <si>
    <t>Total Load Analysis</t>
  </si>
  <si>
    <t>East  Face  wall Load</t>
  </si>
  <si>
    <t>West face wall Load</t>
  </si>
  <si>
    <t>north face wall load</t>
  </si>
  <si>
    <t>south facing wall Load</t>
  </si>
  <si>
    <t>Ventilation Load</t>
  </si>
  <si>
    <t>Infiltration Load</t>
  </si>
  <si>
    <t>Occupancy Load</t>
  </si>
  <si>
    <t>Door Load</t>
  </si>
  <si>
    <t>Ground Loor Load</t>
  </si>
  <si>
    <t xml:space="preserve">Ground Floor East facing </t>
  </si>
  <si>
    <t>GE7</t>
  </si>
  <si>
    <t>Grand Total in Btu/h</t>
  </si>
  <si>
    <t>Grand Total on TR</t>
  </si>
  <si>
    <t>First Floor East Facing</t>
  </si>
  <si>
    <t>FE7</t>
  </si>
  <si>
    <t xml:space="preserve">Ground Floor North facing </t>
  </si>
  <si>
    <t>GN1</t>
  </si>
  <si>
    <t>First Floor North Facing</t>
  </si>
  <si>
    <t>FN1</t>
  </si>
  <si>
    <t>GE1</t>
  </si>
  <si>
    <t>FE1</t>
  </si>
  <si>
    <t>GN7</t>
  </si>
  <si>
    <t>FN7</t>
  </si>
  <si>
    <t>shaded wall Load</t>
  </si>
  <si>
    <t>north/South face wall load</t>
  </si>
  <si>
    <t>Single Room Total Load Analysis In 1 Ton of Refrigeration</t>
  </si>
  <si>
    <t>Single Room with two wall exposed to Sun</t>
  </si>
  <si>
    <t>Single Room with Three wall exposed to Sun</t>
  </si>
  <si>
    <t>Single Room with two wall exposed and one shaded wall</t>
  </si>
  <si>
    <t>Total Load by window ,wall roof</t>
  </si>
  <si>
    <t>Total Load by window ,wall and Roof</t>
  </si>
  <si>
    <t xml:space="preserve">1st and 2nd floor </t>
  </si>
  <si>
    <t>Facing Direction</t>
  </si>
  <si>
    <t>Windows Heat Load Calculation (Double glass glazed)</t>
  </si>
  <si>
    <t>at 77 F, 55% RH</t>
  </si>
  <si>
    <t>5 person per 300.625 ft^2</t>
  </si>
  <si>
    <t>at 50 F, ADP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</si>
</sst>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4" fillId="0" borderId="1" applyNumberFormat="0" applyFill="0" applyAlignment="0" applyProtection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9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1" xfId="1" applyAlignment="1">
      <alignment vertical="top"/>
    </xf>
    <xf numFmtId="0" fontId="4" fillId="0" borderId="1" xfId="1"/>
    <xf numFmtId="0" fontId="5" fillId="0" borderId="0" xfId="0" applyFont="1"/>
    <xf numFmtId="164" fontId="0" fillId="0" borderId="0" xfId="2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9" fontId="0" fillId="0" borderId="0" xfId="2" applyFont="1"/>
  </cellXfs>
  <cellStyles count="3">
    <cellStyle name="Heading 3" xfId="1" builtinId="1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Load 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Sheet1!$E$204:$E$208</c:f>
              <c:numCache>
                <c:formatCode>0%</c:formatCode>
                <c:ptCount val="5"/>
                <c:pt idx="0">
                  <c:v>0.23916920753112622</c:v>
                </c:pt>
                <c:pt idx="1">
                  <c:v>0.39994822820328751</c:v>
                </c:pt>
                <c:pt idx="2">
                  <c:v>0.26364407440404392</c:v>
                </c:pt>
                <c:pt idx="3">
                  <c:v>3.0006740903216596E-2</c:v>
                </c:pt>
                <c:pt idx="4">
                  <c:v>6.7231748958325635E-2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358588</xdr:colOff>
      <xdr:row>198</xdr:row>
      <xdr:rowOff>44824</xdr:rowOff>
    </xdr:from>
    <xdr:to>
      <xdr:col>12</xdr:col>
      <xdr:colOff>291353</xdr:colOff>
      <xdr:row>207</xdr:row>
      <xdr:rowOff>212912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0"/>
  <sheetViews>
    <sheetView tabSelected="1" topLeftCell="A154" zoomScale="85" zoomScaleNormal="85" workbookViewId="0">
      <selection activeCell="G210" sqref="G210"/>
    </sheetView>
  </sheetViews>
  <sheetFormatPr defaultRowHeight="15" x14ac:dyDescent="0.25"/>
  <cols>
    <col min="1" max="1" width="13.5703125" customWidth="1"/>
    <col min="2" max="2" width="12.7109375" customWidth="1"/>
    <col min="3" max="3" width="16.7109375" customWidth="1"/>
    <col min="4" max="4" width="14.5703125" customWidth="1"/>
    <col min="5" max="5" width="17.5703125" customWidth="1"/>
    <col min="6" max="6" width="14.140625" customWidth="1"/>
    <col min="7" max="7" width="13.28515625" customWidth="1"/>
    <col min="8" max="8" width="14.7109375" customWidth="1"/>
    <col min="9" max="9" width="15" customWidth="1"/>
    <col min="10" max="10" width="17.85546875" bestFit="1" customWidth="1"/>
    <col min="11" max="11" width="17.85546875" customWidth="1"/>
    <col min="12" max="12" width="18.5703125" bestFit="1" customWidth="1"/>
    <col min="13" max="13" width="15.140625" bestFit="1" customWidth="1"/>
    <col min="14" max="14" width="9" bestFit="1" customWidth="1"/>
    <col min="15" max="15" width="14.7109375" customWidth="1"/>
  </cols>
  <sheetData>
    <row r="1" spans="1:9" ht="21" x14ac:dyDescent="0.35">
      <c r="A1" s="1" t="s">
        <v>0</v>
      </c>
      <c r="B1" s="1"/>
    </row>
    <row r="2" spans="1:9" x14ac:dyDescent="0.25">
      <c r="A2" t="s">
        <v>1</v>
      </c>
      <c r="C2" t="s">
        <v>9</v>
      </c>
    </row>
    <row r="3" spans="1:9" x14ac:dyDescent="0.25">
      <c r="A3" t="s">
        <v>2</v>
      </c>
      <c r="E3" t="s">
        <v>10</v>
      </c>
    </row>
    <row r="4" spans="1:9" x14ac:dyDescent="0.25">
      <c r="A4" t="s">
        <v>3</v>
      </c>
      <c r="E4">
        <v>2</v>
      </c>
    </row>
    <row r="5" spans="1:9" x14ac:dyDescent="0.25">
      <c r="A5" t="s">
        <v>12</v>
      </c>
      <c r="E5" t="s">
        <v>16</v>
      </c>
      <c r="F5" t="s">
        <v>15</v>
      </c>
      <c r="G5" t="s">
        <v>17</v>
      </c>
      <c r="I5" t="s">
        <v>18</v>
      </c>
    </row>
    <row r="6" spans="1:9" x14ac:dyDescent="0.25">
      <c r="A6" t="s">
        <v>107</v>
      </c>
      <c r="E6">
        <v>14</v>
      </c>
    </row>
    <row r="7" spans="1:9" x14ac:dyDescent="0.25">
      <c r="A7" t="s">
        <v>14</v>
      </c>
      <c r="E7">
        <v>300.625</v>
      </c>
      <c r="F7" t="s">
        <v>4</v>
      </c>
      <c r="G7" t="s">
        <v>11</v>
      </c>
    </row>
    <row r="8" spans="1:9" x14ac:dyDescent="0.25">
      <c r="A8" t="s">
        <v>5</v>
      </c>
      <c r="F8" t="s">
        <v>20</v>
      </c>
    </row>
    <row r="9" spans="1:9" x14ac:dyDescent="0.25">
      <c r="A9" t="s">
        <v>6</v>
      </c>
      <c r="E9" s="2" t="s">
        <v>19</v>
      </c>
    </row>
    <row r="10" spans="1:9" x14ac:dyDescent="0.25">
      <c r="A10" t="s">
        <v>7</v>
      </c>
      <c r="C10" t="s">
        <v>8</v>
      </c>
    </row>
    <row r="11" spans="1:9" x14ac:dyDescent="0.25">
      <c r="A11" t="s">
        <v>21</v>
      </c>
      <c r="C11" t="s">
        <v>22</v>
      </c>
      <c r="E11" t="s">
        <v>23</v>
      </c>
    </row>
    <row r="12" spans="1:9" x14ac:dyDescent="0.25">
      <c r="A12" t="s">
        <v>24</v>
      </c>
      <c r="E12">
        <v>2</v>
      </c>
    </row>
    <row r="14" spans="1:9" ht="18.75" x14ac:dyDescent="0.3">
      <c r="A14" t="s">
        <v>25</v>
      </c>
      <c r="E14" s="3"/>
      <c r="F14" s="3" t="s">
        <v>26</v>
      </c>
      <c r="G14" s="3" t="s">
        <v>27</v>
      </c>
      <c r="H14" s="3"/>
    </row>
    <row r="15" spans="1:9" x14ac:dyDescent="0.25">
      <c r="A15" t="s">
        <v>28</v>
      </c>
      <c r="C15">
        <v>0.28199999999999997</v>
      </c>
      <c r="E15" t="s">
        <v>33</v>
      </c>
    </row>
    <row r="16" spans="1:9" x14ac:dyDescent="0.25">
      <c r="A16" t="s">
        <v>29</v>
      </c>
      <c r="C16">
        <v>0.28199999999999997</v>
      </c>
      <c r="E16" t="s">
        <v>209</v>
      </c>
    </row>
    <row r="17" spans="1:7" x14ac:dyDescent="0.25">
      <c r="A17" t="s">
        <v>30</v>
      </c>
      <c r="C17">
        <v>0.29099999999999998</v>
      </c>
      <c r="E17" t="s">
        <v>34</v>
      </c>
    </row>
    <row r="18" spans="1:7" x14ac:dyDescent="0.25">
      <c r="A18" t="s">
        <v>31</v>
      </c>
      <c r="C18">
        <v>0.26400000000000001</v>
      </c>
      <c r="E18" t="s">
        <v>35</v>
      </c>
    </row>
    <row r="19" spans="1:7" x14ac:dyDescent="0.25">
      <c r="A19" t="s">
        <v>32</v>
      </c>
      <c r="C19">
        <v>0.27700000000000002</v>
      </c>
      <c r="E19" t="s">
        <v>35</v>
      </c>
    </row>
    <row r="20" spans="1:7" x14ac:dyDescent="0.25">
      <c r="A20" t="s">
        <v>13</v>
      </c>
      <c r="C20">
        <v>0.51</v>
      </c>
      <c r="E20" t="s">
        <v>228</v>
      </c>
    </row>
    <row r="21" spans="1:7" x14ac:dyDescent="0.25">
      <c r="A21" t="s">
        <v>36</v>
      </c>
      <c r="F21">
        <v>20</v>
      </c>
      <c r="G21" t="s">
        <v>37</v>
      </c>
    </row>
    <row r="22" spans="1:7" x14ac:dyDescent="0.25">
      <c r="A22" t="s">
        <v>38</v>
      </c>
      <c r="E22" t="s">
        <v>268</v>
      </c>
    </row>
    <row r="23" spans="1:7" x14ac:dyDescent="0.25">
      <c r="A23" t="s">
        <v>39</v>
      </c>
      <c r="E23" t="s">
        <v>40</v>
      </c>
    </row>
    <row r="25" spans="1:7" ht="18.75" x14ac:dyDescent="0.3">
      <c r="A25" s="3" t="s">
        <v>41</v>
      </c>
      <c r="B25" s="3"/>
    </row>
    <row r="26" spans="1:7" x14ac:dyDescent="0.25">
      <c r="A26" t="s">
        <v>1</v>
      </c>
      <c r="C26" t="s">
        <v>51</v>
      </c>
      <c r="F26" t="s">
        <v>42</v>
      </c>
      <c r="G26" t="s">
        <v>52</v>
      </c>
    </row>
    <row r="27" spans="1:7" x14ac:dyDescent="0.25">
      <c r="A27" t="s">
        <v>43</v>
      </c>
      <c r="F27">
        <v>109.4</v>
      </c>
      <c r="G27" t="s">
        <v>44</v>
      </c>
    </row>
    <row r="28" spans="1:7" x14ac:dyDescent="0.25">
      <c r="A28" t="s">
        <v>45</v>
      </c>
      <c r="F28">
        <v>86</v>
      </c>
      <c r="G28" t="s">
        <v>44</v>
      </c>
    </row>
    <row r="29" spans="1:7" x14ac:dyDescent="0.25">
      <c r="A29" t="s">
        <v>46</v>
      </c>
      <c r="F29">
        <v>77</v>
      </c>
      <c r="G29" t="s">
        <v>44</v>
      </c>
    </row>
    <row r="30" spans="1:7" x14ac:dyDescent="0.25">
      <c r="A30" t="s">
        <v>47</v>
      </c>
      <c r="F30">
        <v>19.8</v>
      </c>
      <c r="G30" t="s">
        <v>44</v>
      </c>
    </row>
    <row r="31" spans="1:7" x14ac:dyDescent="0.25">
      <c r="A31" t="s">
        <v>48</v>
      </c>
      <c r="F31" s="4">
        <v>0.4</v>
      </c>
    </row>
    <row r="32" spans="1:7" x14ac:dyDescent="0.25">
      <c r="A32" t="s">
        <v>49</v>
      </c>
      <c r="F32">
        <v>6.2</v>
      </c>
      <c r="G32" t="s">
        <v>50</v>
      </c>
    </row>
    <row r="34" spans="1:16" x14ac:dyDescent="0.25">
      <c r="A34" t="s">
        <v>53</v>
      </c>
      <c r="C34" t="s">
        <v>54</v>
      </c>
      <c r="G34">
        <f>(F27-F29)</f>
        <v>32.400000000000006</v>
      </c>
      <c r="I34" t="s">
        <v>55</v>
      </c>
    </row>
    <row r="37" spans="1:16" x14ac:dyDescent="0.25">
      <c r="A37" t="s">
        <v>56</v>
      </c>
      <c r="F37" t="s">
        <v>57</v>
      </c>
      <c r="G37" t="s">
        <v>58</v>
      </c>
    </row>
    <row r="38" spans="1:16" x14ac:dyDescent="0.25">
      <c r="A38" t="s">
        <v>59</v>
      </c>
      <c r="F38" t="s">
        <v>57</v>
      </c>
      <c r="G38" t="s">
        <v>60</v>
      </c>
    </row>
    <row r="39" spans="1:16" x14ac:dyDescent="0.25">
      <c r="A39" t="s">
        <v>61</v>
      </c>
      <c r="E39">
        <f>(+(78-F29)+(F40-85))</f>
        <v>15.5</v>
      </c>
    </row>
    <row r="40" spans="1:16" x14ac:dyDescent="0.25">
      <c r="A40" t="s">
        <v>59</v>
      </c>
      <c r="F40">
        <f>(F27-(F30/2))</f>
        <v>99.5</v>
      </c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6" ht="15.75" x14ac:dyDescent="0.25">
      <c r="A42" s="5"/>
      <c r="B42" s="5"/>
      <c r="C42" s="5"/>
      <c r="D42" s="5"/>
      <c r="E42" s="5"/>
      <c r="F42" s="6" t="s">
        <v>77</v>
      </c>
      <c r="G42" s="6" t="s">
        <v>78</v>
      </c>
      <c r="H42" s="6"/>
      <c r="I42" s="5"/>
      <c r="J42" s="5"/>
      <c r="K42" s="5"/>
      <c r="L42" s="5"/>
      <c r="M42" s="5"/>
      <c r="N42" s="5"/>
      <c r="O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1:16" ht="15.75" thickBot="1" x14ac:dyDescent="0.3">
      <c r="A44" s="8" t="s">
        <v>265</v>
      </c>
      <c r="B44" s="8"/>
      <c r="C44" s="8" t="s">
        <v>84</v>
      </c>
      <c r="D44" s="8" t="s">
        <v>108</v>
      </c>
      <c r="E44" s="8" t="s">
        <v>64</v>
      </c>
      <c r="F44" s="8" t="s">
        <v>65</v>
      </c>
      <c r="G44" s="8" t="s">
        <v>66</v>
      </c>
      <c r="H44" s="8"/>
      <c r="I44" s="8" t="s">
        <v>67</v>
      </c>
      <c r="J44" s="8"/>
      <c r="K44" s="8"/>
      <c r="L44" s="8" t="s">
        <v>53</v>
      </c>
      <c r="M44" s="8" t="s">
        <v>70</v>
      </c>
      <c r="N44" s="8" t="s">
        <v>71</v>
      </c>
      <c r="O44" s="8" t="s">
        <v>72</v>
      </c>
      <c r="P44" s="9"/>
    </row>
    <row r="45" spans="1:16" ht="15.75" thickBot="1" x14ac:dyDescent="0.3">
      <c r="A45" s="8"/>
      <c r="B45" s="8"/>
      <c r="C45" s="8" t="s">
        <v>90</v>
      </c>
      <c r="D45" s="8"/>
      <c r="E45" s="8" t="s">
        <v>68</v>
      </c>
      <c r="F45" s="8" t="s">
        <v>69</v>
      </c>
      <c r="G45" s="8"/>
      <c r="H45" s="8"/>
      <c r="I45" s="8" t="s">
        <v>68</v>
      </c>
      <c r="J45" s="8"/>
      <c r="K45" s="8"/>
      <c r="L45" s="8"/>
      <c r="M45" s="9"/>
      <c r="N45" s="9"/>
      <c r="O45" s="9"/>
      <c r="P45" s="9"/>
    </row>
    <row r="46" spans="1:16" ht="15.75" thickBot="1" x14ac:dyDescent="0.3">
      <c r="A46" s="9" t="s">
        <v>264</v>
      </c>
      <c r="B46" s="9"/>
      <c r="C46" s="9"/>
      <c r="D46" s="9"/>
      <c r="E46" s="9" t="s">
        <v>73</v>
      </c>
      <c r="F46" s="9" t="s">
        <v>73</v>
      </c>
      <c r="G46" s="9" t="s">
        <v>73</v>
      </c>
      <c r="H46" s="9"/>
      <c r="I46" s="9" t="s">
        <v>73</v>
      </c>
      <c r="J46" s="9"/>
      <c r="K46" s="9"/>
      <c r="L46" s="9" t="s">
        <v>73</v>
      </c>
      <c r="M46" s="9" t="s">
        <v>73</v>
      </c>
      <c r="N46" s="9"/>
      <c r="O46" s="9" t="s">
        <v>76</v>
      </c>
      <c r="P46" s="9"/>
    </row>
    <row r="47" spans="1:16" ht="15.75" thickBot="1" x14ac:dyDescent="0.3">
      <c r="A47" s="9" t="s">
        <v>75</v>
      </c>
      <c r="B47" s="9"/>
      <c r="C47" s="9">
        <v>178.75</v>
      </c>
      <c r="D47" s="9">
        <v>2</v>
      </c>
      <c r="E47" s="9">
        <v>77</v>
      </c>
      <c r="F47" s="9">
        <v>109.4</v>
      </c>
      <c r="G47" s="9">
        <v>19.8</v>
      </c>
      <c r="H47" s="9"/>
      <c r="I47" s="9">
        <v>99.5</v>
      </c>
      <c r="J47" s="9"/>
      <c r="K47" s="9"/>
      <c r="L47" s="9">
        <v>18</v>
      </c>
      <c r="M47" s="9">
        <f>L47+15.5</f>
        <v>33.5</v>
      </c>
      <c r="N47" s="9">
        <v>0.28199999999999997</v>
      </c>
      <c r="O47" s="9">
        <f>N47*C47*M47*D47</f>
        <v>3377.3024999999993</v>
      </c>
      <c r="P47" s="9"/>
    </row>
    <row r="48" spans="1:16" ht="15.75" thickBot="1" x14ac:dyDescent="0.3">
      <c r="A48" s="9" t="s">
        <v>75</v>
      </c>
      <c r="B48" s="9"/>
      <c r="C48" s="9">
        <v>150.5</v>
      </c>
      <c r="D48" s="9">
        <v>14</v>
      </c>
      <c r="E48" s="9">
        <f>F29</f>
        <v>77</v>
      </c>
      <c r="F48" s="9">
        <f>F27</f>
        <v>109.4</v>
      </c>
      <c r="G48" s="9">
        <f>F30</f>
        <v>19.8</v>
      </c>
      <c r="H48" s="9"/>
      <c r="I48" s="9">
        <f>F40</f>
        <v>99.5</v>
      </c>
      <c r="J48" s="9"/>
      <c r="K48" s="9"/>
      <c r="L48" s="9">
        <v>18</v>
      </c>
      <c r="M48" s="9">
        <f>L48+E39</f>
        <v>33.5</v>
      </c>
      <c r="N48" s="9">
        <f>C15</f>
        <v>0.28199999999999997</v>
      </c>
      <c r="O48" s="9">
        <f>N48*C48*M48*D48</f>
        <v>19904.828999999998</v>
      </c>
      <c r="P48" s="9"/>
    </row>
    <row r="49" spans="1:15" x14ac:dyDescent="0.25">
      <c r="N49" t="s">
        <v>84</v>
      </c>
      <c r="O49">
        <f>SUM(O47:O48)</f>
        <v>23282.131499999996</v>
      </c>
    </row>
    <row r="59" spans="1:15" ht="30" x14ac:dyDescent="0.25">
      <c r="A59" s="12" t="s">
        <v>265</v>
      </c>
      <c r="C59" t="s">
        <v>84</v>
      </c>
      <c r="E59" t="s">
        <v>64</v>
      </c>
      <c r="F59" t="s">
        <v>65</v>
      </c>
      <c r="G59" t="s">
        <v>66</v>
      </c>
      <c r="I59" t="s">
        <v>67</v>
      </c>
      <c r="L59" t="s">
        <v>53</v>
      </c>
      <c r="M59" t="s">
        <v>70</v>
      </c>
      <c r="N59" t="s">
        <v>71</v>
      </c>
      <c r="O59" t="s">
        <v>80</v>
      </c>
    </row>
    <row r="60" spans="1:15" x14ac:dyDescent="0.25">
      <c r="C60" t="s">
        <v>89</v>
      </c>
      <c r="E60" t="s">
        <v>68</v>
      </c>
      <c r="F60" t="s">
        <v>69</v>
      </c>
      <c r="I60" t="s">
        <v>68</v>
      </c>
    </row>
    <row r="61" spans="1:15" ht="30" x14ac:dyDescent="0.25">
      <c r="A61" s="12" t="s">
        <v>92</v>
      </c>
      <c r="E61" t="s">
        <v>73</v>
      </c>
      <c r="F61" t="s">
        <v>73</v>
      </c>
      <c r="G61" t="s">
        <v>73</v>
      </c>
      <c r="I61" t="s">
        <v>73</v>
      </c>
      <c r="L61" t="s">
        <v>73</v>
      </c>
      <c r="M61" t="s">
        <v>73</v>
      </c>
    </row>
    <row r="62" spans="1:15" x14ac:dyDescent="0.25">
      <c r="A62" t="s">
        <v>79</v>
      </c>
      <c r="C62">
        <v>357</v>
      </c>
      <c r="E62">
        <v>77</v>
      </c>
      <c r="F62">
        <v>109.4</v>
      </c>
      <c r="G62">
        <v>19.8</v>
      </c>
      <c r="I62">
        <v>99.5</v>
      </c>
      <c r="L62">
        <v>22</v>
      </c>
      <c r="M62">
        <f>L62+15.5</f>
        <v>37.5</v>
      </c>
      <c r="N62">
        <v>0.28199999999999997</v>
      </c>
      <c r="O62">
        <f t="shared" ref="O62:O69" si="0">N62*C62*M62</f>
        <v>3775.2749999999996</v>
      </c>
    </row>
    <row r="63" spans="1:15" x14ac:dyDescent="0.25">
      <c r="A63" t="s">
        <v>79</v>
      </c>
      <c r="C63">
        <v>357</v>
      </c>
      <c r="E63">
        <v>77</v>
      </c>
      <c r="F63">
        <v>109.4</v>
      </c>
      <c r="G63">
        <v>19.8</v>
      </c>
      <c r="I63">
        <v>99.5</v>
      </c>
      <c r="L63">
        <v>22</v>
      </c>
      <c r="M63">
        <f t="shared" ref="M63:M69" si="1">L63+15.5</f>
        <v>37.5</v>
      </c>
      <c r="N63">
        <v>0.28199999999999997</v>
      </c>
      <c r="O63">
        <f t="shared" si="0"/>
        <v>3775.2749999999996</v>
      </c>
    </row>
    <row r="64" spans="1:15" x14ac:dyDescent="0.25">
      <c r="A64" t="s">
        <v>79</v>
      </c>
      <c r="C64">
        <v>357</v>
      </c>
      <c r="E64">
        <v>77</v>
      </c>
      <c r="F64">
        <v>109.4</v>
      </c>
      <c r="G64">
        <v>19.8</v>
      </c>
      <c r="I64">
        <v>99.5</v>
      </c>
      <c r="L64">
        <v>22</v>
      </c>
      <c r="M64">
        <f t="shared" si="1"/>
        <v>37.5</v>
      </c>
      <c r="N64">
        <v>0.28199999999999997</v>
      </c>
      <c r="O64">
        <f t="shared" si="0"/>
        <v>3775.2749999999996</v>
      </c>
    </row>
    <row r="65" spans="1:15" x14ac:dyDescent="0.25">
      <c r="A65" t="s">
        <v>79</v>
      </c>
      <c r="C65">
        <v>357</v>
      </c>
      <c r="E65">
        <v>77</v>
      </c>
      <c r="F65">
        <v>109.4</v>
      </c>
      <c r="G65">
        <v>19.8</v>
      </c>
      <c r="I65">
        <v>99.5</v>
      </c>
      <c r="L65">
        <v>22</v>
      </c>
      <c r="M65">
        <f t="shared" si="1"/>
        <v>37.5</v>
      </c>
      <c r="N65">
        <v>0.28199999999999997</v>
      </c>
      <c r="O65">
        <f t="shared" si="0"/>
        <v>3775.2749999999996</v>
      </c>
    </row>
    <row r="66" spans="1:15" x14ac:dyDescent="0.25">
      <c r="A66" t="s">
        <v>79</v>
      </c>
      <c r="C66">
        <v>357</v>
      </c>
      <c r="E66">
        <v>77</v>
      </c>
      <c r="F66">
        <v>109.4</v>
      </c>
      <c r="G66">
        <v>19.8</v>
      </c>
      <c r="I66">
        <v>99.5</v>
      </c>
      <c r="L66">
        <v>22</v>
      </c>
      <c r="M66">
        <f t="shared" si="1"/>
        <v>37.5</v>
      </c>
      <c r="N66">
        <v>0.28199999999999997</v>
      </c>
      <c r="O66">
        <f t="shared" si="0"/>
        <v>3775.2749999999996</v>
      </c>
    </row>
    <row r="67" spans="1:15" x14ac:dyDescent="0.25">
      <c r="A67" t="s">
        <v>79</v>
      </c>
      <c r="C67">
        <v>357</v>
      </c>
      <c r="E67">
        <v>77</v>
      </c>
      <c r="F67">
        <v>109.4</v>
      </c>
      <c r="G67">
        <v>19.8</v>
      </c>
      <c r="I67">
        <v>99.5</v>
      </c>
      <c r="L67">
        <v>22</v>
      </c>
      <c r="M67">
        <f t="shared" si="1"/>
        <v>37.5</v>
      </c>
      <c r="N67">
        <v>0.28199999999999997</v>
      </c>
      <c r="O67">
        <f t="shared" si="0"/>
        <v>3775.2749999999996</v>
      </c>
    </row>
    <row r="68" spans="1:15" x14ac:dyDescent="0.25">
      <c r="A68" t="s">
        <v>79</v>
      </c>
      <c r="C68">
        <v>357</v>
      </c>
      <c r="E68">
        <v>77</v>
      </c>
      <c r="F68">
        <v>109.4</v>
      </c>
      <c r="G68">
        <v>19.8</v>
      </c>
      <c r="I68">
        <v>99.5</v>
      </c>
      <c r="L68">
        <v>22</v>
      </c>
      <c r="M68">
        <f t="shared" si="1"/>
        <v>37.5</v>
      </c>
      <c r="N68">
        <v>0.28199999999999997</v>
      </c>
      <c r="O68">
        <f t="shared" si="0"/>
        <v>3775.2749999999996</v>
      </c>
    </row>
    <row r="69" spans="1:15" x14ac:dyDescent="0.25">
      <c r="A69" t="s">
        <v>79</v>
      </c>
      <c r="C69">
        <v>307.5</v>
      </c>
      <c r="E69">
        <v>77</v>
      </c>
      <c r="F69">
        <v>109.4</v>
      </c>
      <c r="G69">
        <v>19.8</v>
      </c>
      <c r="I69">
        <v>99.5</v>
      </c>
      <c r="L69">
        <v>22</v>
      </c>
      <c r="M69">
        <f t="shared" si="1"/>
        <v>37.5</v>
      </c>
      <c r="N69">
        <v>0.28199999999999997</v>
      </c>
      <c r="O69">
        <f t="shared" si="0"/>
        <v>3251.8124999999995</v>
      </c>
    </row>
    <row r="70" spans="1:15" x14ac:dyDescent="0.25">
      <c r="N70" t="s">
        <v>84</v>
      </c>
      <c r="O70">
        <f>SUM(O62:O69)</f>
        <v>29678.737500000003</v>
      </c>
    </row>
    <row r="72" spans="1:15" ht="30" x14ac:dyDescent="0.25">
      <c r="A72" s="12" t="s">
        <v>265</v>
      </c>
      <c r="C72" t="s">
        <v>84</v>
      </c>
      <c r="E72" t="s">
        <v>64</v>
      </c>
      <c r="F72" t="s">
        <v>65</v>
      </c>
      <c r="G72" t="s">
        <v>66</v>
      </c>
      <c r="I72" t="s">
        <v>67</v>
      </c>
      <c r="L72" t="s">
        <v>53</v>
      </c>
      <c r="M72" t="s">
        <v>70</v>
      </c>
      <c r="N72" t="s">
        <v>71</v>
      </c>
      <c r="O72" t="s">
        <v>80</v>
      </c>
    </row>
    <row r="73" spans="1:15" x14ac:dyDescent="0.25">
      <c r="C73" t="s">
        <v>63</v>
      </c>
      <c r="E73" t="s">
        <v>68</v>
      </c>
      <c r="F73" t="s">
        <v>69</v>
      </c>
      <c r="I73" t="s">
        <v>68</v>
      </c>
    </row>
    <row r="74" spans="1:15" ht="30" x14ac:dyDescent="0.25">
      <c r="A74" s="12" t="s">
        <v>92</v>
      </c>
      <c r="E74" t="s">
        <v>73</v>
      </c>
      <c r="F74" t="s">
        <v>73</v>
      </c>
      <c r="G74" t="s">
        <v>73</v>
      </c>
      <c r="I74" t="s">
        <v>73</v>
      </c>
      <c r="L74" t="s">
        <v>73</v>
      </c>
      <c r="M74" t="s">
        <v>73</v>
      </c>
    </row>
    <row r="75" spans="1:15" x14ac:dyDescent="0.25">
      <c r="A75" t="s">
        <v>81</v>
      </c>
      <c r="C75">
        <v>301</v>
      </c>
      <c r="E75">
        <v>77</v>
      </c>
      <c r="F75">
        <v>109.4</v>
      </c>
      <c r="G75">
        <v>19.8</v>
      </c>
      <c r="I75">
        <v>99.5</v>
      </c>
      <c r="L75">
        <v>6</v>
      </c>
      <c r="M75">
        <f>L75+15.5</f>
        <v>21.5</v>
      </c>
      <c r="N75">
        <v>0.28199999999999997</v>
      </c>
      <c r="O75">
        <f t="shared" ref="O75:O81" si="2">N75*C75*M75</f>
        <v>1824.9629999999997</v>
      </c>
    </row>
    <row r="76" spans="1:15" x14ac:dyDescent="0.25">
      <c r="A76" t="s">
        <v>81</v>
      </c>
      <c r="C76">
        <v>301</v>
      </c>
      <c r="E76">
        <v>77</v>
      </c>
      <c r="F76">
        <v>109.4</v>
      </c>
      <c r="G76">
        <v>19.8</v>
      </c>
      <c r="I76">
        <v>99.5</v>
      </c>
      <c r="L76">
        <v>6</v>
      </c>
      <c r="M76">
        <f t="shared" ref="M76:M81" si="3">L76+15.5</f>
        <v>21.5</v>
      </c>
      <c r="N76">
        <v>0.28199999999999997</v>
      </c>
      <c r="O76">
        <f t="shared" si="2"/>
        <v>1824.9629999999997</v>
      </c>
    </row>
    <row r="77" spans="1:15" x14ac:dyDescent="0.25">
      <c r="A77" t="s">
        <v>81</v>
      </c>
      <c r="C77">
        <v>301</v>
      </c>
      <c r="E77">
        <v>77</v>
      </c>
      <c r="F77">
        <v>109.4</v>
      </c>
      <c r="G77">
        <v>19.8</v>
      </c>
      <c r="I77">
        <v>99.5</v>
      </c>
      <c r="L77">
        <v>6</v>
      </c>
      <c r="M77">
        <f t="shared" si="3"/>
        <v>21.5</v>
      </c>
      <c r="N77">
        <v>0.28199999999999997</v>
      </c>
      <c r="O77">
        <f t="shared" si="2"/>
        <v>1824.9629999999997</v>
      </c>
    </row>
    <row r="78" spans="1:15" x14ac:dyDescent="0.25">
      <c r="A78" t="s">
        <v>81</v>
      </c>
      <c r="C78">
        <v>301</v>
      </c>
      <c r="E78">
        <v>77</v>
      </c>
      <c r="F78">
        <v>109.4</v>
      </c>
      <c r="G78">
        <v>19.8</v>
      </c>
      <c r="I78">
        <v>99.5</v>
      </c>
      <c r="L78">
        <v>6</v>
      </c>
      <c r="M78">
        <f t="shared" si="3"/>
        <v>21.5</v>
      </c>
      <c r="N78">
        <v>0.28199999999999997</v>
      </c>
      <c r="O78">
        <f t="shared" si="2"/>
        <v>1824.9629999999997</v>
      </c>
    </row>
    <row r="79" spans="1:15" x14ac:dyDescent="0.25">
      <c r="A79" t="s">
        <v>81</v>
      </c>
      <c r="C79">
        <v>301</v>
      </c>
      <c r="E79">
        <v>77</v>
      </c>
      <c r="F79">
        <v>109.4</v>
      </c>
      <c r="G79">
        <v>19.8</v>
      </c>
      <c r="I79">
        <v>99.5</v>
      </c>
      <c r="L79">
        <v>6</v>
      </c>
      <c r="M79">
        <f t="shared" si="3"/>
        <v>21.5</v>
      </c>
      <c r="N79">
        <v>0.28199999999999997</v>
      </c>
      <c r="O79">
        <f t="shared" si="2"/>
        <v>1824.9629999999997</v>
      </c>
    </row>
    <row r="80" spans="1:15" x14ac:dyDescent="0.25">
      <c r="A80" t="s">
        <v>81</v>
      </c>
      <c r="C80">
        <v>301</v>
      </c>
      <c r="E80">
        <v>77</v>
      </c>
      <c r="F80">
        <v>109.4</v>
      </c>
      <c r="G80">
        <v>19.8</v>
      </c>
      <c r="I80">
        <v>99.5</v>
      </c>
      <c r="L80">
        <v>6</v>
      </c>
      <c r="M80">
        <f t="shared" si="3"/>
        <v>21.5</v>
      </c>
      <c r="N80">
        <v>0.28199999999999997</v>
      </c>
      <c r="O80">
        <f t="shared" si="2"/>
        <v>1824.9629999999997</v>
      </c>
    </row>
    <row r="81" spans="1:15" x14ac:dyDescent="0.25">
      <c r="A81" t="s">
        <v>81</v>
      </c>
      <c r="C81">
        <v>357.5</v>
      </c>
      <c r="E81">
        <v>77</v>
      </c>
      <c r="F81">
        <v>109.4</v>
      </c>
      <c r="G81">
        <v>19.8</v>
      </c>
      <c r="I81">
        <v>99.5</v>
      </c>
      <c r="L81">
        <v>6</v>
      </c>
      <c r="M81">
        <f t="shared" si="3"/>
        <v>21.5</v>
      </c>
      <c r="N81">
        <v>0.28199999999999997</v>
      </c>
      <c r="O81">
        <f t="shared" si="2"/>
        <v>2167.5224999999996</v>
      </c>
    </row>
    <row r="82" spans="1:15" x14ac:dyDescent="0.25">
      <c r="N82" t="s">
        <v>84</v>
      </c>
      <c r="O82">
        <f>SUM(O75:O81)</f>
        <v>13117.300499999998</v>
      </c>
    </row>
    <row r="84" spans="1:15" ht="30" x14ac:dyDescent="0.25">
      <c r="A84" s="12" t="s">
        <v>265</v>
      </c>
      <c r="C84" t="s">
        <v>84</v>
      </c>
      <c r="E84" t="s">
        <v>64</v>
      </c>
      <c r="F84" t="s">
        <v>65</v>
      </c>
      <c r="G84" t="s">
        <v>66</v>
      </c>
      <c r="I84" t="s">
        <v>67</v>
      </c>
      <c r="L84" t="s">
        <v>53</v>
      </c>
      <c r="M84" t="s">
        <v>70</v>
      </c>
      <c r="N84" t="s">
        <v>71</v>
      </c>
      <c r="O84" t="s">
        <v>80</v>
      </c>
    </row>
    <row r="85" spans="1:15" x14ac:dyDescent="0.25">
      <c r="C85" t="s">
        <v>89</v>
      </c>
      <c r="E85" t="s">
        <v>68</v>
      </c>
      <c r="F85" t="s">
        <v>69</v>
      </c>
      <c r="I85" t="s">
        <v>68</v>
      </c>
    </row>
    <row r="86" spans="1:15" ht="30" x14ac:dyDescent="0.25">
      <c r="A86" s="12" t="s">
        <v>92</v>
      </c>
      <c r="E86" t="s">
        <v>73</v>
      </c>
      <c r="F86" t="s">
        <v>73</v>
      </c>
      <c r="G86" t="s">
        <v>73</v>
      </c>
      <c r="I86" t="s">
        <v>73</v>
      </c>
      <c r="L86" t="s">
        <v>73</v>
      </c>
      <c r="M86" t="s">
        <v>73</v>
      </c>
    </row>
    <row r="87" spans="1:15" x14ac:dyDescent="0.25">
      <c r="A87" t="s">
        <v>82</v>
      </c>
      <c r="C87">
        <v>357</v>
      </c>
      <c r="E87">
        <v>77</v>
      </c>
      <c r="F87">
        <v>109.4</v>
      </c>
      <c r="G87">
        <v>19.8</v>
      </c>
      <c r="I87">
        <v>99.5</v>
      </c>
      <c r="L87">
        <v>11</v>
      </c>
      <c r="M87">
        <f>L87+15.5</f>
        <v>26.5</v>
      </c>
      <c r="N87">
        <v>0.28199999999999997</v>
      </c>
      <c r="O87">
        <f t="shared" ref="O87:O93" si="4">N87*C87*M87</f>
        <v>2667.8609999999999</v>
      </c>
    </row>
    <row r="88" spans="1:15" x14ac:dyDescent="0.25">
      <c r="A88" t="s">
        <v>82</v>
      </c>
      <c r="C88">
        <v>357</v>
      </c>
      <c r="E88">
        <v>77</v>
      </c>
      <c r="F88">
        <v>109.4</v>
      </c>
      <c r="G88">
        <v>19.8</v>
      </c>
      <c r="I88">
        <v>99.5</v>
      </c>
      <c r="L88">
        <v>11</v>
      </c>
      <c r="M88">
        <f t="shared" ref="M88:M93" si="5">L88+15.5</f>
        <v>26.5</v>
      </c>
      <c r="N88">
        <v>0.28199999999999997</v>
      </c>
      <c r="O88">
        <f t="shared" si="4"/>
        <v>2667.8609999999999</v>
      </c>
    </row>
    <row r="89" spans="1:15" x14ac:dyDescent="0.25">
      <c r="A89" t="s">
        <v>82</v>
      </c>
      <c r="C89">
        <v>357</v>
      </c>
      <c r="E89">
        <v>77</v>
      </c>
      <c r="F89">
        <v>109.4</v>
      </c>
      <c r="G89">
        <v>19.8</v>
      </c>
      <c r="I89">
        <v>99.5</v>
      </c>
      <c r="L89">
        <v>11</v>
      </c>
      <c r="M89">
        <f t="shared" si="5"/>
        <v>26.5</v>
      </c>
      <c r="N89">
        <v>0.28199999999999997</v>
      </c>
      <c r="O89">
        <f t="shared" si="4"/>
        <v>2667.8609999999999</v>
      </c>
    </row>
    <row r="90" spans="1:15" x14ac:dyDescent="0.25">
      <c r="A90" t="s">
        <v>82</v>
      </c>
      <c r="C90">
        <v>357</v>
      </c>
      <c r="E90">
        <v>77</v>
      </c>
      <c r="F90">
        <v>109.4</v>
      </c>
      <c r="G90">
        <v>19.8</v>
      </c>
      <c r="I90">
        <v>99.5</v>
      </c>
      <c r="L90">
        <v>11</v>
      </c>
      <c r="M90">
        <f t="shared" si="5"/>
        <v>26.5</v>
      </c>
      <c r="N90">
        <v>0.28199999999999997</v>
      </c>
      <c r="O90">
        <f t="shared" si="4"/>
        <v>2667.8609999999999</v>
      </c>
    </row>
    <row r="91" spans="1:15" x14ac:dyDescent="0.25">
      <c r="A91" t="s">
        <v>82</v>
      </c>
      <c r="C91">
        <v>357</v>
      </c>
      <c r="E91">
        <v>77</v>
      </c>
      <c r="F91">
        <v>109.4</v>
      </c>
      <c r="G91">
        <v>19.8</v>
      </c>
      <c r="I91">
        <v>99.5</v>
      </c>
      <c r="L91">
        <v>11</v>
      </c>
      <c r="M91">
        <f t="shared" si="5"/>
        <v>26.5</v>
      </c>
      <c r="N91">
        <v>0.28199999999999997</v>
      </c>
      <c r="O91">
        <f t="shared" si="4"/>
        <v>2667.8609999999999</v>
      </c>
    </row>
    <row r="92" spans="1:15" x14ac:dyDescent="0.25">
      <c r="A92" t="s">
        <v>82</v>
      </c>
      <c r="C92">
        <v>357</v>
      </c>
      <c r="E92">
        <v>77</v>
      </c>
      <c r="F92">
        <v>109.4</v>
      </c>
      <c r="G92">
        <v>19.8</v>
      </c>
      <c r="I92">
        <v>99.5</v>
      </c>
      <c r="L92">
        <v>11</v>
      </c>
      <c r="M92">
        <f t="shared" si="5"/>
        <v>26.5</v>
      </c>
      <c r="N92">
        <v>0.28199999999999997</v>
      </c>
      <c r="O92">
        <f t="shared" si="4"/>
        <v>2667.8609999999999</v>
      </c>
    </row>
    <row r="93" spans="1:15" x14ac:dyDescent="0.25">
      <c r="A93" t="s">
        <v>82</v>
      </c>
      <c r="C93">
        <v>357</v>
      </c>
      <c r="E93">
        <v>77</v>
      </c>
      <c r="F93">
        <v>109.4</v>
      </c>
      <c r="G93">
        <v>19.8</v>
      </c>
      <c r="I93">
        <v>99.5</v>
      </c>
      <c r="L93">
        <v>11</v>
      </c>
      <c r="M93">
        <f t="shared" si="5"/>
        <v>26.5</v>
      </c>
      <c r="N93">
        <v>0.28199999999999997</v>
      </c>
      <c r="O93">
        <f t="shared" si="4"/>
        <v>2667.8609999999999</v>
      </c>
    </row>
    <row r="95" spans="1:15" x14ac:dyDescent="0.25">
      <c r="N95" t="s">
        <v>83</v>
      </c>
      <c r="O95">
        <f>SUM(O87:O93)</f>
        <v>18675.027000000002</v>
      </c>
    </row>
    <row r="96" spans="1:15" ht="15.75" x14ac:dyDescent="0.25">
      <c r="E96" s="7" t="s">
        <v>206</v>
      </c>
    </row>
    <row r="97" spans="1:9" x14ac:dyDescent="0.25">
      <c r="C97" t="s">
        <v>171</v>
      </c>
      <c r="D97" t="s">
        <v>90</v>
      </c>
      <c r="E97" t="s">
        <v>53</v>
      </c>
      <c r="F97" t="s">
        <v>70</v>
      </c>
      <c r="G97" t="s">
        <v>71</v>
      </c>
      <c r="H97" t="s">
        <v>208</v>
      </c>
      <c r="I97" t="s">
        <v>76</v>
      </c>
    </row>
    <row r="98" spans="1:9" x14ac:dyDescent="0.25">
      <c r="C98" t="s">
        <v>207</v>
      </c>
      <c r="D98">
        <v>178.75</v>
      </c>
      <c r="E98">
        <v>4</v>
      </c>
      <c r="F98">
        <f>E98+15.5</f>
        <v>19.5</v>
      </c>
      <c r="G98">
        <v>0.28199999999999997</v>
      </c>
      <c r="H98">
        <v>4</v>
      </c>
      <c r="I98">
        <f>G98*H98*D98*F98</f>
        <v>3931.7849999999994</v>
      </c>
    </row>
    <row r="99" spans="1:9" x14ac:dyDescent="0.25">
      <c r="D99" t="s">
        <v>90</v>
      </c>
      <c r="E99" t="s">
        <v>212</v>
      </c>
      <c r="F99" t="s">
        <v>213</v>
      </c>
      <c r="G99" t="s">
        <v>71</v>
      </c>
      <c r="I99" t="s">
        <v>76</v>
      </c>
    </row>
    <row r="100" spans="1:9" ht="30" x14ac:dyDescent="0.25">
      <c r="C100" s="12" t="s">
        <v>211</v>
      </c>
      <c r="D100">
        <v>178.75</v>
      </c>
      <c r="E100">
        <v>11</v>
      </c>
      <c r="F100">
        <v>0</v>
      </c>
      <c r="G100">
        <v>0.28199999999999997</v>
      </c>
      <c r="I100">
        <f>G100*E100*D100*F100</f>
        <v>0</v>
      </c>
    </row>
    <row r="108" spans="1:9" ht="18.75" x14ac:dyDescent="0.3">
      <c r="E108" s="3" t="s">
        <v>201</v>
      </c>
      <c r="F108" s="3"/>
    </row>
    <row r="109" spans="1:9" x14ac:dyDescent="0.25">
      <c r="A109" t="s">
        <v>202</v>
      </c>
      <c r="C109" t="s">
        <v>203</v>
      </c>
      <c r="D109" t="s">
        <v>204</v>
      </c>
      <c r="E109" t="s">
        <v>53</v>
      </c>
      <c r="F109" t="s">
        <v>70</v>
      </c>
      <c r="G109" t="s">
        <v>71</v>
      </c>
      <c r="H109" t="s">
        <v>205</v>
      </c>
    </row>
    <row r="110" spans="1:9" x14ac:dyDescent="0.25">
      <c r="A110" t="s">
        <v>152</v>
      </c>
      <c r="C110">
        <v>28</v>
      </c>
      <c r="D110">
        <v>14</v>
      </c>
      <c r="E110">
        <v>18</v>
      </c>
      <c r="F110">
        <f>E110+15.5</f>
        <v>33.5</v>
      </c>
      <c r="G110">
        <v>0.44</v>
      </c>
      <c r="H110">
        <f>G110*D110*C110*F110</f>
        <v>5778.0800000000008</v>
      </c>
    </row>
    <row r="111" spans="1:9" x14ac:dyDescent="0.25">
      <c r="A111" t="s">
        <v>81</v>
      </c>
      <c r="C111">
        <v>28</v>
      </c>
      <c r="D111">
        <v>14</v>
      </c>
      <c r="E111">
        <v>6</v>
      </c>
      <c r="F111">
        <f>E111+15.5</f>
        <v>21.5</v>
      </c>
      <c r="G111">
        <v>0.44</v>
      </c>
      <c r="H111">
        <f>G111*D111*C111*F111</f>
        <v>3708.3200000000006</v>
      </c>
    </row>
    <row r="112" spans="1:9" x14ac:dyDescent="0.25">
      <c r="G112" t="s">
        <v>84</v>
      </c>
      <c r="H112">
        <f>SUM(H110:H111)</f>
        <v>9486.4000000000015</v>
      </c>
    </row>
    <row r="118" spans="1:15" ht="18.75" x14ac:dyDescent="0.3">
      <c r="F118" s="3" t="s">
        <v>85</v>
      </c>
    </row>
    <row r="119" spans="1:15" x14ac:dyDescent="0.25">
      <c r="A119" t="s">
        <v>62</v>
      </c>
      <c r="C119" t="s">
        <v>84</v>
      </c>
      <c r="E119" t="s">
        <v>64</v>
      </c>
      <c r="F119" t="s">
        <v>65</v>
      </c>
      <c r="G119" t="s">
        <v>66</v>
      </c>
      <c r="I119" t="s">
        <v>67</v>
      </c>
      <c r="L119" t="s">
        <v>53</v>
      </c>
      <c r="M119" t="s">
        <v>70</v>
      </c>
      <c r="N119" t="s">
        <v>71</v>
      </c>
      <c r="O119" t="s">
        <v>87</v>
      </c>
    </row>
    <row r="120" spans="1:15" x14ac:dyDescent="0.25">
      <c r="C120" t="s">
        <v>63</v>
      </c>
      <c r="E120" t="s">
        <v>68</v>
      </c>
      <c r="F120" t="s">
        <v>69</v>
      </c>
      <c r="I120" t="s">
        <v>68</v>
      </c>
      <c r="O120" t="s">
        <v>88</v>
      </c>
    </row>
    <row r="121" spans="1:15" x14ac:dyDescent="0.25">
      <c r="A121" t="s">
        <v>74</v>
      </c>
      <c r="E121" t="s">
        <v>73</v>
      </c>
      <c r="F121" t="s">
        <v>73</v>
      </c>
      <c r="G121" t="s">
        <v>73</v>
      </c>
      <c r="I121" t="s">
        <v>73</v>
      </c>
      <c r="L121" t="s">
        <v>73</v>
      </c>
      <c r="M121" t="s">
        <v>73</v>
      </c>
    </row>
    <row r="122" spans="1:15" x14ac:dyDescent="0.25">
      <c r="A122" t="s">
        <v>86</v>
      </c>
      <c r="C122">
        <v>4208.75</v>
      </c>
      <c r="E122">
        <v>77</v>
      </c>
      <c r="F122">
        <v>109.4</v>
      </c>
      <c r="G122">
        <v>19.8</v>
      </c>
      <c r="I122">
        <v>99.5</v>
      </c>
      <c r="L122">
        <v>4</v>
      </c>
      <c r="M122">
        <f>L122+15.5</f>
        <v>19.5</v>
      </c>
      <c r="N122">
        <v>0.29099999999999998</v>
      </c>
      <c r="O122">
        <f>N122*C122*M122</f>
        <v>23882.551874999997</v>
      </c>
    </row>
    <row r="124" spans="1:15" ht="18.75" x14ac:dyDescent="0.3">
      <c r="F124" s="3" t="s">
        <v>91</v>
      </c>
    </row>
    <row r="126" spans="1:15" x14ac:dyDescent="0.25">
      <c r="A126" t="s">
        <v>62</v>
      </c>
      <c r="C126" t="s">
        <v>84</v>
      </c>
      <c r="E126" t="s">
        <v>64</v>
      </c>
      <c r="F126" t="s">
        <v>65</v>
      </c>
      <c r="G126" t="s">
        <v>66</v>
      </c>
      <c r="I126" t="s">
        <v>67</v>
      </c>
      <c r="L126" t="s">
        <v>53</v>
      </c>
      <c r="M126" t="s">
        <v>70</v>
      </c>
      <c r="N126" t="s">
        <v>71</v>
      </c>
      <c r="O126" t="s">
        <v>87</v>
      </c>
    </row>
    <row r="127" spans="1:15" x14ac:dyDescent="0.25">
      <c r="C127" t="s">
        <v>63</v>
      </c>
      <c r="E127" t="s">
        <v>68</v>
      </c>
      <c r="F127" t="s">
        <v>69</v>
      </c>
      <c r="I127" t="s">
        <v>68</v>
      </c>
      <c r="O127" t="s">
        <v>88</v>
      </c>
    </row>
    <row r="128" spans="1:15" x14ac:dyDescent="0.25">
      <c r="A128" t="s">
        <v>93</v>
      </c>
      <c r="E128" t="s">
        <v>73</v>
      </c>
      <c r="F128" t="s">
        <v>73</v>
      </c>
      <c r="G128" t="s">
        <v>73</v>
      </c>
      <c r="I128" t="s">
        <v>73</v>
      </c>
      <c r="L128" t="s">
        <v>73</v>
      </c>
      <c r="M128" t="s">
        <v>73</v>
      </c>
    </row>
    <row r="129" spans="1:15" x14ac:dyDescent="0.25">
      <c r="A129" t="s">
        <v>86</v>
      </c>
      <c r="C129">
        <v>4208.75</v>
      </c>
      <c r="E129">
        <v>77</v>
      </c>
      <c r="F129">
        <v>109.4</v>
      </c>
      <c r="G129">
        <v>19.8</v>
      </c>
      <c r="I129">
        <v>99.5</v>
      </c>
      <c r="L129">
        <v>43</v>
      </c>
      <c r="M129">
        <f>L129+15.5</f>
        <v>58.5</v>
      </c>
      <c r="N129">
        <v>0.27700000000000002</v>
      </c>
      <c r="O129">
        <f>N129*C129*M129</f>
        <v>68200.689375000002</v>
      </c>
    </row>
    <row r="131" spans="1:15" ht="18.75" x14ac:dyDescent="0.3">
      <c r="F131" s="3" t="s">
        <v>266</v>
      </c>
    </row>
    <row r="132" spans="1:15" ht="15.75" x14ac:dyDescent="0.25">
      <c r="G132" s="7" t="s">
        <v>94</v>
      </c>
      <c r="H132" s="7"/>
    </row>
    <row r="134" spans="1:15" x14ac:dyDescent="0.25">
      <c r="A134" t="s">
        <v>62</v>
      </c>
      <c r="C134" t="s">
        <v>53</v>
      </c>
      <c r="E134" t="s">
        <v>70</v>
      </c>
      <c r="F134" t="s">
        <v>71</v>
      </c>
      <c r="G134" t="s">
        <v>97</v>
      </c>
      <c r="I134" t="s">
        <v>95</v>
      </c>
    </row>
    <row r="135" spans="1:15" x14ac:dyDescent="0.25">
      <c r="I135" t="s">
        <v>96</v>
      </c>
    </row>
    <row r="136" spans="1:15" x14ac:dyDescent="0.25">
      <c r="A136" t="s">
        <v>98</v>
      </c>
    </row>
    <row r="137" spans="1:15" x14ac:dyDescent="0.25">
      <c r="A137" t="s">
        <v>75</v>
      </c>
      <c r="C137">
        <v>10</v>
      </c>
      <c r="E137">
        <f>C137+15.5</f>
        <v>25.5</v>
      </c>
      <c r="F137">
        <v>0.51</v>
      </c>
      <c r="G137">
        <v>350</v>
      </c>
      <c r="I137">
        <f>F137*G137*E137</f>
        <v>4551.75</v>
      </c>
    </row>
    <row r="138" spans="1:15" x14ac:dyDescent="0.25">
      <c r="A138" t="s">
        <v>79</v>
      </c>
      <c r="C138">
        <v>10</v>
      </c>
      <c r="E138">
        <f>C138+15.5</f>
        <v>25.5</v>
      </c>
      <c r="F138">
        <v>0.51</v>
      </c>
      <c r="G138">
        <v>400</v>
      </c>
      <c r="I138">
        <f>F138*G138*E138</f>
        <v>5202</v>
      </c>
    </row>
    <row r="139" spans="1:15" x14ac:dyDescent="0.25">
      <c r="A139" t="s">
        <v>81</v>
      </c>
      <c r="C139">
        <v>10</v>
      </c>
      <c r="E139">
        <f>C139+15.5</f>
        <v>25.5</v>
      </c>
      <c r="F139">
        <v>0.51</v>
      </c>
      <c r="G139">
        <v>300</v>
      </c>
      <c r="I139">
        <f>F139*G139*E139</f>
        <v>3901.5</v>
      </c>
    </row>
    <row r="140" spans="1:15" x14ac:dyDescent="0.25">
      <c r="A140" t="s">
        <v>82</v>
      </c>
      <c r="C140">
        <v>10</v>
      </c>
      <c r="E140">
        <f>C140+15.5</f>
        <v>25.5</v>
      </c>
      <c r="F140">
        <v>0.51</v>
      </c>
      <c r="G140">
        <v>350</v>
      </c>
      <c r="I140">
        <f>F140*G140*E140</f>
        <v>4551.75</v>
      </c>
    </row>
    <row r="141" spans="1:15" x14ac:dyDescent="0.25">
      <c r="G141" t="s">
        <v>100</v>
      </c>
      <c r="I141">
        <f>SUM(I137:I140)</f>
        <v>18207</v>
      </c>
    </row>
    <row r="142" spans="1:15" ht="15.75" x14ac:dyDescent="0.25">
      <c r="F142" s="7" t="s">
        <v>99</v>
      </c>
    </row>
    <row r="144" spans="1:15" x14ac:dyDescent="0.25">
      <c r="A144" t="s">
        <v>62</v>
      </c>
      <c r="C144" t="s">
        <v>84</v>
      </c>
      <c r="E144" t="s">
        <v>101</v>
      </c>
      <c r="F144" t="s">
        <v>103</v>
      </c>
      <c r="G144" t="s">
        <v>104</v>
      </c>
      <c r="H144" t="s">
        <v>105</v>
      </c>
      <c r="I144" t="s">
        <v>95</v>
      </c>
    </row>
    <row r="145" spans="1:13" x14ac:dyDescent="0.25">
      <c r="C145" t="s">
        <v>90</v>
      </c>
      <c r="E145" t="s">
        <v>102</v>
      </c>
      <c r="H145" t="s">
        <v>106</v>
      </c>
      <c r="I145" t="s">
        <v>96</v>
      </c>
    </row>
    <row r="146" spans="1:13" x14ac:dyDescent="0.25">
      <c r="A146" t="s">
        <v>98</v>
      </c>
    </row>
    <row r="147" spans="1:13" x14ac:dyDescent="0.25">
      <c r="A147" t="s">
        <v>75</v>
      </c>
      <c r="C147">
        <v>350</v>
      </c>
      <c r="E147">
        <v>0.25</v>
      </c>
      <c r="F147">
        <v>0.47</v>
      </c>
      <c r="G147">
        <v>167</v>
      </c>
      <c r="H147">
        <f>G147*F147</f>
        <v>78.489999999999995</v>
      </c>
      <c r="I147">
        <f>C147*E147*H147</f>
        <v>6867.875</v>
      </c>
    </row>
    <row r="148" spans="1:13" x14ac:dyDescent="0.25">
      <c r="A148" t="s">
        <v>79</v>
      </c>
      <c r="C148">
        <v>400</v>
      </c>
      <c r="E148">
        <v>0.25</v>
      </c>
      <c r="F148">
        <v>0.53</v>
      </c>
      <c r="G148">
        <v>118</v>
      </c>
      <c r="H148">
        <f t="shared" ref="H148:H150" si="6">G148*F148</f>
        <v>62.540000000000006</v>
      </c>
      <c r="I148">
        <f>C148*E148*H148</f>
        <v>6254.0000000000009</v>
      </c>
    </row>
    <row r="149" spans="1:13" x14ac:dyDescent="0.25">
      <c r="A149" t="s">
        <v>81</v>
      </c>
      <c r="C149">
        <v>300</v>
      </c>
      <c r="E149">
        <v>0.25</v>
      </c>
      <c r="F149">
        <v>0.24</v>
      </c>
      <c r="G149">
        <v>41</v>
      </c>
      <c r="H149">
        <f t="shared" si="6"/>
        <v>9.84</v>
      </c>
      <c r="I149">
        <f>C149*E149*H149</f>
        <v>738</v>
      </c>
    </row>
    <row r="150" spans="1:13" x14ac:dyDescent="0.25">
      <c r="A150" t="s">
        <v>82</v>
      </c>
      <c r="C150">
        <v>350</v>
      </c>
      <c r="E150">
        <v>0.25</v>
      </c>
      <c r="F150">
        <v>0.5</v>
      </c>
      <c r="G150">
        <v>41</v>
      </c>
      <c r="H150">
        <f t="shared" si="6"/>
        <v>20.5</v>
      </c>
      <c r="I150">
        <f>C150*E150*H150</f>
        <v>1793.75</v>
      </c>
    </row>
    <row r="151" spans="1:13" x14ac:dyDescent="0.25">
      <c r="H151" t="s">
        <v>84</v>
      </c>
      <c r="I151">
        <f>SUM(I147:I150)</f>
        <v>15653.625</v>
      </c>
    </row>
    <row r="153" spans="1:13" x14ac:dyDescent="0.25">
      <c r="E153" s="10" t="s">
        <v>109</v>
      </c>
    </row>
    <row r="155" spans="1:13" x14ac:dyDescent="0.25">
      <c r="A155" t="s">
        <v>110</v>
      </c>
      <c r="C155" t="s">
        <v>200</v>
      </c>
      <c r="E155" t="s">
        <v>111</v>
      </c>
      <c r="G155" t="s">
        <v>113</v>
      </c>
      <c r="H155" t="s">
        <v>115</v>
      </c>
      <c r="I155" t="s">
        <v>116</v>
      </c>
      <c r="M155" t="s">
        <v>166</v>
      </c>
    </row>
    <row r="156" spans="1:13" x14ac:dyDescent="0.25">
      <c r="C156" t="s">
        <v>124</v>
      </c>
      <c r="E156" t="s">
        <v>112</v>
      </c>
      <c r="G156" t="s">
        <v>114</v>
      </c>
      <c r="I156" t="s">
        <v>88</v>
      </c>
    </row>
    <row r="157" spans="1:13" x14ac:dyDescent="0.25">
      <c r="A157">
        <v>28</v>
      </c>
      <c r="C157">
        <v>5</v>
      </c>
      <c r="E157">
        <v>250</v>
      </c>
      <c r="G157">
        <v>200</v>
      </c>
      <c r="H157">
        <f>A157*C157*E157</f>
        <v>35000</v>
      </c>
      <c r="I157">
        <f>A157*C157*G157</f>
        <v>28000</v>
      </c>
      <c r="M157">
        <f>H157+I157</f>
        <v>63000</v>
      </c>
    </row>
    <row r="159" spans="1:13" x14ac:dyDescent="0.25">
      <c r="E159" s="10" t="s">
        <v>118</v>
      </c>
      <c r="F159" s="10"/>
    </row>
    <row r="161" spans="1:17" x14ac:dyDescent="0.25">
      <c r="A161" t="s">
        <v>125</v>
      </c>
      <c r="C161" t="s">
        <v>122</v>
      </c>
      <c r="D161" t="s">
        <v>119</v>
      </c>
      <c r="E161" t="s">
        <v>120</v>
      </c>
      <c r="F161" t="s">
        <v>65</v>
      </c>
      <c r="G161" t="s">
        <v>121</v>
      </c>
      <c r="H161" t="s">
        <v>127</v>
      </c>
      <c r="L161" t="s">
        <v>129</v>
      </c>
      <c r="M161" t="s">
        <v>130</v>
      </c>
      <c r="N161" t="s">
        <v>131</v>
      </c>
      <c r="Q161" t="s">
        <v>163</v>
      </c>
    </row>
    <row r="162" spans="1:17" x14ac:dyDescent="0.25">
      <c r="A162" t="s">
        <v>126</v>
      </c>
      <c r="C162" t="s">
        <v>123</v>
      </c>
      <c r="D162" t="s">
        <v>124</v>
      </c>
      <c r="F162" t="s">
        <v>69</v>
      </c>
      <c r="G162" t="s">
        <v>68</v>
      </c>
      <c r="H162" t="s">
        <v>128</v>
      </c>
      <c r="L162" t="s">
        <v>199</v>
      </c>
      <c r="M162" t="s">
        <v>267</v>
      </c>
      <c r="N162" t="s">
        <v>88</v>
      </c>
    </row>
    <row r="163" spans="1:17" x14ac:dyDescent="0.25">
      <c r="A163">
        <v>28</v>
      </c>
      <c r="C163">
        <v>20</v>
      </c>
      <c r="D163">
        <v>5</v>
      </c>
      <c r="E163">
        <f>A163*C163*D163</f>
        <v>2800</v>
      </c>
      <c r="F163">
        <v>109.4</v>
      </c>
      <c r="G163">
        <v>77</v>
      </c>
      <c r="H163">
        <f>1.08*E163*(F163-G163)</f>
        <v>97977.60000000002</v>
      </c>
      <c r="L163">
        <v>2.1999999999999999E-2</v>
      </c>
      <c r="M163">
        <v>1.0999999999999999E-2</v>
      </c>
      <c r="N163">
        <f>E163*4840*(L163-M163)</f>
        <v>149072</v>
      </c>
      <c r="Q163">
        <f>H163+N163</f>
        <v>247049.60000000003</v>
      </c>
    </row>
    <row r="165" spans="1:17" x14ac:dyDescent="0.25">
      <c r="E165" s="10" t="s">
        <v>117</v>
      </c>
    </row>
    <row r="167" spans="1:17" x14ac:dyDescent="0.25">
      <c r="A167" t="s">
        <v>125</v>
      </c>
      <c r="C167" t="s">
        <v>122</v>
      </c>
      <c r="D167" t="s">
        <v>119</v>
      </c>
      <c r="E167" t="s">
        <v>120</v>
      </c>
      <c r="F167" t="s">
        <v>65</v>
      </c>
      <c r="G167" t="s">
        <v>132</v>
      </c>
      <c r="H167" t="s">
        <v>127</v>
      </c>
      <c r="L167" t="s">
        <v>129</v>
      </c>
      <c r="M167" t="s">
        <v>130</v>
      </c>
      <c r="N167" t="s">
        <v>131</v>
      </c>
      <c r="P167" t="s">
        <v>162</v>
      </c>
    </row>
    <row r="168" spans="1:17" x14ac:dyDescent="0.25">
      <c r="A168" t="s">
        <v>126</v>
      </c>
      <c r="C168" t="s">
        <v>123</v>
      </c>
      <c r="D168" t="s">
        <v>124</v>
      </c>
      <c r="F168" t="s">
        <v>69</v>
      </c>
      <c r="G168" t="s">
        <v>68</v>
      </c>
      <c r="H168" t="s">
        <v>128</v>
      </c>
      <c r="L168" t="s">
        <v>199</v>
      </c>
      <c r="M168" t="s">
        <v>269</v>
      </c>
      <c r="N168" t="s">
        <v>88</v>
      </c>
    </row>
    <row r="169" spans="1:17" x14ac:dyDescent="0.25">
      <c r="A169">
        <v>28</v>
      </c>
      <c r="C169">
        <v>20</v>
      </c>
      <c r="D169">
        <v>5</v>
      </c>
      <c r="E169">
        <f>A169*C169*D169</f>
        <v>2800</v>
      </c>
      <c r="F169">
        <v>109.4</v>
      </c>
      <c r="G169">
        <v>50</v>
      </c>
      <c r="H169">
        <f>1.08*E169*(F169-G169)</f>
        <v>179625.60000000001</v>
      </c>
      <c r="L169">
        <v>2.1999999999999999E-2</v>
      </c>
      <c r="M169">
        <v>7.6E-3</v>
      </c>
      <c r="N169">
        <f>4840*E169*(L169-M169)</f>
        <v>195148.79999999999</v>
      </c>
      <c r="Q169">
        <f>H169+N169</f>
        <v>374774.4</v>
      </c>
    </row>
    <row r="171" spans="1:17" x14ac:dyDescent="0.25">
      <c r="E171" s="10" t="s">
        <v>133</v>
      </c>
    </row>
    <row r="172" spans="1:17" x14ac:dyDescent="0.25">
      <c r="F172" t="s">
        <v>139</v>
      </c>
      <c r="G172" t="s">
        <v>100</v>
      </c>
    </row>
    <row r="173" spans="1:17" x14ac:dyDescent="0.25">
      <c r="A173" t="s">
        <v>134</v>
      </c>
      <c r="D173" t="s">
        <v>135</v>
      </c>
      <c r="E173" t="s">
        <v>138</v>
      </c>
      <c r="F173" t="s">
        <v>140</v>
      </c>
      <c r="G173" t="s">
        <v>141</v>
      </c>
    </row>
    <row r="174" spans="1:17" x14ac:dyDescent="0.25">
      <c r="D174" t="s">
        <v>136</v>
      </c>
    </row>
    <row r="175" spans="1:17" x14ac:dyDescent="0.25">
      <c r="A175" t="s">
        <v>137</v>
      </c>
      <c r="D175">
        <v>1</v>
      </c>
      <c r="E175">
        <v>4208.75</v>
      </c>
      <c r="F175">
        <f>D175*E175</f>
        <v>4208.75</v>
      </c>
      <c r="G175">
        <f>3.412141633*F175</f>
        <v>14360.85109788875</v>
      </c>
    </row>
    <row r="177" spans="1:18" x14ac:dyDescent="0.25">
      <c r="E177" s="10" t="s">
        <v>142</v>
      </c>
    </row>
    <row r="178" spans="1:18" x14ac:dyDescent="0.25">
      <c r="L178" t="s">
        <v>168</v>
      </c>
      <c r="N178" t="s">
        <v>142</v>
      </c>
      <c r="Q178" t="s">
        <v>169</v>
      </c>
    </row>
    <row r="179" spans="1:18" x14ac:dyDescent="0.25">
      <c r="A179" t="s">
        <v>143</v>
      </c>
      <c r="C179" t="s">
        <v>144</v>
      </c>
      <c r="D179" t="s">
        <v>224</v>
      </c>
      <c r="E179" t="s">
        <v>146</v>
      </c>
      <c r="F179" t="s">
        <v>226</v>
      </c>
      <c r="G179" t="s">
        <v>150</v>
      </c>
      <c r="L179">
        <f>G175</f>
        <v>14360.85109788875</v>
      </c>
      <c r="N179">
        <f>G181</f>
        <v>13757.183999999999</v>
      </c>
      <c r="R179">
        <f>SUM(L179:Q179)</f>
        <v>28118.035097888751</v>
      </c>
    </row>
    <row r="180" spans="1:18" x14ac:dyDescent="0.25">
      <c r="C180" t="s">
        <v>145</v>
      </c>
      <c r="D180" t="s">
        <v>225</v>
      </c>
      <c r="E180" t="s">
        <v>147</v>
      </c>
      <c r="F180" t="s">
        <v>227</v>
      </c>
      <c r="G180" t="s">
        <v>151</v>
      </c>
    </row>
    <row r="181" spans="1:18" x14ac:dyDescent="0.25">
      <c r="A181" t="s">
        <v>148</v>
      </c>
      <c r="C181">
        <v>28</v>
      </c>
      <c r="D181">
        <v>480</v>
      </c>
      <c r="E181">
        <f>C181*D181</f>
        <v>13440</v>
      </c>
      <c r="F181">
        <f>0.3*E181</f>
        <v>4032</v>
      </c>
      <c r="G181">
        <f>3.412*F181</f>
        <v>13757.183999999999</v>
      </c>
    </row>
    <row r="182" spans="1:18" x14ac:dyDescent="0.25">
      <c r="A182" t="s">
        <v>149</v>
      </c>
    </row>
    <row r="184" spans="1:18" x14ac:dyDescent="0.25">
      <c r="E184" s="10" t="s">
        <v>158</v>
      </c>
    </row>
    <row r="187" spans="1:18" x14ac:dyDescent="0.25">
      <c r="A187" t="s">
        <v>229</v>
      </c>
      <c r="C187" t="s">
        <v>152</v>
      </c>
      <c r="D187" t="s">
        <v>79</v>
      </c>
      <c r="E187" t="s">
        <v>81</v>
      </c>
      <c r="F187" t="s">
        <v>82</v>
      </c>
      <c r="H187" t="s">
        <v>84</v>
      </c>
    </row>
    <row r="188" spans="1:18" ht="30" x14ac:dyDescent="0.25">
      <c r="A188" s="12" t="s">
        <v>230</v>
      </c>
      <c r="C188">
        <f>O49</f>
        <v>23282.131499999996</v>
      </c>
      <c r="D188">
        <f>O70</f>
        <v>29678.737500000003</v>
      </c>
      <c r="E188">
        <f>O82</f>
        <v>13117.300499999998</v>
      </c>
      <c r="F188">
        <f>O95</f>
        <v>18675.027000000002</v>
      </c>
      <c r="H188">
        <f>SUM(C188:G188)</f>
        <v>84753.196499999991</v>
      </c>
    </row>
    <row r="189" spans="1:18" ht="30" x14ac:dyDescent="0.25">
      <c r="A189" s="12" t="s">
        <v>159</v>
      </c>
      <c r="H189">
        <f>O122</f>
        <v>23882.551874999997</v>
      </c>
    </row>
    <row r="190" spans="1:18" ht="30" x14ac:dyDescent="0.25">
      <c r="A190" s="12" t="s">
        <v>210</v>
      </c>
      <c r="C190">
        <f>H110</f>
        <v>5778.0800000000008</v>
      </c>
      <c r="E190">
        <f>H111</f>
        <v>3708.3200000000006</v>
      </c>
      <c r="H190">
        <f>H112</f>
        <v>9486.4000000000015</v>
      </c>
    </row>
    <row r="191" spans="1:18" ht="30" x14ac:dyDescent="0.25">
      <c r="A191" s="12" t="s">
        <v>231</v>
      </c>
      <c r="H191">
        <f>I98</f>
        <v>3931.7849999999994</v>
      </c>
    </row>
    <row r="192" spans="1:18" ht="30" x14ac:dyDescent="0.25">
      <c r="A192" s="12"/>
      <c r="G192" s="12" t="s">
        <v>153</v>
      </c>
      <c r="H192">
        <f>SUM(H188:H191)</f>
        <v>122053.93337499999</v>
      </c>
    </row>
    <row r="194" spans="1:7" x14ac:dyDescent="0.25">
      <c r="D194" s="10" t="s">
        <v>154</v>
      </c>
    </row>
    <row r="195" spans="1:7" x14ac:dyDescent="0.25">
      <c r="A195" t="s">
        <v>155</v>
      </c>
      <c r="D195" t="s">
        <v>156</v>
      </c>
      <c r="G195" t="s">
        <v>157</v>
      </c>
    </row>
    <row r="196" spans="1:7" x14ac:dyDescent="0.25">
      <c r="A196">
        <f>I141</f>
        <v>18207</v>
      </c>
      <c r="D196">
        <f>I151</f>
        <v>15653.625</v>
      </c>
      <c r="G196">
        <f>SUM(A196:F196)</f>
        <v>33860.625</v>
      </c>
    </row>
    <row r="199" spans="1:7" ht="18.75" x14ac:dyDescent="0.3">
      <c r="D199" s="3" t="s">
        <v>232</v>
      </c>
    </row>
    <row r="201" spans="1:7" ht="45" x14ac:dyDescent="0.25">
      <c r="A201" s="12" t="s">
        <v>160</v>
      </c>
      <c r="B201" s="12" t="s">
        <v>161</v>
      </c>
      <c r="C201" s="12" t="s">
        <v>157</v>
      </c>
      <c r="D201" s="12" t="s">
        <v>262</v>
      </c>
      <c r="F201" s="11"/>
    </row>
    <row r="202" spans="1:7" x14ac:dyDescent="0.25">
      <c r="A202">
        <f>H192</f>
        <v>122053.93337499999</v>
      </c>
      <c r="B202">
        <f>O129</f>
        <v>68200.689375000002</v>
      </c>
      <c r="C202">
        <f>G196</f>
        <v>33860.625</v>
      </c>
      <c r="D202">
        <f>SUM(A202:C202)</f>
        <v>224115.24774999998</v>
      </c>
      <c r="F202" s="11"/>
    </row>
    <row r="203" spans="1:7" x14ac:dyDescent="0.25">
      <c r="F203" s="11"/>
    </row>
    <row r="204" spans="1:7" ht="45" x14ac:dyDescent="0.25">
      <c r="A204" s="12" t="s">
        <v>263</v>
      </c>
      <c r="D204">
        <f>D202</f>
        <v>224115.24774999998</v>
      </c>
      <c r="E204" s="14">
        <f>D204/D210</f>
        <v>0.23916920753112622</v>
      </c>
      <c r="F204" s="11"/>
    </row>
    <row r="205" spans="1:7" ht="30" x14ac:dyDescent="0.25">
      <c r="A205" s="12" t="s">
        <v>164</v>
      </c>
      <c r="D205">
        <f>Q169</f>
        <v>374774.4</v>
      </c>
      <c r="E205" s="14">
        <f>D205/D210</f>
        <v>0.39994822820328751</v>
      </c>
      <c r="F205" s="11"/>
    </row>
    <row r="206" spans="1:7" ht="30" x14ac:dyDescent="0.25">
      <c r="A206" s="12" t="s">
        <v>165</v>
      </c>
      <c r="D206">
        <f>Q163</f>
        <v>247049.60000000003</v>
      </c>
      <c r="E206" s="14">
        <f>D206/D210</f>
        <v>0.26364407440404392</v>
      </c>
      <c r="F206" s="11"/>
    </row>
    <row r="207" spans="1:7" ht="30" x14ac:dyDescent="0.25">
      <c r="A207" s="12" t="s">
        <v>142</v>
      </c>
      <c r="D207">
        <f>R179</f>
        <v>28118.035097888751</v>
      </c>
      <c r="E207" s="14">
        <f>D207/D210</f>
        <v>3.0006740903216596E-2</v>
      </c>
      <c r="F207" s="11"/>
    </row>
    <row r="208" spans="1:7" ht="30" x14ac:dyDescent="0.25">
      <c r="A208" s="12" t="s">
        <v>167</v>
      </c>
      <c r="D208">
        <f>M157</f>
        <v>63000</v>
      </c>
      <c r="E208" s="14">
        <f>D208/D210</f>
        <v>6.7231748958325635E-2</v>
      </c>
      <c r="F208" s="11"/>
    </row>
    <row r="210" spans="1:9" x14ac:dyDescent="0.25">
      <c r="C210" t="s">
        <v>84</v>
      </c>
      <c r="D210">
        <f>SUM(D204:D209)</f>
        <v>937057.28284788888</v>
      </c>
    </row>
    <row r="213" spans="1:9" x14ac:dyDescent="0.25">
      <c r="A213" t="s">
        <v>172</v>
      </c>
      <c r="C213" t="s">
        <v>171</v>
      </c>
      <c r="D213" t="s">
        <v>127</v>
      </c>
      <c r="E213" t="s">
        <v>170</v>
      </c>
      <c r="G213" t="s">
        <v>181</v>
      </c>
    </row>
    <row r="215" spans="1:9" x14ac:dyDescent="0.25">
      <c r="A215">
        <v>1</v>
      </c>
      <c r="C215" t="s">
        <v>173</v>
      </c>
      <c r="D215">
        <f>H192</f>
        <v>122053.93337499999</v>
      </c>
      <c r="G215">
        <f t="shared" ref="G215:G221" si="7">D215+E215</f>
        <v>122053.93337499999</v>
      </c>
    </row>
    <row r="216" spans="1:9" x14ac:dyDescent="0.25">
      <c r="A216">
        <v>2</v>
      </c>
      <c r="C216" t="s">
        <v>174</v>
      </c>
      <c r="D216">
        <f>O129</f>
        <v>68200.689375000002</v>
      </c>
      <c r="G216">
        <f t="shared" si="7"/>
        <v>68200.689375000002</v>
      </c>
    </row>
    <row r="217" spans="1:9" x14ac:dyDescent="0.25">
      <c r="A217">
        <v>3</v>
      </c>
      <c r="C217" t="s">
        <v>175</v>
      </c>
      <c r="D217">
        <f>G196</f>
        <v>33860.625</v>
      </c>
      <c r="G217">
        <f t="shared" si="7"/>
        <v>33860.625</v>
      </c>
    </row>
    <row r="218" spans="1:9" x14ac:dyDescent="0.25">
      <c r="A218">
        <v>4</v>
      </c>
      <c r="C218" t="s">
        <v>176</v>
      </c>
      <c r="D218">
        <f>H169</f>
        <v>179625.60000000001</v>
      </c>
      <c r="E218">
        <f>N169</f>
        <v>195148.79999999999</v>
      </c>
      <c r="G218">
        <f t="shared" si="7"/>
        <v>374774.4</v>
      </c>
    </row>
    <row r="219" spans="1:9" x14ac:dyDescent="0.25">
      <c r="A219">
        <v>5</v>
      </c>
      <c r="C219" t="s">
        <v>177</v>
      </c>
      <c r="D219">
        <f>H163</f>
        <v>97977.60000000002</v>
      </c>
      <c r="E219">
        <f>N163</f>
        <v>149072</v>
      </c>
      <c r="G219">
        <f t="shared" si="7"/>
        <v>247049.60000000003</v>
      </c>
    </row>
    <row r="220" spans="1:9" x14ac:dyDescent="0.25">
      <c r="A220">
        <v>6</v>
      </c>
      <c r="C220" t="s">
        <v>178</v>
      </c>
      <c r="D220">
        <f>R179</f>
        <v>28118.035097888751</v>
      </c>
      <c r="G220">
        <f t="shared" si="7"/>
        <v>28118.035097888751</v>
      </c>
    </row>
    <row r="221" spans="1:9" x14ac:dyDescent="0.25">
      <c r="A221">
        <v>7</v>
      </c>
      <c r="C221" t="s">
        <v>179</v>
      </c>
      <c r="D221">
        <f>H157</f>
        <v>35000</v>
      </c>
      <c r="E221">
        <f>I157</f>
        <v>28000</v>
      </c>
      <c r="G221">
        <f t="shared" si="7"/>
        <v>63000</v>
      </c>
    </row>
    <row r="224" spans="1:9" x14ac:dyDescent="0.25">
      <c r="C224" t="s">
        <v>180</v>
      </c>
      <c r="D224">
        <f>SUM(D215:D223)</f>
        <v>564836.48284788872</v>
      </c>
      <c r="E224">
        <f>SUM(E215:E223)</f>
        <v>372220.8</v>
      </c>
      <c r="F224">
        <f>SUM(F215:F223)</f>
        <v>0</v>
      </c>
      <c r="G224">
        <f>SUM(G215:G223)</f>
        <v>937057.28284788888</v>
      </c>
      <c r="H224">
        <f>G224/12000</f>
        <v>78.088106903990735</v>
      </c>
      <c r="I224" t="s">
        <v>194</v>
      </c>
    </row>
    <row r="227" spans="1:14" ht="21" x14ac:dyDescent="0.35">
      <c r="D227" s="1" t="s">
        <v>258</v>
      </c>
    </row>
    <row r="229" spans="1:14" ht="18.75" x14ac:dyDescent="0.3">
      <c r="D229" s="13" t="s">
        <v>259</v>
      </c>
      <c r="E229" s="13"/>
      <c r="F229" s="13"/>
    </row>
    <row r="232" spans="1:14" ht="30" x14ac:dyDescent="0.25">
      <c r="A232" t="s">
        <v>215</v>
      </c>
      <c r="B232" t="s">
        <v>182</v>
      </c>
      <c r="C232" s="12" t="s">
        <v>183</v>
      </c>
      <c r="D232" s="12" t="s">
        <v>184</v>
      </c>
      <c r="E232" t="s">
        <v>174</v>
      </c>
      <c r="F232" s="12" t="s">
        <v>185</v>
      </c>
      <c r="G232" s="12" t="s">
        <v>186</v>
      </c>
      <c r="H232" s="12" t="s">
        <v>187</v>
      </c>
      <c r="I232" t="s">
        <v>188</v>
      </c>
      <c r="J232" t="s">
        <v>190</v>
      </c>
      <c r="K232" s="12" t="s">
        <v>214</v>
      </c>
      <c r="L232" t="s">
        <v>189</v>
      </c>
      <c r="M232" t="s">
        <v>191</v>
      </c>
      <c r="N232" t="s">
        <v>191</v>
      </c>
    </row>
    <row r="233" spans="1:14" x14ac:dyDescent="0.25">
      <c r="M233" t="s">
        <v>192</v>
      </c>
      <c r="N233" t="s">
        <v>193</v>
      </c>
    </row>
    <row r="234" spans="1:14" ht="48" customHeight="1" x14ac:dyDescent="0.25">
      <c r="A234" s="12" t="s">
        <v>219</v>
      </c>
      <c r="B234" s="12" t="s">
        <v>218</v>
      </c>
      <c r="C234">
        <f>O48/14</f>
        <v>1421.7734999999998</v>
      </c>
      <c r="D234">
        <f>O62/2</f>
        <v>1887.6374999999998</v>
      </c>
      <c r="E234">
        <v>0</v>
      </c>
      <c r="F234">
        <f>(I137/14)+(I147/14)+(I138/14)+(I148/14)</f>
        <v>1633.9732142857142</v>
      </c>
      <c r="G234">
        <f>Q169/28</f>
        <v>13384.800000000001</v>
      </c>
      <c r="H234">
        <f>Q163/28</f>
        <v>8823.2000000000007</v>
      </c>
      <c r="I234">
        <f>M157/28</f>
        <v>2250</v>
      </c>
      <c r="J234">
        <f>O122/28</f>
        <v>852.94828124999992</v>
      </c>
      <c r="K234">
        <f>H110/14</f>
        <v>412.72000000000008</v>
      </c>
      <c r="L234">
        <f>R179/28</f>
        <v>1004.2155392103125</v>
      </c>
      <c r="M234">
        <f>SUM(C234:L234)</f>
        <v>31671.268034746026</v>
      </c>
      <c r="N234">
        <f>M234/12000</f>
        <v>2.6392723362288355</v>
      </c>
    </row>
    <row r="235" spans="1:14" x14ac:dyDescent="0.25">
      <c r="M235">
        <f t="shared" ref="M235:M242" si="8">SUM(C235:L235)</f>
        <v>0</v>
      </c>
      <c r="N235">
        <f t="shared" ref="N235:N242" si="9">M235/12000</f>
        <v>0</v>
      </c>
    </row>
    <row r="236" spans="1:14" ht="45" x14ac:dyDescent="0.25">
      <c r="A236" s="12" t="s">
        <v>220</v>
      </c>
      <c r="B236" s="12" t="s">
        <v>221</v>
      </c>
      <c r="C236">
        <f>C234</f>
        <v>1421.7734999999998</v>
      </c>
      <c r="D236">
        <f>D234</f>
        <v>1887.6374999999998</v>
      </c>
      <c r="E236">
        <f>O129/28</f>
        <v>2435.7389062500001</v>
      </c>
      <c r="F236">
        <f>F234</f>
        <v>1633.9732142857142</v>
      </c>
      <c r="G236">
        <f>G234</f>
        <v>13384.800000000001</v>
      </c>
      <c r="H236">
        <f>H234</f>
        <v>8823.2000000000007</v>
      </c>
      <c r="I236">
        <f>I234</f>
        <v>2250</v>
      </c>
      <c r="J236">
        <f>0</f>
        <v>0</v>
      </c>
      <c r="K236">
        <f>K234</f>
        <v>412.72000000000008</v>
      </c>
      <c r="L236">
        <f>L234</f>
        <v>1004.2155392103125</v>
      </c>
      <c r="M236">
        <f t="shared" si="8"/>
        <v>33254.058659746028</v>
      </c>
      <c r="N236">
        <f t="shared" si="9"/>
        <v>2.7711715549788356</v>
      </c>
    </row>
    <row r="237" spans="1:14" x14ac:dyDescent="0.25">
      <c r="M237">
        <f t="shared" si="8"/>
        <v>0</v>
      </c>
      <c r="N237">
        <f t="shared" si="9"/>
        <v>0</v>
      </c>
    </row>
    <row r="238" spans="1:14" ht="30" x14ac:dyDescent="0.25">
      <c r="C238" s="12" t="s">
        <v>197</v>
      </c>
      <c r="D238" s="12" t="s">
        <v>198</v>
      </c>
      <c r="M238">
        <f t="shared" si="8"/>
        <v>0</v>
      </c>
      <c r="N238">
        <f t="shared" si="9"/>
        <v>0</v>
      </c>
    </row>
    <row r="239" spans="1:14" ht="30" x14ac:dyDescent="0.25">
      <c r="A239" s="12" t="s">
        <v>222</v>
      </c>
      <c r="B239" s="12" t="s">
        <v>223</v>
      </c>
      <c r="C239">
        <f>O75/2</f>
        <v>912.48149999999987</v>
      </c>
      <c r="D239">
        <f>O89/2</f>
        <v>1333.9304999999999</v>
      </c>
      <c r="E239">
        <v>0</v>
      </c>
      <c r="F239">
        <f>(I139/14)+(I149/14)+(I140/14)+(I150/14)</f>
        <v>784.64285714285711</v>
      </c>
      <c r="G239">
        <f>G236</f>
        <v>13384.800000000001</v>
      </c>
      <c r="H239">
        <f>H236</f>
        <v>8823.2000000000007</v>
      </c>
      <c r="I239">
        <f>I236</f>
        <v>2250</v>
      </c>
      <c r="J239">
        <f>J234</f>
        <v>852.94828124999992</v>
      </c>
      <c r="K239">
        <f>H111/14</f>
        <v>264.88000000000005</v>
      </c>
      <c r="L239">
        <f>L234</f>
        <v>1004.2155392103125</v>
      </c>
      <c r="M239">
        <f t="shared" si="8"/>
        <v>29611.098677603171</v>
      </c>
      <c r="N239">
        <f t="shared" si="9"/>
        <v>2.4675915564669308</v>
      </c>
    </row>
    <row r="240" spans="1:14" x14ac:dyDescent="0.25">
      <c r="M240">
        <f t="shared" si="8"/>
        <v>0</v>
      </c>
      <c r="N240">
        <f t="shared" si="9"/>
        <v>0</v>
      </c>
    </row>
    <row r="241" spans="1:16" x14ac:dyDescent="0.25">
      <c r="M241">
        <f t="shared" si="8"/>
        <v>0</v>
      </c>
      <c r="N241">
        <f t="shared" si="9"/>
        <v>0</v>
      </c>
    </row>
    <row r="242" spans="1:16" x14ac:dyDescent="0.25">
      <c r="A242" t="s">
        <v>195</v>
      </c>
      <c r="B242" t="s">
        <v>216</v>
      </c>
      <c r="C242">
        <f>C239</f>
        <v>912.48149999999987</v>
      </c>
      <c r="D242">
        <f>D239</f>
        <v>1333.9304999999999</v>
      </c>
      <c r="E242">
        <f>E236</f>
        <v>2435.7389062500001</v>
      </c>
      <c r="F242">
        <f>F239</f>
        <v>784.64285714285711</v>
      </c>
      <c r="G242">
        <f>G239</f>
        <v>13384.800000000001</v>
      </c>
      <c r="H242">
        <f>H239</f>
        <v>8823.2000000000007</v>
      </c>
      <c r="I242">
        <f>I239</f>
        <v>2250</v>
      </c>
      <c r="J242">
        <v>0</v>
      </c>
      <c r="K242">
        <f>K239</f>
        <v>264.88000000000005</v>
      </c>
      <c r="L242">
        <f>L239</f>
        <v>1004.2155392103125</v>
      </c>
      <c r="M242">
        <f t="shared" si="8"/>
        <v>31193.889302603173</v>
      </c>
      <c r="N242">
        <f t="shared" si="9"/>
        <v>2.5994907752169309</v>
      </c>
    </row>
    <row r="243" spans="1:16" x14ac:dyDescent="0.25">
      <c r="A243" t="s">
        <v>196</v>
      </c>
      <c r="B243" t="s">
        <v>217</v>
      </c>
    </row>
    <row r="245" spans="1:16" ht="18.75" x14ac:dyDescent="0.3">
      <c r="E245" s="3" t="s">
        <v>260</v>
      </c>
    </row>
    <row r="247" spans="1:16" ht="45" x14ac:dyDescent="0.25">
      <c r="A247" t="s">
        <v>215</v>
      </c>
      <c r="B247" t="s">
        <v>126</v>
      </c>
      <c r="C247" s="12" t="s">
        <v>233</v>
      </c>
      <c r="D247" s="12" t="s">
        <v>234</v>
      </c>
      <c r="E247" s="12" t="s">
        <v>235</v>
      </c>
      <c r="F247" s="12" t="s">
        <v>236</v>
      </c>
      <c r="G247" s="12" t="s">
        <v>174</v>
      </c>
      <c r="H247" s="12" t="s">
        <v>185</v>
      </c>
      <c r="I247" s="12" t="s">
        <v>237</v>
      </c>
      <c r="J247" s="12" t="s">
        <v>238</v>
      </c>
      <c r="K247" s="12" t="s">
        <v>239</v>
      </c>
      <c r="L247" s="12" t="s">
        <v>240</v>
      </c>
      <c r="M247" s="12" t="s">
        <v>241</v>
      </c>
      <c r="N247" s="12" t="s">
        <v>178</v>
      </c>
      <c r="O247" s="12" t="s">
        <v>244</v>
      </c>
      <c r="P247" s="12" t="s">
        <v>245</v>
      </c>
    </row>
    <row r="248" spans="1:16" ht="30" x14ac:dyDescent="0.25">
      <c r="A248" s="12" t="s">
        <v>242</v>
      </c>
      <c r="B248" t="s">
        <v>243</v>
      </c>
      <c r="C248">
        <f>C234</f>
        <v>1421.7734999999998</v>
      </c>
      <c r="D248">
        <f>D234</f>
        <v>1887.6374999999998</v>
      </c>
      <c r="E248">
        <f>O81/2</f>
        <v>1083.7612499999998</v>
      </c>
      <c r="F248">
        <v>0</v>
      </c>
      <c r="G248">
        <v>0</v>
      </c>
      <c r="H248">
        <f>F234</f>
        <v>1633.9732142857142</v>
      </c>
      <c r="I248">
        <f>G234</f>
        <v>13384.800000000001</v>
      </c>
      <c r="J248">
        <f>H234</f>
        <v>8823.2000000000007</v>
      </c>
      <c r="K248">
        <f>I234</f>
        <v>2250</v>
      </c>
      <c r="L248">
        <f>K234</f>
        <v>412.72000000000008</v>
      </c>
      <c r="M248">
        <f>J234</f>
        <v>852.94828124999992</v>
      </c>
      <c r="N248">
        <f>L234</f>
        <v>1004.2155392103125</v>
      </c>
      <c r="O248">
        <f>SUM(C248:N248)</f>
        <v>32755.02928474603</v>
      </c>
      <c r="P248">
        <f>O248/12000</f>
        <v>2.7295857737288358</v>
      </c>
    </row>
    <row r="249" spans="1:16" ht="30" x14ac:dyDescent="0.25">
      <c r="A249" s="12" t="s">
        <v>246</v>
      </c>
      <c r="B249" t="s">
        <v>247</v>
      </c>
      <c r="C249">
        <f>C236</f>
        <v>1421.7734999999998</v>
      </c>
      <c r="D249">
        <f>D248</f>
        <v>1887.6374999999998</v>
      </c>
      <c r="E249">
        <f>E248</f>
        <v>1083.7612499999998</v>
      </c>
      <c r="F249">
        <f>F248</f>
        <v>0</v>
      </c>
      <c r="G249">
        <f>E236</f>
        <v>2435.7389062500001</v>
      </c>
      <c r="H249">
        <f>F236</f>
        <v>1633.9732142857142</v>
      </c>
      <c r="I249">
        <f t="shared" ref="I249:L251" si="10">I248</f>
        <v>13384.800000000001</v>
      </c>
      <c r="J249">
        <f t="shared" si="10"/>
        <v>8823.2000000000007</v>
      </c>
      <c r="K249">
        <f t="shared" si="10"/>
        <v>2250</v>
      </c>
      <c r="L249">
        <f t="shared" si="10"/>
        <v>412.72000000000008</v>
      </c>
      <c r="M249">
        <f>0</f>
        <v>0</v>
      </c>
      <c r="N249">
        <f>N248</f>
        <v>1004.2155392103125</v>
      </c>
      <c r="O249">
        <f t="shared" ref="O249:O251" si="11">SUM(C249:N249)</f>
        <v>34337.819909746031</v>
      </c>
      <c r="P249">
        <f t="shared" ref="P249:P251" si="12">O249/12000</f>
        <v>2.8614849924788359</v>
      </c>
    </row>
    <row r="250" spans="1:16" ht="30" x14ac:dyDescent="0.25">
      <c r="A250" s="12" t="s">
        <v>248</v>
      </c>
      <c r="B250" t="s">
        <v>254</v>
      </c>
      <c r="C250">
        <f>O47/2</f>
        <v>1688.6512499999997</v>
      </c>
      <c r="D250">
        <v>0</v>
      </c>
      <c r="E250">
        <f>C239</f>
        <v>912.48149999999987</v>
      </c>
      <c r="F250">
        <f>D239</f>
        <v>1333.9304999999999</v>
      </c>
      <c r="G250">
        <v>0</v>
      </c>
      <c r="H250">
        <f>F239</f>
        <v>784.64285714285711</v>
      </c>
      <c r="I250">
        <f t="shared" si="10"/>
        <v>13384.800000000001</v>
      </c>
      <c r="J250">
        <f t="shared" si="10"/>
        <v>8823.2000000000007</v>
      </c>
      <c r="K250">
        <f t="shared" si="10"/>
        <v>2250</v>
      </c>
      <c r="L250">
        <f>K239</f>
        <v>264.88000000000005</v>
      </c>
      <c r="M250">
        <f>M248</f>
        <v>852.94828124999992</v>
      </c>
      <c r="N250">
        <f>N249</f>
        <v>1004.2155392103125</v>
      </c>
      <c r="O250">
        <f t="shared" si="11"/>
        <v>31299.74992760317</v>
      </c>
      <c r="P250">
        <f t="shared" si="12"/>
        <v>2.6083124939669307</v>
      </c>
    </row>
    <row r="251" spans="1:16" ht="30" x14ac:dyDescent="0.25">
      <c r="A251" s="12" t="s">
        <v>250</v>
      </c>
      <c r="B251" t="s">
        <v>255</v>
      </c>
      <c r="C251">
        <f>C250</f>
        <v>1688.6512499999997</v>
      </c>
      <c r="D251">
        <v>0</v>
      </c>
      <c r="E251">
        <f>E250</f>
        <v>912.48149999999987</v>
      </c>
      <c r="F251">
        <f>F250</f>
        <v>1333.9304999999999</v>
      </c>
      <c r="G251">
        <f>G249</f>
        <v>2435.7389062500001</v>
      </c>
      <c r="H251">
        <f>H250</f>
        <v>784.64285714285711</v>
      </c>
      <c r="I251">
        <f t="shared" si="10"/>
        <v>13384.800000000001</v>
      </c>
      <c r="J251">
        <f t="shared" si="10"/>
        <v>8823.2000000000007</v>
      </c>
      <c r="K251">
        <f t="shared" si="10"/>
        <v>2250</v>
      </c>
      <c r="L251">
        <f t="shared" si="10"/>
        <v>264.88000000000005</v>
      </c>
      <c r="M251">
        <f>0</f>
        <v>0</v>
      </c>
      <c r="N251">
        <f>N250</f>
        <v>1004.2155392103125</v>
      </c>
      <c r="O251">
        <f t="shared" si="11"/>
        <v>32882.540552603175</v>
      </c>
      <c r="P251">
        <f t="shared" si="12"/>
        <v>2.7402117127169312</v>
      </c>
    </row>
    <row r="254" spans="1:16" ht="18.75" x14ac:dyDescent="0.3">
      <c r="E254" s="3" t="s">
        <v>261</v>
      </c>
    </row>
    <row r="256" spans="1:16" ht="45" x14ac:dyDescent="0.25">
      <c r="A256" t="s">
        <v>215</v>
      </c>
      <c r="B256" t="s">
        <v>126</v>
      </c>
      <c r="C256" s="12" t="s">
        <v>233</v>
      </c>
      <c r="D256" s="12" t="s">
        <v>234</v>
      </c>
      <c r="E256" s="12" t="s">
        <v>257</v>
      </c>
      <c r="F256" s="12" t="s">
        <v>256</v>
      </c>
      <c r="G256" s="12" t="s">
        <v>174</v>
      </c>
      <c r="H256" s="12" t="s">
        <v>185</v>
      </c>
      <c r="I256" s="12" t="s">
        <v>237</v>
      </c>
      <c r="J256" s="12" t="s">
        <v>238</v>
      </c>
      <c r="K256" s="12" t="s">
        <v>239</v>
      </c>
      <c r="L256" s="12" t="s">
        <v>240</v>
      </c>
      <c r="M256" s="12" t="s">
        <v>241</v>
      </c>
      <c r="N256" s="12" t="s">
        <v>178</v>
      </c>
      <c r="O256" s="12" t="s">
        <v>244</v>
      </c>
      <c r="P256" s="12" t="s">
        <v>245</v>
      </c>
    </row>
    <row r="257" spans="1:16" ht="30" x14ac:dyDescent="0.25">
      <c r="A257" s="12" t="s">
        <v>242</v>
      </c>
      <c r="B257" t="s">
        <v>252</v>
      </c>
      <c r="C257">
        <f>C248</f>
        <v>1421.7734999999998</v>
      </c>
      <c r="D257">
        <f>D248</f>
        <v>1887.6374999999998</v>
      </c>
      <c r="E257">
        <f>0</f>
        <v>0</v>
      </c>
      <c r="F257">
        <f>I98/4</f>
        <v>982.94624999999985</v>
      </c>
      <c r="G257">
        <f t="shared" ref="G257:N257" si="13">G248</f>
        <v>0</v>
      </c>
      <c r="H257">
        <f t="shared" si="13"/>
        <v>1633.9732142857142</v>
      </c>
      <c r="I257">
        <f t="shared" si="13"/>
        <v>13384.800000000001</v>
      </c>
      <c r="J257">
        <f t="shared" si="13"/>
        <v>8823.2000000000007</v>
      </c>
      <c r="K257">
        <f t="shared" si="13"/>
        <v>2250</v>
      </c>
      <c r="L257">
        <f t="shared" si="13"/>
        <v>412.72000000000008</v>
      </c>
      <c r="M257">
        <f t="shared" si="13"/>
        <v>852.94828124999992</v>
      </c>
      <c r="N257">
        <f t="shared" si="13"/>
        <v>1004.2155392103125</v>
      </c>
      <c r="O257">
        <f>SUM(C257:N257)</f>
        <v>32654.214284746027</v>
      </c>
      <c r="P257">
        <f>O257/12000</f>
        <v>2.7211845237288355</v>
      </c>
    </row>
    <row r="258" spans="1:16" ht="30" x14ac:dyDescent="0.25">
      <c r="A258" s="12" t="s">
        <v>246</v>
      </c>
      <c r="B258" t="s">
        <v>253</v>
      </c>
      <c r="C258">
        <f>C257</f>
        <v>1421.7734999999998</v>
      </c>
      <c r="D258">
        <f>D257</f>
        <v>1887.6374999999998</v>
      </c>
      <c r="E258">
        <f>0</f>
        <v>0</v>
      </c>
      <c r="F258">
        <f>F257</f>
        <v>982.94624999999985</v>
      </c>
      <c r="G258">
        <f>G249</f>
        <v>2435.7389062500001</v>
      </c>
      <c r="H258">
        <f>H257</f>
        <v>1633.9732142857142</v>
      </c>
      <c r="I258">
        <f>I257</f>
        <v>13384.800000000001</v>
      </c>
      <c r="J258">
        <f>J257</f>
        <v>8823.2000000000007</v>
      </c>
      <c r="K258">
        <f>K257</f>
        <v>2250</v>
      </c>
      <c r="L258">
        <f>L257</f>
        <v>412.72000000000008</v>
      </c>
      <c r="M258">
        <f>0</f>
        <v>0</v>
      </c>
      <c r="N258">
        <f>N257</f>
        <v>1004.2155392103125</v>
      </c>
      <c r="O258">
        <f t="shared" ref="O258:O260" si="14">SUM(C258:N258)</f>
        <v>34237.004909746029</v>
      </c>
      <c r="P258">
        <f t="shared" ref="P258:P260" si="15">O258/12000</f>
        <v>2.8530837424788356</v>
      </c>
    </row>
    <row r="259" spans="1:16" ht="30" x14ac:dyDescent="0.25">
      <c r="A259" s="12" t="s">
        <v>248</v>
      </c>
      <c r="B259" t="s">
        <v>249</v>
      </c>
      <c r="C259">
        <v>0</v>
      </c>
      <c r="D259">
        <f>O69/2</f>
        <v>1625.9062499999998</v>
      </c>
      <c r="E259">
        <f>E250</f>
        <v>912.48149999999987</v>
      </c>
      <c r="F259">
        <f>F258</f>
        <v>982.94624999999985</v>
      </c>
      <c r="G259">
        <f>0</f>
        <v>0</v>
      </c>
      <c r="H259">
        <f>(I140/14)+(I150/14)+(I138/16)+(I148/16)</f>
        <v>1169.25</v>
      </c>
      <c r="I259">
        <f t="shared" ref="I259:K260" si="16">I258</f>
        <v>13384.800000000001</v>
      </c>
      <c r="J259">
        <f t="shared" si="16"/>
        <v>8823.2000000000007</v>
      </c>
      <c r="K259">
        <f t="shared" si="16"/>
        <v>2250</v>
      </c>
      <c r="L259">
        <f>L250</f>
        <v>264.88000000000005</v>
      </c>
      <c r="M259">
        <f>M257</f>
        <v>852.94828124999992</v>
      </c>
      <c r="N259">
        <f>N258</f>
        <v>1004.2155392103125</v>
      </c>
      <c r="O259">
        <f t="shared" si="14"/>
        <v>31270.627820460315</v>
      </c>
      <c r="P259">
        <f t="shared" si="15"/>
        <v>2.6058856517050262</v>
      </c>
    </row>
    <row r="260" spans="1:16" ht="30" x14ac:dyDescent="0.25">
      <c r="A260" s="12" t="s">
        <v>250</v>
      </c>
      <c r="B260" t="s">
        <v>251</v>
      </c>
      <c r="C260">
        <v>0</v>
      </c>
      <c r="D260">
        <f>D259</f>
        <v>1625.9062499999998</v>
      </c>
      <c r="E260">
        <f>E259</f>
        <v>912.48149999999987</v>
      </c>
      <c r="F260">
        <f>F259</f>
        <v>982.94624999999985</v>
      </c>
      <c r="G260">
        <f>G258</f>
        <v>2435.7389062500001</v>
      </c>
      <c r="H260">
        <f>H259</f>
        <v>1169.25</v>
      </c>
      <c r="I260">
        <f t="shared" si="16"/>
        <v>13384.800000000001</v>
      </c>
      <c r="J260">
        <f t="shared" si="16"/>
        <v>8823.2000000000007</v>
      </c>
      <c r="K260">
        <f t="shared" si="16"/>
        <v>2250</v>
      </c>
      <c r="L260">
        <f>L259</f>
        <v>264.88000000000005</v>
      </c>
      <c r="M260">
        <f>0</f>
        <v>0</v>
      </c>
      <c r="N260">
        <f>N259</f>
        <v>1004.2155392103125</v>
      </c>
      <c r="O260">
        <f t="shared" si="14"/>
        <v>32853.418445460316</v>
      </c>
      <c r="P260">
        <f t="shared" si="15"/>
        <v>2.7377848704550263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2021-04-05T03:56:19Z</dcterms:created>
  <dcterms:modified xsi:type="dcterms:W3CDTF">2021-04-22T17:21:50Z</dcterms:modified>
</cp:coreProperties>
</file>